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827"/>
  <workbookPr filterPrivacy="1"/>
  <xr:revisionPtr revIDLastSave="0" documentId="13_ncr:1_{189DF63C-FC20-414B-911D-CE5B9C63C6E2}" xr6:coauthVersionLast="47" xr6:coauthVersionMax="47" xr10:uidLastSave="{00000000-0000-0000-0000-000000000000}"/>
  <bookViews>
    <workbookView xWindow="-108" yWindow="-108" windowWidth="23256" windowHeight="12576" tabRatio="693" activeTab="1" xr2:uid="{00000000-000D-0000-FFFF-FFFF00000000}"/>
  </bookViews>
  <sheets>
    <sheet name="01 Prod Physique Boites" sheetId="1" r:id="rId1"/>
    <sheet name="02 Prod Valorisée Boites" sheetId="13" r:id="rId2"/>
    <sheet name="03 Prod Accessoires" sheetId="17" r:id="rId3"/>
    <sheet name="04 Ventes" sheetId="16" r:id="rId4"/>
    <sheet name="05 Activité Consolidée" sheetId="15" r:id="rId5"/>
    <sheet name="06 TRS" sheetId="14" r:id="rId6"/>
    <sheet name="07 Graphique" sheetId="19" r:id="rId7"/>
    <sheet name="REFERENCE PU" sheetId="2" state="hidden" r:id="rId8"/>
  </sheets>
  <definedNames>
    <definedName name="_xlnm.Print_Area" localSheetId="0">'01 Prod Physique Boites'!$A$1:$O$2322</definedName>
    <definedName name="_xlnm.Print_Area" localSheetId="1">'02 Prod Valorisée Boites'!$A$1:$J$2327</definedName>
    <definedName name="_xlnm.Print_Area" localSheetId="2">'03 Prod Accessoires'!$A$1:$Q$1290</definedName>
    <definedName name="_xlnm.Print_Area" localSheetId="3">'04 Ventes'!$A$1:$I$1933</definedName>
    <definedName name="_xlnm.Print_Area" localSheetId="4">'05 Activité Consolidée'!$A$1:$J$310</definedName>
    <definedName name="_xlnm.Print_Area" localSheetId="5">'06 TRS'!$A$1:$T$346</definedName>
    <definedName name="_xlnm.Print_Area" localSheetId="6">'07 Graphique'!$A$1:$T$42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2269" i="1" l="1"/>
  <c r="H2269" i="1"/>
  <c r="H1854" i="16" l="1"/>
  <c r="H1855" i="16"/>
  <c r="H1856" i="16"/>
  <c r="F1856" i="16"/>
  <c r="I1856" i="16" s="1"/>
  <c r="F1855" i="16"/>
  <c r="I1855" i="16" s="1"/>
  <c r="F1854" i="16"/>
  <c r="I1854" i="16" s="1"/>
  <c r="D22" i="14"/>
  <c r="L30" i="14" l="1"/>
  <c r="K30" i="14"/>
  <c r="M30" i="14" s="1"/>
  <c r="O30" i="14" l="1"/>
  <c r="L29" i="14"/>
  <c r="K29" i="14" s="1"/>
  <c r="O29" i="14" s="1"/>
  <c r="G29" i="14"/>
  <c r="C29" i="14"/>
  <c r="L28" i="14"/>
  <c r="K28" i="14" s="1"/>
  <c r="O28" i="14" s="1"/>
  <c r="G28" i="14"/>
  <c r="C28" i="14"/>
  <c r="L27" i="14"/>
  <c r="K27" i="14" s="1"/>
  <c r="O27" i="14" s="1"/>
  <c r="N27" i="14" s="1"/>
  <c r="G27" i="14"/>
  <c r="C27" i="14"/>
  <c r="L26" i="14"/>
  <c r="K26" i="14" s="1"/>
  <c r="O26" i="14" s="1"/>
  <c r="G26" i="14"/>
  <c r="C26" i="14"/>
  <c r="L25" i="14"/>
  <c r="K25" i="14" s="1"/>
  <c r="O25" i="14" s="1"/>
  <c r="G25" i="14"/>
  <c r="C25" i="14"/>
  <c r="L24" i="14"/>
  <c r="K24" i="14" s="1"/>
  <c r="O24" i="14" s="1"/>
  <c r="G24" i="14"/>
  <c r="C24" i="14"/>
  <c r="L23" i="14"/>
  <c r="K23" i="14" s="1"/>
  <c r="O23" i="14" s="1"/>
  <c r="G23" i="14"/>
  <c r="C23" i="14"/>
  <c r="G22" i="14"/>
  <c r="L21" i="14"/>
  <c r="K21" i="14" s="1"/>
  <c r="G21" i="14"/>
  <c r="C21" i="14"/>
  <c r="L20" i="14"/>
  <c r="K20" i="14" s="1"/>
  <c r="G20" i="14"/>
  <c r="C20" i="14"/>
  <c r="L19" i="14"/>
  <c r="K19" i="14" s="1"/>
  <c r="M19" i="14" s="1"/>
  <c r="G19" i="14"/>
  <c r="C19" i="14"/>
  <c r="L18" i="14"/>
  <c r="K18" i="14" s="1"/>
  <c r="G18" i="14"/>
  <c r="C18" i="14"/>
  <c r="L17" i="14"/>
  <c r="K17" i="14"/>
  <c r="M17" i="14" s="1"/>
  <c r="G17" i="14"/>
  <c r="C17" i="14"/>
  <c r="L16" i="14"/>
  <c r="K16" i="14" s="1"/>
  <c r="G16" i="14"/>
  <c r="C16" i="14"/>
  <c r="L15" i="14"/>
  <c r="K15" i="14" s="1"/>
  <c r="M15" i="14" s="1"/>
  <c r="G15" i="14"/>
  <c r="C15" i="14"/>
  <c r="L14" i="14"/>
  <c r="K14" i="14" s="1"/>
  <c r="G14" i="14"/>
  <c r="C14" i="14"/>
  <c r="C309" i="15"/>
  <c r="E308" i="15"/>
  <c r="C306" i="15"/>
  <c r="E305" i="15"/>
  <c r="C303" i="15"/>
  <c r="C310" i="15" s="1"/>
  <c r="E302" i="15"/>
  <c r="H1931" i="16"/>
  <c r="F1931" i="16"/>
  <c r="I1931" i="16" s="1"/>
  <c r="I1932" i="16" s="1"/>
  <c r="E1930" i="16"/>
  <c r="H1929" i="16"/>
  <c r="H1928" i="16"/>
  <c r="H1927" i="16"/>
  <c r="I1927" i="16" s="1"/>
  <c r="H1926" i="16"/>
  <c r="H1925" i="16"/>
  <c r="H1924" i="16"/>
  <c r="H1923" i="16"/>
  <c r="H1922" i="16"/>
  <c r="H1921" i="16"/>
  <c r="H1920" i="16"/>
  <c r="H1919" i="16"/>
  <c r="H1918" i="16"/>
  <c r="H1917" i="16"/>
  <c r="H1916" i="16"/>
  <c r="H1915" i="16"/>
  <c r="H1914" i="16"/>
  <c r="H1913" i="16"/>
  <c r="H1912" i="16"/>
  <c r="H1911" i="16"/>
  <c r="H1910" i="16"/>
  <c r="H1909" i="16"/>
  <c r="H1908" i="16"/>
  <c r="H1907" i="16"/>
  <c r="H1906" i="16"/>
  <c r="H1905" i="16"/>
  <c r="H1904" i="16"/>
  <c r="E1903" i="16"/>
  <c r="H1902" i="16"/>
  <c r="H1901" i="16"/>
  <c r="H1900" i="16"/>
  <c r="H1899" i="16"/>
  <c r="H1898" i="16"/>
  <c r="H1897" i="16"/>
  <c r="H1896" i="16"/>
  <c r="H1895" i="16"/>
  <c r="H1894" i="16"/>
  <c r="H1893" i="16"/>
  <c r="H1892" i="16"/>
  <c r="H1891" i="16"/>
  <c r="H1890" i="16"/>
  <c r="H1889" i="16"/>
  <c r="H1888" i="16"/>
  <c r="H1887" i="16"/>
  <c r="H1886" i="16"/>
  <c r="H1885" i="16"/>
  <c r="H1884" i="16"/>
  <c r="H1883" i="16"/>
  <c r="H1882" i="16"/>
  <c r="H1881" i="16"/>
  <c r="H1880" i="16"/>
  <c r="H1879" i="16"/>
  <c r="H1878" i="16"/>
  <c r="H1877" i="16"/>
  <c r="H1876" i="16"/>
  <c r="H1875" i="16"/>
  <c r="H1874" i="16"/>
  <c r="E1871" i="16"/>
  <c r="H1870" i="16"/>
  <c r="H1869" i="16"/>
  <c r="H1868" i="16"/>
  <c r="H1867" i="16"/>
  <c r="E1866" i="16"/>
  <c r="H1865" i="16"/>
  <c r="H1864" i="16"/>
  <c r="H1863" i="16"/>
  <c r="H1862" i="16"/>
  <c r="H1861" i="16"/>
  <c r="H1866" i="16" s="1"/>
  <c r="H1860" i="16"/>
  <c r="E1859" i="16"/>
  <c r="H1858" i="16"/>
  <c r="H1857" i="16"/>
  <c r="H1853" i="16"/>
  <c r="H1852" i="16"/>
  <c r="H1851" i="16"/>
  <c r="H1850" i="16"/>
  <c r="H1849" i="16"/>
  <c r="H1848" i="16"/>
  <c r="H1847" i="16"/>
  <c r="H1846" i="16"/>
  <c r="H1845" i="16"/>
  <c r="H1844" i="16"/>
  <c r="H1843" i="16"/>
  <c r="H1842" i="16"/>
  <c r="H1841" i="16"/>
  <c r="E1289" i="17"/>
  <c r="H1288" i="17"/>
  <c r="H1289" i="17" s="1"/>
  <c r="G1288" i="17"/>
  <c r="G1289" i="17" s="1"/>
  <c r="D1288" i="17"/>
  <c r="D1289" i="17" s="1"/>
  <c r="P1287" i="17"/>
  <c r="F1287" i="17"/>
  <c r="I1287" i="17" s="1"/>
  <c r="P1286" i="17"/>
  <c r="F1286" i="17"/>
  <c r="I1286" i="17" s="1"/>
  <c r="P1285" i="17"/>
  <c r="F1285" i="17"/>
  <c r="P1284" i="17"/>
  <c r="F1284" i="17"/>
  <c r="P1283" i="17"/>
  <c r="F1283" i="17"/>
  <c r="I1283" i="17" s="1"/>
  <c r="P1282" i="17"/>
  <c r="F1282" i="17"/>
  <c r="I1282" i="17" s="1"/>
  <c r="P1281" i="17"/>
  <c r="I1281" i="17"/>
  <c r="F1281" i="17"/>
  <c r="P1280" i="17"/>
  <c r="F1280" i="17"/>
  <c r="I1280" i="17" s="1"/>
  <c r="P1279" i="17"/>
  <c r="I1279" i="17"/>
  <c r="F1279" i="17"/>
  <c r="P1278" i="17"/>
  <c r="F1278" i="17"/>
  <c r="I1278" i="17" s="1"/>
  <c r="P1277" i="17"/>
  <c r="F1277" i="17"/>
  <c r="I1277" i="17" s="1"/>
  <c r="P1276" i="17"/>
  <c r="F1276" i="17"/>
  <c r="I1276" i="17" s="1"/>
  <c r="P1275" i="17"/>
  <c r="F1275" i="17"/>
  <c r="I1275" i="17" s="1"/>
  <c r="P1274" i="17"/>
  <c r="F1274" i="17"/>
  <c r="I1274" i="17" s="1"/>
  <c r="P1273" i="17"/>
  <c r="I1273" i="17"/>
  <c r="F1273" i="17"/>
  <c r="P1272" i="17"/>
  <c r="F1272" i="17"/>
  <c r="I1272" i="17" s="1"/>
  <c r="P1271" i="17"/>
  <c r="I1271" i="17"/>
  <c r="F1271" i="17"/>
  <c r="P1270" i="17"/>
  <c r="F1270" i="17"/>
  <c r="I1270" i="17" s="1"/>
  <c r="P1269" i="17"/>
  <c r="F1269" i="17"/>
  <c r="I1269" i="17" s="1"/>
  <c r="P1268" i="17"/>
  <c r="F1268" i="17"/>
  <c r="I1268" i="17" s="1"/>
  <c r="P1267" i="17"/>
  <c r="I1267" i="17"/>
  <c r="F1267" i="17"/>
  <c r="P1266" i="17"/>
  <c r="F1266" i="17"/>
  <c r="I1266" i="17" s="1"/>
  <c r="P1265" i="17"/>
  <c r="F1265" i="17"/>
  <c r="I1265" i="17" s="1"/>
  <c r="P1264" i="17"/>
  <c r="F1264" i="17"/>
  <c r="I1264" i="17" s="1"/>
  <c r="P1263" i="17"/>
  <c r="F1263" i="17"/>
  <c r="I1263" i="17" s="1"/>
  <c r="P1262" i="17"/>
  <c r="F1262" i="17"/>
  <c r="I1262" i="17" s="1"/>
  <c r="P1261" i="17"/>
  <c r="I1261" i="17"/>
  <c r="F1261" i="17"/>
  <c r="P1260" i="17"/>
  <c r="F1260" i="17"/>
  <c r="I1260" i="17" s="1"/>
  <c r="P1259" i="17"/>
  <c r="F1259" i="17"/>
  <c r="I1259" i="17" s="1"/>
  <c r="P1258" i="17"/>
  <c r="F1258" i="17"/>
  <c r="I1258" i="17" s="1"/>
  <c r="P1257" i="17"/>
  <c r="F1257" i="17"/>
  <c r="I1257" i="17" s="1"/>
  <c r="P1256" i="17"/>
  <c r="F1256" i="17"/>
  <c r="I1256" i="17" s="1"/>
  <c r="P1255" i="17"/>
  <c r="F1255" i="17"/>
  <c r="I1255" i="17" s="1"/>
  <c r="P1254" i="17"/>
  <c r="F1254" i="17"/>
  <c r="I1254" i="17" s="1"/>
  <c r="E1253" i="17"/>
  <c r="D1253" i="17"/>
  <c r="H1252" i="17"/>
  <c r="H1253" i="17" s="1"/>
  <c r="G1252" i="17"/>
  <c r="G1253" i="17" s="1"/>
  <c r="P1251" i="17"/>
  <c r="F1251" i="17"/>
  <c r="I1251" i="17" s="1"/>
  <c r="P1250" i="17"/>
  <c r="I1250" i="17"/>
  <c r="F1250" i="17"/>
  <c r="P1249" i="17"/>
  <c r="F1249" i="17"/>
  <c r="I1249" i="17" s="1"/>
  <c r="P1248" i="17"/>
  <c r="F1248" i="17"/>
  <c r="I1248" i="17" s="1"/>
  <c r="P1247" i="17"/>
  <c r="F1247" i="17"/>
  <c r="I1247" i="17" s="1"/>
  <c r="P1246" i="17"/>
  <c r="F1246" i="17"/>
  <c r="I1246" i="17" s="1"/>
  <c r="P1245" i="17"/>
  <c r="F1245" i="17"/>
  <c r="E1244" i="17"/>
  <c r="H1243" i="17"/>
  <c r="G1243" i="17"/>
  <c r="D1243" i="17"/>
  <c r="P1242" i="17"/>
  <c r="F1242" i="17"/>
  <c r="I1242" i="17" s="1"/>
  <c r="P1241" i="17"/>
  <c r="F1241" i="17"/>
  <c r="I1241" i="17" s="1"/>
  <c r="P1240" i="17"/>
  <c r="F1240" i="17"/>
  <c r="I1240" i="17" s="1"/>
  <c r="P1239" i="17"/>
  <c r="I1239" i="17"/>
  <c r="F1239" i="17"/>
  <c r="P1238" i="17"/>
  <c r="F1238" i="17"/>
  <c r="I1238" i="17" s="1"/>
  <c r="P1237" i="17"/>
  <c r="F1237" i="17"/>
  <c r="I1237" i="17" s="1"/>
  <c r="P1236" i="17"/>
  <c r="F1236" i="17"/>
  <c r="I1236" i="17" s="1"/>
  <c r="H1235" i="17"/>
  <c r="G1235" i="17"/>
  <c r="D1235" i="17"/>
  <c r="P1234" i="17"/>
  <c r="F1234" i="17"/>
  <c r="I1234" i="17" s="1"/>
  <c r="P1233" i="17"/>
  <c r="F1233" i="17"/>
  <c r="I1233" i="17" s="1"/>
  <c r="P1232" i="17"/>
  <c r="F1232" i="17"/>
  <c r="I1232" i="17" s="1"/>
  <c r="P1231" i="17"/>
  <c r="F1231" i="17"/>
  <c r="I1231" i="17" s="1"/>
  <c r="P1230" i="17"/>
  <c r="P1229" i="17"/>
  <c r="F1229" i="17"/>
  <c r="F2323" i="13"/>
  <c r="I2323" i="13" s="1"/>
  <c r="F2322" i="13"/>
  <c r="F2324" i="13" s="1"/>
  <c r="F2320" i="13"/>
  <c r="I2320" i="13" s="1"/>
  <c r="F2319" i="13"/>
  <c r="F2321" i="13" s="1"/>
  <c r="F2318" i="13"/>
  <c r="I2318" i="13" s="1"/>
  <c r="F2316" i="13"/>
  <c r="I2316" i="13" s="1"/>
  <c r="F2315" i="13"/>
  <c r="I2315" i="13" s="1"/>
  <c r="F2314" i="13"/>
  <c r="I2314" i="13" s="1"/>
  <c r="F2313" i="13"/>
  <c r="F2311" i="13"/>
  <c r="I2311" i="13" s="1"/>
  <c r="F2310" i="13"/>
  <c r="F2312" i="13" s="1"/>
  <c r="F2308" i="13"/>
  <c r="I2308" i="13" s="1"/>
  <c r="F2307" i="13"/>
  <c r="I2307" i="13" s="1"/>
  <c r="F2306" i="13"/>
  <c r="I2306" i="13" s="1"/>
  <c r="F2305" i="13"/>
  <c r="F2303" i="13"/>
  <c r="I2303" i="13" s="1"/>
  <c r="F2302" i="13"/>
  <c r="I2302" i="13" s="1"/>
  <c r="F2301" i="13"/>
  <c r="F2298" i="13"/>
  <c r="I2298" i="13" s="1"/>
  <c r="F2295" i="13"/>
  <c r="I2295" i="13" s="1"/>
  <c r="F2294" i="13"/>
  <c r="I2294" i="13" s="1"/>
  <c r="F2293" i="13"/>
  <c r="I2293" i="13" s="1"/>
  <c r="F2292" i="13"/>
  <c r="I2292" i="13" s="1"/>
  <c r="F2291" i="13"/>
  <c r="I2291" i="13" s="1"/>
  <c r="F2290" i="13"/>
  <c r="F2288" i="13"/>
  <c r="I2288" i="13" s="1"/>
  <c r="F2287" i="13"/>
  <c r="I2287" i="13" s="1"/>
  <c r="F2286" i="13"/>
  <c r="F2283" i="13"/>
  <c r="I2283" i="13" s="1"/>
  <c r="F2282" i="13"/>
  <c r="I2282" i="13" s="1"/>
  <c r="F2281" i="13"/>
  <c r="I2281" i="13" s="1"/>
  <c r="F2280" i="13"/>
  <c r="I2280" i="13" s="1"/>
  <c r="F2279" i="13"/>
  <c r="I2279" i="13" s="1"/>
  <c r="F2278" i="13"/>
  <c r="F2277" i="13"/>
  <c r="I2277" i="13" s="1"/>
  <c r="F2275" i="13"/>
  <c r="I2275" i="13" s="1"/>
  <c r="F2274" i="13"/>
  <c r="I2274" i="13" s="1"/>
  <c r="F2273" i="13"/>
  <c r="I2273" i="13" s="1"/>
  <c r="F2272" i="13"/>
  <c r="I2272" i="13" s="1"/>
  <c r="F2271" i="13"/>
  <c r="I2271" i="13" s="1"/>
  <c r="F2270" i="13"/>
  <c r="I2270" i="13" s="1"/>
  <c r="F2269" i="13"/>
  <c r="I2269" i="13" s="1"/>
  <c r="F2268" i="13"/>
  <c r="I2268" i="13" s="1"/>
  <c r="F2267" i="13"/>
  <c r="I2267" i="13" s="1"/>
  <c r="F2266" i="13"/>
  <c r="F2262" i="13"/>
  <c r="I2262" i="13" s="1"/>
  <c r="F2261" i="13"/>
  <c r="I2261" i="13" s="1"/>
  <c r="F2260" i="13"/>
  <c r="I2260" i="13" s="1"/>
  <c r="F2259" i="13"/>
  <c r="I2259" i="13" s="1"/>
  <c r="F2258" i="13"/>
  <c r="I2258" i="13" s="1"/>
  <c r="F2257" i="13"/>
  <c r="I2257" i="13" s="1"/>
  <c r="F2256" i="13"/>
  <c r="I2256" i="13" s="1"/>
  <c r="F2255" i="13"/>
  <c r="I2255" i="13" s="1"/>
  <c r="F2254" i="13"/>
  <c r="F2252" i="13"/>
  <c r="I2252" i="13" s="1"/>
  <c r="F2251" i="13"/>
  <c r="I2251" i="13" s="1"/>
  <c r="F2250" i="13"/>
  <c r="I2250" i="13" s="1"/>
  <c r="F2249" i="13"/>
  <c r="F2246" i="13"/>
  <c r="I2246" i="13" s="1"/>
  <c r="F2245" i="13"/>
  <c r="I2245" i="13" s="1"/>
  <c r="F2244" i="13"/>
  <c r="F2242" i="13"/>
  <c r="I2242" i="13" s="1"/>
  <c r="F2241" i="13"/>
  <c r="I2241" i="13" s="1"/>
  <c r="F2240" i="13"/>
  <c r="I2240" i="13" s="1"/>
  <c r="F2239" i="13"/>
  <c r="I2239" i="13" s="1"/>
  <c r="F2238" i="13"/>
  <c r="I2238" i="13" s="1"/>
  <c r="F2237" i="13"/>
  <c r="I2237" i="13" s="1"/>
  <c r="F2236" i="13"/>
  <c r="F2234" i="13"/>
  <c r="I2234" i="13" s="1"/>
  <c r="F2233" i="13"/>
  <c r="I2233" i="13" s="1"/>
  <c r="F2232" i="13"/>
  <c r="I2232" i="13" s="1"/>
  <c r="F2231" i="13"/>
  <c r="I2231" i="13" s="1"/>
  <c r="F2230" i="13"/>
  <c r="I2230" i="13" s="1"/>
  <c r="F2229" i="13"/>
  <c r="I2229" i="13" s="1"/>
  <c r="F2228" i="13"/>
  <c r="F2226" i="13"/>
  <c r="I2226" i="13" s="1"/>
  <c r="F2225" i="13"/>
  <c r="I2225" i="13" s="1"/>
  <c r="F2224" i="13"/>
  <c r="I2224" i="13" s="1"/>
  <c r="F2223" i="13"/>
  <c r="I2223" i="13" s="1"/>
  <c r="F2222" i="13"/>
  <c r="I2222" i="13" s="1"/>
  <c r="F2221" i="13"/>
  <c r="I2221" i="13" s="1"/>
  <c r="F2220" i="13"/>
  <c r="F2218" i="13"/>
  <c r="I2218" i="13" s="1"/>
  <c r="F2217" i="13"/>
  <c r="I2217" i="13" s="1"/>
  <c r="F2216" i="13"/>
  <c r="I2216" i="13" s="1"/>
  <c r="F2215" i="13"/>
  <c r="F2320" i="1"/>
  <c r="F2321" i="1" s="1"/>
  <c r="I2319" i="1"/>
  <c r="H2319" i="1"/>
  <c r="E2319" i="1"/>
  <c r="G2318" i="1"/>
  <c r="J2318" i="1" s="1"/>
  <c r="G2317" i="1"/>
  <c r="J2317" i="1" s="1"/>
  <c r="I2316" i="1"/>
  <c r="H2316" i="1"/>
  <c r="E2316" i="1"/>
  <c r="G2315" i="1"/>
  <c r="J2315" i="1" s="1"/>
  <c r="G2314" i="1"/>
  <c r="J2314" i="1" s="1"/>
  <c r="G2313" i="1"/>
  <c r="J2313" i="1" s="1"/>
  <c r="I2312" i="1"/>
  <c r="H2312" i="1"/>
  <c r="G2311" i="1"/>
  <c r="J2311" i="1" s="1"/>
  <c r="G2310" i="1"/>
  <c r="J2310" i="1" s="1"/>
  <c r="G2309" i="1"/>
  <c r="J2309" i="1" s="1"/>
  <c r="E2309" i="1"/>
  <c r="E2312" i="1" s="1"/>
  <c r="G2308" i="1"/>
  <c r="J2308" i="1" s="1"/>
  <c r="G2307" i="1"/>
  <c r="I2306" i="1"/>
  <c r="H2306" i="1"/>
  <c r="E2306" i="1"/>
  <c r="J2305" i="1"/>
  <c r="G2305" i="1"/>
  <c r="G2304" i="1"/>
  <c r="I2303" i="1"/>
  <c r="H2303" i="1"/>
  <c r="E2303" i="1"/>
  <c r="J2302" i="1"/>
  <c r="G2302" i="1"/>
  <c r="G2301" i="1"/>
  <c r="J2301" i="1" s="1"/>
  <c r="G2300" i="1"/>
  <c r="J2300" i="1" s="1"/>
  <c r="G2299" i="1"/>
  <c r="I2298" i="1"/>
  <c r="H2298" i="1"/>
  <c r="E2298" i="1"/>
  <c r="G2297" i="1"/>
  <c r="J2297" i="1" s="1"/>
  <c r="G2296" i="1"/>
  <c r="J2296" i="1" s="1"/>
  <c r="J2295" i="1"/>
  <c r="G2295" i="1"/>
  <c r="G2292" i="1"/>
  <c r="J2292" i="1" s="1"/>
  <c r="I2290" i="1"/>
  <c r="H2290" i="1"/>
  <c r="E2290" i="1"/>
  <c r="E2291" i="1" s="1"/>
  <c r="G2289" i="1"/>
  <c r="J2289" i="1" s="1"/>
  <c r="G2288" i="1"/>
  <c r="J2288" i="1" s="1"/>
  <c r="G2287" i="1"/>
  <c r="J2287" i="1" s="1"/>
  <c r="G2286" i="1"/>
  <c r="J2286" i="1" s="1"/>
  <c r="G2285" i="1"/>
  <c r="J2285" i="1" s="1"/>
  <c r="G2284" i="1"/>
  <c r="J2284" i="1" s="1"/>
  <c r="I2283" i="1"/>
  <c r="I2291" i="1" s="1"/>
  <c r="H2283" i="1"/>
  <c r="H2291" i="1" s="1"/>
  <c r="E2283" i="1"/>
  <c r="G2282" i="1"/>
  <c r="J2282" i="1" s="1"/>
  <c r="G2281" i="1"/>
  <c r="J2281" i="1" s="1"/>
  <c r="G2280" i="1"/>
  <c r="J2280" i="1" s="1"/>
  <c r="F2279" i="1"/>
  <c r="F2293" i="1" s="1"/>
  <c r="F2294" i="1" s="1"/>
  <c r="I2278" i="1"/>
  <c r="H2278" i="1"/>
  <c r="E2278" i="1"/>
  <c r="G2277" i="1"/>
  <c r="J2277" i="1" s="1"/>
  <c r="J2276" i="1"/>
  <c r="J2275" i="1"/>
  <c r="G2275" i="1"/>
  <c r="G2274" i="1"/>
  <c r="J2274" i="1" s="1"/>
  <c r="J2273" i="1"/>
  <c r="G2273" i="1"/>
  <c r="G2272" i="1"/>
  <c r="J2272" i="1" s="1"/>
  <c r="J2271" i="1"/>
  <c r="G2271" i="1"/>
  <c r="E2270" i="1"/>
  <c r="G2269" i="1"/>
  <c r="J2269" i="1" s="1"/>
  <c r="J2268" i="1"/>
  <c r="G2268" i="1"/>
  <c r="G2267" i="1"/>
  <c r="J2267" i="1" s="1"/>
  <c r="J2266" i="1"/>
  <c r="G2266" i="1"/>
  <c r="I2270" i="1"/>
  <c r="H2270" i="1"/>
  <c r="H2279" i="1" s="1"/>
  <c r="G2265" i="1"/>
  <c r="J2265" i="1" s="1"/>
  <c r="J2264" i="1"/>
  <c r="G2264" i="1"/>
  <c r="G2263" i="1"/>
  <c r="J2263" i="1" s="1"/>
  <c r="J2262" i="1"/>
  <c r="G2262" i="1"/>
  <c r="G2261" i="1"/>
  <c r="J2261" i="1" s="1"/>
  <c r="J2260" i="1"/>
  <c r="G2260" i="1"/>
  <c r="F2258" i="1"/>
  <c r="I2257" i="1"/>
  <c r="M2257" i="1" s="1"/>
  <c r="H2257" i="1"/>
  <c r="L2257" i="1" s="1"/>
  <c r="E2257" i="1"/>
  <c r="G2256" i="1"/>
  <c r="J2256" i="1" s="1"/>
  <c r="G2255" i="1"/>
  <c r="J2255" i="1" s="1"/>
  <c r="G2254" i="1"/>
  <c r="J2254" i="1" s="1"/>
  <c r="G2253" i="1"/>
  <c r="J2253" i="1" s="1"/>
  <c r="G2252" i="1"/>
  <c r="J2252" i="1" s="1"/>
  <c r="J2251" i="1"/>
  <c r="G2251" i="1"/>
  <c r="G2250" i="1"/>
  <c r="J2250" i="1" s="1"/>
  <c r="J2249" i="1"/>
  <c r="G2249" i="1"/>
  <c r="G2248" i="1"/>
  <c r="J2248" i="1" s="1"/>
  <c r="I2247" i="1"/>
  <c r="H2247" i="1"/>
  <c r="H2258" i="1" s="1"/>
  <c r="E2247" i="1"/>
  <c r="E2258" i="1" s="1"/>
  <c r="J2246" i="1"/>
  <c r="G2246" i="1"/>
  <c r="G2245" i="1"/>
  <c r="J2245" i="1" s="1"/>
  <c r="J2244" i="1"/>
  <c r="G2244" i="1"/>
  <c r="G2243" i="1"/>
  <c r="I2241" i="1"/>
  <c r="H2241" i="1"/>
  <c r="E2241" i="1"/>
  <c r="J2240" i="1"/>
  <c r="G2240" i="1"/>
  <c r="G2239" i="1"/>
  <c r="J2239" i="1" s="1"/>
  <c r="G2238" i="1"/>
  <c r="G2241" i="1" s="1"/>
  <c r="J2241" i="1" s="1"/>
  <c r="I2237" i="1"/>
  <c r="H2237" i="1"/>
  <c r="F2237" i="1"/>
  <c r="F2242" i="1" s="1"/>
  <c r="E2237" i="1"/>
  <c r="J2236" i="1"/>
  <c r="G2236" i="1"/>
  <c r="G2235" i="1"/>
  <c r="J2235" i="1" s="1"/>
  <c r="J2234" i="1"/>
  <c r="G2234" i="1"/>
  <c r="G2233" i="1"/>
  <c r="J2233" i="1" s="1"/>
  <c r="J2232" i="1"/>
  <c r="G2232" i="1"/>
  <c r="G2231" i="1"/>
  <c r="J2231" i="1" s="1"/>
  <c r="G2230" i="1"/>
  <c r="J2230" i="1" s="1"/>
  <c r="I2229" i="1"/>
  <c r="H2229" i="1"/>
  <c r="E2229" i="1"/>
  <c r="G2228" i="1"/>
  <c r="J2228" i="1" s="1"/>
  <c r="G2227" i="1"/>
  <c r="J2227" i="1" s="1"/>
  <c r="G2226" i="1"/>
  <c r="J2226" i="1" s="1"/>
  <c r="G2225" i="1"/>
  <c r="J2225" i="1" s="1"/>
  <c r="G2224" i="1"/>
  <c r="J2224" i="1" s="1"/>
  <c r="G2223" i="1"/>
  <c r="J2223" i="1" s="1"/>
  <c r="G2222" i="1"/>
  <c r="J2222" i="1" s="1"/>
  <c r="I2221" i="1"/>
  <c r="H2221" i="1"/>
  <c r="E2221" i="1"/>
  <c r="J2220" i="1"/>
  <c r="G2220" i="1"/>
  <c r="G2219" i="1"/>
  <c r="J2219" i="1" s="1"/>
  <c r="J2218" i="1"/>
  <c r="G2218" i="1"/>
  <c r="G2217" i="1"/>
  <c r="J2217" i="1" s="1"/>
  <c r="G2216" i="1"/>
  <c r="J2216" i="1" s="1"/>
  <c r="G2215" i="1"/>
  <c r="J2215" i="1" s="1"/>
  <c r="J2214" i="1"/>
  <c r="G2214" i="1"/>
  <c r="I2213" i="1"/>
  <c r="H2213" i="1"/>
  <c r="E2213" i="1"/>
  <c r="G2212" i="1"/>
  <c r="J2212" i="1" s="1"/>
  <c r="G2211" i="1"/>
  <c r="J2211" i="1" s="1"/>
  <c r="G2210" i="1"/>
  <c r="J2210" i="1" s="1"/>
  <c r="G2209" i="1"/>
  <c r="J2209" i="1" s="1"/>
  <c r="H2242" i="1" l="1"/>
  <c r="H2259" i="1" s="1"/>
  <c r="G2298" i="1"/>
  <c r="F2259" i="1"/>
  <c r="F2322" i="1" s="1"/>
  <c r="I2258" i="1"/>
  <c r="E2242" i="1"/>
  <c r="E2259" i="1" s="1"/>
  <c r="I2279" i="1"/>
  <c r="E2279" i="1"/>
  <c r="E2293" i="1" s="1"/>
  <c r="E2294" i="1" s="1"/>
  <c r="F2284" i="13"/>
  <c r="F2309" i="13"/>
  <c r="F2317" i="13"/>
  <c r="F2247" i="13"/>
  <c r="F2289" i="13"/>
  <c r="F2297" i="13" s="1"/>
  <c r="F2296" i="13"/>
  <c r="P1235" i="17"/>
  <c r="D1244" i="17"/>
  <c r="H1930" i="16"/>
  <c r="F2235" i="13"/>
  <c r="F2253" i="13"/>
  <c r="F2263" i="13"/>
  <c r="G1244" i="17"/>
  <c r="G1290" i="17" s="1"/>
  <c r="F2243" i="13"/>
  <c r="F2304" i="13"/>
  <c r="F2325" i="13" s="1"/>
  <c r="F2326" i="13" s="1"/>
  <c r="H1244" i="17"/>
  <c r="E1290" i="17"/>
  <c r="H1903" i="16"/>
  <c r="P1252" i="17"/>
  <c r="P1253" i="17" s="1"/>
  <c r="H2293" i="1"/>
  <c r="H2294" i="1" s="1"/>
  <c r="F2276" i="13"/>
  <c r="H1859" i="16"/>
  <c r="F2227" i="13"/>
  <c r="F2219" i="13"/>
  <c r="F2248" i="13" s="1"/>
  <c r="J2238" i="1"/>
  <c r="N28" i="14"/>
  <c r="Q28" i="14" s="1"/>
  <c r="N29" i="14"/>
  <c r="P29" i="14" s="1"/>
  <c r="M14" i="14"/>
  <c r="O14" i="14"/>
  <c r="N14" i="14" s="1"/>
  <c r="R14" i="14" s="1"/>
  <c r="M18" i="14"/>
  <c r="O18" i="14"/>
  <c r="N18" i="14" s="1"/>
  <c r="R18" i="14" s="1"/>
  <c r="M16" i="14"/>
  <c r="O16" i="14"/>
  <c r="N16" i="14" s="1"/>
  <c r="R16" i="14" s="1"/>
  <c r="M20" i="14"/>
  <c r="O20" i="14"/>
  <c r="N20" i="14" s="1"/>
  <c r="R20" i="14" s="1"/>
  <c r="O15" i="14"/>
  <c r="N15" i="14" s="1"/>
  <c r="P15" i="14" s="1"/>
  <c r="O17" i="14"/>
  <c r="N17" i="14" s="1"/>
  <c r="R17" i="14" s="1"/>
  <c r="O19" i="14"/>
  <c r="N19" i="14" s="1"/>
  <c r="P19" i="14" s="1"/>
  <c r="N23" i="14"/>
  <c r="P23" i="14" s="1"/>
  <c r="N24" i="14"/>
  <c r="N25" i="14"/>
  <c r="P25" i="14" s="1"/>
  <c r="N26" i="14"/>
  <c r="R26" i="14" s="1"/>
  <c r="R23" i="14"/>
  <c r="R24" i="14"/>
  <c r="P24" i="14"/>
  <c r="Q24" i="14"/>
  <c r="S24" i="14" s="1"/>
  <c r="R15" i="14"/>
  <c r="P16" i="14"/>
  <c r="R19" i="14"/>
  <c r="O21" i="14"/>
  <c r="N21" i="14" s="1"/>
  <c r="M21" i="14"/>
  <c r="M23" i="14"/>
  <c r="M24" i="14"/>
  <c r="M25" i="14"/>
  <c r="R27" i="14"/>
  <c r="P27" i="14"/>
  <c r="Q27" i="14"/>
  <c r="P28" i="14"/>
  <c r="L22" i="14"/>
  <c r="K22" i="14" s="1"/>
  <c r="C22" i="14"/>
  <c r="M26" i="14"/>
  <c r="M27" i="14"/>
  <c r="M28" i="14"/>
  <c r="M29" i="14"/>
  <c r="H1871" i="16"/>
  <c r="E1873" i="16"/>
  <c r="E1933" i="16" s="1"/>
  <c r="H1873" i="16"/>
  <c r="P1288" i="17"/>
  <c r="P1289" i="17" s="1"/>
  <c r="P1243" i="17"/>
  <c r="P1244" i="17" s="1"/>
  <c r="F1235" i="17"/>
  <c r="I1229" i="17"/>
  <c r="F1243" i="17"/>
  <c r="I1243" i="17" s="1"/>
  <c r="F1252" i="17"/>
  <c r="I1252" i="17" s="1"/>
  <c r="I1245" i="17"/>
  <c r="F1253" i="17"/>
  <c r="I1253" i="17" s="1"/>
  <c r="D1290" i="17"/>
  <c r="F1288" i="17"/>
  <c r="H1290" i="17"/>
  <c r="I2278" i="13"/>
  <c r="I2284" i="13" s="1"/>
  <c r="I2286" i="13"/>
  <c r="I2289" i="13" s="1"/>
  <c r="I2301" i="13"/>
  <c r="I2304" i="13" s="1"/>
  <c r="I2319" i="13"/>
  <c r="I2321" i="13" s="1"/>
  <c r="I2322" i="13"/>
  <c r="I2324" i="13" s="1"/>
  <c r="I2215" i="13"/>
  <c r="I2219" i="13" s="1"/>
  <c r="I2220" i="13"/>
  <c r="I2227" i="13" s="1"/>
  <c r="I2228" i="13"/>
  <c r="I2235" i="13" s="1"/>
  <c r="I2236" i="13"/>
  <c r="I2243" i="13" s="1"/>
  <c r="I2244" i="13"/>
  <c r="I2247" i="13" s="1"/>
  <c r="I2249" i="13"/>
  <c r="I2253" i="13" s="1"/>
  <c r="I2254" i="13"/>
  <c r="I2263" i="13" s="1"/>
  <c r="I2266" i="13"/>
  <c r="I2276" i="13" s="1"/>
  <c r="I2290" i="13"/>
  <c r="I2296" i="13" s="1"/>
  <c r="I2305" i="13"/>
  <c r="I2309" i="13" s="1"/>
  <c r="I2310" i="13"/>
  <c r="I2312" i="13" s="1"/>
  <c r="I2313" i="13"/>
  <c r="I2317" i="13" s="1"/>
  <c r="I2293" i="1"/>
  <c r="I2294" i="1" s="1"/>
  <c r="I2242" i="1"/>
  <c r="G2221" i="1"/>
  <c r="J2221" i="1" s="1"/>
  <c r="G2213" i="1"/>
  <c r="G2229" i="1"/>
  <c r="J2229" i="1" s="1"/>
  <c r="G2237" i="1"/>
  <c r="J2237" i="1" s="1"/>
  <c r="G2247" i="1"/>
  <c r="J2243" i="1"/>
  <c r="G2257" i="1"/>
  <c r="G2283" i="1"/>
  <c r="G2319" i="1"/>
  <c r="J2319" i="1" s="1"/>
  <c r="G2270" i="1"/>
  <c r="G2278" i="1"/>
  <c r="J2278" i="1" s="1"/>
  <c r="G2290" i="1"/>
  <c r="J2290" i="1" s="1"/>
  <c r="H2320" i="1"/>
  <c r="H2321" i="1" s="1"/>
  <c r="H2322" i="1" s="1"/>
  <c r="J2298" i="1"/>
  <c r="E2320" i="1"/>
  <c r="E2321" i="1" s="1"/>
  <c r="I2320" i="1"/>
  <c r="I2321" i="1" s="1"/>
  <c r="G2303" i="1"/>
  <c r="J2303" i="1" s="1"/>
  <c r="J2299" i="1"/>
  <c r="G2306" i="1"/>
  <c r="J2306" i="1" s="1"/>
  <c r="J2304" i="1"/>
  <c r="G2312" i="1"/>
  <c r="J2312" i="1" s="1"/>
  <c r="J2307" i="1"/>
  <c r="G2316" i="1"/>
  <c r="J2316" i="1" s="1"/>
  <c r="D46" i="14"/>
  <c r="Q19" i="14" l="1"/>
  <c r="S19" i="14" s="1"/>
  <c r="T19" i="14" s="1"/>
  <c r="R28" i="14"/>
  <c r="S28" i="14" s="1"/>
  <c r="T28" i="14" s="1"/>
  <c r="P26" i="14"/>
  <c r="Q16" i="14"/>
  <c r="S27" i="14"/>
  <c r="F2264" i="13"/>
  <c r="F2265" i="13" s="1"/>
  <c r="F2327" i="13" s="1"/>
  <c r="I2297" i="13"/>
  <c r="E2322" i="1"/>
  <c r="I2259" i="1"/>
  <c r="I2322" i="1" s="1"/>
  <c r="Q25" i="14"/>
  <c r="S25" i="14" s="1"/>
  <c r="T25" i="14" s="1"/>
  <c r="F2285" i="13"/>
  <c r="F2299" i="13" s="1"/>
  <c r="F2300" i="13" s="1"/>
  <c r="P18" i="14"/>
  <c r="Q15" i="14"/>
  <c r="Q14" i="14"/>
  <c r="S14" i="14" s="1"/>
  <c r="R29" i="14"/>
  <c r="Q26" i="14"/>
  <c r="S26" i="14" s="1"/>
  <c r="T27" i="14"/>
  <c r="Q20" i="14"/>
  <c r="Q18" i="14"/>
  <c r="S15" i="14"/>
  <c r="T15" i="14" s="1"/>
  <c r="Q29" i="14"/>
  <c r="S29" i="14" s="1"/>
  <c r="T29" i="14" s="1"/>
  <c r="T24" i="14"/>
  <c r="P20" i="14"/>
  <c r="P17" i="14"/>
  <c r="P14" i="14"/>
  <c r="R25" i="14"/>
  <c r="Q23" i="14"/>
  <c r="S23" i="14" s="1"/>
  <c r="T23" i="14" s="1"/>
  <c r="S20" i="14"/>
  <c r="T20" i="14" s="1"/>
  <c r="S18" i="14"/>
  <c r="S16" i="14"/>
  <c r="T18" i="14"/>
  <c r="T16" i="14"/>
  <c r="Q17" i="14"/>
  <c r="S17" i="14" s="1"/>
  <c r="T26" i="14"/>
  <c r="O22" i="14"/>
  <c r="N22" i="14" s="1"/>
  <c r="M22" i="14"/>
  <c r="Q21" i="14"/>
  <c r="R21" i="14"/>
  <c r="P21" i="14"/>
  <c r="P1290" i="17"/>
  <c r="F1289" i="17"/>
  <c r="I1288" i="17"/>
  <c r="F1244" i="17"/>
  <c r="I1244" i="17" s="1"/>
  <c r="I1235" i="17"/>
  <c r="I2248" i="13"/>
  <c r="I2285" i="13"/>
  <c r="I2299" i="13" s="1"/>
  <c r="I2300" i="13" s="1"/>
  <c r="I2264" i="13"/>
  <c r="I2325" i="13"/>
  <c r="I2326" i="13" s="1"/>
  <c r="G2279" i="1"/>
  <c r="J2270" i="1"/>
  <c r="G2320" i="1"/>
  <c r="J2283" i="1"/>
  <c r="G2291" i="1"/>
  <c r="J2291" i="1" s="1"/>
  <c r="G2258" i="1"/>
  <c r="J2247" i="1"/>
  <c r="J2213" i="1"/>
  <c r="G2242" i="1"/>
  <c r="D45" i="14"/>
  <c r="I2148" i="1"/>
  <c r="H2148" i="1"/>
  <c r="T17" i="14" l="1"/>
  <c r="T14" i="14"/>
  <c r="S21" i="14"/>
  <c r="T21" i="14" s="1"/>
  <c r="R22" i="14"/>
  <c r="P22" i="14"/>
  <c r="Q22" i="14"/>
  <c r="F1290" i="17"/>
  <c r="I1290" i="17" s="1"/>
  <c r="I1289" i="17"/>
  <c r="I2265" i="13"/>
  <c r="I2327" i="13" s="1"/>
  <c r="J2242" i="1"/>
  <c r="G2259" i="1"/>
  <c r="G2321" i="1"/>
  <c r="J2321" i="1" s="1"/>
  <c r="J2320" i="1"/>
  <c r="J2279" i="1"/>
  <c r="G2293" i="1"/>
  <c r="J2257" i="1"/>
  <c r="J2258" i="1"/>
  <c r="L53" i="14"/>
  <c r="K53" i="14" s="1"/>
  <c r="O53" i="14" s="1"/>
  <c r="G53" i="14"/>
  <c r="C53" i="14"/>
  <c r="L52" i="14"/>
  <c r="K52" i="14" s="1"/>
  <c r="O52" i="14" s="1"/>
  <c r="N52" i="14" s="1"/>
  <c r="G52" i="14"/>
  <c r="C52" i="14"/>
  <c r="L51" i="14"/>
  <c r="K51" i="14"/>
  <c r="O51" i="14" s="1"/>
  <c r="N51" i="14" s="1"/>
  <c r="G51" i="14"/>
  <c r="C51" i="14"/>
  <c r="L50" i="14"/>
  <c r="K50" i="14" s="1"/>
  <c r="O50" i="14" s="1"/>
  <c r="G50" i="14"/>
  <c r="C50" i="14"/>
  <c r="L49" i="14"/>
  <c r="K49" i="14"/>
  <c r="O49" i="14" s="1"/>
  <c r="G49" i="14"/>
  <c r="C49" i="14"/>
  <c r="L48" i="14"/>
  <c r="K48" i="14" s="1"/>
  <c r="O48" i="14" s="1"/>
  <c r="G48" i="14"/>
  <c r="C48" i="14"/>
  <c r="L47" i="14"/>
  <c r="K47" i="14" s="1"/>
  <c r="O47" i="14" s="1"/>
  <c r="G47" i="14"/>
  <c r="C47" i="14"/>
  <c r="G46" i="14"/>
  <c r="L45" i="14"/>
  <c r="K45" i="14" s="1"/>
  <c r="G45" i="14"/>
  <c r="C45" i="14"/>
  <c r="L44" i="14"/>
  <c r="K44" i="14" s="1"/>
  <c r="G44" i="14"/>
  <c r="C44" i="14"/>
  <c r="L43" i="14"/>
  <c r="K43" i="14" s="1"/>
  <c r="M43" i="14" s="1"/>
  <c r="G43" i="14"/>
  <c r="C43" i="14"/>
  <c r="L42" i="14"/>
  <c r="K42" i="14" s="1"/>
  <c r="G42" i="14"/>
  <c r="C42" i="14"/>
  <c r="L41" i="14"/>
  <c r="K41" i="14" s="1"/>
  <c r="M41" i="14" s="1"/>
  <c r="G41" i="14"/>
  <c r="C41" i="14"/>
  <c r="L40" i="14"/>
  <c r="K40" i="14" s="1"/>
  <c r="G40" i="14"/>
  <c r="C40" i="14"/>
  <c r="L39" i="14"/>
  <c r="K39" i="14" s="1"/>
  <c r="M39" i="14" s="1"/>
  <c r="G39" i="14"/>
  <c r="C39" i="14"/>
  <c r="L38" i="14"/>
  <c r="K38" i="14" s="1"/>
  <c r="G38" i="14"/>
  <c r="C38" i="14"/>
  <c r="C294" i="15"/>
  <c r="E293" i="15"/>
  <c r="C291" i="15"/>
  <c r="E290" i="15"/>
  <c r="C288" i="15"/>
  <c r="E287" i="15"/>
  <c r="H1834" i="16"/>
  <c r="F1834" i="16"/>
  <c r="I1834" i="16" s="1"/>
  <c r="I1835" i="16" s="1"/>
  <c r="E1833" i="16"/>
  <c r="H1832" i="16"/>
  <c r="H1831" i="16"/>
  <c r="H1830" i="16"/>
  <c r="I1830" i="16" s="1"/>
  <c r="H1829" i="16"/>
  <c r="H1828" i="16"/>
  <c r="H1827" i="16"/>
  <c r="H1826" i="16"/>
  <c r="H1825" i="16"/>
  <c r="H1824" i="16"/>
  <c r="H1823" i="16"/>
  <c r="H1822" i="16"/>
  <c r="H1821" i="16"/>
  <c r="H1820" i="16"/>
  <c r="H1819" i="16"/>
  <c r="H1818" i="16"/>
  <c r="H1817" i="16"/>
  <c r="H1816" i="16"/>
  <c r="H1815" i="16"/>
  <c r="H1814" i="16"/>
  <c r="H1813" i="16"/>
  <c r="H1812" i="16"/>
  <c r="H1811" i="16"/>
  <c r="H1810" i="16"/>
  <c r="H1809" i="16"/>
  <c r="H1808" i="16"/>
  <c r="H1807" i="16"/>
  <c r="E1806" i="16"/>
  <c r="H1805" i="16"/>
  <c r="H1804" i="16"/>
  <c r="H1803" i="16"/>
  <c r="H1802" i="16"/>
  <c r="H1801" i="16"/>
  <c r="H1800" i="16"/>
  <c r="H1799" i="16"/>
  <c r="H1798" i="16"/>
  <c r="H1797" i="16"/>
  <c r="H1796" i="16"/>
  <c r="H1795" i="16"/>
  <c r="H1794" i="16"/>
  <c r="H1793" i="16"/>
  <c r="H1792" i="16"/>
  <c r="H1791" i="16"/>
  <c r="H1790" i="16"/>
  <c r="H1789" i="16"/>
  <c r="H1788" i="16"/>
  <c r="H1787" i="16"/>
  <c r="H1786" i="16"/>
  <c r="H1785" i="16"/>
  <c r="H1784" i="16"/>
  <c r="H1783" i="16"/>
  <c r="H1782" i="16"/>
  <c r="H1781" i="16"/>
  <c r="H1780" i="16"/>
  <c r="H1779" i="16"/>
  <c r="H1778" i="16"/>
  <c r="H1777" i="16"/>
  <c r="E1774" i="16"/>
  <c r="H1773" i="16"/>
  <c r="H1772" i="16"/>
  <c r="H1771" i="16"/>
  <c r="H1770" i="16"/>
  <c r="E1769" i="16"/>
  <c r="H1768" i="16"/>
  <c r="H1767" i="16"/>
  <c r="H1766" i="16"/>
  <c r="H1765" i="16"/>
  <c r="H1764" i="16"/>
  <c r="H1763" i="16"/>
  <c r="E1762" i="16"/>
  <c r="H1761" i="16"/>
  <c r="H1760" i="16"/>
  <c r="H1759" i="16"/>
  <c r="H1758" i="16"/>
  <c r="H1757" i="16"/>
  <c r="H1756" i="16"/>
  <c r="H1755" i="16"/>
  <c r="H1754" i="16"/>
  <c r="H1753" i="16"/>
  <c r="H1752" i="16"/>
  <c r="H1751" i="16"/>
  <c r="H1750" i="16"/>
  <c r="H1749" i="16"/>
  <c r="H1748" i="16"/>
  <c r="H1747" i="16"/>
  <c r="E1223" i="17"/>
  <c r="G1222" i="17"/>
  <c r="G1223" i="17" s="1"/>
  <c r="D1222" i="17"/>
  <c r="D1223" i="17" s="1"/>
  <c r="P1221" i="17"/>
  <c r="F1221" i="17"/>
  <c r="I1221" i="17" s="1"/>
  <c r="P1220" i="17"/>
  <c r="F1220" i="17"/>
  <c r="I1220" i="17" s="1"/>
  <c r="P1219" i="17"/>
  <c r="F1219" i="17"/>
  <c r="P1218" i="17"/>
  <c r="L1218" i="17"/>
  <c r="L1284" i="17" s="1"/>
  <c r="F1218" i="17"/>
  <c r="P1217" i="17"/>
  <c r="F1217" i="17"/>
  <c r="I1217" i="17" s="1"/>
  <c r="P1216" i="17"/>
  <c r="F1216" i="17"/>
  <c r="I1216" i="17" s="1"/>
  <c r="P1215" i="17"/>
  <c r="F1215" i="17"/>
  <c r="I1215" i="17" s="1"/>
  <c r="P1214" i="17"/>
  <c r="F1214" i="17"/>
  <c r="I1214" i="17" s="1"/>
  <c r="P1213" i="17"/>
  <c r="F1213" i="17"/>
  <c r="I1213" i="17" s="1"/>
  <c r="P1212" i="17"/>
  <c r="F1212" i="17"/>
  <c r="I1212" i="17" s="1"/>
  <c r="P1211" i="17"/>
  <c r="I1211" i="17"/>
  <c r="F1211" i="17"/>
  <c r="P1210" i="17"/>
  <c r="F1210" i="17"/>
  <c r="I1210" i="17" s="1"/>
  <c r="P1209" i="17"/>
  <c r="I1209" i="17"/>
  <c r="F1209" i="17"/>
  <c r="P1208" i="17"/>
  <c r="F1208" i="17"/>
  <c r="I1208" i="17" s="1"/>
  <c r="P1207" i="17"/>
  <c r="F1207" i="17"/>
  <c r="I1207" i="17" s="1"/>
  <c r="P1206" i="17"/>
  <c r="F1206" i="17"/>
  <c r="I1206" i="17" s="1"/>
  <c r="P1205" i="17"/>
  <c r="I1205" i="17"/>
  <c r="F1205" i="17"/>
  <c r="P1204" i="17"/>
  <c r="F1204" i="17"/>
  <c r="I1204" i="17" s="1"/>
  <c r="P1203" i="17"/>
  <c r="I1203" i="17"/>
  <c r="F1203" i="17"/>
  <c r="P1202" i="17"/>
  <c r="F1202" i="17"/>
  <c r="I1202" i="17" s="1"/>
  <c r="P1201" i="17"/>
  <c r="I1201" i="17"/>
  <c r="F1201" i="17"/>
  <c r="P1200" i="17"/>
  <c r="F1200" i="17"/>
  <c r="I1200" i="17" s="1"/>
  <c r="P1199" i="17"/>
  <c r="I1199" i="17"/>
  <c r="F1199" i="17"/>
  <c r="P1198" i="17"/>
  <c r="F1198" i="17"/>
  <c r="I1198" i="17" s="1"/>
  <c r="P1197" i="17"/>
  <c r="F1197" i="17"/>
  <c r="I1197" i="17" s="1"/>
  <c r="P1196" i="17"/>
  <c r="F1196" i="17"/>
  <c r="I1196" i="17" s="1"/>
  <c r="P1195" i="17"/>
  <c r="F1195" i="17"/>
  <c r="I1195" i="17" s="1"/>
  <c r="P1194" i="17"/>
  <c r="I1194" i="17"/>
  <c r="F1194" i="17"/>
  <c r="P1193" i="17"/>
  <c r="F1193" i="17"/>
  <c r="I1193" i="17" s="1"/>
  <c r="P1192" i="17"/>
  <c r="F1192" i="17"/>
  <c r="I1192" i="17" s="1"/>
  <c r="P1191" i="17"/>
  <c r="F1191" i="17"/>
  <c r="I1191" i="17" s="1"/>
  <c r="P1190" i="17"/>
  <c r="I1190" i="17"/>
  <c r="F1190" i="17"/>
  <c r="P1189" i="17"/>
  <c r="F1189" i="17"/>
  <c r="I1189" i="17" s="1"/>
  <c r="P1188" i="17"/>
  <c r="I1188" i="17"/>
  <c r="F1188" i="17"/>
  <c r="E1187" i="17"/>
  <c r="D1187" i="17"/>
  <c r="H1186" i="17"/>
  <c r="H1187" i="17" s="1"/>
  <c r="G1186" i="17"/>
  <c r="G1187" i="17" s="1"/>
  <c r="P1185" i="17"/>
  <c r="F1185" i="17"/>
  <c r="I1185" i="17" s="1"/>
  <c r="P1184" i="17"/>
  <c r="F1184" i="17"/>
  <c r="I1184" i="17" s="1"/>
  <c r="P1183" i="17"/>
  <c r="F1183" i="17"/>
  <c r="I1183" i="17" s="1"/>
  <c r="P1182" i="17"/>
  <c r="F1182" i="17"/>
  <c r="I1182" i="17" s="1"/>
  <c r="P1181" i="17"/>
  <c r="F1181" i="17"/>
  <c r="I1181" i="17" s="1"/>
  <c r="P1180" i="17"/>
  <c r="F1180" i="17"/>
  <c r="I1180" i="17" s="1"/>
  <c r="P1179" i="17"/>
  <c r="F1179" i="17"/>
  <c r="E1178" i="17"/>
  <c r="E1224" i="17" s="1"/>
  <c r="H1177" i="17"/>
  <c r="G1177" i="17"/>
  <c r="D1177" i="17"/>
  <c r="P1176" i="17"/>
  <c r="F1176" i="17"/>
  <c r="I1176" i="17" s="1"/>
  <c r="P1175" i="17"/>
  <c r="I1175" i="17"/>
  <c r="F1175" i="17"/>
  <c r="P1174" i="17"/>
  <c r="F1174" i="17"/>
  <c r="I1174" i="17" s="1"/>
  <c r="P1173" i="17"/>
  <c r="F1173" i="17"/>
  <c r="I1173" i="17" s="1"/>
  <c r="P1172" i="17"/>
  <c r="F1172" i="17"/>
  <c r="I1172" i="17" s="1"/>
  <c r="P1171" i="17"/>
  <c r="F1171" i="17"/>
  <c r="I1171" i="17" s="1"/>
  <c r="P1170" i="17"/>
  <c r="F1170" i="17"/>
  <c r="I1170" i="17" s="1"/>
  <c r="H1169" i="17"/>
  <c r="G1169" i="17"/>
  <c r="G1178" i="17" s="1"/>
  <c r="D1169" i="17"/>
  <c r="D1178" i="17" s="1"/>
  <c r="P1168" i="17"/>
  <c r="F1168" i="17"/>
  <c r="I1168" i="17" s="1"/>
  <c r="P1167" i="17"/>
  <c r="F1167" i="17"/>
  <c r="I1167" i="17" s="1"/>
  <c r="P1166" i="17"/>
  <c r="F1166" i="17"/>
  <c r="I1166" i="17" s="1"/>
  <c r="P1165" i="17"/>
  <c r="F1165" i="17"/>
  <c r="I1165" i="17" s="1"/>
  <c r="P1164" i="17"/>
  <c r="P1163" i="17"/>
  <c r="F1163" i="17"/>
  <c r="F2206" i="13"/>
  <c r="I2206" i="13" s="1"/>
  <c r="F2205" i="13"/>
  <c r="F2203" i="13"/>
  <c r="I2203" i="13" s="1"/>
  <c r="F2202" i="13"/>
  <c r="F2204" i="13" s="1"/>
  <c r="F2201" i="13"/>
  <c r="I2201" i="13" s="1"/>
  <c r="F2199" i="13"/>
  <c r="I2199" i="13" s="1"/>
  <c r="F2198" i="13"/>
  <c r="I2198" i="13" s="1"/>
  <c r="F2197" i="13"/>
  <c r="I2197" i="13" s="1"/>
  <c r="F2196" i="13"/>
  <c r="F2194" i="13"/>
  <c r="I2194" i="13" s="1"/>
  <c r="F2193" i="13"/>
  <c r="F2191" i="13"/>
  <c r="I2191" i="13" s="1"/>
  <c r="F2190" i="13"/>
  <c r="I2190" i="13" s="1"/>
  <c r="F2189" i="13"/>
  <c r="I2189" i="13" s="1"/>
  <c r="F2188" i="13"/>
  <c r="F2192" i="13" s="1"/>
  <c r="F2186" i="13"/>
  <c r="I2186" i="13" s="1"/>
  <c r="F2185" i="13"/>
  <c r="I2185" i="13" s="1"/>
  <c r="F2184" i="13"/>
  <c r="F2181" i="13"/>
  <c r="I2181" i="13" s="1"/>
  <c r="F2178" i="13"/>
  <c r="I2178" i="13" s="1"/>
  <c r="F2177" i="13"/>
  <c r="I2177" i="13" s="1"/>
  <c r="F2176" i="13"/>
  <c r="I2176" i="13" s="1"/>
  <c r="F2175" i="13"/>
  <c r="I2175" i="13" s="1"/>
  <c r="F2174" i="13"/>
  <c r="I2174" i="13" s="1"/>
  <c r="F2173" i="13"/>
  <c r="F2171" i="13"/>
  <c r="I2171" i="13" s="1"/>
  <c r="F2170" i="13"/>
  <c r="I2170" i="13" s="1"/>
  <c r="F2169" i="13"/>
  <c r="F2166" i="13"/>
  <c r="I2166" i="13" s="1"/>
  <c r="F2165" i="13"/>
  <c r="I2165" i="13" s="1"/>
  <c r="F2164" i="13"/>
  <c r="I2164" i="13" s="1"/>
  <c r="F2163" i="13"/>
  <c r="I2163" i="13" s="1"/>
  <c r="F2162" i="13"/>
  <c r="I2162" i="13" s="1"/>
  <c r="F2161" i="13"/>
  <c r="F2160" i="13"/>
  <c r="I2160" i="13" s="1"/>
  <c r="F2158" i="13"/>
  <c r="I2158" i="13" s="1"/>
  <c r="F2157" i="13"/>
  <c r="I2157" i="13" s="1"/>
  <c r="F2156" i="13"/>
  <c r="I2156" i="13" s="1"/>
  <c r="F2155" i="13"/>
  <c r="I2155" i="13" s="1"/>
  <c r="F2154" i="13"/>
  <c r="I2154" i="13" s="1"/>
  <c r="F2153" i="13"/>
  <c r="I2153" i="13" s="1"/>
  <c r="F2152" i="13"/>
  <c r="I2152" i="13" s="1"/>
  <c r="F2151" i="13"/>
  <c r="I2151" i="13" s="1"/>
  <c r="F2150" i="13"/>
  <c r="I2150" i="13" s="1"/>
  <c r="F2149" i="13"/>
  <c r="F2145" i="13"/>
  <c r="I2145" i="13" s="1"/>
  <c r="F2144" i="13"/>
  <c r="I2144" i="13" s="1"/>
  <c r="F2143" i="13"/>
  <c r="I2143" i="13" s="1"/>
  <c r="F2142" i="13"/>
  <c r="I2142" i="13" s="1"/>
  <c r="F2141" i="13"/>
  <c r="I2141" i="13" s="1"/>
  <c r="F2140" i="13"/>
  <c r="I2140" i="13" s="1"/>
  <c r="F2139" i="13"/>
  <c r="I2139" i="13" s="1"/>
  <c r="F2138" i="13"/>
  <c r="I2138" i="13" s="1"/>
  <c r="F2137" i="13"/>
  <c r="F2146" i="13" s="1"/>
  <c r="F2135" i="13"/>
  <c r="I2135" i="13" s="1"/>
  <c r="F2134" i="13"/>
  <c r="I2134" i="13" s="1"/>
  <c r="F2133" i="13"/>
  <c r="I2133" i="13" s="1"/>
  <c r="F2132" i="13"/>
  <c r="F2129" i="13"/>
  <c r="I2129" i="13" s="1"/>
  <c r="F2128" i="13"/>
  <c r="I2128" i="13" s="1"/>
  <c r="F2127" i="13"/>
  <c r="F2125" i="13"/>
  <c r="I2125" i="13" s="1"/>
  <c r="F2124" i="13"/>
  <c r="I2124" i="13" s="1"/>
  <c r="F2123" i="13"/>
  <c r="I2123" i="13" s="1"/>
  <c r="F2122" i="13"/>
  <c r="I2122" i="13" s="1"/>
  <c r="F2121" i="13"/>
  <c r="I2121" i="13" s="1"/>
  <c r="F2120" i="13"/>
  <c r="I2120" i="13" s="1"/>
  <c r="F2119" i="13"/>
  <c r="F2117" i="13"/>
  <c r="I2117" i="13" s="1"/>
  <c r="F2116" i="13"/>
  <c r="I2116" i="13" s="1"/>
  <c r="F2115" i="13"/>
  <c r="I2115" i="13" s="1"/>
  <c r="F2114" i="13"/>
  <c r="I2114" i="13" s="1"/>
  <c r="F2113" i="13"/>
  <c r="I2113" i="13" s="1"/>
  <c r="F2112" i="13"/>
  <c r="I2112" i="13" s="1"/>
  <c r="F2111" i="13"/>
  <c r="F2109" i="13"/>
  <c r="I2109" i="13" s="1"/>
  <c r="F2108" i="13"/>
  <c r="I2108" i="13" s="1"/>
  <c r="F2107" i="13"/>
  <c r="I2107" i="13" s="1"/>
  <c r="F2106" i="13"/>
  <c r="I2106" i="13" s="1"/>
  <c r="F2105" i="13"/>
  <c r="I2105" i="13" s="1"/>
  <c r="F2104" i="13"/>
  <c r="I2104" i="13" s="1"/>
  <c r="F2103" i="13"/>
  <c r="F2110" i="13" s="1"/>
  <c r="F2101" i="13"/>
  <c r="I2101" i="13" s="1"/>
  <c r="F2100" i="13"/>
  <c r="I2100" i="13" s="1"/>
  <c r="F2099" i="13"/>
  <c r="I2099" i="13" s="1"/>
  <c r="F2098" i="13"/>
  <c r="F2102" i="13" s="1"/>
  <c r="H2120" i="1"/>
  <c r="F2203" i="1"/>
  <c r="F2204" i="1" s="1"/>
  <c r="I2202" i="1"/>
  <c r="H2202" i="1"/>
  <c r="E2202" i="1"/>
  <c r="G2201" i="1"/>
  <c r="J2201" i="1" s="1"/>
  <c r="G2200" i="1"/>
  <c r="J2200" i="1" s="1"/>
  <c r="I2199" i="1"/>
  <c r="H2199" i="1"/>
  <c r="E2199" i="1"/>
  <c r="G2198" i="1"/>
  <c r="J2198" i="1" s="1"/>
  <c r="J2197" i="1"/>
  <c r="G2197" i="1"/>
  <c r="G2196" i="1"/>
  <c r="J2196" i="1" s="1"/>
  <c r="H2195" i="1"/>
  <c r="J2194" i="1"/>
  <c r="G2194" i="1"/>
  <c r="G2193" i="1"/>
  <c r="J2193" i="1" s="1"/>
  <c r="G2192" i="1"/>
  <c r="J2192" i="1" s="1"/>
  <c r="E2192" i="1"/>
  <c r="E2195" i="1" s="1"/>
  <c r="G2191" i="1"/>
  <c r="J2191" i="1" s="1"/>
  <c r="I2195" i="1"/>
  <c r="G2190" i="1"/>
  <c r="I2189" i="1"/>
  <c r="H2189" i="1"/>
  <c r="E2189" i="1"/>
  <c r="J2188" i="1"/>
  <c r="G2188" i="1"/>
  <c r="G2187" i="1"/>
  <c r="I2186" i="1"/>
  <c r="H2186" i="1"/>
  <c r="E2186" i="1"/>
  <c r="G2185" i="1"/>
  <c r="J2185" i="1" s="1"/>
  <c r="G2184" i="1"/>
  <c r="J2184" i="1" s="1"/>
  <c r="G2183" i="1"/>
  <c r="J2183" i="1" s="1"/>
  <c r="G2182" i="1"/>
  <c r="J2181" i="1"/>
  <c r="I2181" i="1"/>
  <c r="H2181" i="1"/>
  <c r="E2181" i="1"/>
  <c r="G2180" i="1"/>
  <c r="J2180" i="1" s="1"/>
  <c r="G2179" i="1"/>
  <c r="J2179" i="1" s="1"/>
  <c r="G2178" i="1"/>
  <c r="G2181" i="1" s="1"/>
  <c r="G2175" i="1"/>
  <c r="J2175" i="1" s="1"/>
  <c r="I2173" i="1"/>
  <c r="H2173" i="1"/>
  <c r="E2173" i="1"/>
  <c r="G2172" i="1"/>
  <c r="J2172" i="1" s="1"/>
  <c r="J2171" i="1"/>
  <c r="G2171" i="1"/>
  <c r="G2170" i="1"/>
  <c r="J2170" i="1" s="1"/>
  <c r="J2169" i="1"/>
  <c r="G2169" i="1"/>
  <c r="G2168" i="1"/>
  <c r="J2168" i="1" s="1"/>
  <c r="J2167" i="1"/>
  <c r="G2167" i="1"/>
  <c r="I2166" i="1"/>
  <c r="H2166" i="1"/>
  <c r="E2166" i="1"/>
  <c r="G2165" i="1"/>
  <c r="J2165" i="1" s="1"/>
  <c r="G2164" i="1"/>
  <c r="J2164" i="1" s="1"/>
  <c r="G2163" i="1"/>
  <c r="J2163" i="1" s="1"/>
  <c r="F2162" i="1"/>
  <c r="F2176" i="1" s="1"/>
  <c r="F2177" i="1" s="1"/>
  <c r="I2161" i="1"/>
  <c r="H2161" i="1"/>
  <c r="E2161" i="1"/>
  <c r="G2160" i="1"/>
  <c r="J2160" i="1" s="1"/>
  <c r="J2159" i="1"/>
  <c r="J2158" i="1"/>
  <c r="G2158" i="1"/>
  <c r="G2157" i="1"/>
  <c r="J2157" i="1" s="1"/>
  <c r="J2156" i="1"/>
  <c r="G2156" i="1"/>
  <c r="G2155" i="1"/>
  <c r="J2155" i="1" s="1"/>
  <c r="J2154" i="1"/>
  <c r="G2154" i="1"/>
  <c r="E2153" i="1"/>
  <c r="G2152" i="1"/>
  <c r="J2152" i="1" s="1"/>
  <c r="G2151" i="1"/>
  <c r="J2151" i="1" s="1"/>
  <c r="G2150" i="1"/>
  <c r="J2150" i="1" s="1"/>
  <c r="G2149" i="1"/>
  <c r="J2149" i="1" s="1"/>
  <c r="I2153" i="1"/>
  <c r="I2162" i="1" s="1"/>
  <c r="H2153" i="1"/>
  <c r="H2162" i="1" s="1"/>
  <c r="G2148" i="1"/>
  <c r="J2148" i="1" s="1"/>
  <c r="J2147" i="1"/>
  <c r="G2147" i="1"/>
  <c r="G2146" i="1"/>
  <c r="J2146" i="1" s="1"/>
  <c r="G2145" i="1"/>
  <c r="J2145" i="1" s="1"/>
  <c r="G2144" i="1"/>
  <c r="J2144" i="1" s="1"/>
  <c r="J2143" i="1"/>
  <c r="G2143" i="1"/>
  <c r="F2141" i="1"/>
  <c r="I2140" i="1"/>
  <c r="M2140" i="1" s="1"/>
  <c r="H2140" i="1"/>
  <c r="L2140" i="1" s="1"/>
  <c r="E2140" i="1"/>
  <c r="G2139" i="1"/>
  <c r="J2139" i="1" s="1"/>
  <c r="G2138" i="1"/>
  <c r="J2138" i="1" s="1"/>
  <c r="G2137" i="1"/>
  <c r="J2137" i="1" s="1"/>
  <c r="G2136" i="1"/>
  <c r="J2136" i="1" s="1"/>
  <c r="G2135" i="1"/>
  <c r="J2135" i="1" s="1"/>
  <c r="J2134" i="1"/>
  <c r="G2134" i="1"/>
  <c r="G2133" i="1"/>
  <c r="J2133" i="1" s="1"/>
  <c r="J2132" i="1"/>
  <c r="G2132" i="1"/>
  <c r="G2131" i="1"/>
  <c r="J2131" i="1" s="1"/>
  <c r="I2130" i="1"/>
  <c r="I2141" i="1" s="1"/>
  <c r="H2130" i="1"/>
  <c r="H2141" i="1" s="1"/>
  <c r="E2130" i="1"/>
  <c r="E2141" i="1" s="1"/>
  <c r="G2129" i="1"/>
  <c r="J2129" i="1" s="1"/>
  <c r="G2128" i="1"/>
  <c r="J2128" i="1" s="1"/>
  <c r="J2127" i="1"/>
  <c r="G2127" i="1"/>
  <c r="G2126" i="1"/>
  <c r="I2124" i="1"/>
  <c r="H2124" i="1"/>
  <c r="E2124" i="1"/>
  <c r="G2123" i="1"/>
  <c r="J2123" i="1" s="1"/>
  <c r="J2122" i="1"/>
  <c r="G2122" i="1"/>
  <c r="G2121" i="1"/>
  <c r="J2121" i="1" s="1"/>
  <c r="I2120" i="1"/>
  <c r="F2120" i="1"/>
  <c r="F2125" i="1" s="1"/>
  <c r="F2142" i="1" s="1"/>
  <c r="E2120" i="1"/>
  <c r="G2119" i="1"/>
  <c r="J2119" i="1" s="1"/>
  <c r="G2118" i="1"/>
  <c r="J2118" i="1" s="1"/>
  <c r="G2117" i="1"/>
  <c r="J2117" i="1" s="1"/>
  <c r="G2116" i="1"/>
  <c r="J2116" i="1" s="1"/>
  <c r="G2115" i="1"/>
  <c r="J2115" i="1" s="1"/>
  <c r="G2114" i="1"/>
  <c r="J2114" i="1" s="1"/>
  <c r="G2113" i="1"/>
  <c r="I2112" i="1"/>
  <c r="H2112" i="1"/>
  <c r="E2112" i="1"/>
  <c r="G2111" i="1"/>
  <c r="J2111" i="1" s="1"/>
  <c r="G2110" i="1"/>
  <c r="J2110" i="1" s="1"/>
  <c r="G2109" i="1"/>
  <c r="J2109" i="1" s="1"/>
  <c r="G2108" i="1"/>
  <c r="J2108" i="1" s="1"/>
  <c r="G2107" i="1"/>
  <c r="J2107" i="1" s="1"/>
  <c r="G2106" i="1"/>
  <c r="J2106" i="1" s="1"/>
  <c r="G2105" i="1"/>
  <c r="G2112" i="1" s="1"/>
  <c r="J2112" i="1" s="1"/>
  <c r="I2104" i="1"/>
  <c r="H2104" i="1"/>
  <c r="E2104" i="1"/>
  <c r="G2103" i="1"/>
  <c r="J2103" i="1" s="1"/>
  <c r="G2102" i="1"/>
  <c r="J2102" i="1" s="1"/>
  <c r="G2101" i="1"/>
  <c r="J2101" i="1" s="1"/>
  <c r="G2100" i="1"/>
  <c r="J2100" i="1" s="1"/>
  <c r="G2099" i="1"/>
  <c r="J2099" i="1" s="1"/>
  <c r="G2098" i="1"/>
  <c r="J2098" i="1" s="1"/>
  <c r="G2097" i="1"/>
  <c r="J2097" i="1" s="1"/>
  <c r="I2096" i="1"/>
  <c r="H2096" i="1"/>
  <c r="E2096" i="1"/>
  <c r="J2095" i="1"/>
  <c r="G2095" i="1"/>
  <c r="G2094" i="1"/>
  <c r="J2094" i="1" s="1"/>
  <c r="J2093" i="1"/>
  <c r="G2093" i="1"/>
  <c r="G2092" i="1"/>
  <c r="G2096" i="1" s="1"/>
  <c r="I772" i="17"/>
  <c r="L772" i="17"/>
  <c r="P708" i="17"/>
  <c r="L708" i="17"/>
  <c r="K708" i="17"/>
  <c r="Q708" i="17" s="1"/>
  <c r="J708" i="17"/>
  <c r="N708" i="17" s="1"/>
  <c r="I2031" i="1"/>
  <c r="H2031" i="1"/>
  <c r="Q1021" i="17"/>
  <c r="P1020" i="17"/>
  <c r="P1021" i="17"/>
  <c r="G1014" i="17"/>
  <c r="G1146" i="17"/>
  <c r="P1152" i="17"/>
  <c r="P1153" i="17"/>
  <c r="F1152" i="17"/>
  <c r="F1153" i="17"/>
  <c r="P1086" i="17"/>
  <c r="P1087" i="17"/>
  <c r="F1086" i="17"/>
  <c r="F1087" i="17"/>
  <c r="K1020" i="17"/>
  <c r="K1021" i="17"/>
  <c r="F1020" i="17"/>
  <c r="F1021" i="17"/>
  <c r="P955" i="17"/>
  <c r="P954" i="17"/>
  <c r="L955" i="17"/>
  <c r="L1021" i="17" s="1"/>
  <c r="L1087" i="17" s="1"/>
  <c r="L1153" i="17" s="1"/>
  <c r="L1219" i="17" s="1"/>
  <c r="L1285" i="17" s="1"/>
  <c r="L954" i="17"/>
  <c r="L1020" i="17" s="1"/>
  <c r="L1086" i="17" s="1"/>
  <c r="L1152" i="17" s="1"/>
  <c r="K955" i="17"/>
  <c r="Q955" i="17" s="1"/>
  <c r="K954" i="17"/>
  <c r="J955" i="17"/>
  <c r="F954" i="17"/>
  <c r="F955" i="17"/>
  <c r="K1086" i="17" l="1"/>
  <c r="K1152" i="17" s="1"/>
  <c r="K1218" i="17" s="1"/>
  <c r="K1284" i="17" s="1"/>
  <c r="J1020" i="17"/>
  <c r="Q1020" i="17"/>
  <c r="F2179" i="13"/>
  <c r="J2105" i="1"/>
  <c r="H2174" i="1"/>
  <c r="F2136" i="13"/>
  <c r="F2147" i="13" s="1"/>
  <c r="K1087" i="17"/>
  <c r="K1153" i="17" s="1"/>
  <c r="J1021" i="17"/>
  <c r="I2174" i="1"/>
  <c r="I2176" i="1" s="1"/>
  <c r="I2177" i="1" s="1"/>
  <c r="F2118" i="13"/>
  <c r="F2207" i="13"/>
  <c r="F2205" i="1"/>
  <c r="E2162" i="1"/>
  <c r="E2176" i="1" s="1"/>
  <c r="E2177" i="1" s="1"/>
  <c r="F2126" i="13"/>
  <c r="F2187" i="13"/>
  <c r="C295" i="15"/>
  <c r="N49" i="14"/>
  <c r="P49" i="14" s="1"/>
  <c r="N50" i="14"/>
  <c r="S22" i="14"/>
  <c r="J954" i="17"/>
  <c r="E2125" i="1"/>
  <c r="E2142" i="1" s="1"/>
  <c r="E2174" i="1"/>
  <c r="J2178" i="1"/>
  <c r="H2203" i="1"/>
  <c r="H2204" i="1" s="1"/>
  <c r="F2130" i="13"/>
  <c r="F2131" i="13" s="1"/>
  <c r="F2148" i="13" s="1"/>
  <c r="F2159" i="13"/>
  <c r="F2168" i="13" s="1"/>
  <c r="F2167" i="13"/>
  <c r="F2172" i="13"/>
  <c r="F2180" i="13" s="1"/>
  <c r="F2195" i="13"/>
  <c r="F2200" i="13"/>
  <c r="H1833" i="16"/>
  <c r="H1806" i="16"/>
  <c r="H1762" i="16"/>
  <c r="H1769" i="16"/>
  <c r="T22" i="14"/>
  <c r="G2294" i="1"/>
  <c r="J2294" i="1" s="1"/>
  <c r="J2293" i="1"/>
  <c r="J2259" i="1"/>
  <c r="H1178" i="17"/>
  <c r="N53" i="14"/>
  <c r="P53" i="14" s="1"/>
  <c r="N48" i="14"/>
  <c r="N47" i="14"/>
  <c r="R47" i="14" s="1"/>
  <c r="F2208" i="13"/>
  <c r="F2209" i="13" s="1"/>
  <c r="M38" i="14"/>
  <c r="O38" i="14"/>
  <c r="N38" i="14" s="1"/>
  <c r="R38" i="14" s="1"/>
  <c r="M42" i="14"/>
  <c r="O42" i="14"/>
  <c r="N42" i="14" s="1"/>
  <c r="R42" i="14" s="1"/>
  <c r="M40" i="14"/>
  <c r="O40" i="14"/>
  <c r="N40" i="14" s="1"/>
  <c r="R40" i="14" s="1"/>
  <c r="M44" i="14"/>
  <c r="O44" i="14"/>
  <c r="N44" i="14" s="1"/>
  <c r="R44" i="14" s="1"/>
  <c r="O39" i="14"/>
  <c r="N39" i="14" s="1"/>
  <c r="O41" i="14"/>
  <c r="N41" i="14" s="1"/>
  <c r="R41" i="14" s="1"/>
  <c r="O43" i="14"/>
  <c r="N43" i="14" s="1"/>
  <c r="P43" i="14" s="1"/>
  <c r="R48" i="14"/>
  <c r="P48" i="14"/>
  <c r="Q48" i="14"/>
  <c r="S48" i="14" s="1"/>
  <c r="R49" i="14"/>
  <c r="P38" i="14"/>
  <c r="R39" i="14"/>
  <c r="P39" i="14"/>
  <c r="P42" i="14"/>
  <c r="R43" i="14"/>
  <c r="O45" i="14"/>
  <c r="N45" i="14" s="1"/>
  <c r="M45" i="14"/>
  <c r="M47" i="14"/>
  <c r="M48" i="14"/>
  <c r="M49" i="14"/>
  <c r="R50" i="14"/>
  <c r="P50" i="14"/>
  <c r="Q50" i="14"/>
  <c r="R51" i="14"/>
  <c r="P51" i="14"/>
  <c r="Q51" i="14"/>
  <c r="S51" i="14" s="1"/>
  <c r="R52" i="14"/>
  <c r="P52" i="14"/>
  <c r="Q52" i="14"/>
  <c r="S52" i="14" s="1"/>
  <c r="R53" i="14"/>
  <c r="Q38" i="14"/>
  <c r="Q39" i="14"/>
  <c r="S39" i="14" s="1"/>
  <c r="Q42" i="14"/>
  <c r="Q44" i="14"/>
  <c r="L46" i="14"/>
  <c r="K46" i="14" s="1"/>
  <c r="C46" i="14"/>
  <c r="M50" i="14"/>
  <c r="M51" i="14"/>
  <c r="M52" i="14"/>
  <c r="M53" i="14"/>
  <c r="H1774" i="16"/>
  <c r="E1776" i="16"/>
  <c r="E1836" i="16"/>
  <c r="P1222" i="17"/>
  <c r="P1223" i="17" s="1"/>
  <c r="P1186" i="17"/>
  <c r="P1187" i="17" s="1"/>
  <c r="P1169" i="17"/>
  <c r="F1186" i="17"/>
  <c r="I1186" i="17" s="1"/>
  <c r="I1179" i="17"/>
  <c r="F1187" i="17"/>
  <c r="I1187" i="17" s="1"/>
  <c r="G1224" i="17"/>
  <c r="F1169" i="17"/>
  <c r="I1163" i="17"/>
  <c r="P1177" i="17"/>
  <c r="F1177" i="17"/>
  <c r="I1177" i="17" s="1"/>
  <c r="D1224" i="17"/>
  <c r="Q1218" i="17"/>
  <c r="J1218" i="17"/>
  <c r="F1222" i="17"/>
  <c r="H1222" i="17"/>
  <c r="H1223" i="17" s="1"/>
  <c r="H1224" i="17" s="1"/>
  <c r="I2161" i="13"/>
  <c r="I2167" i="13" s="1"/>
  <c r="I2169" i="13"/>
  <c r="I2172" i="13" s="1"/>
  <c r="I2184" i="13"/>
  <c r="I2187" i="13" s="1"/>
  <c r="I2202" i="13"/>
  <c r="I2204" i="13" s="1"/>
  <c r="I2205" i="13"/>
  <c r="I2207" i="13" s="1"/>
  <c r="I2098" i="13"/>
  <c r="I2102" i="13" s="1"/>
  <c r="I2103" i="13"/>
  <c r="I2110" i="13" s="1"/>
  <c r="I2111" i="13"/>
  <c r="I2118" i="13" s="1"/>
  <c r="I2119" i="13"/>
  <c r="I2126" i="13" s="1"/>
  <c r="I2127" i="13"/>
  <c r="I2130" i="13" s="1"/>
  <c r="I2132" i="13"/>
  <c r="I2136" i="13" s="1"/>
  <c r="I2137" i="13"/>
  <c r="I2146" i="13" s="1"/>
  <c r="I2149" i="13"/>
  <c r="I2159" i="13" s="1"/>
  <c r="I2173" i="13"/>
  <c r="I2179" i="13" s="1"/>
  <c r="I2188" i="13"/>
  <c r="I2192" i="13" s="1"/>
  <c r="I2193" i="13"/>
  <c r="I2195" i="13" s="1"/>
  <c r="I2196" i="13"/>
  <c r="I2200" i="13" s="1"/>
  <c r="H2176" i="1"/>
  <c r="H2177" i="1" s="1"/>
  <c r="I2125" i="1"/>
  <c r="I2142" i="1" s="1"/>
  <c r="G2120" i="1"/>
  <c r="J2120" i="1" s="1"/>
  <c r="H2125" i="1"/>
  <c r="H2142" i="1" s="1"/>
  <c r="J2096" i="1"/>
  <c r="G2104" i="1"/>
  <c r="J2104" i="1" s="1"/>
  <c r="G2124" i="1"/>
  <c r="J2124" i="1" s="1"/>
  <c r="G2130" i="1"/>
  <c r="J2126" i="1"/>
  <c r="G2140" i="1"/>
  <c r="G2166" i="1"/>
  <c r="G2202" i="1"/>
  <c r="J2202" i="1" s="1"/>
  <c r="J2092" i="1"/>
  <c r="J2113" i="1"/>
  <c r="G2153" i="1"/>
  <c r="G2161" i="1"/>
  <c r="J2161" i="1" s="1"/>
  <c r="G2173" i="1"/>
  <c r="J2173" i="1" s="1"/>
  <c r="E2203" i="1"/>
  <c r="E2204" i="1" s="1"/>
  <c r="I2203" i="1"/>
  <c r="I2204" i="1" s="1"/>
  <c r="G2186" i="1"/>
  <c r="J2186" i="1" s="1"/>
  <c r="J2182" i="1"/>
  <c r="G2189" i="1"/>
  <c r="J2189" i="1" s="1"/>
  <c r="J2187" i="1"/>
  <c r="G2195" i="1"/>
  <c r="J2195" i="1" s="1"/>
  <c r="J2190" i="1"/>
  <c r="G2199" i="1"/>
  <c r="J2199" i="1" s="1"/>
  <c r="J1153" i="17"/>
  <c r="Q1152" i="17"/>
  <c r="J1152" i="17"/>
  <c r="Q1087" i="17"/>
  <c r="J1087" i="17"/>
  <c r="Q1086" i="17"/>
  <c r="J1086" i="17"/>
  <c r="Q954" i="17"/>
  <c r="H1146" i="17"/>
  <c r="H1136" i="17"/>
  <c r="G1136" i="17"/>
  <c r="I2073" i="1"/>
  <c r="H2073" i="1"/>
  <c r="D68" i="14"/>
  <c r="D69" i="14"/>
  <c r="E2205" i="1" l="1"/>
  <c r="H2205" i="1"/>
  <c r="I2147" i="13"/>
  <c r="Q43" i="14"/>
  <c r="S43" i="14" s="1"/>
  <c r="T43" i="14" s="1"/>
  <c r="Q53" i="14"/>
  <c r="S53" i="14" s="1"/>
  <c r="T53" i="14" s="1"/>
  <c r="P40" i="14"/>
  <c r="T40" i="14" s="1"/>
  <c r="Q49" i="14"/>
  <c r="S49" i="14" s="1"/>
  <c r="G2322" i="1"/>
  <c r="J2322" i="1" s="1"/>
  <c r="Q1153" i="17"/>
  <c r="K1219" i="17"/>
  <c r="I2205" i="1"/>
  <c r="T51" i="14"/>
  <c r="S50" i="14"/>
  <c r="F2182" i="13"/>
  <c r="F2183" i="13" s="1"/>
  <c r="F2210" i="13" s="1"/>
  <c r="Q1284" i="17"/>
  <c r="J1284" i="17"/>
  <c r="H1776" i="16"/>
  <c r="P1178" i="17"/>
  <c r="P47" i="14"/>
  <c r="Q47" i="14"/>
  <c r="S47" i="14" s="1"/>
  <c r="T48" i="14"/>
  <c r="P1224" i="17"/>
  <c r="Q40" i="14"/>
  <c r="P44" i="14"/>
  <c r="P41" i="14"/>
  <c r="T39" i="14"/>
  <c r="S44" i="14"/>
  <c r="S42" i="14"/>
  <c r="T42" i="14" s="1"/>
  <c r="S40" i="14"/>
  <c r="S38" i="14"/>
  <c r="T38" i="14" s="1"/>
  <c r="Q41" i="14"/>
  <c r="S41" i="14" s="1"/>
  <c r="T52" i="14"/>
  <c r="T50" i="14"/>
  <c r="O46" i="14"/>
  <c r="N46" i="14" s="1"/>
  <c r="M46" i="14"/>
  <c r="T49" i="14"/>
  <c r="Q45" i="14"/>
  <c r="R45" i="14"/>
  <c r="P45" i="14"/>
  <c r="F1223" i="17"/>
  <c r="I1222" i="17"/>
  <c r="F1178" i="17"/>
  <c r="I1178" i="17" s="1"/>
  <c r="I1169" i="17"/>
  <c r="I2168" i="13"/>
  <c r="I2182" i="13" s="1"/>
  <c r="I2183" i="13" s="1"/>
  <c r="I2208" i="13"/>
  <c r="I2209" i="13" s="1"/>
  <c r="I2131" i="13"/>
  <c r="I2148" i="13" s="1"/>
  <c r="I2180" i="13"/>
  <c r="J2166" i="1"/>
  <c r="G2174" i="1"/>
  <c r="J2174" i="1" s="1"/>
  <c r="G2141" i="1"/>
  <c r="J2130" i="1"/>
  <c r="G2203" i="1"/>
  <c r="G2162" i="1"/>
  <c r="J2153" i="1"/>
  <c r="G2125" i="1"/>
  <c r="L76" i="14"/>
  <c r="K76" i="14" s="1"/>
  <c r="O76" i="14" s="1"/>
  <c r="G76" i="14"/>
  <c r="C76" i="14"/>
  <c r="L75" i="14"/>
  <c r="K75" i="14" s="1"/>
  <c r="O75" i="14" s="1"/>
  <c r="G75" i="14"/>
  <c r="C75" i="14"/>
  <c r="L74" i="14"/>
  <c r="K74" i="14" s="1"/>
  <c r="O74" i="14" s="1"/>
  <c r="G74" i="14"/>
  <c r="C74" i="14"/>
  <c r="L73" i="14"/>
  <c r="K73" i="14" s="1"/>
  <c r="G73" i="14"/>
  <c r="C73" i="14"/>
  <c r="L72" i="14"/>
  <c r="K72" i="14" s="1"/>
  <c r="O72" i="14" s="1"/>
  <c r="G72" i="14"/>
  <c r="C72" i="14"/>
  <c r="L71" i="14"/>
  <c r="K71" i="14" s="1"/>
  <c r="O71" i="14" s="1"/>
  <c r="G71" i="14"/>
  <c r="C71" i="14"/>
  <c r="L70" i="14"/>
  <c r="K70" i="14" s="1"/>
  <c r="O70" i="14" s="1"/>
  <c r="G70" i="14"/>
  <c r="C70" i="14"/>
  <c r="L69" i="14"/>
  <c r="K69" i="14" s="1"/>
  <c r="O69" i="14" s="1"/>
  <c r="G69" i="14"/>
  <c r="C69" i="14"/>
  <c r="L68" i="14"/>
  <c r="K68" i="14" s="1"/>
  <c r="O68" i="14" s="1"/>
  <c r="G68" i="14"/>
  <c r="C68" i="14"/>
  <c r="L67" i="14"/>
  <c r="K67" i="14" s="1"/>
  <c r="O67" i="14" s="1"/>
  <c r="G67" i="14"/>
  <c r="C67" i="14"/>
  <c r="L66" i="14"/>
  <c r="G66" i="14"/>
  <c r="C66" i="14"/>
  <c r="L65" i="14"/>
  <c r="K65" i="14" s="1"/>
  <c r="G65" i="14"/>
  <c r="C65" i="14"/>
  <c r="L64" i="14"/>
  <c r="K64" i="14" s="1"/>
  <c r="G64" i="14"/>
  <c r="C64" i="14"/>
  <c r="L63" i="14"/>
  <c r="K63" i="14" s="1"/>
  <c r="G63" i="14"/>
  <c r="C63" i="14"/>
  <c r="L62" i="14"/>
  <c r="K62" i="14" s="1"/>
  <c r="G62" i="14"/>
  <c r="C62" i="14"/>
  <c r="L61" i="14"/>
  <c r="K61" i="14" s="1"/>
  <c r="M61" i="14" s="1"/>
  <c r="G61" i="14"/>
  <c r="C61" i="14"/>
  <c r="C279" i="15"/>
  <c r="E278" i="15"/>
  <c r="C276" i="15"/>
  <c r="E275" i="15"/>
  <c r="C273" i="15"/>
  <c r="E272" i="15"/>
  <c r="H1740" i="16"/>
  <c r="F1740" i="16"/>
  <c r="I1740" i="16" s="1"/>
  <c r="I1741" i="16" s="1"/>
  <c r="H1738" i="16"/>
  <c r="H1737" i="16"/>
  <c r="I1736" i="16"/>
  <c r="H1736" i="16"/>
  <c r="H1735" i="16"/>
  <c r="H1734" i="16"/>
  <c r="H1733" i="16"/>
  <c r="H1732" i="16"/>
  <c r="H1731" i="16"/>
  <c r="H1730" i="16"/>
  <c r="H1729" i="16"/>
  <c r="H1728" i="16"/>
  <c r="H1727" i="16"/>
  <c r="H1726" i="16"/>
  <c r="H1725" i="16"/>
  <c r="H1724" i="16"/>
  <c r="H1723" i="16"/>
  <c r="H1722" i="16"/>
  <c r="H1721" i="16"/>
  <c r="H1720" i="16"/>
  <c r="H1719" i="16"/>
  <c r="E1739" i="16"/>
  <c r="H1717" i="16"/>
  <c r="H1716" i="16"/>
  <c r="H1715" i="16"/>
  <c r="H1714" i="16"/>
  <c r="H1713" i="16"/>
  <c r="E1712" i="16"/>
  <c r="H1711" i="16"/>
  <c r="H1710" i="16"/>
  <c r="H1709" i="16"/>
  <c r="H1708" i="16"/>
  <c r="H1707" i="16"/>
  <c r="H1706" i="16"/>
  <c r="H1705" i="16"/>
  <c r="H1704" i="16"/>
  <c r="H1703" i="16"/>
  <c r="H1702" i="16"/>
  <c r="H1701" i="16"/>
  <c r="H1700" i="16"/>
  <c r="H1699" i="16"/>
  <c r="H1698" i="16"/>
  <c r="H1697" i="16"/>
  <c r="H1696" i="16"/>
  <c r="H1695" i="16"/>
  <c r="H1694" i="16"/>
  <c r="H1693" i="16"/>
  <c r="H1692" i="16"/>
  <c r="H1691" i="16"/>
  <c r="H1690" i="16"/>
  <c r="H1689" i="16"/>
  <c r="H1688" i="16"/>
  <c r="H1687" i="16"/>
  <c r="H1686" i="16"/>
  <c r="H1685" i="16"/>
  <c r="H1684" i="16"/>
  <c r="H1683" i="16"/>
  <c r="E1680" i="16"/>
  <c r="H1679" i="16"/>
  <c r="H1678" i="16"/>
  <c r="H1677" i="16"/>
  <c r="H1676" i="16"/>
  <c r="E1675" i="16"/>
  <c r="H1674" i="16"/>
  <c r="H1673" i="16"/>
  <c r="H1672" i="16"/>
  <c r="H1671" i="16"/>
  <c r="H1670" i="16"/>
  <c r="H1669" i="16"/>
  <c r="E1668" i="16"/>
  <c r="H1667" i="16"/>
  <c r="H1666" i="16"/>
  <c r="H1665" i="16"/>
  <c r="H1664" i="16"/>
  <c r="H1663" i="16"/>
  <c r="H1662" i="16"/>
  <c r="H1661" i="16"/>
  <c r="H1660" i="16"/>
  <c r="H1659" i="16"/>
  <c r="H1658" i="16"/>
  <c r="H1657" i="16"/>
  <c r="H1656" i="16"/>
  <c r="H1655" i="16"/>
  <c r="H1654" i="16"/>
  <c r="H1653" i="16"/>
  <c r="E1157" i="17"/>
  <c r="H1156" i="17"/>
  <c r="H1157" i="17" s="1"/>
  <c r="G1156" i="17"/>
  <c r="G1157" i="17" s="1"/>
  <c r="D1156" i="17"/>
  <c r="D1157" i="17" s="1"/>
  <c r="P1155" i="17"/>
  <c r="F1155" i="17"/>
  <c r="I1155" i="17" s="1"/>
  <c r="P1154" i="17"/>
  <c r="F1154" i="17"/>
  <c r="I1154" i="17" s="1"/>
  <c r="P1151" i="17"/>
  <c r="F1151" i="17"/>
  <c r="I1151" i="17" s="1"/>
  <c r="P1150" i="17"/>
  <c r="F1150" i="17"/>
  <c r="I1150" i="17" s="1"/>
  <c r="P1149" i="17"/>
  <c r="F1149" i="17"/>
  <c r="I1149" i="17" s="1"/>
  <c r="P1148" i="17"/>
  <c r="F1148" i="17"/>
  <c r="I1148" i="17" s="1"/>
  <c r="P1147" i="17"/>
  <c r="F1147" i="17"/>
  <c r="I1147" i="17" s="1"/>
  <c r="P1146" i="17"/>
  <c r="F1146" i="17"/>
  <c r="I1146" i="17" s="1"/>
  <c r="P1145" i="17"/>
  <c r="F1145" i="17"/>
  <c r="I1145" i="17" s="1"/>
  <c r="P1144" i="17"/>
  <c r="F1144" i="17"/>
  <c r="I1144" i="17" s="1"/>
  <c r="P1143" i="17"/>
  <c r="F1143" i="17"/>
  <c r="I1143" i="17" s="1"/>
  <c r="P1142" i="17"/>
  <c r="F1142" i="17"/>
  <c r="I1142" i="17" s="1"/>
  <c r="P1141" i="17"/>
  <c r="F1141" i="17"/>
  <c r="I1141" i="17" s="1"/>
  <c r="P1140" i="17"/>
  <c r="F1140" i="17"/>
  <c r="I1140" i="17" s="1"/>
  <c r="P1139" i="17"/>
  <c r="F1139" i="17"/>
  <c r="I1139" i="17" s="1"/>
  <c r="P1138" i="17"/>
  <c r="F1138" i="17"/>
  <c r="I1138" i="17" s="1"/>
  <c r="P1137" i="17"/>
  <c r="F1137" i="17"/>
  <c r="I1137" i="17" s="1"/>
  <c r="P1136" i="17"/>
  <c r="F1136" i="17"/>
  <c r="I1136" i="17" s="1"/>
  <c r="P1135" i="17"/>
  <c r="F1135" i="17"/>
  <c r="I1135" i="17" s="1"/>
  <c r="P1134" i="17"/>
  <c r="F1134" i="17"/>
  <c r="I1134" i="17" s="1"/>
  <c r="P1133" i="17"/>
  <c r="F1133" i="17"/>
  <c r="I1133" i="17" s="1"/>
  <c r="P1132" i="17"/>
  <c r="F1132" i="17"/>
  <c r="I1132" i="17" s="1"/>
  <c r="P1131" i="17"/>
  <c r="F1131" i="17"/>
  <c r="I1131" i="17" s="1"/>
  <c r="P1130" i="17"/>
  <c r="F1130" i="17"/>
  <c r="I1130" i="17" s="1"/>
  <c r="P1129" i="17"/>
  <c r="I1129" i="17"/>
  <c r="F1129" i="17"/>
  <c r="P1128" i="17"/>
  <c r="F1128" i="17"/>
  <c r="I1128" i="17" s="1"/>
  <c r="P1127" i="17"/>
  <c r="F1127" i="17"/>
  <c r="I1127" i="17" s="1"/>
  <c r="P1126" i="17"/>
  <c r="F1126" i="17"/>
  <c r="I1126" i="17" s="1"/>
  <c r="P1125" i="17"/>
  <c r="F1125" i="17"/>
  <c r="I1125" i="17" s="1"/>
  <c r="P1124" i="17"/>
  <c r="F1124" i="17"/>
  <c r="I1124" i="17" s="1"/>
  <c r="P1123" i="17"/>
  <c r="F1123" i="17"/>
  <c r="I1123" i="17" s="1"/>
  <c r="P1122" i="17"/>
  <c r="F1122" i="17"/>
  <c r="I1122" i="17" s="1"/>
  <c r="E1121" i="17"/>
  <c r="D1121" i="17"/>
  <c r="H1120" i="17"/>
  <c r="H1121" i="17" s="1"/>
  <c r="G1120" i="17"/>
  <c r="G1121" i="17" s="1"/>
  <c r="P1119" i="17"/>
  <c r="F1119" i="17"/>
  <c r="I1119" i="17" s="1"/>
  <c r="P1118" i="17"/>
  <c r="F1118" i="17"/>
  <c r="I1118" i="17" s="1"/>
  <c r="P1117" i="17"/>
  <c r="F1117" i="17"/>
  <c r="I1117" i="17" s="1"/>
  <c r="P1116" i="17"/>
  <c r="F1116" i="17"/>
  <c r="I1116" i="17" s="1"/>
  <c r="P1115" i="17"/>
  <c r="F1115" i="17"/>
  <c r="I1115" i="17" s="1"/>
  <c r="P1114" i="17"/>
  <c r="F1114" i="17"/>
  <c r="I1114" i="17" s="1"/>
  <c r="P1113" i="17"/>
  <c r="F1113" i="17"/>
  <c r="E1112" i="17"/>
  <c r="H1111" i="17"/>
  <c r="G1111" i="17"/>
  <c r="D1111" i="17"/>
  <c r="P1110" i="17"/>
  <c r="F1110" i="17"/>
  <c r="I1110" i="17" s="1"/>
  <c r="P1109" i="17"/>
  <c r="F1109" i="17"/>
  <c r="I1109" i="17" s="1"/>
  <c r="P1108" i="17"/>
  <c r="F1108" i="17"/>
  <c r="I1108" i="17" s="1"/>
  <c r="P1107" i="17"/>
  <c r="F1107" i="17"/>
  <c r="I1107" i="17" s="1"/>
  <c r="P1106" i="17"/>
  <c r="F1106" i="17"/>
  <c r="I1106" i="17" s="1"/>
  <c r="P1105" i="17"/>
  <c r="F1105" i="17"/>
  <c r="I1105" i="17" s="1"/>
  <c r="P1104" i="17"/>
  <c r="F1104" i="17"/>
  <c r="I1104" i="17" s="1"/>
  <c r="H1103" i="17"/>
  <c r="G1103" i="17"/>
  <c r="G1112" i="17" s="1"/>
  <c r="D1103" i="17"/>
  <c r="D1112" i="17" s="1"/>
  <c r="P1102" i="17"/>
  <c r="F1102" i="17"/>
  <c r="I1102" i="17" s="1"/>
  <c r="P1101" i="17"/>
  <c r="F1101" i="17"/>
  <c r="I1101" i="17" s="1"/>
  <c r="P1100" i="17"/>
  <c r="F1100" i="17"/>
  <c r="I1100" i="17" s="1"/>
  <c r="P1099" i="17"/>
  <c r="F1099" i="17"/>
  <c r="I1099" i="17" s="1"/>
  <c r="P1098" i="17"/>
  <c r="P1097" i="17"/>
  <c r="F1097" i="17"/>
  <c r="F2089" i="13"/>
  <c r="I2089" i="13" s="1"/>
  <c r="F2088" i="13"/>
  <c r="F2086" i="13"/>
  <c r="I2086" i="13" s="1"/>
  <c r="F2085" i="13"/>
  <c r="F2084" i="13"/>
  <c r="I2084" i="13" s="1"/>
  <c r="F2082" i="13"/>
  <c r="I2082" i="13" s="1"/>
  <c r="F2081" i="13"/>
  <c r="I2081" i="13" s="1"/>
  <c r="F2080" i="13"/>
  <c r="I2080" i="13" s="1"/>
  <c r="F2079" i="13"/>
  <c r="F2077" i="13"/>
  <c r="I2077" i="13" s="1"/>
  <c r="F2076" i="13"/>
  <c r="F2078" i="13" s="1"/>
  <c r="F2074" i="13"/>
  <c r="I2074" i="13" s="1"/>
  <c r="F2073" i="13"/>
  <c r="I2073" i="13" s="1"/>
  <c r="F2072" i="13"/>
  <c r="I2072" i="13" s="1"/>
  <c r="F2071" i="13"/>
  <c r="F2075" i="13" s="1"/>
  <c r="F2069" i="13"/>
  <c r="I2069" i="13" s="1"/>
  <c r="F2068" i="13"/>
  <c r="I2068" i="13" s="1"/>
  <c r="F2067" i="13"/>
  <c r="F2064" i="13"/>
  <c r="I2064" i="13" s="1"/>
  <c r="F2061" i="13"/>
  <c r="I2061" i="13" s="1"/>
  <c r="F2060" i="13"/>
  <c r="I2060" i="13" s="1"/>
  <c r="F2059" i="13"/>
  <c r="I2059" i="13" s="1"/>
  <c r="F2058" i="13"/>
  <c r="I2058" i="13" s="1"/>
  <c r="F2057" i="13"/>
  <c r="I2057" i="13" s="1"/>
  <c r="F2056" i="13"/>
  <c r="F2062" i="13" s="1"/>
  <c r="F2054" i="13"/>
  <c r="I2054" i="13" s="1"/>
  <c r="F2053" i="13"/>
  <c r="I2053" i="13" s="1"/>
  <c r="F2052" i="13"/>
  <c r="F2055" i="13" s="1"/>
  <c r="F2063" i="13" s="1"/>
  <c r="F2049" i="13"/>
  <c r="I2049" i="13" s="1"/>
  <c r="F2048" i="13"/>
  <c r="I2048" i="13" s="1"/>
  <c r="F2047" i="13"/>
  <c r="I2047" i="13" s="1"/>
  <c r="F2046" i="13"/>
  <c r="I2046" i="13" s="1"/>
  <c r="F2045" i="13"/>
  <c r="I2045" i="13" s="1"/>
  <c r="F2044" i="13"/>
  <c r="F2043" i="13"/>
  <c r="I2043" i="13" s="1"/>
  <c r="F2041" i="13"/>
  <c r="I2041" i="13" s="1"/>
  <c r="F2040" i="13"/>
  <c r="I2040" i="13" s="1"/>
  <c r="F2039" i="13"/>
  <c r="I2039" i="13" s="1"/>
  <c r="F2038" i="13"/>
  <c r="I2038" i="13" s="1"/>
  <c r="F2037" i="13"/>
  <c r="I2037" i="13" s="1"/>
  <c r="F2036" i="13"/>
  <c r="I2036" i="13" s="1"/>
  <c r="F2035" i="13"/>
  <c r="I2035" i="13" s="1"/>
  <c r="F2034" i="13"/>
  <c r="I2034" i="13" s="1"/>
  <c r="F2033" i="13"/>
  <c r="I2033" i="13" s="1"/>
  <c r="F2032" i="13"/>
  <c r="F2028" i="13"/>
  <c r="I2028" i="13" s="1"/>
  <c r="F2027" i="13"/>
  <c r="I2027" i="13" s="1"/>
  <c r="F2026" i="13"/>
  <c r="I2026" i="13" s="1"/>
  <c r="F2025" i="13"/>
  <c r="I2025" i="13" s="1"/>
  <c r="F2024" i="13"/>
  <c r="I2024" i="13" s="1"/>
  <c r="F2023" i="13"/>
  <c r="I2023" i="13" s="1"/>
  <c r="F2022" i="13"/>
  <c r="I2022" i="13" s="1"/>
  <c r="F2021" i="13"/>
  <c r="I2021" i="13" s="1"/>
  <c r="F2020" i="13"/>
  <c r="F2018" i="13"/>
  <c r="I2018" i="13" s="1"/>
  <c r="F2017" i="13"/>
  <c r="I2017" i="13" s="1"/>
  <c r="F2016" i="13"/>
  <c r="I2016" i="13" s="1"/>
  <c r="F2015" i="13"/>
  <c r="F2012" i="13"/>
  <c r="I2012" i="13" s="1"/>
  <c r="F2011" i="13"/>
  <c r="I2011" i="13" s="1"/>
  <c r="F2010" i="13"/>
  <c r="F2008" i="13"/>
  <c r="I2008" i="13" s="1"/>
  <c r="F2007" i="13"/>
  <c r="I2007" i="13" s="1"/>
  <c r="F2006" i="13"/>
  <c r="I2006" i="13" s="1"/>
  <c r="F2005" i="13"/>
  <c r="I2005" i="13" s="1"/>
  <c r="F2004" i="13"/>
  <c r="I2004" i="13" s="1"/>
  <c r="F2003" i="13"/>
  <c r="I2003" i="13" s="1"/>
  <c r="F2002" i="13"/>
  <c r="F2009" i="13" s="1"/>
  <c r="F2000" i="13"/>
  <c r="I2000" i="13" s="1"/>
  <c r="F1999" i="13"/>
  <c r="I1999" i="13" s="1"/>
  <c r="F1998" i="13"/>
  <c r="I1998" i="13" s="1"/>
  <c r="F1997" i="13"/>
  <c r="I1997" i="13" s="1"/>
  <c r="F1996" i="13"/>
  <c r="I1996" i="13" s="1"/>
  <c r="F1995" i="13"/>
  <c r="I1995" i="13" s="1"/>
  <c r="F1994" i="13"/>
  <c r="F1992" i="13"/>
  <c r="I1992" i="13" s="1"/>
  <c r="F1991" i="13"/>
  <c r="I1991" i="13" s="1"/>
  <c r="F1990" i="13"/>
  <c r="I1990" i="13" s="1"/>
  <c r="F1989" i="13"/>
  <c r="I1989" i="13" s="1"/>
  <c r="F1988" i="13"/>
  <c r="I1988" i="13" s="1"/>
  <c r="F1987" i="13"/>
  <c r="I1987" i="13" s="1"/>
  <c r="F1986" i="13"/>
  <c r="F1984" i="13"/>
  <c r="I1984" i="13" s="1"/>
  <c r="F1983" i="13"/>
  <c r="I1983" i="13" s="1"/>
  <c r="F1982" i="13"/>
  <c r="I1982" i="13" s="1"/>
  <c r="F1981" i="13"/>
  <c r="F2086" i="1"/>
  <c r="F2087" i="1" s="1"/>
  <c r="I2085" i="1"/>
  <c r="H2085" i="1"/>
  <c r="E2085" i="1"/>
  <c r="G2084" i="1"/>
  <c r="J2084" i="1" s="1"/>
  <c r="G2083" i="1"/>
  <c r="J2083" i="1" s="1"/>
  <c r="I2082" i="1"/>
  <c r="H2082" i="1"/>
  <c r="E2082" i="1"/>
  <c r="G2081" i="1"/>
  <c r="J2081" i="1" s="1"/>
  <c r="J2080" i="1"/>
  <c r="G2080" i="1"/>
  <c r="G2079" i="1"/>
  <c r="J2079" i="1" s="1"/>
  <c r="H2078" i="1"/>
  <c r="G2077" i="1"/>
  <c r="J2077" i="1" s="1"/>
  <c r="G2076" i="1"/>
  <c r="J2076" i="1" s="1"/>
  <c r="G2075" i="1"/>
  <c r="J2075" i="1" s="1"/>
  <c r="E2075" i="1"/>
  <c r="E2078" i="1" s="1"/>
  <c r="J2074" i="1"/>
  <c r="G2074" i="1"/>
  <c r="I2078" i="1"/>
  <c r="G2073" i="1"/>
  <c r="I2072" i="1"/>
  <c r="H2072" i="1"/>
  <c r="E2072" i="1"/>
  <c r="G2071" i="1"/>
  <c r="J2071" i="1" s="1"/>
  <c r="G2070" i="1"/>
  <c r="E2069" i="1"/>
  <c r="G2068" i="1"/>
  <c r="J2068" i="1" s="1"/>
  <c r="G2067" i="1"/>
  <c r="J2067" i="1" s="1"/>
  <c r="I2069" i="1"/>
  <c r="G2066" i="1"/>
  <c r="J2066" i="1" s="1"/>
  <c r="G2065" i="1"/>
  <c r="I2064" i="1"/>
  <c r="H2064" i="1"/>
  <c r="E2064" i="1"/>
  <c r="J2063" i="1"/>
  <c r="G2063" i="1"/>
  <c r="G2062" i="1"/>
  <c r="J2062" i="1" s="1"/>
  <c r="J2061" i="1"/>
  <c r="G2061" i="1"/>
  <c r="G2058" i="1"/>
  <c r="J2058" i="1" s="1"/>
  <c r="I2056" i="1"/>
  <c r="H2056" i="1"/>
  <c r="E2056" i="1"/>
  <c r="E2057" i="1" s="1"/>
  <c r="G2055" i="1"/>
  <c r="J2055" i="1" s="1"/>
  <c r="G2054" i="1"/>
  <c r="J2054" i="1" s="1"/>
  <c r="G2053" i="1"/>
  <c r="J2053" i="1" s="1"/>
  <c r="J2052" i="1"/>
  <c r="G2052" i="1"/>
  <c r="G2051" i="1"/>
  <c r="J2051" i="1" s="1"/>
  <c r="J2050" i="1"/>
  <c r="G2050" i="1"/>
  <c r="I2049" i="1"/>
  <c r="I2057" i="1" s="1"/>
  <c r="H2049" i="1"/>
  <c r="H2057" i="1" s="1"/>
  <c r="E2049" i="1"/>
  <c r="G2048" i="1"/>
  <c r="J2048" i="1" s="1"/>
  <c r="J2047" i="1"/>
  <c r="G2047" i="1"/>
  <c r="G2046" i="1"/>
  <c r="J2046" i="1" s="1"/>
  <c r="F2045" i="1"/>
  <c r="F2059" i="1" s="1"/>
  <c r="F2060" i="1" s="1"/>
  <c r="I2044" i="1"/>
  <c r="H2044" i="1"/>
  <c r="E2044" i="1"/>
  <c r="E2045" i="1" s="1"/>
  <c r="E2059" i="1" s="1"/>
  <c r="E2060" i="1" s="1"/>
  <c r="G2043" i="1"/>
  <c r="J2043" i="1" s="1"/>
  <c r="J2042" i="1"/>
  <c r="G2041" i="1"/>
  <c r="J2041" i="1" s="1"/>
  <c r="G2040" i="1"/>
  <c r="J2040" i="1" s="1"/>
  <c r="G2039" i="1"/>
  <c r="J2039" i="1" s="1"/>
  <c r="G2038" i="1"/>
  <c r="J2038" i="1" s="1"/>
  <c r="G2037" i="1"/>
  <c r="J2037" i="1" s="1"/>
  <c r="I2036" i="1"/>
  <c r="H2036" i="1"/>
  <c r="E2036" i="1"/>
  <c r="G2035" i="1"/>
  <c r="J2035" i="1" s="1"/>
  <c r="G2034" i="1"/>
  <c r="J2034" i="1" s="1"/>
  <c r="G2033" i="1"/>
  <c r="J2033" i="1" s="1"/>
  <c r="J2032" i="1"/>
  <c r="G2032" i="1"/>
  <c r="G2031" i="1"/>
  <c r="J2031" i="1" s="1"/>
  <c r="J2030" i="1"/>
  <c r="G2030" i="1"/>
  <c r="G2029" i="1"/>
  <c r="J2029" i="1" s="1"/>
  <c r="J2028" i="1"/>
  <c r="G2028" i="1"/>
  <c r="G2027" i="1"/>
  <c r="J2027" i="1" s="1"/>
  <c r="J2026" i="1"/>
  <c r="G2026" i="1"/>
  <c r="F2024" i="1"/>
  <c r="I2023" i="1"/>
  <c r="M2023" i="1" s="1"/>
  <c r="H2023" i="1"/>
  <c r="L2023" i="1" s="1"/>
  <c r="E2023" i="1"/>
  <c r="G2022" i="1"/>
  <c r="J2022" i="1" s="1"/>
  <c r="J2021" i="1"/>
  <c r="G2021" i="1"/>
  <c r="G2020" i="1"/>
  <c r="J2020" i="1" s="1"/>
  <c r="J2019" i="1"/>
  <c r="G2019" i="1"/>
  <c r="G2018" i="1"/>
  <c r="J2018" i="1" s="1"/>
  <c r="J2017" i="1"/>
  <c r="G2017" i="1"/>
  <c r="G2016" i="1"/>
  <c r="J2016" i="1" s="1"/>
  <c r="J2015" i="1"/>
  <c r="G2015" i="1"/>
  <c r="G2014" i="1"/>
  <c r="J2014" i="1" s="1"/>
  <c r="I2013" i="1"/>
  <c r="H2013" i="1"/>
  <c r="E2013" i="1"/>
  <c r="E2024" i="1" s="1"/>
  <c r="G2012" i="1"/>
  <c r="J2012" i="1" s="1"/>
  <c r="G2011" i="1"/>
  <c r="J2011" i="1" s="1"/>
  <c r="G2010" i="1"/>
  <c r="J2010" i="1" s="1"/>
  <c r="G2009" i="1"/>
  <c r="I2007" i="1"/>
  <c r="H2007" i="1"/>
  <c r="E2007" i="1"/>
  <c r="J2006" i="1"/>
  <c r="G2006" i="1"/>
  <c r="G2005" i="1"/>
  <c r="J2005" i="1" s="1"/>
  <c r="J2004" i="1"/>
  <c r="G2004" i="1"/>
  <c r="G2007" i="1" s="1"/>
  <c r="J2007" i="1" s="1"/>
  <c r="I2003" i="1"/>
  <c r="H2003" i="1"/>
  <c r="F2003" i="1"/>
  <c r="F2008" i="1" s="1"/>
  <c r="F2025" i="1" s="1"/>
  <c r="E2003" i="1"/>
  <c r="J2002" i="1"/>
  <c r="G2002" i="1"/>
  <c r="G2001" i="1"/>
  <c r="J2001" i="1" s="1"/>
  <c r="J2000" i="1"/>
  <c r="G2000" i="1"/>
  <c r="G1999" i="1"/>
  <c r="J1999" i="1" s="1"/>
  <c r="J1998" i="1"/>
  <c r="G1998" i="1"/>
  <c r="G1997" i="1"/>
  <c r="J1997" i="1" s="1"/>
  <c r="G1996" i="1"/>
  <c r="J1996" i="1" s="1"/>
  <c r="I1995" i="1"/>
  <c r="H1995" i="1"/>
  <c r="E1995" i="1"/>
  <c r="G1994" i="1"/>
  <c r="J1994" i="1" s="1"/>
  <c r="G1993" i="1"/>
  <c r="J1993" i="1" s="1"/>
  <c r="G1992" i="1"/>
  <c r="J1992" i="1" s="1"/>
  <c r="G1991" i="1"/>
  <c r="J1991" i="1" s="1"/>
  <c r="G1990" i="1"/>
  <c r="J1990" i="1" s="1"/>
  <c r="G1989" i="1"/>
  <c r="J1989" i="1" s="1"/>
  <c r="G1988" i="1"/>
  <c r="J1988" i="1" s="1"/>
  <c r="I1987" i="1"/>
  <c r="H1987" i="1"/>
  <c r="E1987" i="1"/>
  <c r="G1986" i="1"/>
  <c r="J1986" i="1" s="1"/>
  <c r="G1985" i="1"/>
  <c r="J1985" i="1" s="1"/>
  <c r="G1984" i="1"/>
  <c r="J1984" i="1" s="1"/>
  <c r="G1983" i="1"/>
  <c r="J1983" i="1" s="1"/>
  <c r="G1982" i="1"/>
  <c r="J1982" i="1" s="1"/>
  <c r="G1981" i="1"/>
  <c r="J1981" i="1" s="1"/>
  <c r="J1980" i="1"/>
  <c r="G1980" i="1"/>
  <c r="I1979" i="1"/>
  <c r="E1979" i="1"/>
  <c r="G1978" i="1"/>
  <c r="J1978" i="1" s="1"/>
  <c r="H1979" i="1"/>
  <c r="G1976" i="1"/>
  <c r="J1976" i="1" s="1"/>
  <c r="J1975" i="1"/>
  <c r="G1975" i="1"/>
  <c r="K1285" i="17" l="1"/>
  <c r="Q1219" i="17"/>
  <c r="J1219" i="17"/>
  <c r="I2008" i="1"/>
  <c r="E2008" i="1"/>
  <c r="E2025" i="1" s="1"/>
  <c r="H2024" i="1"/>
  <c r="G1987" i="1"/>
  <c r="J1987" i="1" s="1"/>
  <c r="I2024" i="1"/>
  <c r="F2013" i="13"/>
  <c r="F2087" i="13"/>
  <c r="I2088" i="13"/>
  <c r="I2090" i="13" s="1"/>
  <c r="F2090" i="13"/>
  <c r="H1668" i="16"/>
  <c r="H1712" i="16"/>
  <c r="C280" i="15"/>
  <c r="T41" i="14"/>
  <c r="T44" i="14"/>
  <c r="F2042" i="13"/>
  <c r="F2083" i="13"/>
  <c r="E1158" i="17"/>
  <c r="F2088" i="1"/>
  <c r="F2001" i="13"/>
  <c r="F2019" i="13"/>
  <c r="F2030" i="13" s="1"/>
  <c r="F2029" i="13"/>
  <c r="F2070" i="13"/>
  <c r="H1112" i="17"/>
  <c r="T47" i="14"/>
  <c r="I2210" i="13"/>
  <c r="S45" i="14"/>
  <c r="T45" i="14" s="1"/>
  <c r="R46" i="14"/>
  <c r="P46" i="14"/>
  <c r="Q46" i="14"/>
  <c r="S46" i="14" s="1"/>
  <c r="F1224" i="17"/>
  <c r="I1224" i="17" s="1"/>
  <c r="I1223" i="17"/>
  <c r="J2162" i="1"/>
  <c r="G2176" i="1"/>
  <c r="G2204" i="1"/>
  <c r="J2204" i="1" s="1"/>
  <c r="J2203" i="1"/>
  <c r="J2140" i="1"/>
  <c r="J2141" i="1"/>
  <c r="G2142" i="1"/>
  <c r="J2125" i="1"/>
  <c r="F2050" i="13"/>
  <c r="F2051" i="13" s="1"/>
  <c r="F2065" i="13" s="1"/>
  <c r="F2066" i="13" s="1"/>
  <c r="P1111" i="17"/>
  <c r="F1120" i="17"/>
  <c r="I1120" i="17" s="1"/>
  <c r="P1120" i="17"/>
  <c r="P1121" i="17" s="1"/>
  <c r="H2045" i="1"/>
  <c r="H2059" i="1" s="1"/>
  <c r="H2060" i="1" s="1"/>
  <c r="P1156" i="17"/>
  <c r="P1157" i="17" s="1"/>
  <c r="F1993" i="13"/>
  <c r="F1985" i="13"/>
  <c r="O61" i="14"/>
  <c r="N61" i="14" s="1"/>
  <c r="R61" i="14" s="1"/>
  <c r="N67" i="14"/>
  <c r="R67" i="14" s="1"/>
  <c r="N68" i="14"/>
  <c r="P68" i="14" s="1"/>
  <c r="N69" i="14"/>
  <c r="R69" i="14" s="1"/>
  <c r="N70" i="14"/>
  <c r="Q70" i="14" s="1"/>
  <c r="N71" i="14"/>
  <c r="R71" i="14" s="1"/>
  <c r="N72" i="14"/>
  <c r="P72" i="14" s="1"/>
  <c r="N74" i="14"/>
  <c r="P74" i="14" s="1"/>
  <c r="N75" i="14"/>
  <c r="P75" i="14" s="1"/>
  <c r="N76" i="14"/>
  <c r="P76" i="14" s="1"/>
  <c r="R68" i="14"/>
  <c r="P70" i="14"/>
  <c r="R72" i="14"/>
  <c r="Q72" i="14"/>
  <c r="S72" i="14" s="1"/>
  <c r="O62" i="14"/>
  <c r="N62" i="14" s="1"/>
  <c r="M62" i="14"/>
  <c r="O64" i="14"/>
  <c r="N64" i="14" s="1"/>
  <c r="M64" i="14"/>
  <c r="K66" i="14"/>
  <c r="M67" i="14"/>
  <c r="M68" i="14"/>
  <c r="M69" i="14"/>
  <c r="M70" i="14"/>
  <c r="M71" i="14"/>
  <c r="M72" i="14"/>
  <c r="O73" i="14"/>
  <c r="N73" i="14" s="1"/>
  <c r="M73" i="14"/>
  <c r="R74" i="14"/>
  <c r="R75" i="14"/>
  <c r="R76" i="14"/>
  <c r="Q76" i="14"/>
  <c r="S76" i="14" s="1"/>
  <c r="O63" i="14"/>
  <c r="N63" i="14" s="1"/>
  <c r="M63" i="14"/>
  <c r="O65" i="14"/>
  <c r="N65" i="14" s="1"/>
  <c r="M65" i="14"/>
  <c r="M74" i="14"/>
  <c r="M75" i="14"/>
  <c r="M76" i="14"/>
  <c r="E1682" i="16"/>
  <c r="E1742" i="16" s="1"/>
  <c r="H1675" i="16"/>
  <c r="H1680" i="16"/>
  <c r="H1718" i="16"/>
  <c r="H1739" i="16" s="1"/>
  <c r="P1103" i="17"/>
  <c r="F1103" i="17"/>
  <c r="I1097" i="17"/>
  <c r="F1111" i="17"/>
  <c r="I1111" i="17" s="1"/>
  <c r="G1158" i="17"/>
  <c r="D1158" i="17"/>
  <c r="I1113" i="17"/>
  <c r="F1156" i="17"/>
  <c r="H1158" i="17"/>
  <c r="I2044" i="13"/>
  <c r="I2050" i="13" s="1"/>
  <c r="I2052" i="13"/>
  <c r="I2055" i="13" s="1"/>
  <c r="I2067" i="13"/>
  <c r="I2070" i="13" s="1"/>
  <c r="I2085" i="13"/>
  <c r="I2087" i="13" s="1"/>
  <c r="I1981" i="13"/>
  <c r="I1985" i="13" s="1"/>
  <c r="I1986" i="13"/>
  <c r="I1993" i="13" s="1"/>
  <c r="I1994" i="13"/>
  <c r="I2001" i="13" s="1"/>
  <c r="I2002" i="13"/>
  <c r="I2009" i="13" s="1"/>
  <c r="I2010" i="13"/>
  <c r="I2013" i="13" s="1"/>
  <c r="I2015" i="13"/>
  <c r="I2019" i="13" s="1"/>
  <c r="I2030" i="13" s="1"/>
  <c r="I2020" i="13"/>
  <c r="I2029" i="13" s="1"/>
  <c r="I2032" i="13"/>
  <c r="I2042" i="13" s="1"/>
  <c r="I2056" i="13"/>
  <c r="I2062" i="13" s="1"/>
  <c r="I2071" i="13"/>
  <c r="I2075" i="13" s="1"/>
  <c r="I2076" i="13"/>
  <c r="I2078" i="13" s="1"/>
  <c r="I2079" i="13"/>
  <c r="I2083" i="13" s="1"/>
  <c r="H2008" i="1"/>
  <c r="H2025" i="1" s="1"/>
  <c r="G1995" i="1"/>
  <c r="J1995" i="1" s="1"/>
  <c r="G2003" i="1"/>
  <c r="J2003" i="1" s="1"/>
  <c r="G2044" i="1"/>
  <c r="J2044" i="1" s="1"/>
  <c r="G2056" i="1"/>
  <c r="J2056" i="1" s="1"/>
  <c r="G2085" i="1"/>
  <c r="J2085" i="1" s="1"/>
  <c r="G1977" i="1"/>
  <c r="J1977" i="1" s="1"/>
  <c r="G2013" i="1"/>
  <c r="J2009" i="1"/>
  <c r="G2023" i="1"/>
  <c r="G2036" i="1"/>
  <c r="I2045" i="1"/>
  <c r="I2059" i="1" s="1"/>
  <c r="I2060" i="1" s="1"/>
  <c r="G2049" i="1"/>
  <c r="E2086" i="1"/>
  <c r="E2087" i="1" s="1"/>
  <c r="I2086" i="1"/>
  <c r="I2087" i="1" s="1"/>
  <c r="G2069" i="1"/>
  <c r="J2069" i="1" s="1"/>
  <c r="J2065" i="1"/>
  <c r="G2064" i="1"/>
  <c r="H2069" i="1"/>
  <c r="H2086" i="1" s="1"/>
  <c r="H2087" i="1" s="1"/>
  <c r="G2072" i="1"/>
  <c r="J2072" i="1" s="1"/>
  <c r="J2070" i="1"/>
  <c r="G2078" i="1"/>
  <c r="J2078" i="1" s="1"/>
  <c r="J2073" i="1"/>
  <c r="G2082" i="1"/>
  <c r="J2082" i="1" s="1"/>
  <c r="I1860" i="1"/>
  <c r="H1860" i="1"/>
  <c r="R70" i="14" l="1"/>
  <c r="S70" i="14" s="1"/>
  <c r="T70" i="14" s="1"/>
  <c r="Q75" i="14"/>
  <c r="S75" i="14" s="1"/>
  <c r="F2014" i="13"/>
  <c r="F2031" i="13" s="1"/>
  <c r="F2093" i="13" s="1"/>
  <c r="F2091" i="13"/>
  <c r="F2092" i="13" s="1"/>
  <c r="E2088" i="1"/>
  <c r="J1285" i="17"/>
  <c r="Q1285" i="17"/>
  <c r="Q61" i="14"/>
  <c r="P61" i="14"/>
  <c r="I2025" i="1"/>
  <c r="T46" i="14"/>
  <c r="G2177" i="1"/>
  <c r="J2177" i="1" s="1"/>
  <c r="J2176" i="1"/>
  <c r="J2142" i="1"/>
  <c r="P1112" i="17"/>
  <c r="P1158" i="17" s="1"/>
  <c r="F1121" i="17"/>
  <c r="I1121" i="17" s="1"/>
  <c r="Q68" i="14"/>
  <c r="S68" i="14" s="1"/>
  <c r="S61" i="14"/>
  <c r="T61" i="14" s="1"/>
  <c r="Q74" i="14"/>
  <c r="S74" i="14" s="1"/>
  <c r="T74" i="14" s="1"/>
  <c r="P71" i="14"/>
  <c r="T71" i="14" s="1"/>
  <c r="P69" i="14"/>
  <c r="P67" i="14"/>
  <c r="T75" i="14"/>
  <c r="T72" i="14"/>
  <c r="T68" i="14"/>
  <c r="Q71" i="14"/>
  <c r="S71" i="14" s="1"/>
  <c r="Q69" i="14"/>
  <c r="S69" i="14" s="1"/>
  <c r="Q67" i="14"/>
  <c r="S67" i="14" s="1"/>
  <c r="O66" i="14"/>
  <c r="N66" i="14" s="1"/>
  <c r="M66" i="14"/>
  <c r="Q64" i="14"/>
  <c r="R64" i="14"/>
  <c r="P64" i="14"/>
  <c r="Q62" i="14"/>
  <c r="R62" i="14"/>
  <c r="P62" i="14"/>
  <c r="T76" i="14"/>
  <c r="Q65" i="14"/>
  <c r="P65" i="14"/>
  <c r="R65" i="14"/>
  <c r="Q63" i="14"/>
  <c r="P63" i="14"/>
  <c r="R63" i="14"/>
  <c r="R73" i="14"/>
  <c r="P73" i="14"/>
  <c r="Q73" i="14"/>
  <c r="S73" i="14" s="1"/>
  <c r="H1682" i="16"/>
  <c r="F1157" i="17"/>
  <c r="I1156" i="17"/>
  <c r="F1112" i="17"/>
  <c r="I1112" i="17" s="1"/>
  <c r="I1103" i="17"/>
  <c r="I2051" i="13"/>
  <c r="I2063" i="13"/>
  <c r="I2014" i="13"/>
  <c r="I2031" i="13" s="1"/>
  <c r="I2091" i="13"/>
  <c r="I2092" i="13" s="1"/>
  <c r="I2088" i="1"/>
  <c r="H2088" i="1"/>
  <c r="G1979" i="1"/>
  <c r="G2008" i="1" s="1"/>
  <c r="G2086" i="1"/>
  <c r="J2064" i="1"/>
  <c r="J2049" i="1"/>
  <c r="G2057" i="1"/>
  <c r="J2057" i="1" s="1"/>
  <c r="G2045" i="1"/>
  <c r="J2036" i="1"/>
  <c r="G2024" i="1"/>
  <c r="J2013" i="1"/>
  <c r="I1949" i="1"/>
  <c r="I1956" i="1"/>
  <c r="H1956" i="1"/>
  <c r="H1949" i="1"/>
  <c r="E1624" i="16"/>
  <c r="E1530" i="16"/>
  <c r="E1526" i="16"/>
  <c r="T67" i="14" l="1"/>
  <c r="G2205" i="1"/>
  <c r="J2205" i="1" s="1"/>
  <c r="I2065" i="13"/>
  <c r="I2066" i="13" s="1"/>
  <c r="I2093" i="13" s="1"/>
  <c r="T69" i="14"/>
  <c r="S64" i="14"/>
  <c r="T64" i="14" s="1"/>
  <c r="J1979" i="1"/>
  <c r="T73" i="14"/>
  <c r="T63" i="14"/>
  <c r="S65" i="14"/>
  <c r="T65" i="14" s="1"/>
  <c r="R66" i="14"/>
  <c r="P66" i="14"/>
  <c r="Q66" i="14"/>
  <c r="S66" i="14" s="1"/>
  <c r="S63" i="14"/>
  <c r="S62" i="14"/>
  <c r="T62" i="14" s="1"/>
  <c r="F1158" i="17"/>
  <c r="I1158" i="17" s="1"/>
  <c r="I1157" i="17"/>
  <c r="J2023" i="1"/>
  <c r="J2024" i="1"/>
  <c r="G2025" i="1"/>
  <c r="J2008" i="1"/>
  <c r="G2059" i="1"/>
  <c r="J2045" i="1"/>
  <c r="G2087" i="1"/>
  <c r="J2087" i="1" s="1"/>
  <c r="J2086" i="1"/>
  <c r="C264" i="15"/>
  <c r="E263" i="15"/>
  <c r="C261" i="15"/>
  <c r="E260" i="15"/>
  <c r="C258" i="15"/>
  <c r="C265" i="15" s="1"/>
  <c r="E257" i="15"/>
  <c r="H1646" i="16"/>
  <c r="F1646" i="16"/>
  <c r="I1646" i="16" s="1"/>
  <c r="I1647" i="16" s="1"/>
  <c r="E1645" i="16"/>
  <c r="H1644" i="16"/>
  <c r="H1643" i="16"/>
  <c r="H1642" i="16"/>
  <c r="I1642" i="16" s="1"/>
  <c r="H1641" i="16"/>
  <c r="H1640" i="16"/>
  <c r="H1639" i="16"/>
  <c r="H1638" i="16"/>
  <c r="H1637" i="16"/>
  <c r="H1636" i="16"/>
  <c r="H1635" i="16"/>
  <c r="H1634" i="16"/>
  <c r="H1633" i="16"/>
  <c r="H1632" i="16"/>
  <c r="H1631" i="16"/>
  <c r="H1630" i="16"/>
  <c r="H1629" i="16"/>
  <c r="H1628" i="16"/>
  <c r="H1627" i="16"/>
  <c r="H1626" i="16"/>
  <c r="H1625" i="16"/>
  <c r="H1624" i="16"/>
  <c r="H1623" i="16"/>
  <c r="H1622" i="16"/>
  <c r="H1621" i="16"/>
  <c r="H1620" i="16"/>
  <c r="H1619" i="16"/>
  <c r="E1618" i="16"/>
  <c r="H1617" i="16"/>
  <c r="H1616" i="16"/>
  <c r="H1615" i="16"/>
  <c r="H1614" i="16"/>
  <c r="H1613" i="16"/>
  <c r="H1612" i="16"/>
  <c r="H1611" i="16"/>
  <c r="H1610" i="16"/>
  <c r="H1609" i="16"/>
  <c r="H1608" i="16"/>
  <c r="H1607" i="16"/>
  <c r="H1606" i="16"/>
  <c r="H1605" i="16"/>
  <c r="H1604" i="16"/>
  <c r="H1603" i="16"/>
  <c r="H1602" i="16"/>
  <c r="H1601" i="16"/>
  <c r="H1600" i="16"/>
  <c r="H1599" i="16"/>
  <c r="H1598" i="16"/>
  <c r="H1597" i="16"/>
  <c r="H1596" i="16"/>
  <c r="H1595" i="16"/>
  <c r="H1594" i="16"/>
  <c r="H1593" i="16"/>
  <c r="H1592" i="16"/>
  <c r="H1591" i="16"/>
  <c r="H1590" i="16"/>
  <c r="H1589" i="16"/>
  <c r="E1586" i="16"/>
  <c r="H1585" i="16"/>
  <c r="H1584" i="16"/>
  <c r="H1583" i="16"/>
  <c r="H1582" i="16"/>
  <c r="E1581" i="16"/>
  <c r="H1580" i="16"/>
  <c r="H1579" i="16"/>
  <c r="H1578" i="16"/>
  <c r="H1577" i="16"/>
  <c r="H1576" i="16"/>
  <c r="H1575" i="16"/>
  <c r="E1574" i="16"/>
  <c r="H1573" i="16"/>
  <c r="H1572" i="16"/>
  <c r="H1571" i="16"/>
  <c r="H1570" i="16"/>
  <c r="H1569" i="16"/>
  <c r="H1568" i="16"/>
  <c r="H1567" i="16"/>
  <c r="H1566" i="16"/>
  <c r="H1565" i="16"/>
  <c r="H1564" i="16"/>
  <c r="H1563" i="16"/>
  <c r="H1562" i="16"/>
  <c r="H1561" i="16"/>
  <c r="H1560" i="16"/>
  <c r="H1559" i="16"/>
  <c r="E1091" i="17"/>
  <c r="G1090" i="17"/>
  <c r="G1091" i="17" s="1"/>
  <c r="D1090" i="17"/>
  <c r="D1091" i="17" s="1"/>
  <c r="P1089" i="17"/>
  <c r="F1089" i="17"/>
  <c r="I1089" i="17" s="1"/>
  <c r="P1088" i="17"/>
  <c r="F1088" i="17"/>
  <c r="I1088" i="17" s="1"/>
  <c r="P1085" i="17"/>
  <c r="F1085" i="17"/>
  <c r="I1085" i="17" s="1"/>
  <c r="P1084" i="17"/>
  <c r="F1084" i="17"/>
  <c r="I1084" i="17" s="1"/>
  <c r="P1083" i="17"/>
  <c r="F1083" i="17"/>
  <c r="I1083" i="17" s="1"/>
  <c r="P1082" i="17"/>
  <c r="F1082" i="17"/>
  <c r="I1082" i="17" s="1"/>
  <c r="P1081" i="17"/>
  <c r="F1081" i="17"/>
  <c r="I1081" i="17" s="1"/>
  <c r="H1090" i="17"/>
  <c r="H1091" i="17" s="1"/>
  <c r="P1080" i="17"/>
  <c r="F1080" i="17"/>
  <c r="I1080" i="17" s="1"/>
  <c r="P1079" i="17"/>
  <c r="F1079" i="17"/>
  <c r="I1079" i="17" s="1"/>
  <c r="P1078" i="17"/>
  <c r="F1078" i="17"/>
  <c r="I1078" i="17" s="1"/>
  <c r="P1077" i="17"/>
  <c r="F1077" i="17"/>
  <c r="I1077" i="17" s="1"/>
  <c r="P1076" i="17"/>
  <c r="F1076" i="17"/>
  <c r="I1076" i="17" s="1"/>
  <c r="P1075" i="17"/>
  <c r="F1075" i="17"/>
  <c r="I1075" i="17" s="1"/>
  <c r="P1074" i="17"/>
  <c r="F1074" i="17"/>
  <c r="I1074" i="17" s="1"/>
  <c r="P1073" i="17"/>
  <c r="I1073" i="17"/>
  <c r="F1073" i="17"/>
  <c r="P1072" i="17"/>
  <c r="F1072" i="17"/>
  <c r="I1072" i="17" s="1"/>
  <c r="P1071" i="17"/>
  <c r="F1071" i="17"/>
  <c r="I1071" i="17" s="1"/>
  <c r="P1070" i="17"/>
  <c r="F1070" i="17"/>
  <c r="I1070" i="17" s="1"/>
  <c r="P1069" i="17"/>
  <c r="F1069" i="17"/>
  <c r="I1069" i="17" s="1"/>
  <c r="P1068" i="17"/>
  <c r="F1068" i="17"/>
  <c r="I1068" i="17" s="1"/>
  <c r="P1067" i="17"/>
  <c r="F1067" i="17"/>
  <c r="I1067" i="17" s="1"/>
  <c r="P1066" i="17"/>
  <c r="F1066" i="17"/>
  <c r="I1066" i="17" s="1"/>
  <c r="P1065" i="17"/>
  <c r="F1065" i="17"/>
  <c r="I1065" i="17" s="1"/>
  <c r="P1064" i="17"/>
  <c r="F1064" i="17"/>
  <c r="I1064" i="17" s="1"/>
  <c r="P1063" i="17"/>
  <c r="F1063" i="17"/>
  <c r="I1063" i="17" s="1"/>
  <c r="P1062" i="17"/>
  <c r="F1062" i="17"/>
  <c r="I1062" i="17" s="1"/>
  <c r="P1061" i="17"/>
  <c r="F1061" i="17"/>
  <c r="I1061" i="17" s="1"/>
  <c r="P1060" i="17"/>
  <c r="F1060" i="17"/>
  <c r="I1060" i="17" s="1"/>
  <c r="P1059" i="17"/>
  <c r="F1059" i="17"/>
  <c r="I1059" i="17" s="1"/>
  <c r="P1058" i="17"/>
  <c r="F1058" i="17"/>
  <c r="I1058" i="17" s="1"/>
  <c r="P1057" i="17"/>
  <c r="F1057" i="17"/>
  <c r="I1057" i="17" s="1"/>
  <c r="P1056" i="17"/>
  <c r="I1056" i="17"/>
  <c r="F1056" i="17"/>
  <c r="H1055" i="17"/>
  <c r="E1055" i="17"/>
  <c r="D1055" i="17"/>
  <c r="H1054" i="17"/>
  <c r="G1054" i="17"/>
  <c r="G1055" i="17" s="1"/>
  <c r="P1053" i="17"/>
  <c r="F1053" i="17"/>
  <c r="I1053" i="17" s="1"/>
  <c r="P1052" i="17"/>
  <c r="F1052" i="17"/>
  <c r="I1052" i="17" s="1"/>
  <c r="P1051" i="17"/>
  <c r="F1051" i="17"/>
  <c r="I1051" i="17" s="1"/>
  <c r="P1050" i="17"/>
  <c r="F1050" i="17"/>
  <c r="I1050" i="17" s="1"/>
  <c r="P1049" i="17"/>
  <c r="F1049" i="17"/>
  <c r="I1049" i="17" s="1"/>
  <c r="P1048" i="17"/>
  <c r="F1048" i="17"/>
  <c r="I1048" i="17" s="1"/>
  <c r="P1047" i="17"/>
  <c r="F1047" i="17"/>
  <c r="E1046" i="17"/>
  <c r="E1092" i="17" s="1"/>
  <c r="H1045" i="17"/>
  <c r="G1045" i="17"/>
  <c r="D1045" i="17"/>
  <c r="P1044" i="17"/>
  <c r="F1044" i="17"/>
  <c r="I1044" i="17" s="1"/>
  <c r="P1043" i="17"/>
  <c r="F1043" i="17"/>
  <c r="I1043" i="17" s="1"/>
  <c r="P1042" i="17"/>
  <c r="F1042" i="17"/>
  <c r="I1042" i="17" s="1"/>
  <c r="P1041" i="17"/>
  <c r="F1041" i="17"/>
  <c r="I1041" i="17" s="1"/>
  <c r="P1040" i="17"/>
  <c r="F1040" i="17"/>
  <c r="I1040" i="17" s="1"/>
  <c r="P1039" i="17"/>
  <c r="F1039" i="17"/>
  <c r="I1039" i="17" s="1"/>
  <c r="P1038" i="17"/>
  <c r="F1038" i="17"/>
  <c r="I1038" i="17" s="1"/>
  <c r="H1037" i="17"/>
  <c r="G1037" i="17"/>
  <c r="D1037" i="17"/>
  <c r="P1036" i="17"/>
  <c r="F1036" i="17"/>
  <c r="I1036" i="17" s="1"/>
  <c r="P1035" i="17"/>
  <c r="F1035" i="17"/>
  <c r="I1035" i="17" s="1"/>
  <c r="P1034" i="17"/>
  <c r="F1034" i="17"/>
  <c r="I1034" i="17" s="1"/>
  <c r="P1033" i="17"/>
  <c r="F1033" i="17"/>
  <c r="I1033" i="17" s="1"/>
  <c r="P1032" i="17"/>
  <c r="P1031" i="17"/>
  <c r="F1031" i="17"/>
  <c r="F1973" i="13"/>
  <c r="F1972" i="13"/>
  <c r="I1972" i="13" s="1"/>
  <c r="F1971" i="13"/>
  <c r="I1971" i="13" s="1"/>
  <c r="I1973" i="13" s="1"/>
  <c r="F1969" i="13"/>
  <c r="I1969" i="13" s="1"/>
  <c r="F1968" i="13"/>
  <c r="F1970" i="13" s="1"/>
  <c r="F1967" i="13"/>
  <c r="I1967" i="13" s="1"/>
  <c r="F1965" i="13"/>
  <c r="I1965" i="13" s="1"/>
  <c r="F1964" i="13"/>
  <c r="I1964" i="13" s="1"/>
  <c r="F1963" i="13"/>
  <c r="I1963" i="13" s="1"/>
  <c r="F1962" i="13"/>
  <c r="F1966" i="13" s="1"/>
  <c r="F1960" i="13"/>
  <c r="I1960" i="13" s="1"/>
  <c r="F1959" i="13"/>
  <c r="F1957" i="13"/>
  <c r="I1957" i="13" s="1"/>
  <c r="F1956" i="13"/>
  <c r="I1956" i="13" s="1"/>
  <c r="F1955" i="13"/>
  <c r="I1955" i="13" s="1"/>
  <c r="F1954" i="13"/>
  <c r="F1952" i="13"/>
  <c r="I1952" i="13" s="1"/>
  <c r="F1951" i="13"/>
  <c r="I1951" i="13" s="1"/>
  <c r="F1950" i="13"/>
  <c r="F1947" i="13"/>
  <c r="I1947" i="13" s="1"/>
  <c r="F1944" i="13"/>
  <c r="I1944" i="13" s="1"/>
  <c r="F1943" i="13"/>
  <c r="I1943" i="13" s="1"/>
  <c r="F1942" i="13"/>
  <c r="I1942" i="13" s="1"/>
  <c r="F1941" i="13"/>
  <c r="I1941" i="13" s="1"/>
  <c r="F1940" i="13"/>
  <c r="I1940" i="13" s="1"/>
  <c r="F1939" i="13"/>
  <c r="F1945" i="13" s="1"/>
  <c r="F1937" i="13"/>
  <c r="I1937" i="13" s="1"/>
  <c r="F1936" i="13"/>
  <c r="I1936" i="13" s="1"/>
  <c r="F1935" i="13"/>
  <c r="F1938" i="13" s="1"/>
  <c r="F1946" i="13" s="1"/>
  <c r="F1932" i="13"/>
  <c r="I1932" i="13" s="1"/>
  <c r="F1931" i="13"/>
  <c r="I1931" i="13" s="1"/>
  <c r="F1930" i="13"/>
  <c r="I1930" i="13" s="1"/>
  <c r="F1929" i="13"/>
  <c r="I1929" i="13" s="1"/>
  <c r="F1928" i="13"/>
  <c r="I1928" i="13" s="1"/>
  <c r="F1927" i="13"/>
  <c r="F1933" i="13" s="1"/>
  <c r="F1926" i="13"/>
  <c r="I1926" i="13" s="1"/>
  <c r="F1924" i="13"/>
  <c r="I1924" i="13" s="1"/>
  <c r="F1923" i="13"/>
  <c r="I1923" i="13" s="1"/>
  <c r="F1922" i="13"/>
  <c r="I1922" i="13" s="1"/>
  <c r="F1921" i="13"/>
  <c r="I1921" i="13" s="1"/>
  <c r="F1920" i="13"/>
  <c r="I1920" i="13" s="1"/>
  <c r="F1919" i="13"/>
  <c r="I1919" i="13" s="1"/>
  <c r="F1918" i="13"/>
  <c r="I1918" i="13" s="1"/>
  <c r="F1917" i="13"/>
  <c r="I1917" i="13" s="1"/>
  <c r="F1916" i="13"/>
  <c r="I1916" i="13" s="1"/>
  <c r="F1915" i="13"/>
  <c r="F1911" i="13"/>
  <c r="I1911" i="13" s="1"/>
  <c r="F1910" i="13"/>
  <c r="I1910" i="13" s="1"/>
  <c r="F1909" i="13"/>
  <c r="I1909" i="13" s="1"/>
  <c r="F1908" i="13"/>
  <c r="I1908" i="13" s="1"/>
  <c r="F1907" i="13"/>
  <c r="I1907" i="13" s="1"/>
  <c r="F1906" i="13"/>
  <c r="I1906" i="13" s="1"/>
  <c r="F1905" i="13"/>
  <c r="I1905" i="13" s="1"/>
  <c r="F1904" i="13"/>
  <c r="I1904" i="13" s="1"/>
  <c r="F1903" i="13"/>
  <c r="F1901" i="13"/>
  <c r="I1901" i="13" s="1"/>
  <c r="F1900" i="13"/>
  <c r="I1900" i="13" s="1"/>
  <c r="F1899" i="13"/>
  <c r="I1899" i="13" s="1"/>
  <c r="F1898" i="13"/>
  <c r="F1895" i="13"/>
  <c r="I1895" i="13" s="1"/>
  <c r="F1894" i="13"/>
  <c r="I1894" i="13" s="1"/>
  <c r="F1893" i="13"/>
  <c r="F1896" i="13" s="1"/>
  <c r="F1891" i="13"/>
  <c r="I1891" i="13" s="1"/>
  <c r="F1890" i="13"/>
  <c r="I1890" i="13" s="1"/>
  <c r="F1889" i="13"/>
  <c r="I1889" i="13" s="1"/>
  <c r="F1888" i="13"/>
  <c r="I1888" i="13" s="1"/>
  <c r="F1887" i="13"/>
  <c r="I1887" i="13" s="1"/>
  <c r="F1886" i="13"/>
  <c r="I1886" i="13" s="1"/>
  <c r="F1885" i="13"/>
  <c r="F1883" i="13"/>
  <c r="I1883" i="13" s="1"/>
  <c r="F1882" i="13"/>
  <c r="I1882" i="13" s="1"/>
  <c r="F1881" i="13"/>
  <c r="I1881" i="13" s="1"/>
  <c r="F1880" i="13"/>
  <c r="I1880" i="13" s="1"/>
  <c r="F1879" i="13"/>
  <c r="I1879" i="13" s="1"/>
  <c r="F1878" i="13"/>
  <c r="I1878" i="13" s="1"/>
  <c r="F1877" i="13"/>
  <c r="F1875" i="13"/>
  <c r="I1875" i="13" s="1"/>
  <c r="F1874" i="13"/>
  <c r="I1874" i="13" s="1"/>
  <c r="F1873" i="13"/>
  <c r="I1873" i="13" s="1"/>
  <c r="F1872" i="13"/>
  <c r="I1872" i="13" s="1"/>
  <c r="F1871" i="13"/>
  <c r="I1871" i="13" s="1"/>
  <c r="F1870" i="13"/>
  <c r="I1870" i="13" s="1"/>
  <c r="F1869" i="13"/>
  <c r="F1867" i="13"/>
  <c r="I1867" i="13" s="1"/>
  <c r="F1866" i="13"/>
  <c r="I1866" i="13" s="1"/>
  <c r="F1865" i="13"/>
  <c r="I1865" i="13" s="1"/>
  <c r="F1864" i="13"/>
  <c r="H1955" i="1"/>
  <c r="I1955" i="1"/>
  <c r="F1970" i="1"/>
  <c r="F1969" i="1"/>
  <c r="I1968" i="1"/>
  <c r="H1968" i="1"/>
  <c r="E1968" i="1"/>
  <c r="G1967" i="1"/>
  <c r="J1967" i="1" s="1"/>
  <c r="G1966" i="1"/>
  <c r="I1965" i="1"/>
  <c r="H1965" i="1"/>
  <c r="E1965" i="1"/>
  <c r="G1964" i="1"/>
  <c r="J1964" i="1" s="1"/>
  <c r="G1963" i="1"/>
  <c r="J1963" i="1" s="1"/>
  <c r="J1962" i="1"/>
  <c r="G1962" i="1"/>
  <c r="I1961" i="1"/>
  <c r="H1961" i="1"/>
  <c r="G1960" i="1"/>
  <c r="J1960" i="1" s="1"/>
  <c r="G1959" i="1"/>
  <c r="J1959" i="1" s="1"/>
  <c r="G1958" i="1"/>
  <c r="J1958" i="1" s="1"/>
  <c r="E1958" i="1"/>
  <c r="E1961" i="1" s="1"/>
  <c r="G1957" i="1"/>
  <c r="J1957" i="1" s="1"/>
  <c r="G1956" i="1"/>
  <c r="J1956" i="1" s="1"/>
  <c r="E1955" i="1"/>
  <c r="G1954" i="1"/>
  <c r="J1954" i="1" s="1"/>
  <c r="J1953" i="1"/>
  <c r="G1953" i="1"/>
  <c r="E1952" i="1"/>
  <c r="G1951" i="1"/>
  <c r="J1951" i="1" s="1"/>
  <c r="G1950" i="1"/>
  <c r="J1950" i="1" s="1"/>
  <c r="I1952" i="1"/>
  <c r="H1952" i="1"/>
  <c r="G1949" i="1"/>
  <c r="J1949" i="1" s="1"/>
  <c r="J1948" i="1"/>
  <c r="G1948" i="1"/>
  <c r="I1947" i="1"/>
  <c r="H1947" i="1"/>
  <c r="E1947" i="1"/>
  <c r="G1946" i="1"/>
  <c r="J1946" i="1" s="1"/>
  <c r="J1945" i="1"/>
  <c r="G1945" i="1"/>
  <c r="G1944" i="1"/>
  <c r="J1944" i="1" s="1"/>
  <c r="J1941" i="1"/>
  <c r="G1941" i="1"/>
  <c r="I1939" i="1"/>
  <c r="H1939" i="1"/>
  <c r="E1939" i="1"/>
  <c r="E1940" i="1" s="1"/>
  <c r="G1938" i="1"/>
  <c r="J1938" i="1" s="1"/>
  <c r="G1937" i="1"/>
  <c r="J1937" i="1" s="1"/>
  <c r="G1936" i="1"/>
  <c r="J1936" i="1" s="1"/>
  <c r="G1935" i="1"/>
  <c r="J1935" i="1" s="1"/>
  <c r="G1934" i="1"/>
  <c r="J1934" i="1" s="1"/>
  <c r="J1933" i="1"/>
  <c r="G1933" i="1"/>
  <c r="I1932" i="1"/>
  <c r="I1940" i="1" s="1"/>
  <c r="H1932" i="1"/>
  <c r="E1932" i="1"/>
  <c r="G1931" i="1"/>
  <c r="J1931" i="1" s="1"/>
  <c r="J1930" i="1"/>
  <c r="G1930" i="1"/>
  <c r="G1929" i="1"/>
  <c r="G1932" i="1" s="1"/>
  <c r="F1928" i="1"/>
  <c r="F1942" i="1" s="1"/>
  <c r="F1943" i="1" s="1"/>
  <c r="I1927" i="1"/>
  <c r="H1927" i="1"/>
  <c r="E1927" i="1"/>
  <c r="E1928" i="1" s="1"/>
  <c r="E1942" i="1" s="1"/>
  <c r="E1943" i="1" s="1"/>
  <c r="G1926" i="1"/>
  <c r="J1926" i="1" s="1"/>
  <c r="J1925" i="1"/>
  <c r="J1924" i="1"/>
  <c r="G1924" i="1"/>
  <c r="G1923" i="1"/>
  <c r="J1923" i="1" s="1"/>
  <c r="J1922" i="1"/>
  <c r="G1922" i="1"/>
  <c r="G1921" i="1"/>
  <c r="J1921" i="1" s="1"/>
  <c r="J1920" i="1"/>
  <c r="G1920" i="1"/>
  <c r="I1919" i="1"/>
  <c r="I1928" i="1" s="1"/>
  <c r="H1919" i="1"/>
  <c r="H1928" i="1" s="1"/>
  <c r="E1919" i="1"/>
  <c r="G1918" i="1"/>
  <c r="J1918" i="1" s="1"/>
  <c r="G1917" i="1"/>
  <c r="J1917" i="1" s="1"/>
  <c r="G1916" i="1"/>
  <c r="J1916" i="1" s="1"/>
  <c r="J1915" i="1"/>
  <c r="G1915" i="1"/>
  <c r="G1914" i="1"/>
  <c r="J1914" i="1" s="1"/>
  <c r="G1913" i="1"/>
  <c r="J1913" i="1" s="1"/>
  <c r="G1912" i="1"/>
  <c r="J1912" i="1" s="1"/>
  <c r="G1911" i="1"/>
  <c r="J1911" i="1" s="1"/>
  <c r="G1910" i="1"/>
  <c r="J1910" i="1" s="1"/>
  <c r="G1909" i="1"/>
  <c r="J1909" i="1" s="1"/>
  <c r="F1907" i="1"/>
  <c r="I1906" i="1"/>
  <c r="M1906" i="1" s="1"/>
  <c r="H1906" i="1"/>
  <c r="L1906" i="1" s="1"/>
  <c r="E1906" i="1"/>
  <c r="G1905" i="1"/>
  <c r="J1905" i="1" s="1"/>
  <c r="G1904" i="1"/>
  <c r="J1904" i="1" s="1"/>
  <c r="G1903" i="1"/>
  <c r="J1903" i="1" s="1"/>
  <c r="G1902" i="1"/>
  <c r="J1902" i="1" s="1"/>
  <c r="G1901" i="1"/>
  <c r="J1901" i="1" s="1"/>
  <c r="G1900" i="1"/>
  <c r="J1900" i="1" s="1"/>
  <c r="G1899" i="1"/>
  <c r="J1899" i="1" s="1"/>
  <c r="G1898" i="1"/>
  <c r="J1898" i="1" s="1"/>
  <c r="G1897" i="1"/>
  <c r="G1906" i="1" s="1"/>
  <c r="I1896" i="1"/>
  <c r="H1896" i="1"/>
  <c r="H1907" i="1" s="1"/>
  <c r="E1896" i="1"/>
  <c r="J1895" i="1"/>
  <c r="G1895" i="1"/>
  <c r="G1894" i="1"/>
  <c r="J1894" i="1" s="1"/>
  <c r="J1893" i="1"/>
  <c r="G1893" i="1"/>
  <c r="G1892" i="1"/>
  <c r="G1896" i="1" s="1"/>
  <c r="I1890" i="1"/>
  <c r="H1890" i="1"/>
  <c r="E1890" i="1"/>
  <c r="G1889" i="1"/>
  <c r="J1889" i="1" s="1"/>
  <c r="J1888" i="1"/>
  <c r="G1888" i="1"/>
  <c r="G1887" i="1"/>
  <c r="G1890" i="1" s="1"/>
  <c r="J1890" i="1" s="1"/>
  <c r="I1886" i="1"/>
  <c r="H1886" i="1"/>
  <c r="F1886" i="1"/>
  <c r="F1891" i="1" s="1"/>
  <c r="F1908" i="1" s="1"/>
  <c r="F1971" i="1" s="1"/>
  <c r="E1886" i="1"/>
  <c r="G1885" i="1"/>
  <c r="J1885" i="1" s="1"/>
  <c r="J1884" i="1"/>
  <c r="G1884" i="1"/>
  <c r="G1883" i="1"/>
  <c r="J1883" i="1" s="1"/>
  <c r="J1882" i="1"/>
  <c r="G1882" i="1"/>
  <c r="G1881" i="1"/>
  <c r="J1881" i="1" s="1"/>
  <c r="J1880" i="1"/>
  <c r="G1880" i="1"/>
  <c r="G1879" i="1"/>
  <c r="G1886" i="1" s="1"/>
  <c r="J1886" i="1" s="1"/>
  <c r="I1878" i="1"/>
  <c r="H1878" i="1"/>
  <c r="E1878" i="1"/>
  <c r="G1877" i="1"/>
  <c r="J1877" i="1" s="1"/>
  <c r="G1876" i="1"/>
  <c r="J1876" i="1" s="1"/>
  <c r="G1875" i="1"/>
  <c r="J1875" i="1" s="1"/>
  <c r="G1874" i="1"/>
  <c r="J1874" i="1" s="1"/>
  <c r="G1873" i="1"/>
  <c r="J1873" i="1" s="1"/>
  <c r="G1872" i="1"/>
  <c r="J1872" i="1" s="1"/>
  <c r="G1871" i="1"/>
  <c r="G1878" i="1" s="1"/>
  <c r="J1878" i="1" s="1"/>
  <c r="I1870" i="1"/>
  <c r="H1870" i="1"/>
  <c r="E1870" i="1"/>
  <c r="G1869" i="1"/>
  <c r="J1869" i="1" s="1"/>
  <c r="J1868" i="1"/>
  <c r="G1868" i="1"/>
  <c r="G1867" i="1"/>
  <c r="J1867" i="1" s="1"/>
  <c r="J1866" i="1"/>
  <c r="G1866" i="1"/>
  <c r="G1865" i="1"/>
  <c r="J1865" i="1" s="1"/>
  <c r="J1864" i="1"/>
  <c r="G1864" i="1"/>
  <c r="G1863" i="1"/>
  <c r="G1870" i="1" s="1"/>
  <c r="J1870" i="1" s="1"/>
  <c r="I1862" i="1"/>
  <c r="H1862" i="1"/>
  <c r="E1862" i="1"/>
  <c r="E1891" i="1" s="1"/>
  <c r="G1861" i="1"/>
  <c r="J1861" i="1" s="1"/>
  <c r="G1860" i="1"/>
  <c r="J1860" i="1" s="1"/>
  <c r="G1859" i="1"/>
  <c r="J1859" i="1" s="1"/>
  <c r="G1858" i="1"/>
  <c r="I1891" i="1" l="1"/>
  <c r="J1871" i="1"/>
  <c r="G1862" i="1"/>
  <c r="I1907" i="1"/>
  <c r="F1912" i="13"/>
  <c r="E1907" i="1"/>
  <c r="E1908" i="1" s="1"/>
  <c r="E1971" i="1" s="1"/>
  <c r="G1939" i="1"/>
  <c r="J1939" i="1" s="1"/>
  <c r="F1884" i="13"/>
  <c r="F1953" i="13"/>
  <c r="E1969" i="1"/>
  <c r="E1970" i="1" s="1"/>
  <c r="F1892" i="13"/>
  <c r="F1902" i="13"/>
  <c r="F1913" i="13" s="1"/>
  <c r="F1925" i="13"/>
  <c r="F1961" i="13"/>
  <c r="E1588" i="16"/>
  <c r="H1940" i="1"/>
  <c r="H1942" i="1" s="1"/>
  <c r="H1943" i="1" s="1"/>
  <c r="F1958" i="13"/>
  <c r="D1046" i="17"/>
  <c r="H1618" i="16"/>
  <c r="T66" i="14"/>
  <c r="H1574" i="16"/>
  <c r="H1586" i="16"/>
  <c r="H1581" i="16"/>
  <c r="P1037" i="17"/>
  <c r="G2060" i="1"/>
  <c r="J2060" i="1" s="1"/>
  <c r="J2059" i="1"/>
  <c r="G2088" i="1"/>
  <c r="J2088" i="1" s="1"/>
  <c r="J2025" i="1"/>
  <c r="G1046" i="17"/>
  <c r="F1876" i="13"/>
  <c r="F1868" i="13"/>
  <c r="F1897" i="13" s="1"/>
  <c r="F1914" i="13" s="1"/>
  <c r="H1645" i="16"/>
  <c r="G1927" i="1"/>
  <c r="J1927" i="1" s="1"/>
  <c r="F1934" i="13"/>
  <c r="F1948" i="13" s="1"/>
  <c r="F1949" i="13" s="1"/>
  <c r="E1648" i="16"/>
  <c r="P1090" i="17"/>
  <c r="P1091" i="17" s="1"/>
  <c r="P1054" i="17"/>
  <c r="P1055" i="17" s="1"/>
  <c r="H1046" i="17"/>
  <c r="H1092" i="17" s="1"/>
  <c r="F1054" i="17"/>
  <c r="I1054" i="17" s="1"/>
  <c r="I1047" i="17"/>
  <c r="G1092" i="17"/>
  <c r="F1037" i="17"/>
  <c r="I1031" i="17"/>
  <c r="P1045" i="17"/>
  <c r="F1045" i="17"/>
  <c r="I1045" i="17" s="1"/>
  <c r="D1092" i="17"/>
  <c r="F1090" i="17"/>
  <c r="I1927" i="13"/>
  <c r="I1933" i="13" s="1"/>
  <c r="I1935" i="13"/>
  <c r="I1938" i="13" s="1"/>
  <c r="I1950" i="13"/>
  <c r="I1953" i="13" s="1"/>
  <c r="I1968" i="13"/>
  <c r="I1970" i="13" s="1"/>
  <c r="I1864" i="13"/>
  <c r="I1868" i="13" s="1"/>
  <c r="I1869" i="13"/>
  <c r="I1876" i="13" s="1"/>
  <c r="I1877" i="13"/>
  <c r="I1884" i="13" s="1"/>
  <c r="I1885" i="13"/>
  <c r="I1892" i="13" s="1"/>
  <c r="I1893" i="13"/>
  <c r="I1896" i="13" s="1"/>
  <c r="I1898" i="13"/>
  <c r="I1902" i="13" s="1"/>
  <c r="I1903" i="13"/>
  <c r="I1912" i="13" s="1"/>
  <c r="I1915" i="13"/>
  <c r="I1925" i="13" s="1"/>
  <c r="I1939" i="13"/>
  <c r="I1945" i="13" s="1"/>
  <c r="I1954" i="13"/>
  <c r="I1958" i="13" s="1"/>
  <c r="I1959" i="13"/>
  <c r="I1961" i="13" s="1"/>
  <c r="I1962" i="13"/>
  <c r="I1966" i="13" s="1"/>
  <c r="H1969" i="1"/>
  <c r="H1970" i="1" s="1"/>
  <c r="I1942" i="1"/>
  <c r="I1943" i="1" s="1"/>
  <c r="H1891" i="1"/>
  <c r="H1908" i="1" s="1"/>
  <c r="J1862" i="1"/>
  <c r="G1891" i="1"/>
  <c r="J1896" i="1"/>
  <c r="G1907" i="1"/>
  <c r="J1858" i="1"/>
  <c r="J1863" i="1"/>
  <c r="J1879" i="1"/>
  <c r="J1887" i="1"/>
  <c r="J1892" i="1"/>
  <c r="J1897" i="1"/>
  <c r="G1919" i="1"/>
  <c r="G1940" i="1"/>
  <c r="J1940" i="1" s="1"/>
  <c r="J1932" i="1"/>
  <c r="I1969" i="1"/>
  <c r="I1970" i="1" s="1"/>
  <c r="J1929" i="1"/>
  <c r="G1947" i="1"/>
  <c r="G1952" i="1"/>
  <c r="J1952" i="1" s="1"/>
  <c r="G1955" i="1"/>
  <c r="J1955" i="1" s="1"/>
  <c r="G1961" i="1"/>
  <c r="J1961" i="1" s="1"/>
  <c r="G1965" i="1"/>
  <c r="J1965" i="1" s="1"/>
  <c r="G1968" i="1"/>
  <c r="J1968" i="1" s="1"/>
  <c r="J1966" i="1"/>
  <c r="H1014" i="17"/>
  <c r="I1832" i="1"/>
  <c r="H1832" i="1"/>
  <c r="F1974" i="13" l="1"/>
  <c r="F1975" i="13" s="1"/>
  <c r="I1913" i="13"/>
  <c r="I1908" i="1"/>
  <c r="H1588" i="16"/>
  <c r="P1046" i="17"/>
  <c r="F1055" i="17"/>
  <c r="I1055" i="17" s="1"/>
  <c r="F1976" i="13"/>
  <c r="I1971" i="1"/>
  <c r="P1092" i="17"/>
  <c r="F1046" i="17"/>
  <c r="I1046" i="17" s="1"/>
  <c r="I1037" i="17"/>
  <c r="F1091" i="17"/>
  <c r="I1090" i="17"/>
  <c r="I1934" i="13"/>
  <c r="I1946" i="13"/>
  <c r="I1897" i="13"/>
  <c r="I1914" i="13" s="1"/>
  <c r="I1974" i="13"/>
  <c r="I1975" i="13" s="1"/>
  <c r="H1971" i="1"/>
  <c r="G1928" i="1"/>
  <c r="J1919" i="1"/>
  <c r="J1907" i="1"/>
  <c r="J1906" i="1"/>
  <c r="J1947" i="1"/>
  <c r="G1969" i="1"/>
  <c r="G1908" i="1"/>
  <c r="J1891" i="1"/>
  <c r="C249" i="15"/>
  <c r="E248" i="15"/>
  <c r="C246" i="15"/>
  <c r="E245" i="15"/>
  <c r="C243" i="15"/>
  <c r="E242" i="15"/>
  <c r="H1552" i="16"/>
  <c r="F1552" i="16"/>
  <c r="I1552" i="16" s="1"/>
  <c r="I1553" i="16" s="1"/>
  <c r="E1551" i="16"/>
  <c r="H1550" i="16"/>
  <c r="H1549" i="16"/>
  <c r="I1548" i="16"/>
  <c r="H1548" i="16"/>
  <c r="H1547" i="16"/>
  <c r="H1546" i="16"/>
  <c r="H1545" i="16"/>
  <c r="H1544" i="16"/>
  <c r="H1543" i="16"/>
  <c r="H1542" i="16"/>
  <c r="H1541" i="16"/>
  <c r="H1540" i="16"/>
  <c r="H1539" i="16"/>
  <c r="H1538" i="16"/>
  <c r="H1537" i="16"/>
  <c r="H1536" i="16"/>
  <c r="H1535" i="16"/>
  <c r="H1534" i="16"/>
  <c r="H1533" i="16"/>
  <c r="H1532" i="16"/>
  <c r="H1531" i="16"/>
  <c r="H1530" i="16"/>
  <c r="H1529" i="16"/>
  <c r="H1528" i="16"/>
  <c r="H1527" i="16"/>
  <c r="H1526" i="16"/>
  <c r="H1525" i="16"/>
  <c r="E1524" i="16"/>
  <c r="H1523" i="16"/>
  <c r="H1522" i="16"/>
  <c r="H1521" i="16"/>
  <c r="H1520" i="16"/>
  <c r="H1519" i="16"/>
  <c r="H1518" i="16"/>
  <c r="H1517" i="16"/>
  <c r="H1516" i="16"/>
  <c r="H1515" i="16"/>
  <c r="H1514" i="16"/>
  <c r="H1513" i="16"/>
  <c r="H1512" i="16"/>
  <c r="H1511" i="16"/>
  <c r="H1510" i="16"/>
  <c r="H1509" i="16"/>
  <c r="H1508" i="16"/>
  <c r="H1507" i="16"/>
  <c r="H1506" i="16"/>
  <c r="H1505" i="16"/>
  <c r="H1504" i="16"/>
  <c r="H1503" i="16"/>
  <c r="H1502" i="16"/>
  <c r="H1501" i="16"/>
  <c r="H1500" i="16"/>
  <c r="H1499" i="16"/>
  <c r="H1498" i="16"/>
  <c r="H1497" i="16"/>
  <c r="H1496" i="16"/>
  <c r="H1495" i="16"/>
  <c r="E1492" i="16"/>
  <c r="H1491" i="16"/>
  <c r="H1490" i="16"/>
  <c r="H1489" i="16"/>
  <c r="H1488" i="16"/>
  <c r="E1487" i="16"/>
  <c r="H1486" i="16"/>
  <c r="H1485" i="16"/>
  <c r="H1484" i="16"/>
  <c r="H1483" i="16"/>
  <c r="H1482" i="16"/>
  <c r="H1481" i="16"/>
  <c r="E1480" i="16"/>
  <c r="H1479" i="16"/>
  <c r="H1478" i="16"/>
  <c r="H1477" i="16"/>
  <c r="H1476" i="16"/>
  <c r="H1475" i="16"/>
  <c r="H1474" i="16"/>
  <c r="H1473" i="16"/>
  <c r="H1472" i="16"/>
  <c r="H1471" i="16"/>
  <c r="H1470" i="16"/>
  <c r="H1469" i="16"/>
  <c r="H1468" i="16"/>
  <c r="H1467" i="16"/>
  <c r="H1466" i="16"/>
  <c r="H1465" i="16"/>
  <c r="E1025" i="17"/>
  <c r="H1024" i="17"/>
  <c r="H1025" i="17" s="1"/>
  <c r="G1024" i="17"/>
  <c r="G1025" i="17" s="1"/>
  <c r="D1024" i="17"/>
  <c r="D1025" i="17" s="1"/>
  <c r="P1023" i="17"/>
  <c r="F1023" i="17"/>
  <c r="I1023" i="17" s="1"/>
  <c r="P1022" i="17"/>
  <c r="F1022" i="17"/>
  <c r="I1022" i="17" s="1"/>
  <c r="P1019" i="17"/>
  <c r="F1019" i="17"/>
  <c r="I1019" i="17" s="1"/>
  <c r="P1018" i="17"/>
  <c r="F1018" i="17"/>
  <c r="I1018" i="17" s="1"/>
  <c r="P1017" i="17"/>
  <c r="F1017" i="17"/>
  <c r="I1017" i="17" s="1"/>
  <c r="P1016" i="17"/>
  <c r="F1016" i="17"/>
  <c r="I1016" i="17" s="1"/>
  <c r="P1015" i="17"/>
  <c r="F1015" i="17"/>
  <c r="I1015" i="17" s="1"/>
  <c r="P1014" i="17"/>
  <c r="F1014" i="17"/>
  <c r="I1014" i="17" s="1"/>
  <c r="P1013" i="17"/>
  <c r="F1013" i="17"/>
  <c r="I1013" i="17" s="1"/>
  <c r="P1012" i="17"/>
  <c r="F1012" i="17"/>
  <c r="I1012" i="17" s="1"/>
  <c r="P1011" i="17"/>
  <c r="F1011" i="17"/>
  <c r="I1011" i="17" s="1"/>
  <c r="P1010" i="17"/>
  <c r="F1010" i="17"/>
  <c r="I1010" i="17" s="1"/>
  <c r="P1009" i="17"/>
  <c r="F1009" i="17"/>
  <c r="I1009" i="17" s="1"/>
  <c r="P1008" i="17"/>
  <c r="F1008" i="17"/>
  <c r="I1008" i="17" s="1"/>
  <c r="P1007" i="17"/>
  <c r="F1007" i="17"/>
  <c r="I1007" i="17" s="1"/>
  <c r="P1006" i="17"/>
  <c r="F1006" i="17"/>
  <c r="I1006" i="17" s="1"/>
  <c r="P1005" i="17"/>
  <c r="F1005" i="17"/>
  <c r="I1005" i="17" s="1"/>
  <c r="P1004" i="17"/>
  <c r="F1004" i="17"/>
  <c r="I1004" i="17" s="1"/>
  <c r="P1003" i="17"/>
  <c r="F1003" i="17"/>
  <c r="I1003" i="17" s="1"/>
  <c r="P1002" i="17"/>
  <c r="F1002" i="17"/>
  <c r="I1002" i="17" s="1"/>
  <c r="P1001" i="17"/>
  <c r="F1001" i="17"/>
  <c r="I1001" i="17" s="1"/>
  <c r="P1000" i="17"/>
  <c r="F1000" i="17"/>
  <c r="I1000" i="17" s="1"/>
  <c r="P999" i="17"/>
  <c r="F999" i="17"/>
  <c r="I999" i="17" s="1"/>
  <c r="P998" i="17"/>
  <c r="F998" i="17"/>
  <c r="I998" i="17" s="1"/>
  <c r="P997" i="17"/>
  <c r="F997" i="17"/>
  <c r="I997" i="17" s="1"/>
  <c r="P996" i="17"/>
  <c r="F996" i="17"/>
  <c r="I996" i="17" s="1"/>
  <c r="P995" i="17"/>
  <c r="F995" i="17"/>
  <c r="I995" i="17" s="1"/>
  <c r="P994" i="17"/>
  <c r="F994" i="17"/>
  <c r="I994" i="17" s="1"/>
  <c r="P993" i="17"/>
  <c r="F993" i="17"/>
  <c r="I993" i="17" s="1"/>
  <c r="P992" i="17"/>
  <c r="F992" i="17"/>
  <c r="I992" i="17" s="1"/>
  <c r="P991" i="17"/>
  <c r="F991" i="17"/>
  <c r="I991" i="17" s="1"/>
  <c r="P990" i="17"/>
  <c r="F990" i="17"/>
  <c r="I990" i="17" s="1"/>
  <c r="E989" i="17"/>
  <c r="D989" i="17"/>
  <c r="H988" i="17"/>
  <c r="H989" i="17" s="1"/>
  <c r="G988" i="17"/>
  <c r="G989" i="17" s="1"/>
  <c r="P987" i="17"/>
  <c r="F987" i="17"/>
  <c r="I987" i="17" s="1"/>
  <c r="P986" i="17"/>
  <c r="F986" i="17"/>
  <c r="I986" i="17" s="1"/>
  <c r="P985" i="17"/>
  <c r="F985" i="17"/>
  <c r="I985" i="17" s="1"/>
  <c r="P984" i="17"/>
  <c r="F984" i="17"/>
  <c r="I984" i="17" s="1"/>
  <c r="P983" i="17"/>
  <c r="F983" i="17"/>
  <c r="I983" i="17" s="1"/>
  <c r="P982" i="17"/>
  <c r="F982" i="17"/>
  <c r="I982" i="17" s="1"/>
  <c r="P981" i="17"/>
  <c r="F981" i="17"/>
  <c r="E980" i="17"/>
  <c r="H979" i="17"/>
  <c r="G979" i="17"/>
  <c r="D979" i="17"/>
  <c r="P978" i="17"/>
  <c r="F978" i="17"/>
  <c r="I978" i="17" s="1"/>
  <c r="P977" i="17"/>
  <c r="F977" i="17"/>
  <c r="I977" i="17" s="1"/>
  <c r="P976" i="17"/>
  <c r="F976" i="17"/>
  <c r="I976" i="17" s="1"/>
  <c r="P975" i="17"/>
  <c r="F975" i="17"/>
  <c r="I975" i="17" s="1"/>
  <c r="P974" i="17"/>
  <c r="F974" i="17"/>
  <c r="I974" i="17" s="1"/>
  <c r="P973" i="17"/>
  <c r="F973" i="17"/>
  <c r="I973" i="17" s="1"/>
  <c r="P972" i="17"/>
  <c r="F972" i="17"/>
  <c r="I972" i="17" s="1"/>
  <c r="H971" i="17"/>
  <c r="H980" i="17" s="1"/>
  <c r="G971" i="17"/>
  <c r="G980" i="17" s="1"/>
  <c r="D971" i="17"/>
  <c r="P970" i="17"/>
  <c r="F970" i="17"/>
  <c r="I970" i="17" s="1"/>
  <c r="P969" i="17"/>
  <c r="F969" i="17"/>
  <c r="I969" i="17" s="1"/>
  <c r="P968" i="17"/>
  <c r="F968" i="17"/>
  <c r="I968" i="17" s="1"/>
  <c r="P967" i="17"/>
  <c r="F967" i="17"/>
  <c r="I967" i="17" s="1"/>
  <c r="P966" i="17"/>
  <c r="P965" i="17"/>
  <c r="F965" i="17"/>
  <c r="F1856" i="13"/>
  <c r="F1855" i="13"/>
  <c r="I1855" i="13" s="1"/>
  <c r="F1854" i="13"/>
  <c r="I1854" i="13" s="1"/>
  <c r="I1856" i="13" s="1"/>
  <c r="F1852" i="13"/>
  <c r="I1852" i="13" s="1"/>
  <c r="F1851" i="13"/>
  <c r="F1853" i="13" s="1"/>
  <c r="F1850" i="13"/>
  <c r="I1850" i="13" s="1"/>
  <c r="F1848" i="13"/>
  <c r="I1848" i="13" s="1"/>
  <c r="F1847" i="13"/>
  <c r="I1847" i="13" s="1"/>
  <c r="F1846" i="13"/>
  <c r="I1846" i="13" s="1"/>
  <c r="F1845" i="13"/>
  <c r="F1843" i="13"/>
  <c r="I1843" i="13" s="1"/>
  <c r="F1842" i="13"/>
  <c r="F1840" i="13"/>
  <c r="I1840" i="13" s="1"/>
  <c r="F1839" i="13"/>
  <c r="I1839" i="13" s="1"/>
  <c r="F1838" i="13"/>
  <c r="I1838" i="13" s="1"/>
  <c r="F1837" i="13"/>
  <c r="F1835" i="13"/>
  <c r="I1835" i="13" s="1"/>
  <c r="F1834" i="13"/>
  <c r="I1834" i="13" s="1"/>
  <c r="F1833" i="13"/>
  <c r="F1836" i="13" s="1"/>
  <c r="F1830" i="13"/>
  <c r="I1830" i="13" s="1"/>
  <c r="F1827" i="13"/>
  <c r="I1827" i="13" s="1"/>
  <c r="F1826" i="13"/>
  <c r="I1826" i="13" s="1"/>
  <c r="F1825" i="13"/>
  <c r="I1825" i="13" s="1"/>
  <c r="F1824" i="13"/>
  <c r="I1824" i="13" s="1"/>
  <c r="F1823" i="13"/>
  <c r="I1823" i="13" s="1"/>
  <c r="F1822" i="13"/>
  <c r="F1820" i="13"/>
  <c r="I1820" i="13" s="1"/>
  <c r="F1819" i="13"/>
  <c r="I1819" i="13" s="1"/>
  <c r="F1818" i="13"/>
  <c r="F1815" i="13"/>
  <c r="I1815" i="13" s="1"/>
  <c r="F1814" i="13"/>
  <c r="I1814" i="13" s="1"/>
  <c r="F1813" i="13"/>
  <c r="I1813" i="13" s="1"/>
  <c r="F1812" i="13"/>
  <c r="I1812" i="13" s="1"/>
  <c r="F1811" i="13"/>
  <c r="I1811" i="13" s="1"/>
  <c r="F1810" i="13"/>
  <c r="F1809" i="13"/>
  <c r="I1809" i="13" s="1"/>
  <c r="F1807" i="13"/>
  <c r="I1807" i="13" s="1"/>
  <c r="F1806" i="13"/>
  <c r="I1806" i="13" s="1"/>
  <c r="F1805" i="13"/>
  <c r="I1805" i="13" s="1"/>
  <c r="F1804" i="13"/>
  <c r="I1804" i="13" s="1"/>
  <c r="F1803" i="13"/>
  <c r="I1803" i="13" s="1"/>
  <c r="F1802" i="13"/>
  <c r="I1802" i="13" s="1"/>
  <c r="F1801" i="13"/>
  <c r="I1801" i="13" s="1"/>
  <c r="F1800" i="13"/>
  <c r="I1800" i="13" s="1"/>
  <c r="F1799" i="13"/>
  <c r="I1799" i="13" s="1"/>
  <c r="F1798" i="13"/>
  <c r="F1794" i="13"/>
  <c r="I1794" i="13" s="1"/>
  <c r="F1793" i="13"/>
  <c r="I1793" i="13" s="1"/>
  <c r="F1792" i="13"/>
  <c r="I1792" i="13" s="1"/>
  <c r="F1791" i="13"/>
  <c r="I1791" i="13" s="1"/>
  <c r="F1790" i="13"/>
  <c r="I1790" i="13" s="1"/>
  <c r="F1789" i="13"/>
  <c r="I1789" i="13" s="1"/>
  <c r="F1788" i="13"/>
  <c r="I1788" i="13" s="1"/>
  <c r="F1787" i="13"/>
  <c r="I1787" i="13" s="1"/>
  <c r="F1786" i="13"/>
  <c r="F1784" i="13"/>
  <c r="I1784" i="13" s="1"/>
  <c r="F1783" i="13"/>
  <c r="I1783" i="13" s="1"/>
  <c r="F1782" i="13"/>
  <c r="I1782" i="13" s="1"/>
  <c r="F1781" i="13"/>
  <c r="F1778" i="13"/>
  <c r="I1778" i="13" s="1"/>
  <c r="F1777" i="13"/>
  <c r="I1777" i="13" s="1"/>
  <c r="F1776" i="13"/>
  <c r="F1774" i="13"/>
  <c r="I1774" i="13" s="1"/>
  <c r="F1773" i="13"/>
  <c r="I1773" i="13" s="1"/>
  <c r="F1772" i="13"/>
  <c r="I1772" i="13" s="1"/>
  <c r="F1771" i="13"/>
  <c r="I1771" i="13" s="1"/>
  <c r="F1770" i="13"/>
  <c r="I1770" i="13" s="1"/>
  <c r="F1769" i="13"/>
  <c r="I1769" i="13" s="1"/>
  <c r="F1768" i="13"/>
  <c r="F1766" i="13"/>
  <c r="I1766" i="13" s="1"/>
  <c r="F1765" i="13"/>
  <c r="I1765" i="13" s="1"/>
  <c r="F1764" i="13"/>
  <c r="I1764" i="13" s="1"/>
  <c r="F1763" i="13"/>
  <c r="I1763" i="13" s="1"/>
  <c r="F1762" i="13"/>
  <c r="I1762" i="13" s="1"/>
  <c r="F1761" i="13"/>
  <c r="I1761" i="13" s="1"/>
  <c r="F1760" i="13"/>
  <c r="F1767" i="13" s="1"/>
  <c r="F1758" i="13"/>
  <c r="I1758" i="13" s="1"/>
  <c r="F1757" i="13"/>
  <c r="I1757" i="13" s="1"/>
  <c r="F1756" i="13"/>
  <c r="I1756" i="13" s="1"/>
  <c r="F1755" i="13"/>
  <c r="I1755" i="13" s="1"/>
  <c r="F1754" i="13"/>
  <c r="I1754" i="13" s="1"/>
  <c r="F1753" i="13"/>
  <c r="I1753" i="13" s="1"/>
  <c r="F1752" i="13"/>
  <c r="F1750" i="13"/>
  <c r="I1750" i="13" s="1"/>
  <c r="F1749" i="13"/>
  <c r="I1749" i="13" s="1"/>
  <c r="F1748" i="13"/>
  <c r="I1748" i="13" s="1"/>
  <c r="F1747" i="13"/>
  <c r="F1751" i="13" s="1"/>
  <c r="F1852" i="1"/>
  <c r="F1853" i="1" s="1"/>
  <c r="I1851" i="1"/>
  <c r="H1851" i="1"/>
  <c r="E1851" i="1"/>
  <c r="G1850" i="1"/>
  <c r="J1850" i="1" s="1"/>
  <c r="G1849" i="1"/>
  <c r="J1849" i="1" s="1"/>
  <c r="I1848" i="1"/>
  <c r="H1848" i="1"/>
  <c r="E1848" i="1"/>
  <c r="G1847" i="1"/>
  <c r="J1847" i="1" s="1"/>
  <c r="J1846" i="1"/>
  <c r="G1846" i="1"/>
  <c r="G1845" i="1"/>
  <c r="J1845" i="1" s="1"/>
  <c r="I1844" i="1"/>
  <c r="H1844" i="1"/>
  <c r="G1843" i="1"/>
  <c r="J1843" i="1" s="1"/>
  <c r="G1842" i="1"/>
  <c r="J1842" i="1" s="1"/>
  <c r="J1841" i="1"/>
  <c r="G1841" i="1"/>
  <c r="E1841" i="1"/>
  <c r="E1844" i="1" s="1"/>
  <c r="G1840" i="1"/>
  <c r="J1840" i="1" s="1"/>
  <c r="G1839" i="1"/>
  <c r="I1838" i="1"/>
  <c r="H1838" i="1"/>
  <c r="E1838" i="1"/>
  <c r="J1837" i="1"/>
  <c r="G1837" i="1"/>
  <c r="G1836" i="1"/>
  <c r="I1835" i="1"/>
  <c r="H1835" i="1"/>
  <c r="E1835" i="1"/>
  <c r="J1834" i="1"/>
  <c r="G1834" i="1"/>
  <c r="G1833" i="1"/>
  <c r="J1833" i="1" s="1"/>
  <c r="G1832" i="1"/>
  <c r="J1832" i="1" s="1"/>
  <c r="G1831" i="1"/>
  <c r="I1830" i="1"/>
  <c r="H1830" i="1"/>
  <c r="E1830" i="1"/>
  <c r="J1829" i="1"/>
  <c r="G1829" i="1"/>
  <c r="G1828" i="1"/>
  <c r="J1828" i="1" s="1"/>
  <c r="G1827" i="1"/>
  <c r="J1827" i="1" s="1"/>
  <c r="F1825" i="1"/>
  <c r="F1826" i="1" s="1"/>
  <c r="G1824" i="1"/>
  <c r="J1824" i="1" s="1"/>
  <c r="I1822" i="1"/>
  <c r="H1822" i="1"/>
  <c r="E1822" i="1"/>
  <c r="E1823" i="1" s="1"/>
  <c r="G1821" i="1"/>
  <c r="J1821" i="1" s="1"/>
  <c r="G1820" i="1"/>
  <c r="J1820" i="1" s="1"/>
  <c r="G1819" i="1"/>
  <c r="J1819" i="1" s="1"/>
  <c r="G1818" i="1"/>
  <c r="J1818" i="1" s="1"/>
  <c r="G1817" i="1"/>
  <c r="J1817" i="1" s="1"/>
  <c r="G1816" i="1"/>
  <c r="I1815" i="1"/>
  <c r="I1823" i="1" s="1"/>
  <c r="H1815" i="1"/>
  <c r="E1815" i="1"/>
  <c r="G1814" i="1"/>
  <c r="J1814" i="1" s="1"/>
  <c r="G1813" i="1"/>
  <c r="J1813" i="1" s="1"/>
  <c r="G1812" i="1"/>
  <c r="F1811" i="1"/>
  <c r="I1810" i="1"/>
  <c r="I1811" i="1" s="1"/>
  <c r="H1810" i="1"/>
  <c r="E1810" i="1"/>
  <c r="J1809" i="1"/>
  <c r="G1809" i="1"/>
  <c r="J1808" i="1"/>
  <c r="G1807" i="1"/>
  <c r="J1807" i="1" s="1"/>
  <c r="G1806" i="1"/>
  <c r="J1806" i="1" s="1"/>
  <c r="G1805" i="1"/>
  <c r="J1805" i="1" s="1"/>
  <c r="G1804" i="1"/>
  <c r="J1804" i="1" s="1"/>
  <c r="G1803" i="1"/>
  <c r="I1802" i="1"/>
  <c r="H1802" i="1"/>
  <c r="H1811" i="1" s="1"/>
  <c r="E1802" i="1"/>
  <c r="G1801" i="1"/>
  <c r="J1801" i="1" s="1"/>
  <c r="G1800" i="1"/>
  <c r="J1800" i="1" s="1"/>
  <c r="G1799" i="1"/>
  <c r="J1799" i="1" s="1"/>
  <c r="G1798" i="1"/>
  <c r="J1798" i="1" s="1"/>
  <c r="G1797" i="1"/>
  <c r="J1797" i="1" s="1"/>
  <c r="G1796" i="1"/>
  <c r="J1796" i="1" s="1"/>
  <c r="G1795" i="1"/>
  <c r="J1795" i="1" s="1"/>
  <c r="G1794" i="1"/>
  <c r="J1794" i="1" s="1"/>
  <c r="G1793" i="1"/>
  <c r="J1793" i="1" s="1"/>
  <c r="G1792" i="1"/>
  <c r="F1790" i="1"/>
  <c r="I1789" i="1"/>
  <c r="M1789" i="1" s="1"/>
  <c r="H1789" i="1"/>
  <c r="L1789" i="1" s="1"/>
  <c r="E1789" i="1"/>
  <c r="E1790" i="1" s="1"/>
  <c r="G1788" i="1"/>
  <c r="J1788" i="1" s="1"/>
  <c r="G1787" i="1"/>
  <c r="J1787" i="1" s="1"/>
  <c r="G1786" i="1"/>
  <c r="J1786" i="1" s="1"/>
  <c r="G1785" i="1"/>
  <c r="J1785" i="1" s="1"/>
  <c r="G1784" i="1"/>
  <c r="J1784" i="1" s="1"/>
  <c r="G1783" i="1"/>
  <c r="J1783" i="1" s="1"/>
  <c r="G1782" i="1"/>
  <c r="J1782" i="1" s="1"/>
  <c r="G1781" i="1"/>
  <c r="J1781" i="1" s="1"/>
  <c r="G1780" i="1"/>
  <c r="G1789" i="1" s="1"/>
  <c r="I1779" i="1"/>
  <c r="I1790" i="1" s="1"/>
  <c r="H1779" i="1"/>
  <c r="E1779" i="1"/>
  <c r="G1778" i="1"/>
  <c r="J1778" i="1" s="1"/>
  <c r="G1777" i="1"/>
  <c r="J1777" i="1" s="1"/>
  <c r="G1776" i="1"/>
  <c r="J1776" i="1" s="1"/>
  <c r="G1775" i="1"/>
  <c r="J1775" i="1" s="1"/>
  <c r="I1773" i="1"/>
  <c r="H1773" i="1"/>
  <c r="E1773" i="1"/>
  <c r="J1772" i="1"/>
  <c r="G1772" i="1"/>
  <c r="G1771" i="1"/>
  <c r="J1771" i="1" s="1"/>
  <c r="J1770" i="1"/>
  <c r="G1770" i="1"/>
  <c r="G1773" i="1" s="1"/>
  <c r="J1773" i="1" s="1"/>
  <c r="I1769" i="1"/>
  <c r="H1769" i="1"/>
  <c r="F1769" i="1"/>
  <c r="F1774" i="1" s="1"/>
  <c r="F1791" i="1" s="1"/>
  <c r="F1854" i="1" s="1"/>
  <c r="E1769" i="1"/>
  <c r="J1768" i="1"/>
  <c r="G1768" i="1"/>
  <c r="G1767" i="1"/>
  <c r="J1767" i="1" s="1"/>
  <c r="G1766" i="1"/>
  <c r="J1766" i="1" s="1"/>
  <c r="G1765" i="1"/>
  <c r="J1765" i="1" s="1"/>
  <c r="G1764" i="1"/>
  <c r="J1764" i="1" s="1"/>
  <c r="G1763" i="1"/>
  <c r="J1763" i="1" s="1"/>
  <c r="G1762" i="1"/>
  <c r="J1762" i="1" s="1"/>
  <c r="I1761" i="1"/>
  <c r="H1761" i="1"/>
  <c r="E1761" i="1"/>
  <c r="G1760" i="1"/>
  <c r="J1760" i="1" s="1"/>
  <c r="G1759" i="1"/>
  <c r="J1759" i="1" s="1"/>
  <c r="G1758" i="1"/>
  <c r="J1758" i="1" s="1"/>
  <c r="G1757" i="1"/>
  <c r="J1757" i="1" s="1"/>
  <c r="G1756" i="1"/>
  <c r="J1756" i="1" s="1"/>
  <c r="G1755" i="1"/>
  <c r="J1755" i="1" s="1"/>
  <c r="G1754" i="1"/>
  <c r="J1754" i="1" s="1"/>
  <c r="I1753" i="1"/>
  <c r="H1753" i="1"/>
  <c r="E1753" i="1"/>
  <c r="J1752" i="1"/>
  <c r="G1752" i="1"/>
  <c r="G1751" i="1"/>
  <c r="J1751" i="1" s="1"/>
  <c r="J1750" i="1"/>
  <c r="G1750" i="1"/>
  <c r="G1749" i="1"/>
  <c r="J1749" i="1" s="1"/>
  <c r="G1748" i="1"/>
  <c r="J1748" i="1" s="1"/>
  <c r="G1747" i="1"/>
  <c r="J1747" i="1" s="1"/>
  <c r="G1746" i="1"/>
  <c r="G1753" i="1" s="1"/>
  <c r="J1753" i="1" s="1"/>
  <c r="I1745" i="1"/>
  <c r="H1745" i="1"/>
  <c r="E1745" i="1"/>
  <c r="E1774" i="1" s="1"/>
  <c r="G1744" i="1"/>
  <c r="J1744" i="1" s="1"/>
  <c r="G1743" i="1"/>
  <c r="J1743" i="1" s="1"/>
  <c r="G1742" i="1"/>
  <c r="J1742" i="1" s="1"/>
  <c r="G1741" i="1"/>
  <c r="G1745" i="1" s="1"/>
  <c r="E1791" i="1" l="1"/>
  <c r="J1780" i="1"/>
  <c r="H1774" i="1"/>
  <c r="G1815" i="1"/>
  <c r="J1815" i="1" s="1"/>
  <c r="H1823" i="1"/>
  <c r="H1825" i="1" s="1"/>
  <c r="H1826" i="1" s="1"/>
  <c r="F1775" i="13"/>
  <c r="F1808" i="13"/>
  <c r="F1821" i="13"/>
  <c r="C250" i="15"/>
  <c r="I1774" i="1"/>
  <c r="H1852" i="1"/>
  <c r="H1853" i="1" s="1"/>
  <c r="F1759" i="13"/>
  <c r="F1779" i="13"/>
  <c r="F1795" i="13"/>
  <c r="F1828" i="13"/>
  <c r="F1841" i="13"/>
  <c r="F1857" i="13" s="1"/>
  <c r="F1858" i="13" s="1"/>
  <c r="F1844" i="13"/>
  <c r="F1849" i="13"/>
  <c r="D980" i="17"/>
  <c r="E1026" i="17"/>
  <c r="H1524" i="16"/>
  <c r="H1480" i="16"/>
  <c r="H1492" i="16"/>
  <c r="H1487" i="16"/>
  <c r="P1024" i="17"/>
  <c r="P1025" i="17" s="1"/>
  <c r="F1785" i="13"/>
  <c r="F1796" i="13" s="1"/>
  <c r="H1551" i="16"/>
  <c r="I1948" i="13"/>
  <c r="I1949" i="13" s="1"/>
  <c r="F1092" i="17"/>
  <c r="I1092" i="17" s="1"/>
  <c r="I1091" i="17"/>
  <c r="I1976" i="13"/>
  <c r="J1908" i="1"/>
  <c r="G1970" i="1"/>
  <c r="J1970" i="1" s="1"/>
  <c r="J1969" i="1"/>
  <c r="G1942" i="1"/>
  <c r="J1928" i="1"/>
  <c r="I1825" i="1"/>
  <c r="I1826" i="1" s="1"/>
  <c r="J1812" i="1"/>
  <c r="F1816" i="13"/>
  <c r="F1817" i="13" s="1"/>
  <c r="P979" i="17"/>
  <c r="F1780" i="13"/>
  <c r="F1797" i="13" s="1"/>
  <c r="E1494" i="16"/>
  <c r="E1554" i="16" s="1"/>
  <c r="F988" i="17"/>
  <c r="I988" i="17" s="1"/>
  <c r="P988" i="17"/>
  <c r="P989" i="17" s="1"/>
  <c r="P971" i="17"/>
  <c r="F971" i="17"/>
  <c r="I965" i="17"/>
  <c r="F979" i="17"/>
  <c r="I979" i="17" s="1"/>
  <c r="G1026" i="17"/>
  <c r="D1026" i="17"/>
  <c r="I981" i="17"/>
  <c r="F1024" i="17"/>
  <c r="H1026" i="17"/>
  <c r="I1810" i="13"/>
  <c r="I1816" i="13" s="1"/>
  <c r="I1818" i="13"/>
  <c r="I1821" i="13" s="1"/>
  <c r="I1833" i="13"/>
  <c r="I1836" i="13" s="1"/>
  <c r="I1851" i="13"/>
  <c r="I1853" i="13" s="1"/>
  <c r="I1747" i="13"/>
  <c r="I1751" i="13" s="1"/>
  <c r="I1752" i="13"/>
  <c r="I1759" i="13" s="1"/>
  <c r="I1760" i="13"/>
  <c r="I1767" i="13" s="1"/>
  <c r="I1768" i="13"/>
  <c r="I1775" i="13" s="1"/>
  <c r="I1776" i="13"/>
  <c r="I1779" i="13" s="1"/>
  <c r="I1781" i="13"/>
  <c r="I1785" i="13" s="1"/>
  <c r="I1786" i="13"/>
  <c r="I1795" i="13" s="1"/>
  <c r="I1798" i="13"/>
  <c r="I1808" i="13" s="1"/>
  <c r="I1822" i="13"/>
  <c r="I1828" i="13" s="1"/>
  <c r="I1837" i="13"/>
  <c r="I1841" i="13" s="1"/>
  <c r="I1842" i="13"/>
  <c r="I1844" i="13" s="1"/>
  <c r="I1845" i="13"/>
  <c r="I1849" i="13" s="1"/>
  <c r="I1791" i="1"/>
  <c r="J1745" i="1"/>
  <c r="G1769" i="1"/>
  <c r="J1769" i="1" s="1"/>
  <c r="G1779" i="1"/>
  <c r="G1848" i="1"/>
  <c r="J1848" i="1" s="1"/>
  <c r="J1741" i="1"/>
  <c r="J1746" i="1"/>
  <c r="G1761" i="1"/>
  <c r="J1761" i="1" s="1"/>
  <c r="H1790" i="1"/>
  <c r="H1791" i="1" s="1"/>
  <c r="G1802" i="1"/>
  <c r="J1792" i="1"/>
  <c r="G1810" i="1"/>
  <c r="J1810" i="1" s="1"/>
  <c r="J1803" i="1"/>
  <c r="E1811" i="1"/>
  <c r="E1825" i="1" s="1"/>
  <c r="E1826" i="1" s="1"/>
  <c r="G1844" i="1"/>
  <c r="J1844" i="1" s="1"/>
  <c r="J1839" i="1"/>
  <c r="G1822" i="1"/>
  <c r="J1822" i="1" s="1"/>
  <c r="J1816" i="1"/>
  <c r="E1852" i="1"/>
  <c r="E1853" i="1" s="1"/>
  <c r="I1852" i="1"/>
  <c r="I1853" i="1" s="1"/>
  <c r="G1835" i="1"/>
  <c r="J1835" i="1" s="1"/>
  <c r="J1831" i="1"/>
  <c r="G1838" i="1"/>
  <c r="J1838" i="1" s="1"/>
  <c r="J1836" i="1"/>
  <c r="G1830" i="1"/>
  <c r="G1851" i="1"/>
  <c r="J1851" i="1" s="1"/>
  <c r="E1854" i="1" l="1"/>
  <c r="F1831" i="13"/>
  <c r="F1832" i="13" s="1"/>
  <c r="H1494" i="16"/>
  <c r="F1829" i="13"/>
  <c r="H1854" i="1"/>
  <c r="P980" i="17"/>
  <c r="P1026" i="17" s="1"/>
  <c r="F989" i="17"/>
  <c r="I989" i="17" s="1"/>
  <c r="I1854" i="1"/>
  <c r="G1943" i="1"/>
  <c r="J1942" i="1"/>
  <c r="F1859" i="13"/>
  <c r="F1025" i="17"/>
  <c r="I1024" i="17"/>
  <c r="F980" i="17"/>
  <c r="I980" i="17" s="1"/>
  <c r="I971" i="17"/>
  <c r="I1780" i="13"/>
  <c r="I1857" i="13"/>
  <c r="I1858" i="13" s="1"/>
  <c r="I1817" i="13"/>
  <c r="I1796" i="13"/>
  <c r="I1829" i="13"/>
  <c r="G1811" i="1"/>
  <c r="J1802" i="1"/>
  <c r="G1774" i="1"/>
  <c r="G1852" i="1"/>
  <c r="J1830" i="1"/>
  <c r="G1823" i="1"/>
  <c r="J1823" i="1" s="1"/>
  <c r="J1779" i="1"/>
  <c r="G1790" i="1"/>
  <c r="C234" i="15"/>
  <c r="E233" i="15"/>
  <c r="C231" i="15"/>
  <c r="E230" i="15"/>
  <c r="C228" i="15"/>
  <c r="C235" i="15" s="1"/>
  <c r="E227" i="15"/>
  <c r="H1458" i="16"/>
  <c r="F1458" i="16"/>
  <c r="I1458" i="16" s="1"/>
  <c r="I1459" i="16" s="1"/>
  <c r="H1456" i="16"/>
  <c r="H1455" i="16"/>
  <c r="H1454" i="16"/>
  <c r="I1454" i="16" s="1"/>
  <c r="H1453" i="16"/>
  <c r="H1452" i="16"/>
  <c r="H1451" i="16"/>
  <c r="H1450" i="16"/>
  <c r="H1449" i="16"/>
  <c r="H1448" i="16"/>
  <c r="H1447" i="16"/>
  <c r="H1446" i="16"/>
  <c r="H1445" i="16"/>
  <c r="H1444" i="16"/>
  <c r="H1443" i="16"/>
  <c r="H1442" i="16"/>
  <c r="H1441" i="16"/>
  <c r="H1440" i="16"/>
  <c r="H1439" i="16"/>
  <c r="H1438" i="16"/>
  <c r="H1437" i="16"/>
  <c r="H1436" i="16"/>
  <c r="H1435" i="16"/>
  <c r="H1434" i="16"/>
  <c r="H1433" i="16"/>
  <c r="E1457" i="16"/>
  <c r="H1431" i="16"/>
  <c r="E1430" i="16"/>
  <c r="H1429" i="16"/>
  <c r="H1428" i="16"/>
  <c r="H1427" i="16"/>
  <c r="H1426" i="16"/>
  <c r="H1425" i="16"/>
  <c r="H1424" i="16"/>
  <c r="H1423" i="16"/>
  <c r="H1422" i="16"/>
  <c r="H1421" i="16"/>
  <c r="H1420" i="16"/>
  <c r="H1419" i="16"/>
  <c r="H1418" i="16"/>
  <c r="H1417" i="16"/>
  <c r="H1416" i="16"/>
  <c r="H1415" i="16"/>
  <c r="H1414" i="16"/>
  <c r="H1413" i="16"/>
  <c r="H1412" i="16"/>
  <c r="H1411" i="16"/>
  <c r="H1410" i="16"/>
  <c r="H1409" i="16"/>
  <c r="H1408" i="16"/>
  <c r="H1407" i="16"/>
  <c r="H1406" i="16"/>
  <c r="H1405" i="16"/>
  <c r="H1404" i="16"/>
  <c r="H1403" i="16"/>
  <c r="H1402" i="16"/>
  <c r="H1401" i="16"/>
  <c r="E1398" i="16"/>
  <c r="H1397" i="16"/>
  <c r="H1396" i="16"/>
  <c r="H1395" i="16"/>
  <c r="H1394" i="16"/>
  <c r="E1393" i="16"/>
  <c r="H1392" i="16"/>
  <c r="H1391" i="16"/>
  <c r="H1390" i="16"/>
  <c r="H1389" i="16"/>
  <c r="H1388" i="16"/>
  <c r="H1387" i="16"/>
  <c r="E1386" i="16"/>
  <c r="H1385" i="16"/>
  <c r="H1384" i="16"/>
  <c r="H1383" i="16"/>
  <c r="H1382" i="16"/>
  <c r="H1381" i="16"/>
  <c r="H1380" i="16"/>
  <c r="H1379" i="16"/>
  <c r="H1378" i="16"/>
  <c r="H1377" i="16"/>
  <c r="H1376" i="16"/>
  <c r="H1375" i="16"/>
  <c r="H1374" i="16"/>
  <c r="H1373" i="16"/>
  <c r="H1372" i="16"/>
  <c r="H1371" i="16"/>
  <c r="E959" i="17"/>
  <c r="H958" i="17"/>
  <c r="H959" i="17" s="1"/>
  <c r="G958" i="17"/>
  <c r="G959" i="17" s="1"/>
  <c r="D958" i="17"/>
  <c r="D959" i="17" s="1"/>
  <c r="P957" i="17"/>
  <c r="F957" i="17"/>
  <c r="I957" i="17" s="1"/>
  <c r="P956" i="17"/>
  <c r="F956" i="17"/>
  <c r="I956" i="17" s="1"/>
  <c r="P953" i="17"/>
  <c r="F953" i="17"/>
  <c r="I953" i="17" s="1"/>
  <c r="P952" i="17"/>
  <c r="F952" i="17"/>
  <c r="I952" i="17" s="1"/>
  <c r="P951" i="17"/>
  <c r="F951" i="17"/>
  <c r="I951" i="17" s="1"/>
  <c r="P950" i="17"/>
  <c r="F950" i="17"/>
  <c r="I950" i="17" s="1"/>
  <c r="P949" i="17"/>
  <c r="F949" i="17"/>
  <c r="I949" i="17" s="1"/>
  <c r="P948" i="17"/>
  <c r="F948" i="17"/>
  <c r="I948" i="17" s="1"/>
  <c r="P947" i="17"/>
  <c r="F947" i="17"/>
  <c r="I947" i="17" s="1"/>
  <c r="P946" i="17"/>
  <c r="F946" i="17"/>
  <c r="I946" i="17" s="1"/>
  <c r="P945" i="17"/>
  <c r="F945" i="17"/>
  <c r="I945" i="17" s="1"/>
  <c r="P944" i="17"/>
  <c r="F944" i="17"/>
  <c r="I944" i="17" s="1"/>
  <c r="P943" i="17"/>
  <c r="F943" i="17"/>
  <c r="I943" i="17" s="1"/>
  <c r="P942" i="17"/>
  <c r="F942" i="17"/>
  <c r="I942" i="17" s="1"/>
  <c r="P941" i="17"/>
  <c r="F941" i="17"/>
  <c r="I941" i="17" s="1"/>
  <c r="P940" i="17"/>
  <c r="F940" i="17"/>
  <c r="I940" i="17" s="1"/>
  <c r="P939" i="17"/>
  <c r="F939" i="17"/>
  <c r="I939" i="17" s="1"/>
  <c r="P938" i="17"/>
  <c r="F938" i="17"/>
  <c r="I938" i="17" s="1"/>
  <c r="P937" i="17"/>
  <c r="F937" i="17"/>
  <c r="I937" i="17" s="1"/>
  <c r="P936" i="17"/>
  <c r="F936" i="17"/>
  <c r="I936" i="17" s="1"/>
  <c r="P935" i="17"/>
  <c r="F935" i="17"/>
  <c r="I935" i="17" s="1"/>
  <c r="P934" i="17"/>
  <c r="F934" i="17"/>
  <c r="I934" i="17" s="1"/>
  <c r="P933" i="17"/>
  <c r="F933" i="17"/>
  <c r="I933" i="17" s="1"/>
  <c r="P932" i="17"/>
  <c r="F932" i="17"/>
  <c r="I932" i="17" s="1"/>
  <c r="P931" i="17"/>
  <c r="F931" i="17"/>
  <c r="I931" i="17" s="1"/>
  <c r="P930" i="17"/>
  <c r="F930" i="17"/>
  <c r="I930" i="17" s="1"/>
  <c r="P929" i="17"/>
  <c r="F929" i="17"/>
  <c r="I929" i="17" s="1"/>
  <c r="P928" i="17"/>
  <c r="F928" i="17"/>
  <c r="I928" i="17" s="1"/>
  <c r="P927" i="17"/>
  <c r="F927" i="17"/>
  <c r="I927" i="17" s="1"/>
  <c r="P926" i="17"/>
  <c r="F926" i="17"/>
  <c r="I926" i="17" s="1"/>
  <c r="P925" i="17"/>
  <c r="F925" i="17"/>
  <c r="I925" i="17" s="1"/>
  <c r="P924" i="17"/>
  <c r="F924" i="17"/>
  <c r="I924" i="17" s="1"/>
  <c r="E923" i="17"/>
  <c r="D923" i="17"/>
  <c r="H922" i="17"/>
  <c r="H923" i="17" s="1"/>
  <c r="G922" i="17"/>
  <c r="G923" i="17" s="1"/>
  <c r="P921" i="17"/>
  <c r="F921" i="17"/>
  <c r="I921" i="17" s="1"/>
  <c r="P920" i="17"/>
  <c r="F920" i="17"/>
  <c r="I920" i="17" s="1"/>
  <c r="P919" i="17"/>
  <c r="F919" i="17"/>
  <c r="I919" i="17" s="1"/>
  <c r="P918" i="17"/>
  <c r="F918" i="17"/>
  <c r="I918" i="17" s="1"/>
  <c r="P917" i="17"/>
  <c r="F917" i="17"/>
  <c r="I917" i="17" s="1"/>
  <c r="P916" i="17"/>
  <c r="F916" i="17"/>
  <c r="I916" i="17" s="1"/>
  <c r="P915" i="17"/>
  <c r="F915" i="17"/>
  <c r="E914" i="17"/>
  <c r="H913" i="17"/>
  <c r="G913" i="17"/>
  <c r="D913" i="17"/>
  <c r="P912" i="17"/>
  <c r="F912" i="17"/>
  <c r="I912" i="17" s="1"/>
  <c r="P911" i="17"/>
  <c r="F911" i="17"/>
  <c r="I911" i="17" s="1"/>
  <c r="P910" i="17"/>
  <c r="F910" i="17"/>
  <c r="I910" i="17" s="1"/>
  <c r="P909" i="17"/>
  <c r="F909" i="17"/>
  <c r="I909" i="17" s="1"/>
  <c r="P908" i="17"/>
  <c r="F908" i="17"/>
  <c r="I908" i="17" s="1"/>
  <c r="P907" i="17"/>
  <c r="F907" i="17"/>
  <c r="I907" i="17" s="1"/>
  <c r="P906" i="17"/>
  <c r="F906" i="17"/>
  <c r="I906" i="17" s="1"/>
  <c r="H905" i="17"/>
  <c r="G905" i="17"/>
  <c r="G914" i="17" s="1"/>
  <c r="D905" i="17"/>
  <c r="D914" i="17" s="1"/>
  <c r="P904" i="17"/>
  <c r="F904" i="17"/>
  <c r="I904" i="17" s="1"/>
  <c r="P903" i="17"/>
  <c r="F903" i="17"/>
  <c r="I903" i="17" s="1"/>
  <c r="P902" i="17"/>
  <c r="F902" i="17"/>
  <c r="I902" i="17" s="1"/>
  <c r="P901" i="17"/>
  <c r="F901" i="17"/>
  <c r="I901" i="17" s="1"/>
  <c r="P900" i="17"/>
  <c r="P899" i="17"/>
  <c r="F899" i="17"/>
  <c r="F1739" i="13"/>
  <c r="F1738" i="13"/>
  <c r="I1738" i="13" s="1"/>
  <c r="F1737" i="13"/>
  <c r="I1737" i="13" s="1"/>
  <c r="I1739" i="13" s="1"/>
  <c r="F1735" i="13"/>
  <c r="I1735" i="13" s="1"/>
  <c r="F1734" i="13"/>
  <c r="F1736" i="13" s="1"/>
  <c r="F1733" i="13"/>
  <c r="I1733" i="13" s="1"/>
  <c r="F1731" i="13"/>
  <c r="I1731" i="13" s="1"/>
  <c r="F1730" i="13"/>
  <c r="I1730" i="13" s="1"/>
  <c r="F1729" i="13"/>
  <c r="I1729" i="13" s="1"/>
  <c r="F1728" i="13"/>
  <c r="F1726" i="13"/>
  <c r="I1726" i="13" s="1"/>
  <c r="F1725" i="13"/>
  <c r="F1723" i="13"/>
  <c r="I1723" i="13" s="1"/>
  <c r="F1722" i="13"/>
  <c r="I1722" i="13" s="1"/>
  <c r="F1721" i="13"/>
  <c r="I1721" i="13" s="1"/>
  <c r="F1720" i="13"/>
  <c r="F1718" i="13"/>
  <c r="I1718" i="13" s="1"/>
  <c r="F1717" i="13"/>
  <c r="I1717" i="13" s="1"/>
  <c r="F1716" i="13"/>
  <c r="F1719" i="13" s="1"/>
  <c r="F1713" i="13"/>
  <c r="I1713" i="13" s="1"/>
  <c r="F1710" i="13"/>
  <c r="I1710" i="13" s="1"/>
  <c r="F1709" i="13"/>
  <c r="I1709" i="13" s="1"/>
  <c r="F1708" i="13"/>
  <c r="I1708" i="13" s="1"/>
  <c r="F1707" i="13"/>
  <c r="I1707" i="13" s="1"/>
  <c r="F1706" i="13"/>
  <c r="I1706" i="13" s="1"/>
  <c r="F1705" i="13"/>
  <c r="F1711" i="13" s="1"/>
  <c r="F1703" i="13"/>
  <c r="I1703" i="13" s="1"/>
  <c r="F1702" i="13"/>
  <c r="I1702" i="13" s="1"/>
  <c r="F1701" i="13"/>
  <c r="F1704" i="13" s="1"/>
  <c r="F1698" i="13"/>
  <c r="I1698" i="13" s="1"/>
  <c r="F1697" i="13"/>
  <c r="I1697" i="13" s="1"/>
  <c r="F1696" i="13"/>
  <c r="I1696" i="13" s="1"/>
  <c r="F1695" i="13"/>
  <c r="I1695" i="13" s="1"/>
  <c r="F1694" i="13"/>
  <c r="I1694" i="13" s="1"/>
  <c r="F1693" i="13"/>
  <c r="F1699" i="13" s="1"/>
  <c r="F1692" i="13"/>
  <c r="I1692" i="13" s="1"/>
  <c r="F1690" i="13"/>
  <c r="I1690" i="13" s="1"/>
  <c r="F1689" i="13"/>
  <c r="I1689" i="13" s="1"/>
  <c r="F1688" i="13"/>
  <c r="I1688" i="13" s="1"/>
  <c r="F1687" i="13"/>
  <c r="I1687" i="13" s="1"/>
  <c r="F1686" i="13"/>
  <c r="I1686" i="13" s="1"/>
  <c r="F1685" i="13"/>
  <c r="I1685" i="13" s="1"/>
  <c r="F1684" i="13"/>
  <c r="I1684" i="13" s="1"/>
  <c r="F1683" i="13"/>
  <c r="I1683" i="13" s="1"/>
  <c r="F1682" i="13"/>
  <c r="I1682" i="13" s="1"/>
  <c r="F1681" i="13"/>
  <c r="F1677" i="13"/>
  <c r="I1677" i="13" s="1"/>
  <c r="F1676" i="13"/>
  <c r="I1676" i="13" s="1"/>
  <c r="F1675" i="13"/>
  <c r="I1675" i="13" s="1"/>
  <c r="F1674" i="13"/>
  <c r="I1674" i="13" s="1"/>
  <c r="F1673" i="13"/>
  <c r="I1673" i="13" s="1"/>
  <c r="F1672" i="13"/>
  <c r="I1672" i="13" s="1"/>
  <c r="F1671" i="13"/>
  <c r="I1671" i="13" s="1"/>
  <c r="F1670" i="13"/>
  <c r="I1670" i="13" s="1"/>
  <c r="F1669" i="13"/>
  <c r="F1678" i="13" s="1"/>
  <c r="F1667" i="13"/>
  <c r="I1667" i="13" s="1"/>
  <c r="F1666" i="13"/>
  <c r="I1666" i="13" s="1"/>
  <c r="F1665" i="13"/>
  <c r="I1665" i="13" s="1"/>
  <c r="F1664" i="13"/>
  <c r="F1661" i="13"/>
  <c r="I1661" i="13" s="1"/>
  <c r="F1660" i="13"/>
  <c r="I1660" i="13" s="1"/>
  <c r="F1659" i="13"/>
  <c r="F1662" i="13" s="1"/>
  <c r="F1657" i="13"/>
  <c r="I1657" i="13" s="1"/>
  <c r="F1656" i="13"/>
  <c r="I1656" i="13" s="1"/>
  <c r="F1655" i="13"/>
  <c r="I1655" i="13" s="1"/>
  <c r="F1654" i="13"/>
  <c r="I1654" i="13" s="1"/>
  <c r="F1653" i="13"/>
  <c r="I1653" i="13" s="1"/>
  <c r="F1652" i="13"/>
  <c r="I1652" i="13" s="1"/>
  <c r="F1651" i="13"/>
  <c r="F1649" i="13"/>
  <c r="I1649" i="13" s="1"/>
  <c r="F1648" i="13"/>
  <c r="I1648" i="13" s="1"/>
  <c r="F1647" i="13"/>
  <c r="I1647" i="13" s="1"/>
  <c r="F1646" i="13"/>
  <c r="I1646" i="13" s="1"/>
  <c r="F1645" i="13"/>
  <c r="I1645" i="13" s="1"/>
  <c r="F1644" i="13"/>
  <c r="I1644" i="13" s="1"/>
  <c r="F1643" i="13"/>
  <c r="F1641" i="13"/>
  <c r="I1641" i="13" s="1"/>
  <c r="F1640" i="13"/>
  <c r="I1640" i="13" s="1"/>
  <c r="F1639" i="13"/>
  <c r="I1639" i="13" s="1"/>
  <c r="F1638" i="13"/>
  <c r="I1638" i="13" s="1"/>
  <c r="F1637" i="13"/>
  <c r="I1637" i="13" s="1"/>
  <c r="F1636" i="13"/>
  <c r="I1636" i="13" s="1"/>
  <c r="F1635" i="13"/>
  <c r="F1633" i="13"/>
  <c r="I1633" i="13" s="1"/>
  <c r="F1632" i="13"/>
  <c r="I1632" i="13" s="1"/>
  <c r="F1631" i="13"/>
  <c r="I1631" i="13" s="1"/>
  <c r="F1630" i="13"/>
  <c r="F1634" i="13" s="1"/>
  <c r="F1735" i="1"/>
  <c r="F1736" i="1" s="1"/>
  <c r="I1734" i="1"/>
  <c r="H1734" i="1"/>
  <c r="E1734" i="1"/>
  <c r="G1733" i="1"/>
  <c r="J1733" i="1" s="1"/>
  <c r="G1732" i="1"/>
  <c r="J1732" i="1" s="1"/>
  <c r="I1731" i="1"/>
  <c r="H1731" i="1"/>
  <c r="E1731" i="1"/>
  <c r="G1730" i="1"/>
  <c r="J1730" i="1" s="1"/>
  <c r="J1729" i="1"/>
  <c r="G1729" i="1"/>
  <c r="G1728" i="1"/>
  <c r="J1728" i="1" s="1"/>
  <c r="I1727" i="1"/>
  <c r="H1727" i="1"/>
  <c r="G1726" i="1"/>
  <c r="J1726" i="1" s="1"/>
  <c r="G1725" i="1"/>
  <c r="J1725" i="1" s="1"/>
  <c r="G1724" i="1"/>
  <c r="J1724" i="1" s="1"/>
  <c r="E1724" i="1"/>
  <c r="E1727" i="1" s="1"/>
  <c r="J1723" i="1"/>
  <c r="G1723" i="1"/>
  <c r="G1722" i="1"/>
  <c r="I1721" i="1"/>
  <c r="H1721" i="1"/>
  <c r="E1721" i="1"/>
  <c r="G1720" i="1"/>
  <c r="J1720" i="1" s="1"/>
  <c r="G1719" i="1"/>
  <c r="I1718" i="1"/>
  <c r="H1718" i="1"/>
  <c r="E1718" i="1"/>
  <c r="J1717" i="1"/>
  <c r="G1717" i="1"/>
  <c r="G1716" i="1"/>
  <c r="J1716" i="1" s="1"/>
  <c r="G1715" i="1"/>
  <c r="J1715" i="1" s="1"/>
  <c r="G1714" i="1"/>
  <c r="I1713" i="1"/>
  <c r="H1713" i="1"/>
  <c r="H1735" i="1" s="1"/>
  <c r="H1736" i="1" s="1"/>
  <c r="E1713" i="1"/>
  <c r="J1712" i="1"/>
  <c r="G1712" i="1"/>
  <c r="G1711" i="1"/>
  <c r="J1711" i="1" s="1"/>
  <c r="J1710" i="1"/>
  <c r="G1710" i="1"/>
  <c r="G1707" i="1"/>
  <c r="J1707" i="1" s="1"/>
  <c r="I1705" i="1"/>
  <c r="H1705" i="1"/>
  <c r="E1705" i="1"/>
  <c r="G1704" i="1"/>
  <c r="J1704" i="1" s="1"/>
  <c r="G1703" i="1"/>
  <c r="J1703" i="1" s="1"/>
  <c r="G1702" i="1"/>
  <c r="J1702" i="1" s="1"/>
  <c r="G1701" i="1"/>
  <c r="J1701" i="1" s="1"/>
  <c r="G1700" i="1"/>
  <c r="J1700" i="1" s="1"/>
  <c r="G1699" i="1"/>
  <c r="I1698" i="1"/>
  <c r="I1706" i="1" s="1"/>
  <c r="H1698" i="1"/>
  <c r="H1706" i="1" s="1"/>
  <c r="E1698" i="1"/>
  <c r="G1697" i="1"/>
  <c r="J1697" i="1" s="1"/>
  <c r="G1696" i="1"/>
  <c r="J1696" i="1" s="1"/>
  <c r="G1695" i="1"/>
  <c r="J1695" i="1" s="1"/>
  <c r="F1694" i="1"/>
  <c r="F1708" i="1" s="1"/>
  <c r="F1709" i="1" s="1"/>
  <c r="I1693" i="1"/>
  <c r="H1693" i="1"/>
  <c r="E1693" i="1"/>
  <c r="G1692" i="1"/>
  <c r="J1692" i="1" s="1"/>
  <c r="J1691" i="1"/>
  <c r="J1690" i="1"/>
  <c r="G1690" i="1"/>
  <c r="G1689" i="1"/>
  <c r="J1689" i="1" s="1"/>
  <c r="J1688" i="1"/>
  <c r="G1688" i="1"/>
  <c r="G1687" i="1"/>
  <c r="J1687" i="1" s="1"/>
  <c r="J1686" i="1"/>
  <c r="G1686" i="1"/>
  <c r="G1693" i="1" s="1"/>
  <c r="J1693" i="1" s="1"/>
  <c r="I1685" i="1"/>
  <c r="H1685" i="1"/>
  <c r="H1694" i="1" s="1"/>
  <c r="E1685" i="1"/>
  <c r="G1684" i="1"/>
  <c r="J1684" i="1" s="1"/>
  <c r="J1683" i="1"/>
  <c r="G1683" i="1"/>
  <c r="G1682" i="1"/>
  <c r="J1682" i="1" s="1"/>
  <c r="J1681" i="1"/>
  <c r="G1681" i="1"/>
  <c r="G1680" i="1"/>
  <c r="J1680" i="1" s="1"/>
  <c r="J1679" i="1"/>
  <c r="G1679" i="1"/>
  <c r="G1678" i="1"/>
  <c r="J1678" i="1" s="1"/>
  <c r="J1677" i="1"/>
  <c r="G1677" i="1"/>
  <c r="G1676" i="1"/>
  <c r="J1676" i="1" s="1"/>
  <c r="J1675" i="1"/>
  <c r="G1675" i="1"/>
  <c r="G1685" i="1" s="1"/>
  <c r="F1673" i="1"/>
  <c r="I1672" i="1"/>
  <c r="M1672" i="1" s="1"/>
  <c r="H1672" i="1"/>
  <c r="L1672" i="1" s="1"/>
  <c r="E1672" i="1"/>
  <c r="G1671" i="1"/>
  <c r="J1671" i="1" s="1"/>
  <c r="J1670" i="1"/>
  <c r="G1670" i="1"/>
  <c r="G1669" i="1"/>
  <c r="J1669" i="1" s="1"/>
  <c r="J1668" i="1"/>
  <c r="G1668" i="1"/>
  <c r="G1667" i="1"/>
  <c r="J1667" i="1" s="1"/>
  <c r="J1666" i="1"/>
  <c r="G1666" i="1"/>
  <c r="G1665" i="1"/>
  <c r="J1665" i="1" s="1"/>
  <c r="J1664" i="1"/>
  <c r="G1664" i="1"/>
  <c r="G1663" i="1"/>
  <c r="G1672" i="1" s="1"/>
  <c r="I1662" i="1"/>
  <c r="I1673" i="1" s="1"/>
  <c r="H1662" i="1"/>
  <c r="E1662" i="1"/>
  <c r="E1673" i="1" s="1"/>
  <c r="G1661" i="1"/>
  <c r="J1661" i="1" s="1"/>
  <c r="G1660" i="1"/>
  <c r="J1660" i="1" s="1"/>
  <c r="G1659" i="1"/>
  <c r="J1659" i="1" s="1"/>
  <c r="G1658" i="1"/>
  <c r="G1662" i="1" s="1"/>
  <c r="I1656" i="1"/>
  <c r="H1656" i="1"/>
  <c r="E1656" i="1"/>
  <c r="G1655" i="1"/>
  <c r="J1655" i="1" s="1"/>
  <c r="J1654" i="1"/>
  <c r="G1654" i="1"/>
  <c r="G1653" i="1"/>
  <c r="G1656" i="1" s="1"/>
  <c r="J1656" i="1" s="1"/>
  <c r="I1652" i="1"/>
  <c r="H1652" i="1"/>
  <c r="F1652" i="1"/>
  <c r="F1657" i="1" s="1"/>
  <c r="F1674" i="1" s="1"/>
  <c r="F1737" i="1" s="1"/>
  <c r="E1652" i="1"/>
  <c r="G1651" i="1"/>
  <c r="J1651" i="1" s="1"/>
  <c r="J1650" i="1"/>
  <c r="G1650" i="1"/>
  <c r="G1649" i="1"/>
  <c r="J1649" i="1" s="1"/>
  <c r="J1648" i="1"/>
  <c r="G1648" i="1"/>
  <c r="G1647" i="1"/>
  <c r="J1647" i="1" s="1"/>
  <c r="J1646" i="1"/>
  <c r="G1646" i="1"/>
  <c r="G1645" i="1"/>
  <c r="G1652" i="1" s="1"/>
  <c r="J1652" i="1" s="1"/>
  <c r="I1644" i="1"/>
  <c r="H1644" i="1"/>
  <c r="E1644" i="1"/>
  <c r="G1643" i="1"/>
  <c r="J1643" i="1" s="1"/>
  <c r="G1642" i="1"/>
  <c r="J1642" i="1" s="1"/>
  <c r="G1641" i="1"/>
  <c r="J1641" i="1" s="1"/>
  <c r="G1640" i="1"/>
  <c r="J1640" i="1" s="1"/>
  <c r="G1639" i="1"/>
  <c r="J1639" i="1" s="1"/>
  <c r="G1638" i="1"/>
  <c r="J1638" i="1" s="1"/>
  <c r="G1637" i="1"/>
  <c r="G1644" i="1" s="1"/>
  <c r="J1644" i="1" s="1"/>
  <c r="I1636" i="1"/>
  <c r="H1636" i="1"/>
  <c r="E1636" i="1"/>
  <c r="G1635" i="1"/>
  <c r="J1635" i="1" s="1"/>
  <c r="J1634" i="1"/>
  <c r="G1634" i="1"/>
  <c r="G1633" i="1"/>
  <c r="J1633" i="1" s="1"/>
  <c r="J1632" i="1"/>
  <c r="G1632" i="1"/>
  <c r="G1631" i="1"/>
  <c r="J1631" i="1" s="1"/>
  <c r="J1630" i="1"/>
  <c r="G1630" i="1"/>
  <c r="G1629" i="1"/>
  <c r="G1636" i="1" s="1"/>
  <c r="J1636" i="1" s="1"/>
  <c r="I1628" i="1"/>
  <c r="H1628" i="1"/>
  <c r="E1628" i="1"/>
  <c r="E1657" i="1" s="1"/>
  <c r="E1674" i="1" s="1"/>
  <c r="J1627" i="1"/>
  <c r="G1627" i="1"/>
  <c r="G1626" i="1"/>
  <c r="J1626" i="1" s="1"/>
  <c r="J1625" i="1"/>
  <c r="G1625" i="1"/>
  <c r="G1624" i="1"/>
  <c r="G1628" i="1" s="1"/>
  <c r="I1657" i="1" l="1"/>
  <c r="J1637" i="1"/>
  <c r="H1673" i="1"/>
  <c r="I1694" i="1"/>
  <c r="I1735" i="1"/>
  <c r="I1736" i="1" s="1"/>
  <c r="F1668" i="13"/>
  <c r="F1679" i="13" s="1"/>
  <c r="H1430" i="16"/>
  <c r="G1705" i="1"/>
  <c r="J1705" i="1" s="1"/>
  <c r="G1713" i="1"/>
  <c r="F1642" i="13"/>
  <c r="F1663" i="13" s="1"/>
  <c r="F1680" i="13" s="1"/>
  <c r="F1650" i="13"/>
  <c r="F1658" i="13"/>
  <c r="F1691" i="13"/>
  <c r="F1700" i="13" s="1"/>
  <c r="F1727" i="13"/>
  <c r="F1732" i="13"/>
  <c r="E1706" i="1"/>
  <c r="F1724" i="13"/>
  <c r="F1740" i="13" s="1"/>
  <c r="F1741" i="13" s="1"/>
  <c r="E960" i="17"/>
  <c r="H1386" i="16"/>
  <c r="H1393" i="16"/>
  <c r="H1398" i="16"/>
  <c r="P922" i="17"/>
  <c r="P923" i="17" s="1"/>
  <c r="F905" i="17"/>
  <c r="I905" i="17" s="1"/>
  <c r="P905" i="17"/>
  <c r="I1797" i="13"/>
  <c r="J1943" i="1"/>
  <c r="G1971" i="1"/>
  <c r="J1971" i="1" s="1"/>
  <c r="F1026" i="17"/>
  <c r="I1026" i="17" s="1"/>
  <c r="I1025" i="17"/>
  <c r="I1831" i="13"/>
  <c r="I1832" i="13" s="1"/>
  <c r="I1859" i="13" s="1"/>
  <c r="G1825" i="1"/>
  <c r="J1811" i="1"/>
  <c r="J1790" i="1"/>
  <c r="J1789" i="1"/>
  <c r="G1853" i="1"/>
  <c r="J1853" i="1" s="1"/>
  <c r="J1852" i="1"/>
  <c r="G1791" i="1"/>
  <c r="J1774" i="1"/>
  <c r="H914" i="17"/>
  <c r="I1674" i="1"/>
  <c r="H1657" i="1"/>
  <c r="H1674" i="1" s="1"/>
  <c r="P958" i="17"/>
  <c r="P959" i="17" s="1"/>
  <c r="F922" i="17"/>
  <c r="I922" i="17" s="1"/>
  <c r="I1708" i="1"/>
  <c r="I1709" i="1" s="1"/>
  <c r="I1737" i="1" s="1"/>
  <c r="H1708" i="1"/>
  <c r="H1709" i="1" s="1"/>
  <c r="H1737" i="1" s="1"/>
  <c r="F1712" i="13"/>
  <c r="F1714" i="13"/>
  <c r="F1715" i="13" s="1"/>
  <c r="E1400" i="16"/>
  <c r="E1460" i="16" s="1"/>
  <c r="H1400" i="16"/>
  <c r="H1432" i="16"/>
  <c r="H1457" i="16" s="1"/>
  <c r="P913" i="17"/>
  <c r="G960" i="17"/>
  <c r="D960" i="17"/>
  <c r="F913" i="17"/>
  <c r="I913" i="17" s="1"/>
  <c r="I899" i="17"/>
  <c r="I915" i="17"/>
  <c r="F958" i="17"/>
  <c r="H960" i="17"/>
  <c r="I1693" i="13"/>
  <c r="I1699" i="13" s="1"/>
  <c r="I1701" i="13"/>
  <c r="I1704" i="13" s="1"/>
  <c r="I1716" i="13"/>
  <c r="I1719" i="13" s="1"/>
  <c r="I1734" i="13"/>
  <c r="I1736" i="13" s="1"/>
  <c r="I1630" i="13"/>
  <c r="I1634" i="13" s="1"/>
  <c r="I1635" i="13"/>
  <c r="I1642" i="13" s="1"/>
  <c r="I1643" i="13"/>
  <c r="I1650" i="13" s="1"/>
  <c r="I1651" i="13"/>
  <c r="I1658" i="13" s="1"/>
  <c r="I1659" i="13"/>
  <c r="I1662" i="13" s="1"/>
  <c r="I1664" i="13"/>
  <c r="I1668" i="13" s="1"/>
  <c r="I1669" i="13"/>
  <c r="I1678" i="13" s="1"/>
  <c r="I1681" i="13"/>
  <c r="I1691" i="13" s="1"/>
  <c r="I1705" i="13"/>
  <c r="I1711" i="13" s="1"/>
  <c r="I1720" i="13"/>
  <c r="I1724" i="13" s="1"/>
  <c r="I1725" i="13"/>
  <c r="I1727" i="13" s="1"/>
  <c r="I1728" i="13"/>
  <c r="I1732" i="13" s="1"/>
  <c r="J1628" i="1"/>
  <c r="G1657" i="1"/>
  <c r="J1662" i="1"/>
  <c r="G1673" i="1"/>
  <c r="G1694" i="1"/>
  <c r="J1685" i="1"/>
  <c r="J1624" i="1"/>
  <c r="J1629" i="1"/>
  <c r="J1645" i="1"/>
  <c r="J1653" i="1"/>
  <c r="J1658" i="1"/>
  <c r="J1663" i="1"/>
  <c r="E1694" i="1"/>
  <c r="E1708" i="1" s="1"/>
  <c r="E1709" i="1" s="1"/>
  <c r="E1737" i="1" s="1"/>
  <c r="G1698" i="1"/>
  <c r="J1699" i="1"/>
  <c r="J1713" i="1"/>
  <c r="G1734" i="1"/>
  <c r="J1734" i="1" s="1"/>
  <c r="E1735" i="1"/>
  <c r="E1736" i="1" s="1"/>
  <c r="G1718" i="1"/>
  <c r="J1718" i="1" s="1"/>
  <c r="J1714" i="1"/>
  <c r="G1721" i="1"/>
  <c r="J1721" i="1" s="1"/>
  <c r="J1719" i="1"/>
  <c r="G1727" i="1"/>
  <c r="J1727" i="1" s="1"/>
  <c r="J1722" i="1"/>
  <c r="G1731" i="1"/>
  <c r="J1731" i="1" s="1"/>
  <c r="E1293" i="16"/>
  <c r="I1679" i="13" l="1"/>
  <c r="F923" i="17"/>
  <c r="I923" i="17" s="1"/>
  <c r="P914" i="17"/>
  <c r="F1742" i="13"/>
  <c r="G1826" i="1"/>
  <c r="J1826" i="1" s="1"/>
  <c r="J1825" i="1"/>
  <c r="J1791" i="1"/>
  <c r="P960" i="17"/>
  <c r="F959" i="17"/>
  <c r="I958" i="17"/>
  <c r="F914" i="17"/>
  <c r="I914" i="17" s="1"/>
  <c r="I1700" i="13"/>
  <c r="I1712" i="13"/>
  <c r="I1663" i="13"/>
  <c r="I1680" i="13" s="1"/>
  <c r="I1740" i="13"/>
  <c r="I1741" i="13" s="1"/>
  <c r="J1698" i="1"/>
  <c r="G1706" i="1"/>
  <c r="J1706" i="1" s="1"/>
  <c r="J1694" i="1"/>
  <c r="J1673" i="1"/>
  <c r="J1672" i="1"/>
  <c r="G1674" i="1"/>
  <c r="J1657" i="1"/>
  <c r="G1735" i="1"/>
  <c r="C219" i="15"/>
  <c r="E218" i="15"/>
  <c r="C216" i="15"/>
  <c r="C220" i="15" s="1"/>
  <c r="E215" i="15"/>
  <c r="C213" i="15"/>
  <c r="E212" i="15"/>
  <c r="E1338" i="16"/>
  <c r="E1342" i="16"/>
  <c r="H1364" i="16"/>
  <c r="F1364" i="16"/>
  <c r="I1364" i="16" s="1"/>
  <c r="I1365" i="16" s="1"/>
  <c r="E1363" i="16"/>
  <c r="H1362" i="16"/>
  <c r="H1361" i="16"/>
  <c r="H1360" i="16"/>
  <c r="I1360" i="16" s="1"/>
  <c r="H1359" i="16"/>
  <c r="H1358" i="16"/>
  <c r="H1357" i="16"/>
  <c r="H1356" i="16"/>
  <c r="H1355" i="16"/>
  <c r="H1354" i="16"/>
  <c r="H1353" i="16"/>
  <c r="H1352" i="16"/>
  <c r="H1351" i="16"/>
  <c r="H1350" i="16"/>
  <c r="H1349" i="16"/>
  <c r="H1348" i="16"/>
  <c r="H1347" i="16"/>
  <c r="H1346" i="16"/>
  <c r="H1345" i="16"/>
  <c r="H1344" i="16"/>
  <c r="H1343" i="16"/>
  <c r="H1342" i="16"/>
  <c r="H1341" i="16"/>
  <c r="H1340" i="16"/>
  <c r="H1339" i="16"/>
  <c r="H1338" i="16"/>
  <c r="H1337" i="16"/>
  <c r="E1336" i="16"/>
  <c r="H1335" i="16"/>
  <c r="H1334" i="16"/>
  <c r="H1333" i="16"/>
  <c r="H1332" i="16"/>
  <c r="H1331" i="16"/>
  <c r="H1330" i="16"/>
  <c r="H1329" i="16"/>
  <c r="H1328" i="16"/>
  <c r="H1327" i="16"/>
  <c r="H1326" i="16"/>
  <c r="H1325" i="16"/>
  <c r="H1324" i="16"/>
  <c r="H1323" i="16"/>
  <c r="H1322" i="16"/>
  <c r="H1321" i="16"/>
  <c r="H1320" i="16"/>
  <c r="H1319" i="16"/>
  <c r="H1318" i="16"/>
  <c r="H1317" i="16"/>
  <c r="H1316" i="16"/>
  <c r="H1315" i="16"/>
  <c r="H1314" i="16"/>
  <c r="H1313" i="16"/>
  <c r="H1312" i="16"/>
  <c r="H1311" i="16"/>
  <c r="H1310" i="16"/>
  <c r="H1309" i="16"/>
  <c r="H1308" i="16"/>
  <c r="H1307" i="16"/>
  <c r="E1304" i="16"/>
  <c r="H1303" i="16"/>
  <c r="H1302" i="16"/>
  <c r="H1301" i="16"/>
  <c r="H1300" i="16"/>
  <c r="E1299" i="16"/>
  <c r="H1298" i="16"/>
  <c r="H1297" i="16"/>
  <c r="H1296" i="16"/>
  <c r="H1295" i="16"/>
  <c r="H1294" i="16"/>
  <c r="H1293" i="16"/>
  <c r="E1292" i="16"/>
  <c r="H1291" i="16"/>
  <c r="H1290" i="16"/>
  <c r="H1289" i="16"/>
  <c r="H1288" i="16"/>
  <c r="H1287" i="16"/>
  <c r="H1286" i="16"/>
  <c r="H1285" i="16"/>
  <c r="H1284" i="16"/>
  <c r="H1283" i="16"/>
  <c r="H1282" i="16"/>
  <c r="H1281" i="16"/>
  <c r="H1280" i="16"/>
  <c r="H1279" i="16"/>
  <c r="H1278" i="16"/>
  <c r="H1277" i="16"/>
  <c r="L836" i="17"/>
  <c r="L900" i="17" s="1"/>
  <c r="L966" i="17" s="1"/>
  <c r="L1032" i="17" s="1"/>
  <c r="L1098" i="17" s="1"/>
  <c r="L1164" i="17" s="1"/>
  <c r="L1230" i="17" s="1"/>
  <c r="E893" i="17"/>
  <c r="D892" i="17"/>
  <c r="D893" i="17" s="1"/>
  <c r="P891" i="17"/>
  <c r="F891" i="17"/>
  <c r="I891" i="17" s="1"/>
  <c r="P890" i="17"/>
  <c r="F890" i="17"/>
  <c r="I890" i="17" s="1"/>
  <c r="P889" i="17"/>
  <c r="F889" i="17"/>
  <c r="I889" i="17" s="1"/>
  <c r="P888" i="17"/>
  <c r="F888" i="17"/>
  <c r="I888" i="17" s="1"/>
  <c r="P887" i="17"/>
  <c r="F887" i="17"/>
  <c r="I887" i="17" s="1"/>
  <c r="P886" i="17"/>
  <c r="F886" i="17"/>
  <c r="I886" i="17" s="1"/>
  <c r="P885" i="17"/>
  <c r="F885" i="17"/>
  <c r="I885" i="17" s="1"/>
  <c r="P884" i="17"/>
  <c r="F884" i="17"/>
  <c r="I884" i="17" s="1"/>
  <c r="P883" i="17"/>
  <c r="F883" i="17"/>
  <c r="I883" i="17" s="1"/>
  <c r="P882" i="17"/>
  <c r="F882" i="17"/>
  <c r="I882" i="17" s="1"/>
  <c r="P881" i="17"/>
  <c r="F881" i="17"/>
  <c r="I881" i="17" s="1"/>
  <c r="P880" i="17"/>
  <c r="F880" i="17"/>
  <c r="I880" i="17" s="1"/>
  <c r="P879" i="17"/>
  <c r="I879" i="17"/>
  <c r="F879" i="17"/>
  <c r="P878" i="17"/>
  <c r="F878" i="17"/>
  <c r="I878" i="17" s="1"/>
  <c r="P877" i="17"/>
  <c r="F877" i="17"/>
  <c r="I877" i="17" s="1"/>
  <c r="P876" i="17"/>
  <c r="F876" i="17"/>
  <c r="I876" i="17" s="1"/>
  <c r="P875" i="17"/>
  <c r="F875" i="17"/>
  <c r="I875" i="17" s="1"/>
  <c r="P874" i="17"/>
  <c r="F874" i="17"/>
  <c r="I874" i="17" s="1"/>
  <c r="P873" i="17"/>
  <c r="F873" i="17"/>
  <c r="I873" i="17" s="1"/>
  <c r="P872" i="17"/>
  <c r="F872" i="17"/>
  <c r="I872" i="17" s="1"/>
  <c r="P871" i="17"/>
  <c r="F871" i="17"/>
  <c r="I871" i="17" s="1"/>
  <c r="P870" i="17"/>
  <c r="F870" i="17"/>
  <c r="I870" i="17" s="1"/>
  <c r="P869" i="17"/>
  <c r="F869" i="17"/>
  <c r="I869" i="17" s="1"/>
  <c r="P868" i="17"/>
  <c r="F868" i="17"/>
  <c r="I868" i="17" s="1"/>
  <c r="P867" i="17"/>
  <c r="F867" i="17"/>
  <c r="I867" i="17" s="1"/>
  <c r="P866" i="17"/>
  <c r="F866" i="17"/>
  <c r="I866" i="17" s="1"/>
  <c r="P865" i="17"/>
  <c r="F865" i="17"/>
  <c r="I865" i="17" s="1"/>
  <c r="P864" i="17"/>
  <c r="F864" i="17"/>
  <c r="I864" i="17" s="1"/>
  <c r="H892" i="17"/>
  <c r="H893" i="17" s="1"/>
  <c r="G892" i="17"/>
  <c r="G893" i="17" s="1"/>
  <c r="F863" i="17"/>
  <c r="I863" i="17" s="1"/>
  <c r="P862" i="17"/>
  <c r="F862" i="17"/>
  <c r="I862" i="17" s="1"/>
  <c r="P861" i="17"/>
  <c r="F861" i="17"/>
  <c r="I861" i="17" s="1"/>
  <c r="P860" i="17"/>
  <c r="F860" i="17"/>
  <c r="I860" i="17" s="1"/>
  <c r="E859" i="17"/>
  <c r="D859" i="17"/>
  <c r="H858" i="17"/>
  <c r="H859" i="17" s="1"/>
  <c r="G858" i="17"/>
  <c r="G859" i="17" s="1"/>
  <c r="P857" i="17"/>
  <c r="F857" i="17"/>
  <c r="I857" i="17" s="1"/>
  <c r="P856" i="17"/>
  <c r="F856" i="17"/>
  <c r="I856" i="17" s="1"/>
  <c r="P855" i="17"/>
  <c r="F855" i="17"/>
  <c r="I855" i="17" s="1"/>
  <c r="P854" i="17"/>
  <c r="F854" i="17"/>
  <c r="I854" i="17" s="1"/>
  <c r="P853" i="17"/>
  <c r="F853" i="17"/>
  <c r="I853" i="17" s="1"/>
  <c r="P852" i="17"/>
  <c r="F852" i="17"/>
  <c r="I852" i="17" s="1"/>
  <c r="P851" i="17"/>
  <c r="F851" i="17"/>
  <c r="E850" i="17"/>
  <c r="E894" i="17" s="1"/>
  <c r="H849" i="17"/>
  <c r="G849" i="17"/>
  <c r="D849" i="17"/>
  <c r="P848" i="17"/>
  <c r="F848" i="17"/>
  <c r="I848" i="17" s="1"/>
  <c r="P847" i="17"/>
  <c r="F847" i="17"/>
  <c r="I847" i="17" s="1"/>
  <c r="P846" i="17"/>
  <c r="F846" i="17"/>
  <c r="I846" i="17" s="1"/>
  <c r="P845" i="17"/>
  <c r="F845" i="17"/>
  <c r="I845" i="17" s="1"/>
  <c r="P844" i="17"/>
  <c r="F844" i="17"/>
  <c r="I844" i="17" s="1"/>
  <c r="P843" i="17"/>
  <c r="F843" i="17"/>
  <c r="I843" i="17" s="1"/>
  <c r="P842" i="17"/>
  <c r="F842" i="17"/>
  <c r="I842" i="17" s="1"/>
  <c r="D841" i="17"/>
  <c r="P840" i="17"/>
  <c r="F840" i="17"/>
  <c r="I840" i="17" s="1"/>
  <c r="P839" i="17"/>
  <c r="F839" i="17"/>
  <c r="I839" i="17" s="1"/>
  <c r="H841" i="17"/>
  <c r="H850" i="17" s="1"/>
  <c r="F838" i="17"/>
  <c r="I838" i="17" s="1"/>
  <c r="P837" i="17"/>
  <c r="F837" i="17"/>
  <c r="I837" i="17" s="1"/>
  <c r="P836" i="17"/>
  <c r="G841" i="17"/>
  <c r="P835" i="17"/>
  <c r="F835" i="17"/>
  <c r="I835" i="17" s="1"/>
  <c r="J1622" i="13"/>
  <c r="I1622" i="13"/>
  <c r="F1622" i="13"/>
  <c r="F1621" i="13"/>
  <c r="F1620" i="13"/>
  <c r="F1618" i="13"/>
  <c r="I1618" i="13" s="1"/>
  <c r="F1617" i="13"/>
  <c r="I1617" i="13" s="1"/>
  <c r="F1616" i="13"/>
  <c r="I1616" i="13" s="1"/>
  <c r="I1619" i="13" s="1"/>
  <c r="F1614" i="13"/>
  <c r="I1614" i="13" s="1"/>
  <c r="F1613" i="13"/>
  <c r="I1613" i="13" s="1"/>
  <c r="F1612" i="13"/>
  <c r="I1612" i="13" s="1"/>
  <c r="F1611" i="13"/>
  <c r="F1615" i="13" s="1"/>
  <c r="F1609" i="13"/>
  <c r="I1609" i="13" s="1"/>
  <c r="F1608" i="13"/>
  <c r="F1610" i="13" s="1"/>
  <c r="F1606" i="13"/>
  <c r="I1606" i="13" s="1"/>
  <c r="F1605" i="13"/>
  <c r="I1605" i="13" s="1"/>
  <c r="F1604" i="13"/>
  <c r="I1604" i="13" s="1"/>
  <c r="F1603" i="13"/>
  <c r="F1601" i="13"/>
  <c r="I1601" i="13" s="1"/>
  <c r="F1600" i="13"/>
  <c r="I1600" i="13" s="1"/>
  <c r="F1599" i="13"/>
  <c r="F1602" i="13" s="1"/>
  <c r="F1596" i="13"/>
  <c r="I1596" i="13" s="1"/>
  <c r="F1593" i="13"/>
  <c r="I1593" i="13" s="1"/>
  <c r="F1592" i="13"/>
  <c r="I1592" i="13" s="1"/>
  <c r="F1591" i="13"/>
  <c r="I1591" i="13" s="1"/>
  <c r="F1590" i="13"/>
  <c r="I1590" i="13" s="1"/>
  <c r="F1589" i="13"/>
  <c r="I1589" i="13" s="1"/>
  <c r="F1588" i="13"/>
  <c r="F1594" i="13" s="1"/>
  <c r="F1586" i="13"/>
  <c r="I1586" i="13" s="1"/>
  <c r="F1585" i="13"/>
  <c r="I1585" i="13" s="1"/>
  <c r="F1584" i="13"/>
  <c r="F1587" i="13" s="1"/>
  <c r="F1595" i="13" s="1"/>
  <c r="F1581" i="13"/>
  <c r="I1581" i="13" s="1"/>
  <c r="F1580" i="13"/>
  <c r="I1580" i="13" s="1"/>
  <c r="F1579" i="13"/>
  <c r="I1579" i="13" s="1"/>
  <c r="F1578" i="13"/>
  <c r="I1578" i="13" s="1"/>
  <c r="F1577" i="13"/>
  <c r="I1577" i="13" s="1"/>
  <c r="F1576" i="13"/>
  <c r="I1576" i="13" s="1"/>
  <c r="F1575" i="13"/>
  <c r="I1575" i="13" s="1"/>
  <c r="F1573" i="13"/>
  <c r="I1573" i="13" s="1"/>
  <c r="F1572" i="13"/>
  <c r="I1572" i="13" s="1"/>
  <c r="F1571" i="13"/>
  <c r="I1571" i="13" s="1"/>
  <c r="F1570" i="13"/>
  <c r="I1570" i="13" s="1"/>
  <c r="F1569" i="13"/>
  <c r="I1569" i="13" s="1"/>
  <c r="F1568" i="13"/>
  <c r="I1568" i="13" s="1"/>
  <c r="F1567" i="13"/>
  <c r="I1567" i="13" s="1"/>
  <c r="F1566" i="13"/>
  <c r="I1566" i="13" s="1"/>
  <c r="F1565" i="13"/>
  <c r="I1565" i="13" s="1"/>
  <c r="F1564" i="13"/>
  <c r="F1574" i="13" s="1"/>
  <c r="F1560" i="13"/>
  <c r="I1560" i="13" s="1"/>
  <c r="F1559" i="13"/>
  <c r="I1559" i="13" s="1"/>
  <c r="F1558" i="13"/>
  <c r="I1558" i="13" s="1"/>
  <c r="F1557" i="13"/>
  <c r="I1557" i="13" s="1"/>
  <c r="F1556" i="13"/>
  <c r="I1556" i="13" s="1"/>
  <c r="F1555" i="13"/>
  <c r="I1555" i="13" s="1"/>
  <c r="F1554" i="13"/>
  <c r="I1554" i="13" s="1"/>
  <c r="F1553" i="13"/>
  <c r="I1553" i="13" s="1"/>
  <c r="F1552" i="13"/>
  <c r="F1550" i="13"/>
  <c r="I1550" i="13" s="1"/>
  <c r="F1549" i="13"/>
  <c r="I1549" i="13" s="1"/>
  <c r="F1548" i="13"/>
  <c r="I1548" i="13" s="1"/>
  <c r="F1547" i="13"/>
  <c r="F1551" i="13" s="1"/>
  <c r="F1544" i="13"/>
  <c r="I1544" i="13" s="1"/>
  <c r="F1543" i="13"/>
  <c r="I1543" i="13" s="1"/>
  <c r="F1542" i="13"/>
  <c r="F1545" i="13" s="1"/>
  <c r="F1540" i="13"/>
  <c r="I1540" i="13" s="1"/>
  <c r="F1539" i="13"/>
  <c r="I1539" i="13" s="1"/>
  <c r="F1538" i="13"/>
  <c r="I1538" i="13" s="1"/>
  <c r="F1537" i="13"/>
  <c r="I1537" i="13" s="1"/>
  <c r="F1536" i="13"/>
  <c r="I1536" i="13" s="1"/>
  <c r="F1535" i="13"/>
  <c r="I1535" i="13" s="1"/>
  <c r="F1534" i="13"/>
  <c r="F1541" i="13" s="1"/>
  <c r="F1532" i="13"/>
  <c r="I1532" i="13" s="1"/>
  <c r="F1531" i="13"/>
  <c r="I1531" i="13" s="1"/>
  <c r="F1530" i="13"/>
  <c r="I1530" i="13" s="1"/>
  <c r="F1529" i="13"/>
  <c r="I1529" i="13" s="1"/>
  <c r="F1528" i="13"/>
  <c r="I1528" i="13" s="1"/>
  <c r="F1527" i="13"/>
  <c r="I1527" i="13" s="1"/>
  <c r="F1526" i="13"/>
  <c r="F1524" i="13"/>
  <c r="I1524" i="13" s="1"/>
  <c r="F1523" i="13"/>
  <c r="I1523" i="13" s="1"/>
  <c r="F1522" i="13"/>
  <c r="I1522" i="13" s="1"/>
  <c r="F1521" i="13"/>
  <c r="I1521" i="13" s="1"/>
  <c r="F1520" i="13"/>
  <c r="I1520" i="13" s="1"/>
  <c r="F1519" i="13"/>
  <c r="I1519" i="13" s="1"/>
  <c r="F1518" i="13"/>
  <c r="F1516" i="13"/>
  <c r="I1516" i="13" s="1"/>
  <c r="F1515" i="13"/>
  <c r="I1515" i="13" s="1"/>
  <c r="F1514" i="13"/>
  <c r="I1514" i="13" s="1"/>
  <c r="F1513" i="13"/>
  <c r="F1517" i="13" s="1"/>
  <c r="H820" i="17"/>
  <c r="G820" i="17"/>
  <c r="H816" i="17"/>
  <c r="G816" i="17"/>
  <c r="H810" i="17"/>
  <c r="G810" i="17"/>
  <c r="H799" i="17"/>
  <c r="G799" i="17"/>
  <c r="F1618" i="1"/>
  <c r="F1619" i="1" s="1"/>
  <c r="I1617" i="1"/>
  <c r="H1617" i="1"/>
  <c r="E1617" i="1"/>
  <c r="G1616" i="1"/>
  <c r="J1616" i="1" s="1"/>
  <c r="G1615" i="1"/>
  <c r="G1617" i="1" s="1"/>
  <c r="J1617" i="1" s="1"/>
  <c r="I1614" i="1"/>
  <c r="H1614" i="1"/>
  <c r="E1614" i="1"/>
  <c r="G1613" i="1"/>
  <c r="J1613" i="1" s="1"/>
  <c r="G1612" i="1"/>
  <c r="J1612" i="1" s="1"/>
  <c r="G1611" i="1"/>
  <c r="J1611" i="1" s="1"/>
  <c r="I1610" i="1"/>
  <c r="H1610" i="1"/>
  <c r="G1609" i="1"/>
  <c r="J1609" i="1" s="1"/>
  <c r="G1608" i="1"/>
  <c r="J1608" i="1" s="1"/>
  <c r="G1607" i="1"/>
  <c r="J1607" i="1" s="1"/>
  <c r="E1607" i="1"/>
  <c r="E1610" i="1" s="1"/>
  <c r="J1606" i="1"/>
  <c r="G1606" i="1"/>
  <c r="G1605" i="1"/>
  <c r="I1604" i="1"/>
  <c r="H1604" i="1"/>
  <c r="E1604" i="1"/>
  <c r="J1603" i="1"/>
  <c r="G1603" i="1"/>
  <c r="G1602" i="1"/>
  <c r="G1604" i="1" s="1"/>
  <c r="J1604" i="1" s="1"/>
  <c r="I1601" i="1"/>
  <c r="H1601" i="1"/>
  <c r="E1601" i="1"/>
  <c r="G1600" i="1"/>
  <c r="J1600" i="1" s="1"/>
  <c r="G1599" i="1"/>
  <c r="J1599" i="1" s="1"/>
  <c r="G1598" i="1"/>
  <c r="J1598" i="1" s="1"/>
  <c r="G1597" i="1"/>
  <c r="G1601" i="1" s="1"/>
  <c r="J1601" i="1" s="1"/>
  <c r="I1596" i="1"/>
  <c r="H1596" i="1"/>
  <c r="H1618" i="1" s="1"/>
  <c r="H1619" i="1" s="1"/>
  <c r="E1596" i="1"/>
  <c r="E1618" i="1" s="1"/>
  <c r="E1619" i="1" s="1"/>
  <c r="G1595" i="1"/>
  <c r="J1595" i="1" s="1"/>
  <c r="G1594" i="1"/>
  <c r="J1594" i="1" s="1"/>
  <c r="G1593" i="1"/>
  <c r="G1596" i="1" s="1"/>
  <c r="G1590" i="1"/>
  <c r="J1590" i="1" s="1"/>
  <c r="I1588" i="1"/>
  <c r="H1588" i="1"/>
  <c r="E1588" i="1"/>
  <c r="G1587" i="1"/>
  <c r="J1587" i="1" s="1"/>
  <c r="G1586" i="1"/>
  <c r="J1586" i="1" s="1"/>
  <c r="G1585" i="1"/>
  <c r="J1585" i="1" s="1"/>
  <c r="G1584" i="1"/>
  <c r="J1584" i="1" s="1"/>
  <c r="G1583" i="1"/>
  <c r="J1583" i="1" s="1"/>
  <c r="G1582" i="1"/>
  <c r="G1588" i="1" s="1"/>
  <c r="J1588" i="1" s="1"/>
  <c r="E1581" i="1"/>
  <c r="G1580" i="1"/>
  <c r="J1580" i="1" s="1"/>
  <c r="J1579" i="1"/>
  <c r="G1579" i="1"/>
  <c r="I1581" i="1"/>
  <c r="H1581" i="1"/>
  <c r="H1589" i="1" s="1"/>
  <c r="G1578" i="1"/>
  <c r="J1578" i="1" s="1"/>
  <c r="F1577" i="1"/>
  <c r="F1591" i="1" s="1"/>
  <c r="F1592" i="1" s="1"/>
  <c r="I1576" i="1"/>
  <c r="H1576" i="1"/>
  <c r="E1576" i="1"/>
  <c r="G1575" i="1"/>
  <c r="J1575" i="1" s="1"/>
  <c r="J1574" i="1"/>
  <c r="J1573" i="1"/>
  <c r="G1573" i="1"/>
  <c r="G1572" i="1"/>
  <c r="J1572" i="1" s="1"/>
  <c r="G1571" i="1"/>
  <c r="J1571" i="1" s="1"/>
  <c r="G1570" i="1"/>
  <c r="J1570" i="1" s="1"/>
  <c r="G1569" i="1"/>
  <c r="G1576" i="1" s="1"/>
  <c r="J1576" i="1" s="1"/>
  <c r="E1568" i="1"/>
  <c r="G1567" i="1"/>
  <c r="J1567" i="1" s="1"/>
  <c r="H1568" i="1"/>
  <c r="G1565" i="1"/>
  <c r="J1565" i="1" s="1"/>
  <c r="J1564" i="1"/>
  <c r="G1564" i="1"/>
  <c r="G1563" i="1"/>
  <c r="J1563" i="1" s="1"/>
  <c r="J1562" i="1"/>
  <c r="G1562" i="1"/>
  <c r="G1561" i="1"/>
  <c r="J1561" i="1" s="1"/>
  <c r="G1560" i="1"/>
  <c r="J1560" i="1" s="1"/>
  <c r="G1559" i="1"/>
  <c r="J1559" i="1" s="1"/>
  <c r="G1558" i="1"/>
  <c r="J1558" i="1" s="1"/>
  <c r="F1556" i="1"/>
  <c r="I1555" i="1"/>
  <c r="M1555" i="1" s="1"/>
  <c r="H1555" i="1"/>
  <c r="L1555" i="1" s="1"/>
  <c r="E1555" i="1"/>
  <c r="G1554" i="1"/>
  <c r="J1554" i="1" s="1"/>
  <c r="G1553" i="1"/>
  <c r="J1553" i="1" s="1"/>
  <c r="G1552" i="1"/>
  <c r="J1552" i="1" s="1"/>
  <c r="G1551" i="1"/>
  <c r="J1551" i="1" s="1"/>
  <c r="G1550" i="1"/>
  <c r="J1550" i="1" s="1"/>
  <c r="G1549" i="1"/>
  <c r="J1549" i="1" s="1"/>
  <c r="G1548" i="1"/>
  <c r="J1548" i="1" s="1"/>
  <c r="G1547" i="1"/>
  <c r="J1547" i="1" s="1"/>
  <c r="G1546" i="1"/>
  <c r="J1546" i="1" s="1"/>
  <c r="I1545" i="1"/>
  <c r="I1556" i="1" s="1"/>
  <c r="H1545" i="1"/>
  <c r="H1556" i="1" s="1"/>
  <c r="E1545" i="1"/>
  <c r="E1556" i="1" s="1"/>
  <c r="G1544" i="1"/>
  <c r="J1544" i="1" s="1"/>
  <c r="G1543" i="1"/>
  <c r="J1543" i="1" s="1"/>
  <c r="G1542" i="1"/>
  <c r="J1542" i="1" s="1"/>
  <c r="G1541" i="1"/>
  <c r="G1545" i="1" s="1"/>
  <c r="I1539" i="1"/>
  <c r="H1539" i="1"/>
  <c r="E1539" i="1"/>
  <c r="G1538" i="1"/>
  <c r="J1538" i="1" s="1"/>
  <c r="J1537" i="1"/>
  <c r="G1537" i="1"/>
  <c r="G1536" i="1"/>
  <c r="J1536" i="1" s="1"/>
  <c r="I1535" i="1"/>
  <c r="H1535" i="1"/>
  <c r="F1535" i="1"/>
  <c r="F1540" i="1" s="1"/>
  <c r="F1557" i="1" s="1"/>
  <c r="F1620" i="1" s="1"/>
  <c r="E1535" i="1"/>
  <c r="G1534" i="1"/>
  <c r="J1534" i="1" s="1"/>
  <c r="G1533" i="1"/>
  <c r="J1533" i="1" s="1"/>
  <c r="G1532" i="1"/>
  <c r="J1532" i="1" s="1"/>
  <c r="G1531" i="1"/>
  <c r="J1531" i="1" s="1"/>
  <c r="G1530" i="1"/>
  <c r="J1530" i="1" s="1"/>
  <c r="G1529" i="1"/>
  <c r="J1529" i="1" s="1"/>
  <c r="G1528" i="1"/>
  <c r="G1535" i="1" s="1"/>
  <c r="J1535" i="1" s="1"/>
  <c r="I1527" i="1"/>
  <c r="H1527" i="1"/>
  <c r="E1527" i="1"/>
  <c r="J1526" i="1"/>
  <c r="G1526" i="1"/>
  <c r="G1525" i="1"/>
  <c r="J1525" i="1" s="1"/>
  <c r="J1524" i="1"/>
  <c r="G1524" i="1"/>
  <c r="G1523" i="1"/>
  <c r="J1523" i="1" s="1"/>
  <c r="J1522" i="1"/>
  <c r="G1522" i="1"/>
  <c r="G1521" i="1"/>
  <c r="J1521" i="1" s="1"/>
  <c r="J1520" i="1"/>
  <c r="G1520" i="1"/>
  <c r="G1527" i="1" s="1"/>
  <c r="J1527" i="1" s="1"/>
  <c r="I1519" i="1"/>
  <c r="H1519" i="1"/>
  <c r="E1519" i="1"/>
  <c r="G1518" i="1"/>
  <c r="J1518" i="1" s="1"/>
  <c r="G1517" i="1"/>
  <c r="J1517" i="1" s="1"/>
  <c r="G1516" i="1"/>
  <c r="J1516" i="1" s="1"/>
  <c r="G1515" i="1"/>
  <c r="J1515" i="1" s="1"/>
  <c r="G1514" i="1"/>
  <c r="J1514" i="1" s="1"/>
  <c r="J1513" i="1"/>
  <c r="G1513" i="1"/>
  <c r="G1512" i="1"/>
  <c r="J1512" i="1" s="1"/>
  <c r="H1511" i="1"/>
  <c r="H1540" i="1" s="1"/>
  <c r="E1511" i="1"/>
  <c r="E1540" i="1" s="1"/>
  <c r="E1557" i="1" s="1"/>
  <c r="J1510" i="1"/>
  <c r="G1510" i="1"/>
  <c r="G1509" i="1"/>
  <c r="J1509" i="1" s="1"/>
  <c r="G1508" i="1"/>
  <c r="J1508" i="1" s="1"/>
  <c r="I1511" i="1"/>
  <c r="G1507" i="1"/>
  <c r="I1461" i="1"/>
  <c r="H1461" i="1"/>
  <c r="I1449" i="1"/>
  <c r="H1449" i="1"/>
  <c r="G1511" i="1" l="1"/>
  <c r="J1582" i="1"/>
  <c r="F1546" i="13"/>
  <c r="F1563" i="13" s="1"/>
  <c r="F1525" i="13"/>
  <c r="F1607" i="13"/>
  <c r="G1610" i="1"/>
  <c r="J1610" i="1" s="1"/>
  <c r="J1615" i="1"/>
  <c r="F1533" i="13"/>
  <c r="F1561" i="13"/>
  <c r="E1589" i="1"/>
  <c r="J1593" i="1"/>
  <c r="F1562" i="13"/>
  <c r="I1582" i="13"/>
  <c r="D850" i="17"/>
  <c r="E1577" i="1"/>
  <c r="H1336" i="16"/>
  <c r="H1304" i="16"/>
  <c r="H1363" i="16"/>
  <c r="P858" i="17"/>
  <c r="P859" i="17" s="1"/>
  <c r="G1854" i="1"/>
  <c r="J1854" i="1" s="1"/>
  <c r="I1714" i="13"/>
  <c r="I1715" i="13" s="1"/>
  <c r="I1742" i="13" s="1"/>
  <c r="F960" i="17"/>
  <c r="I960" i="17" s="1"/>
  <c r="I959" i="17"/>
  <c r="G1736" i="1"/>
  <c r="J1736" i="1" s="1"/>
  <c r="J1735" i="1"/>
  <c r="J1674" i="1"/>
  <c r="G1708" i="1"/>
  <c r="H1299" i="16"/>
  <c r="E1306" i="16"/>
  <c r="E1366" i="16" s="1"/>
  <c r="H1292" i="16"/>
  <c r="H1306" i="16" s="1"/>
  <c r="P849" i="17"/>
  <c r="H1557" i="1"/>
  <c r="H1577" i="1"/>
  <c r="J1569" i="1"/>
  <c r="G850" i="17"/>
  <c r="G894" i="17" s="1"/>
  <c r="F849" i="17"/>
  <c r="I849" i="17" s="1"/>
  <c r="H894" i="17"/>
  <c r="D894" i="17"/>
  <c r="F841" i="17"/>
  <c r="P838" i="17"/>
  <c r="P841" i="17" s="1"/>
  <c r="F858" i="17"/>
  <c r="I858" i="17" s="1"/>
  <c r="I851" i="17"/>
  <c r="F892" i="17"/>
  <c r="P863" i="17"/>
  <c r="P892" i="17" s="1"/>
  <c r="P893" i="17" s="1"/>
  <c r="I1513" i="13"/>
  <c r="I1517" i="13" s="1"/>
  <c r="I1518" i="13"/>
  <c r="I1525" i="13" s="1"/>
  <c r="F1582" i="13"/>
  <c r="F1583" i="13" s="1"/>
  <c r="F1597" i="13" s="1"/>
  <c r="F1598" i="13" s="1"/>
  <c r="I1584" i="13"/>
  <c r="I1587" i="13" s="1"/>
  <c r="I1599" i="13"/>
  <c r="I1602" i="13" s="1"/>
  <c r="F1619" i="13"/>
  <c r="F1623" i="13" s="1"/>
  <c r="F1624" i="13" s="1"/>
  <c r="I1526" i="13"/>
  <c r="I1533" i="13" s="1"/>
  <c r="I1534" i="13"/>
  <c r="I1541" i="13" s="1"/>
  <c r="I1542" i="13"/>
  <c r="I1545" i="13" s="1"/>
  <c r="I1547" i="13"/>
  <c r="I1551" i="13" s="1"/>
  <c r="I1562" i="13" s="1"/>
  <c r="I1552" i="13"/>
  <c r="I1561" i="13" s="1"/>
  <c r="I1564" i="13"/>
  <c r="I1574" i="13" s="1"/>
  <c r="I1583" i="13" s="1"/>
  <c r="I1588" i="13"/>
  <c r="I1594" i="13" s="1"/>
  <c r="I1603" i="13"/>
  <c r="I1607" i="13" s="1"/>
  <c r="I1608" i="13"/>
  <c r="I1610" i="13" s="1"/>
  <c r="I1611" i="13"/>
  <c r="I1615" i="13" s="1"/>
  <c r="I1618" i="1"/>
  <c r="I1619" i="1" s="1"/>
  <c r="I1589" i="1"/>
  <c r="H1591" i="1"/>
  <c r="H1592" i="1" s="1"/>
  <c r="H1620" i="1" s="1"/>
  <c r="I1540" i="1"/>
  <c r="I1557" i="1" s="1"/>
  <c r="J1545" i="1"/>
  <c r="J1511" i="1"/>
  <c r="G1519" i="1"/>
  <c r="J1519" i="1" s="1"/>
  <c r="G1539" i="1"/>
  <c r="J1539" i="1" s="1"/>
  <c r="G1555" i="1"/>
  <c r="G1556" i="1" s="1"/>
  <c r="J1507" i="1"/>
  <c r="J1528" i="1"/>
  <c r="J1541" i="1"/>
  <c r="I1568" i="1"/>
  <c r="I1577" i="1" s="1"/>
  <c r="I1591" i="1" s="1"/>
  <c r="I1592" i="1" s="1"/>
  <c r="G1581" i="1"/>
  <c r="J1596" i="1"/>
  <c r="G1566" i="1"/>
  <c r="J1566" i="1" s="1"/>
  <c r="G1614" i="1"/>
  <c r="J1614" i="1" s="1"/>
  <c r="J1597" i="1"/>
  <c r="J1602" i="1"/>
  <c r="J1605" i="1"/>
  <c r="I1390" i="1"/>
  <c r="H1390" i="1"/>
  <c r="P776" i="17"/>
  <c r="P775" i="17"/>
  <c r="P773" i="17"/>
  <c r="H774" i="17"/>
  <c r="G774" i="17"/>
  <c r="P774" i="17" s="1"/>
  <c r="G772" i="17"/>
  <c r="K772" i="17" s="1"/>
  <c r="H1270" i="16"/>
  <c r="F1270" i="16"/>
  <c r="I1270" i="16" s="1"/>
  <c r="I1271" i="16" s="1"/>
  <c r="E1269" i="16"/>
  <c r="H1268" i="16"/>
  <c r="H1267" i="16"/>
  <c r="H1266" i="16"/>
  <c r="I1266" i="16" s="1"/>
  <c r="H1265" i="16"/>
  <c r="H1264" i="16"/>
  <c r="H1263" i="16"/>
  <c r="H1262" i="16"/>
  <c r="H1261" i="16"/>
  <c r="H1260" i="16"/>
  <c r="H1259" i="16"/>
  <c r="H1258" i="16"/>
  <c r="H1257" i="16"/>
  <c r="H1256" i="16"/>
  <c r="H1255" i="16"/>
  <c r="H1254" i="16"/>
  <c r="H1253" i="16"/>
  <c r="H1252" i="16"/>
  <c r="H1251" i="16"/>
  <c r="H1250" i="16"/>
  <c r="H1249" i="16"/>
  <c r="H1248" i="16"/>
  <c r="H1247" i="16"/>
  <c r="H1246" i="16"/>
  <c r="H1245" i="16"/>
  <c r="H1244" i="16"/>
  <c r="H1243" i="16"/>
  <c r="E1242" i="16"/>
  <c r="H1241" i="16"/>
  <c r="H1240" i="16"/>
  <c r="H1239" i="16"/>
  <c r="H1238" i="16"/>
  <c r="H1237" i="16"/>
  <c r="H1236" i="16"/>
  <c r="H1235" i="16"/>
  <c r="H1234" i="16"/>
  <c r="H1233" i="16"/>
  <c r="H1232" i="16"/>
  <c r="H1231" i="16"/>
  <c r="H1230" i="16"/>
  <c r="H1229" i="16"/>
  <c r="H1228" i="16"/>
  <c r="H1227" i="16"/>
  <c r="H1226" i="16"/>
  <c r="H1225" i="16"/>
  <c r="H1224" i="16"/>
  <c r="H1223" i="16"/>
  <c r="H1222" i="16"/>
  <c r="H1221" i="16"/>
  <c r="H1220" i="16"/>
  <c r="H1219" i="16"/>
  <c r="H1218" i="16"/>
  <c r="H1217" i="16"/>
  <c r="H1216" i="16"/>
  <c r="H1215" i="16"/>
  <c r="H1214" i="16"/>
  <c r="H1213" i="16"/>
  <c r="E1210" i="16"/>
  <c r="H1209" i="16"/>
  <c r="H1208" i="16"/>
  <c r="H1207" i="16"/>
  <c r="H1206" i="16"/>
  <c r="E1205" i="16"/>
  <c r="H1204" i="16"/>
  <c r="H1203" i="16"/>
  <c r="H1202" i="16"/>
  <c r="H1201" i="16"/>
  <c r="H1200" i="16"/>
  <c r="H1199" i="16"/>
  <c r="E1198" i="16"/>
  <c r="H1197" i="16"/>
  <c r="H1196" i="16"/>
  <c r="H1195" i="16"/>
  <c r="H1194" i="16"/>
  <c r="H1193" i="16"/>
  <c r="H1192" i="16"/>
  <c r="H1191" i="16"/>
  <c r="H1190" i="16"/>
  <c r="H1189" i="16"/>
  <c r="H1188" i="16"/>
  <c r="H1187" i="16"/>
  <c r="H1186" i="16"/>
  <c r="H1185" i="16"/>
  <c r="H1184" i="16"/>
  <c r="H1183" i="16"/>
  <c r="I204" i="15"/>
  <c r="C204" i="15"/>
  <c r="E203" i="15"/>
  <c r="J204" i="15"/>
  <c r="F204" i="15"/>
  <c r="D204" i="15"/>
  <c r="E204" i="15" s="1"/>
  <c r="I201" i="15"/>
  <c r="C201" i="15"/>
  <c r="E200" i="15"/>
  <c r="F201" i="15"/>
  <c r="D201" i="15"/>
  <c r="E201" i="15" s="1"/>
  <c r="C198" i="15"/>
  <c r="C205" i="15" s="1"/>
  <c r="E197" i="15"/>
  <c r="E829" i="17"/>
  <c r="H828" i="17"/>
  <c r="H829" i="17" s="1"/>
  <c r="G828" i="17"/>
  <c r="G829" i="17" s="1"/>
  <c r="D828" i="17"/>
  <c r="D829" i="17" s="1"/>
  <c r="P827" i="17"/>
  <c r="F827" i="17"/>
  <c r="I827" i="17" s="1"/>
  <c r="P826" i="17"/>
  <c r="F826" i="17"/>
  <c r="I826" i="17" s="1"/>
  <c r="P825" i="17"/>
  <c r="F825" i="17"/>
  <c r="I825" i="17" s="1"/>
  <c r="P824" i="17"/>
  <c r="F824" i="17"/>
  <c r="I824" i="17" s="1"/>
  <c r="P823" i="17"/>
  <c r="F823" i="17"/>
  <c r="I823" i="17" s="1"/>
  <c r="P822" i="17"/>
  <c r="F822" i="17"/>
  <c r="I822" i="17" s="1"/>
  <c r="P821" i="17"/>
  <c r="I821" i="17"/>
  <c r="F821" i="17"/>
  <c r="P820" i="17"/>
  <c r="F820" i="17"/>
  <c r="I820" i="17" s="1"/>
  <c r="P819" i="17"/>
  <c r="F819" i="17"/>
  <c r="I819" i="17" s="1"/>
  <c r="P818" i="17"/>
  <c r="F818" i="17"/>
  <c r="I818" i="17" s="1"/>
  <c r="P817" i="17"/>
  <c r="F817" i="17"/>
  <c r="I817" i="17" s="1"/>
  <c r="P816" i="17"/>
  <c r="F816" i="17"/>
  <c r="I816" i="17" s="1"/>
  <c r="P815" i="17"/>
  <c r="F815" i="17"/>
  <c r="I815" i="17" s="1"/>
  <c r="P814" i="17"/>
  <c r="F814" i="17"/>
  <c r="I814" i="17" s="1"/>
  <c r="P813" i="17"/>
  <c r="F813" i="17"/>
  <c r="I813" i="17" s="1"/>
  <c r="P812" i="17"/>
  <c r="F812" i="17"/>
  <c r="I812" i="17" s="1"/>
  <c r="P811" i="17"/>
  <c r="F811" i="17"/>
  <c r="I811" i="17" s="1"/>
  <c r="P810" i="17"/>
  <c r="F810" i="17"/>
  <c r="I810" i="17" s="1"/>
  <c r="P809" i="17"/>
  <c r="F809" i="17"/>
  <c r="I809" i="17" s="1"/>
  <c r="P808" i="17"/>
  <c r="F808" i="17"/>
  <c r="I808" i="17" s="1"/>
  <c r="P807" i="17"/>
  <c r="F807" i="17"/>
  <c r="I807" i="17" s="1"/>
  <c r="P806" i="17"/>
  <c r="F806" i="17"/>
  <c r="I806" i="17" s="1"/>
  <c r="P805" i="17"/>
  <c r="F805" i="17"/>
  <c r="I805" i="17" s="1"/>
  <c r="P804" i="17"/>
  <c r="F804" i="17"/>
  <c r="I804" i="17" s="1"/>
  <c r="P803" i="17"/>
  <c r="F803" i="17"/>
  <c r="I803" i="17" s="1"/>
  <c r="P802" i="17"/>
  <c r="F802" i="17"/>
  <c r="I802" i="17" s="1"/>
  <c r="P801" i="17"/>
  <c r="F801" i="17"/>
  <c r="I801" i="17" s="1"/>
  <c r="P800" i="17"/>
  <c r="F800" i="17"/>
  <c r="I800" i="17" s="1"/>
  <c r="P799" i="17"/>
  <c r="F799" i="17"/>
  <c r="I799" i="17" s="1"/>
  <c r="P798" i="17"/>
  <c r="F798" i="17"/>
  <c r="I798" i="17" s="1"/>
  <c r="P797" i="17"/>
  <c r="F797" i="17"/>
  <c r="I797" i="17" s="1"/>
  <c r="P796" i="17"/>
  <c r="F796" i="17"/>
  <c r="I796" i="17" s="1"/>
  <c r="E795" i="17"/>
  <c r="D795" i="17"/>
  <c r="H794" i="17"/>
  <c r="H795" i="17" s="1"/>
  <c r="G794" i="17"/>
  <c r="G795" i="17" s="1"/>
  <c r="P793" i="17"/>
  <c r="F793" i="17"/>
  <c r="I793" i="17" s="1"/>
  <c r="P792" i="17"/>
  <c r="F792" i="17"/>
  <c r="I792" i="17" s="1"/>
  <c r="P791" i="17"/>
  <c r="F791" i="17"/>
  <c r="I791" i="17" s="1"/>
  <c r="P790" i="17"/>
  <c r="F790" i="17"/>
  <c r="I790" i="17" s="1"/>
  <c r="P789" i="17"/>
  <c r="F789" i="17"/>
  <c r="I789" i="17" s="1"/>
  <c r="P788" i="17"/>
  <c r="F788" i="17"/>
  <c r="I788" i="17" s="1"/>
  <c r="P787" i="17"/>
  <c r="F787" i="17"/>
  <c r="E786" i="17"/>
  <c r="E830" i="17" s="1"/>
  <c r="H785" i="17"/>
  <c r="G785" i="17"/>
  <c r="D785" i="17"/>
  <c r="P784" i="17"/>
  <c r="F784" i="17"/>
  <c r="I784" i="17" s="1"/>
  <c r="P783" i="17"/>
  <c r="F783" i="17"/>
  <c r="I783" i="17" s="1"/>
  <c r="P782" i="17"/>
  <c r="F782" i="17"/>
  <c r="I782" i="17" s="1"/>
  <c r="P781" i="17"/>
  <c r="F781" i="17"/>
  <c r="I781" i="17" s="1"/>
  <c r="P780" i="17"/>
  <c r="F780" i="17"/>
  <c r="I780" i="17" s="1"/>
  <c r="P779" i="17"/>
  <c r="F779" i="17"/>
  <c r="I779" i="17" s="1"/>
  <c r="P778" i="17"/>
  <c r="F778" i="17"/>
  <c r="I778" i="17" s="1"/>
  <c r="H777" i="17"/>
  <c r="G777" i="17"/>
  <c r="G786" i="17" s="1"/>
  <c r="D777" i="17"/>
  <c r="F776" i="17"/>
  <c r="I776" i="17" s="1"/>
  <c r="F775" i="17"/>
  <c r="I775" i="17" s="1"/>
  <c r="F774" i="17"/>
  <c r="I774" i="17" s="1"/>
  <c r="F773" i="17"/>
  <c r="I773" i="17" s="1"/>
  <c r="P771" i="17"/>
  <c r="F771" i="17"/>
  <c r="I771" i="17" s="1"/>
  <c r="J1505" i="13"/>
  <c r="I1505" i="13"/>
  <c r="F1505" i="13"/>
  <c r="F1504" i="13"/>
  <c r="F1503" i="13"/>
  <c r="F1501" i="13"/>
  <c r="I1501" i="13" s="1"/>
  <c r="F1500" i="13"/>
  <c r="I1500" i="13" s="1"/>
  <c r="F1499" i="13"/>
  <c r="I1499" i="13" s="1"/>
  <c r="I1502" i="13" s="1"/>
  <c r="F1497" i="13"/>
  <c r="I1497" i="13" s="1"/>
  <c r="F1496" i="13"/>
  <c r="I1496" i="13" s="1"/>
  <c r="F1495" i="13"/>
  <c r="I1495" i="13" s="1"/>
  <c r="F1494" i="13"/>
  <c r="F1492" i="13"/>
  <c r="I1492" i="13" s="1"/>
  <c r="F1491" i="13"/>
  <c r="F1493" i="13" s="1"/>
  <c r="F1489" i="13"/>
  <c r="I1489" i="13" s="1"/>
  <c r="F1488" i="13"/>
  <c r="I1488" i="13" s="1"/>
  <c r="F1487" i="13"/>
  <c r="I1487" i="13" s="1"/>
  <c r="F1486" i="13"/>
  <c r="F1490" i="13" s="1"/>
  <c r="F1484" i="13"/>
  <c r="I1484" i="13" s="1"/>
  <c r="F1483" i="13"/>
  <c r="F1482" i="13"/>
  <c r="I1482" i="13" s="1"/>
  <c r="F1479" i="13"/>
  <c r="I1479" i="13" s="1"/>
  <c r="F1476" i="13"/>
  <c r="I1476" i="13" s="1"/>
  <c r="F1475" i="13"/>
  <c r="I1475" i="13" s="1"/>
  <c r="F1474" i="13"/>
  <c r="I1474" i="13" s="1"/>
  <c r="F1473" i="13"/>
  <c r="I1473" i="13" s="1"/>
  <c r="F1472" i="13"/>
  <c r="I1472" i="13" s="1"/>
  <c r="F1471" i="13"/>
  <c r="F1469" i="13"/>
  <c r="I1469" i="13" s="1"/>
  <c r="F1468" i="13"/>
  <c r="F1467" i="13"/>
  <c r="I1467" i="13" s="1"/>
  <c r="F1464" i="13"/>
  <c r="I1464" i="13" s="1"/>
  <c r="F1463" i="13"/>
  <c r="I1463" i="13" s="1"/>
  <c r="F1462" i="13"/>
  <c r="I1462" i="13" s="1"/>
  <c r="F1461" i="13"/>
  <c r="I1461" i="13" s="1"/>
  <c r="F1460" i="13"/>
  <c r="I1460" i="13" s="1"/>
  <c r="F1459" i="13"/>
  <c r="I1459" i="13" s="1"/>
  <c r="F1458" i="13"/>
  <c r="I1458" i="13" s="1"/>
  <c r="I1465" i="13" s="1"/>
  <c r="F1456" i="13"/>
  <c r="I1456" i="13" s="1"/>
  <c r="F1455" i="13"/>
  <c r="I1455" i="13" s="1"/>
  <c r="F1454" i="13"/>
  <c r="I1454" i="13" s="1"/>
  <c r="F1453" i="13"/>
  <c r="I1453" i="13" s="1"/>
  <c r="F1452" i="13"/>
  <c r="I1452" i="13" s="1"/>
  <c r="F1451" i="13"/>
  <c r="I1451" i="13" s="1"/>
  <c r="F1450" i="13"/>
  <c r="I1450" i="13" s="1"/>
  <c r="F1449" i="13"/>
  <c r="I1449" i="13" s="1"/>
  <c r="F1448" i="13"/>
  <c r="I1448" i="13" s="1"/>
  <c r="F1447" i="13"/>
  <c r="F1443" i="13"/>
  <c r="I1443" i="13" s="1"/>
  <c r="F1442" i="13"/>
  <c r="I1442" i="13" s="1"/>
  <c r="F1441" i="13"/>
  <c r="I1441" i="13" s="1"/>
  <c r="F1440" i="13"/>
  <c r="I1440" i="13" s="1"/>
  <c r="F1439" i="13"/>
  <c r="I1439" i="13" s="1"/>
  <c r="F1438" i="13"/>
  <c r="I1438" i="13" s="1"/>
  <c r="F1437" i="13"/>
  <c r="I1437" i="13" s="1"/>
  <c r="F1436" i="13"/>
  <c r="I1436" i="13" s="1"/>
  <c r="F1435" i="13"/>
  <c r="F1433" i="13"/>
  <c r="I1433" i="13" s="1"/>
  <c r="F1432" i="13"/>
  <c r="I1432" i="13" s="1"/>
  <c r="F1431" i="13"/>
  <c r="I1431" i="13" s="1"/>
  <c r="F1430" i="13"/>
  <c r="F1434" i="13" s="1"/>
  <c r="F1427" i="13"/>
  <c r="I1427" i="13" s="1"/>
  <c r="F1426" i="13"/>
  <c r="I1426" i="13" s="1"/>
  <c r="F1425" i="13"/>
  <c r="F1428" i="13" s="1"/>
  <c r="F1423" i="13"/>
  <c r="I1423" i="13" s="1"/>
  <c r="F1422" i="13"/>
  <c r="I1422" i="13" s="1"/>
  <c r="F1421" i="13"/>
  <c r="I1421" i="13" s="1"/>
  <c r="F1420" i="13"/>
  <c r="I1420" i="13" s="1"/>
  <c r="F1419" i="13"/>
  <c r="I1419" i="13" s="1"/>
  <c r="F1418" i="13"/>
  <c r="I1418" i="13" s="1"/>
  <c r="F1417" i="13"/>
  <c r="F1424" i="13" s="1"/>
  <c r="F1415" i="13"/>
  <c r="I1415" i="13" s="1"/>
  <c r="F1414" i="13"/>
  <c r="I1414" i="13" s="1"/>
  <c r="F1413" i="13"/>
  <c r="I1413" i="13" s="1"/>
  <c r="F1412" i="13"/>
  <c r="I1412" i="13" s="1"/>
  <c r="F1411" i="13"/>
  <c r="I1411" i="13" s="1"/>
  <c r="F1410" i="13"/>
  <c r="I1410" i="13" s="1"/>
  <c r="F1409" i="13"/>
  <c r="F1407" i="13"/>
  <c r="I1407" i="13" s="1"/>
  <c r="F1406" i="13"/>
  <c r="I1406" i="13" s="1"/>
  <c r="F1405" i="13"/>
  <c r="I1405" i="13" s="1"/>
  <c r="F1404" i="13"/>
  <c r="I1404" i="13" s="1"/>
  <c r="F1403" i="13"/>
  <c r="I1403" i="13" s="1"/>
  <c r="F1402" i="13"/>
  <c r="I1402" i="13" s="1"/>
  <c r="F1401" i="13"/>
  <c r="F1399" i="13"/>
  <c r="I1399" i="13" s="1"/>
  <c r="F1398" i="13"/>
  <c r="I1398" i="13" s="1"/>
  <c r="F1397" i="13"/>
  <c r="I1397" i="13" s="1"/>
  <c r="F1396" i="13"/>
  <c r="F1501" i="1"/>
  <c r="F1502" i="1" s="1"/>
  <c r="I1500" i="1"/>
  <c r="H1500" i="1"/>
  <c r="E1500" i="1"/>
  <c r="G1499" i="1"/>
  <c r="J1499" i="1" s="1"/>
  <c r="G1498" i="1"/>
  <c r="J1498" i="1" s="1"/>
  <c r="I1497" i="1"/>
  <c r="H1497" i="1"/>
  <c r="E1497" i="1"/>
  <c r="G1496" i="1"/>
  <c r="J1496" i="1" s="1"/>
  <c r="J1495" i="1"/>
  <c r="G1495" i="1"/>
  <c r="G1494" i="1"/>
  <c r="J1494" i="1" s="1"/>
  <c r="I1493" i="1"/>
  <c r="H1493" i="1"/>
  <c r="G1492" i="1"/>
  <c r="J1492" i="1" s="1"/>
  <c r="G1491" i="1"/>
  <c r="J1491" i="1" s="1"/>
  <c r="J1490" i="1"/>
  <c r="G1490" i="1"/>
  <c r="E1490" i="1"/>
  <c r="E1493" i="1" s="1"/>
  <c r="J1489" i="1"/>
  <c r="G1489" i="1"/>
  <c r="G1488" i="1"/>
  <c r="I1487" i="1"/>
  <c r="H1487" i="1"/>
  <c r="E1487" i="1"/>
  <c r="J1486" i="1"/>
  <c r="G1486" i="1"/>
  <c r="G1485" i="1"/>
  <c r="I1484" i="1"/>
  <c r="H1484" i="1"/>
  <c r="E1484" i="1"/>
  <c r="J1483" i="1"/>
  <c r="G1483" i="1"/>
  <c r="G1482" i="1"/>
  <c r="J1482" i="1" s="1"/>
  <c r="G1481" i="1"/>
  <c r="J1481" i="1" s="1"/>
  <c r="G1480" i="1"/>
  <c r="I1479" i="1"/>
  <c r="H1479" i="1"/>
  <c r="E1479" i="1"/>
  <c r="J1478" i="1"/>
  <c r="G1478" i="1"/>
  <c r="G1477" i="1"/>
  <c r="J1477" i="1" s="1"/>
  <c r="G1476" i="1"/>
  <c r="J1476" i="1" s="1"/>
  <c r="F1474" i="1"/>
  <c r="F1475" i="1" s="1"/>
  <c r="G1473" i="1"/>
  <c r="J1473" i="1" s="1"/>
  <c r="I1471" i="1"/>
  <c r="H1471" i="1"/>
  <c r="E1471" i="1"/>
  <c r="E1472" i="1" s="1"/>
  <c r="G1470" i="1"/>
  <c r="J1470" i="1" s="1"/>
  <c r="G1469" i="1"/>
  <c r="J1469" i="1" s="1"/>
  <c r="G1468" i="1"/>
  <c r="J1468" i="1" s="1"/>
  <c r="G1467" i="1"/>
  <c r="J1467" i="1" s="1"/>
  <c r="G1466" i="1"/>
  <c r="J1466" i="1" s="1"/>
  <c r="G1465" i="1"/>
  <c r="I1464" i="1"/>
  <c r="I1472" i="1" s="1"/>
  <c r="H1464" i="1"/>
  <c r="H1472" i="1" s="1"/>
  <c r="E1464" i="1"/>
  <c r="J1463" i="1"/>
  <c r="G1463" i="1"/>
  <c r="G1462" i="1"/>
  <c r="J1462" i="1" s="1"/>
  <c r="G1461" i="1"/>
  <c r="G1464" i="1" s="1"/>
  <c r="J1464" i="1" s="1"/>
  <c r="F1460" i="1"/>
  <c r="I1459" i="1"/>
  <c r="H1459" i="1"/>
  <c r="E1459" i="1"/>
  <c r="G1458" i="1"/>
  <c r="J1458" i="1" s="1"/>
  <c r="J1457" i="1"/>
  <c r="G1456" i="1"/>
  <c r="J1456" i="1" s="1"/>
  <c r="G1455" i="1"/>
  <c r="J1455" i="1" s="1"/>
  <c r="G1454" i="1"/>
  <c r="J1454" i="1" s="1"/>
  <c r="G1453" i="1"/>
  <c r="J1453" i="1" s="1"/>
  <c r="G1452" i="1"/>
  <c r="I1451" i="1"/>
  <c r="I1460" i="1" s="1"/>
  <c r="H1451" i="1"/>
  <c r="E1451" i="1"/>
  <c r="G1450" i="1"/>
  <c r="J1450" i="1" s="1"/>
  <c r="G1449" i="1"/>
  <c r="J1449" i="1" s="1"/>
  <c r="G1448" i="1"/>
  <c r="J1448" i="1" s="1"/>
  <c r="G1447" i="1"/>
  <c r="J1447" i="1" s="1"/>
  <c r="G1446" i="1"/>
  <c r="J1446" i="1" s="1"/>
  <c r="G1445" i="1"/>
  <c r="J1445" i="1" s="1"/>
  <c r="G1444" i="1"/>
  <c r="J1444" i="1" s="1"/>
  <c r="G1443" i="1"/>
  <c r="J1443" i="1" s="1"/>
  <c r="G1442" i="1"/>
  <c r="J1442" i="1" s="1"/>
  <c r="G1441" i="1"/>
  <c r="F1439" i="1"/>
  <c r="I1438" i="1"/>
  <c r="M1438" i="1" s="1"/>
  <c r="H1438" i="1"/>
  <c r="L1438" i="1" s="1"/>
  <c r="E1438" i="1"/>
  <c r="E1439" i="1" s="1"/>
  <c r="G1437" i="1"/>
  <c r="J1437" i="1" s="1"/>
  <c r="G1436" i="1"/>
  <c r="J1436" i="1" s="1"/>
  <c r="G1435" i="1"/>
  <c r="J1435" i="1" s="1"/>
  <c r="G1434" i="1"/>
  <c r="J1434" i="1" s="1"/>
  <c r="G1433" i="1"/>
  <c r="J1433" i="1" s="1"/>
  <c r="G1432" i="1"/>
  <c r="J1432" i="1" s="1"/>
  <c r="G1431" i="1"/>
  <c r="J1431" i="1" s="1"/>
  <c r="G1430" i="1"/>
  <c r="J1430" i="1" s="1"/>
  <c r="G1429" i="1"/>
  <c r="G1438" i="1" s="1"/>
  <c r="I1428" i="1"/>
  <c r="I1439" i="1" s="1"/>
  <c r="H1428" i="1"/>
  <c r="E1428" i="1"/>
  <c r="G1427" i="1"/>
  <c r="J1427" i="1" s="1"/>
  <c r="G1426" i="1"/>
  <c r="J1426" i="1" s="1"/>
  <c r="G1425" i="1"/>
  <c r="J1425" i="1" s="1"/>
  <c r="J1424" i="1"/>
  <c r="G1424" i="1"/>
  <c r="I1422" i="1"/>
  <c r="H1422" i="1"/>
  <c r="E1422" i="1"/>
  <c r="G1421" i="1"/>
  <c r="J1421" i="1" s="1"/>
  <c r="G1420" i="1"/>
  <c r="J1420" i="1" s="1"/>
  <c r="G1419" i="1"/>
  <c r="G1422" i="1" s="1"/>
  <c r="J1422" i="1" s="1"/>
  <c r="I1418" i="1"/>
  <c r="F1418" i="1"/>
  <c r="F1423" i="1" s="1"/>
  <c r="F1440" i="1" s="1"/>
  <c r="F1503" i="1" s="1"/>
  <c r="E1418" i="1"/>
  <c r="J1417" i="1"/>
  <c r="G1417" i="1"/>
  <c r="G1416" i="1"/>
  <c r="J1416" i="1" s="1"/>
  <c r="G1415" i="1"/>
  <c r="J1415" i="1" s="1"/>
  <c r="G1414" i="1"/>
  <c r="J1414" i="1" s="1"/>
  <c r="J1413" i="1"/>
  <c r="G1413" i="1"/>
  <c r="G1412" i="1"/>
  <c r="J1412" i="1" s="1"/>
  <c r="I1410" i="1"/>
  <c r="H1410" i="1"/>
  <c r="E1410" i="1"/>
  <c r="G1409" i="1"/>
  <c r="J1409" i="1" s="1"/>
  <c r="G1408" i="1"/>
  <c r="J1408" i="1" s="1"/>
  <c r="G1407" i="1"/>
  <c r="J1407" i="1" s="1"/>
  <c r="G1406" i="1"/>
  <c r="J1406" i="1" s="1"/>
  <c r="G1405" i="1"/>
  <c r="J1405" i="1" s="1"/>
  <c r="J1404" i="1"/>
  <c r="G1404" i="1"/>
  <c r="G1403" i="1"/>
  <c r="J1403" i="1" s="1"/>
  <c r="I1402" i="1"/>
  <c r="H1402" i="1"/>
  <c r="E1402" i="1"/>
  <c r="J1401" i="1"/>
  <c r="G1401" i="1"/>
  <c r="G1400" i="1"/>
  <c r="J1400" i="1" s="1"/>
  <c r="G1399" i="1"/>
  <c r="J1399" i="1" s="1"/>
  <c r="G1398" i="1"/>
  <c r="J1398" i="1" s="1"/>
  <c r="G1397" i="1"/>
  <c r="J1397" i="1" s="1"/>
  <c r="J1396" i="1"/>
  <c r="G1396" i="1"/>
  <c r="G1395" i="1"/>
  <c r="I1394" i="1"/>
  <c r="H1394" i="1"/>
  <c r="E1394" i="1"/>
  <c r="E1423" i="1" s="1"/>
  <c r="G1393" i="1"/>
  <c r="J1393" i="1" s="1"/>
  <c r="G1392" i="1"/>
  <c r="J1392" i="1" s="1"/>
  <c r="G1391" i="1"/>
  <c r="J1391" i="1" s="1"/>
  <c r="G1390" i="1"/>
  <c r="H1460" i="1" l="1"/>
  <c r="H1474" i="1" s="1"/>
  <c r="H1475" i="1" s="1"/>
  <c r="F1408" i="13"/>
  <c r="F1485" i="13"/>
  <c r="F1498" i="13"/>
  <c r="D786" i="17"/>
  <c r="G1394" i="1"/>
  <c r="G1402" i="1"/>
  <c r="J1402" i="1" s="1"/>
  <c r="J1429" i="1"/>
  <c r="F1400" i="13"/>
  <c r="F1416" i="13"/>
  <c r="F1444" i="13"/>
  <c r="F1477" i="13"/>
  <c r="H1501" i="1"/>
  <c r="H1502" i="1" s="1"/>
  <c r="F1445" i="13"/>
  <c r="H786" i="17"/>
  <c r="P772" i="17"/>
  <c r="J1419" i="1"/>
  <c r="J772" i="17"/>
  <c r="K836" i="17"/>
  <c r="Q772" i="17"/>
  <c r="F1625" i="13"/>
  <c r="E1591" i="1"/>
  <c r="E1592" i="1" s="1"/>
  <c r="E1620" i="1" s="1"/>
  <c r="H1242" i="16"/>
  <c r="H1269" i="16"/>
  <c r="H1205" i="16"/>
  <c r="H1198" i="16"/>
  <c r="H1210" i="16"/>
  <c r="F859" i="17"/>
  <c r="I859" i="17" s="1"/>
  <c r="P850" i="17"/>
  <c r="P894" i="17" s="1"/>
  <c r="G1709" i="1"/>
  <c r="J1708" i="1"/>
  <c r="I1620" i="1"/>
  <c r="F893" i="17"/>
  <c r="I892" i="17"/>
  <c r="F850" i="17"/>
  <c r="I850" i="17" s="1"/>
  <c r="I841" i="17"/>
  <c r="I1595" i="13"/>
  <c r="I1597" i="13" s="1"/>
  <c r="I1598" i="13" s="1"/>
  <c r="I1546" i="13"/>
  <c r="I1563" i="13" s="1"/>
  <c r="I1623" i="13"/>
  <c r="I1624" i="13" s="1"/>
  <c r="J1555" i="1"/>
  <c r="J1556" i="1"/>
  <c r="G1618" i="1"/>
  <c r="J1581" i="1"/>
  <c r="G1589" i="1"/>
  <c r="J1589" i="1" s="1"/>
  <c r="G1568" i="1"/>
  <c r="G1540" i="1"/>
  <c r="F1470" i="13"/>
  <c r="F1478" i="13" s="1"/>
  <c r="J1461" i="1"/>
  <c r="I1474" i="1"/>
  <c r="I1475" i="1" s="1"/>
  <c r="F1457" i="13"/>
  <c r="I1423" i="1"/>
  <c r="H1212" i="16"/>
  <c r="E1212" i="16"/>
  <c r="E1272" i="16" s="1"/>
  <c r="E199" i="15"/>
  <c r="E202" i="15"/>
  <c r="P828" i="17"/>
  <c r="P829" i="17" s="1"/>
  <c r="F794" i="17"/>
  <c r="I794" i="17" s="1"/>
  <c r="P794" i="17"/>
  <c r="P795" i="17" s="1"/>
  <c r="P777" i="17"/>
  <c r="F777" i="17"/>
  <c r="P785" i="17"/>
  <c r="F785" i="17"/>
  <c r="I785" i="17" s="1"/>
  <c r="G830" i="17"/>
  <c r="D830" i="17"/>
  <c r="I787" i="17"/>
  <c r="F828" i="17"/>
  <c r="H830" i="17"/>
  <c r="I1396" i="13"/>
  <c r="I1400" i="13" s="1"/>
  <c r="I1401" i="13"/>
  <c r="I1408" i="13" s="1"/>
  <c r="F1465" i="13"/>
  <c r="F1466" i="13" s="1"/>
  <c r="F1480" i="13" s="1"/>
  <c r="F1481" i="13" s="1"/>
  <c r="F1502" i="13"/>
  <c r="F1506" i="13" s="1"/>
  <c r="F1507" i="13" s="1"/>
  <c r="I1409" i="13"/>
  <c r="I1416" i="13" s="1"/>
  <c r="I1417" i="13"/>
  <c r="I1424" i="13" s="1"/>
  <c r="I1425" i="13"/>
  <c r="I1428" i="13" s="1"/>
  <c r="I1430" i="13"/>
  <c r="I1434" i="13" s="1"/>
  <c r="I1445" i="13" s="1"/>
  <c r="I1435" i="13"/>
  <c r="I1444" i="13" s="1"/>
  <c r="I1447" i="13"/>
  <c r="I1457" i="13" s="1"/>
  <c r="I1466" i="13" s="1"/>
  <c r="I1468" i="13"/>
  <c r="I1470" i="13" s="1"/>
  <c r="I1471" i="13"/>
  <c r="I1477" i="13" s="1"/>
  <c r="I1483" i="13"/>
  <c r="I1485" i="13" s="1"/>
  <c r="I1486" i="13"/>
  <c r="I1490" i="13" s="1"/>
  <c r="I1491" i="13"/>
  <c r="I1493" i="13" s="1"/>
  <c r="I1494" i="13"/>
  <c r="I1498" i="13" s="1"/>
  <c r="J1394" i="1"/>
  <c r="E1440" i="1"/>
  <c r="I1440" i="1"/>
  <c r="G1410" i="1"/>
  <c r="J1410" i="1" s="1"/>
  <c r="H1418" i="1"/>
  <c r="H1423" i="1" s="1"/>
  <c r="G1411" i="1"/>
  <c r="G1428" i="1"/>
  <c r="G1497" i="1"/>
  <c r="J1497" i="1" s="1"/>
  <c r="J1390" i="1"/>
  <c r="J1395" i="1"/>
  <c r="H1439" i="1"/>
  <c r="G1451" i="1"/>
  <c r="J1441" i="1"/>
  <c r="G1459" i="1"/>
  <c r="J1459" i="1" s="1"/>
  <c r="J1452" i="1"/>
  <c r="E1460" i="1"/>
  <c r="E1474" i="1" s="1"/>
  <c r="E1475" i="1" s="1"/>
  <c r="G1493" i="1"/>
  <c r="J1493" i="1" s="1"/>
  <c r="J1488" i="1"/>
  <c r="G1471" i="1"/>
  <c r="J1471" i="1" s="1"/>
  <c r="J1465" i="1"/>
  <c r="E1501" i="1"/>
  <c r="E1502" i="1" s="1"/>
  <c r="I1501" i="1"/>
  <c r="I1502" i="1" s="1"/>
  <c r="G1484" i="1"/>
  <c r="J1484" i="1" s="1"/>
  <c r="J1480" i="1"/>
  <c r="G1487" i="1"/>
  <c r="J1487" i="1" s="1"/>
  <c r="J1485" i="1"/>
  <c r="G1479" i="1"/>
  <c r="G1500" i="1"/>
  <c r="J1500" i="1" s="1"/>
  <c r="E87" i="14"/>
  <c r="E83" i="14"/>
  <c r="I1294" i="1"/>
  <c r="H1294" i="1"/>
  <c r="I1298" i="1"/>
  <c r="H1298" i="1"/>
  <c r="K900" i="17" l="1"/>
  <c r="Q836" i="17"/>
  <c r="J836" i="17"/>
  <c r="F1429" i="13"/>
  <c r="F1446" i="13" s="1"/>
  <c r="J1709" i="1"/>
  <c r="G1737" i="1"/>
  <c r="J1737" i="1" s="1"/>
  <c r="F894" i="17"/>
  <c r="I894" i="17" s="1"/>
  <c r="I893" i="17"/>
  <c r="I1625" i="13"/>
  <c r="G1557" i="1"/>
  <c r="J1540" i="1"/>
  <c r="G1577" i="1"/>
  <c r="J1568" i="1"/>
  <c r="G1619" i="1"/>
  <c r="J1619" i="1" s="1"/>
  <c r="J1618" i="1"/>
  <c r="I1506" i="13"/>
  <c r="I1507" i="13" s="1"/>
  <c r="F1508" i="13"/>
  <c r="F795" i="17"/>
  <c r="I795" i="17" s="1"/>
  <c r="I1478" i="13"/>
  <c r="P786" i="17"/>
  <c r="P830" i="17" s="1"/>
  <c r="F829" i="17"/>
  <c r="I828" i="17"/>
  <c r="F786" i="17"/>
  <c r="I786" i="17" s="1"/>
  <c r="I777" i="17"/>
  <c r="I1480" i="13"/>
  <c r="I1481" i="13" s="1"/>
  <c r="I1429" i="13"/>
  <c r="I1446" i="13" s="1"/>
  <c r="H1440" i="1"/>
  <c r="H1503" i="1" s="1"/>
  <c r="G1460" i="1"/>
  <c r="J1451" i="1"/>
  <c r="I1503" i="1"/>
  <c r="G1501" i="1"/>
  <c r="J1479" i="1"/>
  <c r="G1472" i="1"/>
  <c r="J1472" i="1" s="1"/>
  <c r="J1428" i="1"/>
  <c r="G1439" i="1"/>
  <c r="G1418" i="1"/>
  <c r="J1418" i="1" s="1"/>
  <c r="J1411" i="1"/>
  <c r="E1503" i="1"/>
  <c r="L97" i="14"/>
  <c r="K97" i="14" s="1"/>
  <c r="G97" i="14"/>
  <c r="C97" i="14"/>
  <c r="L96" i="14"/>
  <c r="K96" i="14" s="1"/>
  <c r="G96" i="14"/>
  <c r="C96" i="14"/>
  <c r="L95" i="14"/>
  <c r="K95" i="14" s="1"/>
  <c r="G95" i="14"/>
  <c r="C95" i="14"/>
  <c r="L94" i="14"/>
  <c r="K94" i="14" s="1"/>
  <c r="G94" i="14"/>
  <c r="C94" i="14"/>
  <c r="L93" i="14"/>
  <c r="K93" i="14" s="1"/>
  <c r="G93" i="14"/>
  <c r="C93" i="14"/>
  <c r="L92" i="14"/>
  <c r="K92" i="14" s="1"/>
  <c r="G92" i="14"/>
  <c r="C92" i="14"/>
  <c r="L91" i="14"/>
  <c r="K91" i="14" s="1"/>
  <c r="G91" i="14"/>
  <c r="C91" i="14"/>
  <c r="G90" i="14"/>
  <c r="L90" i="14"/>
  <c r="K90" i="14" s="1"/>
  <c r="G89" i="14"/>
  <c r="L89" i="14"/>
  <c r="K89" i="14" s="1"/>
  <c r="L88" i="14"/>
  <c r="K88" i="14"/>
  <c r="M88" i="14" s="1"/>
  <c r="G88" i="14"/>
  <c r="C88" i="14"/>
  <c r="L87" i="14"/>
  <c r="K87" i="14" s="1"/>
  <c r="O87" i="14" s="1"/>
  <c r="G87" i="14"/>
  <c r="C87" i="14"/>
  <c r="L86" i="14"/>
  <c r="K86" i="14" s="1"/>
  <c r="M86" i="14" s="1"/>
  <c r="G86" i="14"/>
  <c r="C86" i="14"/>
  <c r="L85" i="14"/>
  <c r="K85" i="14" s="1"/>
  <c r="M85" i="14" s="1"/>
  <c r="G85" i="14"/>
  <c r="C85" i="14"/>
  <c r="L84" i="14"/>
  <c r="K84" i="14" s="1"/>
  <c r="M84" i="14" s="1"/>
  <c r="G84" i="14"/>
  <c r="C84" i="14"/>
  <c r="L83" i="14"/>
  <c r="K83" i="14" s="1"/>
  <c r="M83" i="14" s="1"/>
  <c r="G83" i="14"/>
  <c r="C83" i="14"/>
  <c r="L82" i="14"/>
  <c r="K82" i="14" s="1"/>
  <c r="O82" i="14" s="1"/>
  <c r="G82" i="14"/>
  <c r="C82" i="14"/>
  <c r="K966" i="17" l="1"/>
  <c r="J900" i="17"/>
  <c r="Q900" i="17"/>
  <c r="G1591" i="1"/>
  <c r="J1577" i="1"/>
  <c r="J1557" i="1"/>
  <c r="I1508" i="13"/>
  <c r="F830" i="17"/>
  <c r="I830" i="17" s="1"/>
  <c r="I829" i="17"/>
  <c r="G1423" i="1"/>
  <c r="J1423" i="1" s="1"/>
  <c r="G1440" i="1"/>
  <c r="J1439" i="1"/>
  <c r="J1438" i="1"/>
  <c r="G1474" i="1"/>
  <c r="J1460" i="1"/>
  <c r="G1502" i="1"/>
  <c r="J1502" i="1" s="1"/>
  <c r="J1501" i="1"/>
  <c r="N87" i="14"/>
  <c r="R87" i="14" s="1"/>
  <c r="N82" i="14"/>
  <c r="R82" i="14" s="1"/>
  <c r="M90" i="14"/>
  <c r="O90" i="14"/>
  <c r="O95" i="14"/>
  <c r="N95" i="14" s="1"/>
  <c r="M95" i="14"/>
  <c r="O92" i="14"/>
  <c r="N92" i="14" s="1"/>
  <c r="M92" i="14"/>
  <c r="Q87" i="14"/>
  <c r="P87" i="14"/>
  <c r="O91" i="14"/>
  <c r="N91" i="14" s="1"/>
  <c r="M91" i="14"/>
  <c r="O94" i="14"/>
  <c r="N94" i="14" s="1"/>
  <c r="M94" i="14"/>
  <c r="O96" i="14"/>
  <c r="N96" i="14" s="1"/>
  <c r="M96" i="14"/>
  <c r="M89" i="14"/>
  <c r="O89" i="14"/>
  <c r="O93" i="14"/>
  <c r="N93" i="14" s="1"/>
  <c r="M93" i="14"/>
  <c r="O97" i="14"/>
  <c r="N97" i="14" s="1"/>
  <c r="M97" i="14"/>
  <c r="O83" i="14"/>
  <c r="N83" i="14" s="1"/>
  <c r="O84" i="14"/>
  <c r="N84" i="14" s="1"/>
  <c r="O85" i="14"/>
  <c r="N85" i="14" s="1"/>
  <c r="O88" i="14"/>
  <c r="N88" i="14" s="1"/>
  <c r="O86" i="14"/>
  <c r="N86" i="14" s="1"/>
  <c r="M82" i="14"/>
  <c r="M87" i="14"/>
  <c r="C89" i="14"/>
  <c r="C90" i="14"/>
  <c r="C189" i="15"/>
  <c r="E188" i="15"/>
  <c r="E185" i="15"/>
  <c r="C186" i="15"/>
  <c r="E182" i="15"/>
  <c r="C183" i="15"/>
  <c r="H1176" i="16"/>
  <c r="F1176" i="16"/>
  <c r="I1176" i="16" s="1"/>
  <c r="I1177" i="16" s="1"/>
  <c r="E1175" i="16"/>
  <c r="H1174" i="16"/>
  <c r="H1173" i="16"/>
  <c r="H1172" i="16"/>
  <c r="I1172" i="16" s="1"/>
  <c r="H1171" i="16"/>
  <c r="H1170" i="16"/>
  <c r="H1169" i="16"/>
  <c r="H1168" i="16"/>
  <c r="H1167" i="16"/>
  <c r="H1166" i="16"/>
  <c r="H1165" i="16"/>
  <c r="H1164" i="16"/>
  <c r="H1163" i="16"/>
  <c r="H1162" i="16"/>
  <c r="H1161" i="16"/>
  <c r="H1160" i="16"/>
  <c r="H1159" i="16"/>
  <c r="H1158" i="16"/>
  <c r="H1157" i="16"/>
  <c r="H1156" i="16"/>
  <c r="H1155" i="16"/>
  <c r="H1154" i="16"/>
  <c r="H1153" i="16"/>
  <c r="H1152" i="16"/>
  <c r="H1151" i="16"/>
  <c r="H1150" i="16"/>
  <c r="H1149" i="16"/>
  <c r="E1148" i="16"/>
  <c r="H1147" i="16"/>
  <c r="H1146" i="16"/>
  <c r="H1145" i="16"/>
  <c r="H1144" i="16"/>
  <c r="H1143" i="16"/>
  <c r="H1142" i="16"/>
  <c r="H1141" i="16"/>
  <c r="H1140" i="16"/>
  <c r="H1139" i="16"/>
  <c r="H1138" i="16"/>
  <c r="H1137" i="16"/>
  <c r="H1136" i="16"/>
  <c r="H1135" i="16"/>
  <c r="H1134" i="16"/>
  <c r="H1133" i="16"/>
  <c r="H1132" i="16"/>
  <c r="H1131" i="16"/>
  <c r="H1130" i="16"/>
  <c r="H1129" i="16"/>
  <c r="H1128" i="16"/>
  <c r="H1127" i="16"/>
  <c r="H1126" i="16"/>
  <c r="H1125" i="16"/>
  <c r="H1124" i="16"/>
  <c r="H1123" i="16"/>
  <c r="H1122" i="16"/>
  <c r="H1121" i="16"/>
  <c r="H1120" i="16"/>
  <c r="H1119" i="16"/>
  <c r="E1116" i="16"/>
  <c r="H1115" i="16"/>
  <c r="H1114" i="16"/>
  <c r="H1113" i="16"/>
  <c r="H1112" i="16"/>
  <c r="E1111" i="16"/>
  <c r="H1110" i="16"/>
  <c r="H1109" i="16"/>
  <c r="H1108" i="16"/>
  <c r="H1107" i="16"/>
  <c r="H1106" i="16"/>
  <c r="H1105" i="16"/>
  <c r="E1104" i="16"/>
  <c r="H1103" i="16"/>
  <c r="H1102" i="16"/>
  <c r="H1101" i="16"/>
  <c r="H1100" i="16"/>
  <c r="H1099" i="16"/>
  <c r="H1098" i="16"/>
  <c r="H1097" i="16"/>
  <c r="H1096" i="16"/>
  <c r="H1095" i="16"/>
  <c r="H1094" i="16"/>
  <c r="H1093" i="16"/>
  <c r="H1092" i="16"/>
  <c r="H1091" i="16"/>
  <c r="H1090" i="16"/>
  <c r="H1089" i="16"/>
  <c r="E765" i="17"/>
  <c r="H764" i="17"/>
  <c r="H765" i="17" s="1"/>
  <c r="G764" i="17"/>
  <c r="G765" i="17" s="1"/>
  <c r="D764" i="17"/>
  <c r="D765" i="17" s="1"/>
  <c r="P763" i="17"/>
  <c r="F763" i="17"/>
  <c r="I763" i="17" s="1"/>
  <c r="P762" i="17"/>
  <c r="F762" i="17"/>
  <c r="I762" i="17" s="1"/>
  <c r="P761" i="17"/>
  <c r="F761" i="17"/>
  <c r="I761" i="17" s="1"/>
  <c r="P760" i="17"/>
  <c r="F760" i="17"/>
  <c r="I760" i="17" s="1"/>
  <c r="P759" i="17"/>
  <c r="F759" i="17"/>
  <c r="I759" i="17" s="1"/>
  <c r="P758" i="17"/>
  <c r="F758" i="17"/>
  <c r="I758" i="17" s="1"/>
  <c r="P757" i="17"/>
  <c r="F757" i="17"/>
  <c r="I757" i="17" s="1"/>
  <c r="P756" i="17"/>
  <c r="F756" i="17"/>
  <c r="I756" i="17" s="1"/>
  <c r="P755" i="17"/>
  <c r="F755" i="17"/>
  <c r="I755" i="17" s="1"/>
  <c r="P754" i="17"/>
  <c r="F754" i="17"/>
  <c r="I754" i="17" s="1"/>
  <c r="P753" i="17"/>
  <c r="F753" i="17"/>
  <c r="I753" i="17" s="1"/>
  <c r="P752" i="17"/>
  <c r="F752" i="17"/>
  <c r="I752" i="17" s="1"/>
  <c r="P751" i="17"/>
  <c r="F751" i="17"/>
  <c r="I751" i="17" s="1"/>
  <c r="P750" i="17"/>
  <c r="F750" i="17"/>
  <c r="I750" i="17" s="1"/>
  <c r="P749" i="17"/>
  <c r="F749" i="17"/>
  <c r="I749" i="17" s="1"/>
  <c r="P748" i="17"/>
  <c r="F748" i="17"/>
  <c r="I748" i="17" s="1"/>
  <c r="P747" i="17"/>
  <c r="F747" i="17"/>
  <c r="I747" i="17" s="1"/>
  <c r="P746" i="17"/>
  <c r="F746" i="17"/>
  <c r="I746" i="17" s="1"/>
  <c r="P745" i="17"/>
  <c r="F745" i="17"/>
  <c r="I745" i="17" s="1"/>
  <c r="P744" i="17"/>
  <c r="F744" i="17"/>
  <c r="I744" i="17" s="1"/>
  <c r="P743" i="17"/>
  <c r="F743" i="17"/>
  <c r="I743" i="17" s="1"/>
  <c r="P742" i="17"/>
  <c r="F742" i="17"/>
  <c r="I742" i="17" s="1"/>
  <c r="P741" i="17"/>
  <c r="F741" i="17"/>
  <c r="I741" i="17" s="1"/>
  <c r="P740" i="17"/>
  <c r="F740" i="17"/>
  <c r="I740" i="17" s="1"/>
  <c r="P739" i="17"/>
  <c r="F739" i="17"/>
  <c r="I739" i="17" s="1"/>
  <c r="P738" i="17"/>
  <c r="F738" i="17"/>
  <c r="I738" i="17" s="1"/>
  <c r="P737" i="17"/>
  <c r="F737" i="17"/>
  <c r="I737" i="17" s="1"/>
  <c r="P736" i="17"/>
  <c r="F736" i="17"/>
  <c r="I736" i="17" s="1"/>
  <c r="P735" i="17"/>
  <c r="F735" i="17"/>
  <c r="I735" i="17" s="1"/>
  <c r="P734" i="17"/>
  <c r="F734" i="17"/>
  <c r="I734" i="17" s="1"/>
  <c r="P733" i="17"/>
  <c r="F733" i="17"/>
  <c r="I733" i="17" s="1"/>
  <c r="P732" i="17"/>
  <c r="F732" i="17"/>
  <c r="E731" i="17"/>
  <c r="D731" i="17"/>
  <c r="H730" i="17"/>
  <c r="H731" i="17" s="1"/>
  <c r="G730" i="17"/>
  <c r="G731" i="17" s="1"/>
  <c r="P729" i="17"/>
  <c r="F729" i="17"/>
  <c r="I729" i="17" s="1"/>
  <c r="P728" i="17"/>
  <c r="F728" i="17"/>
  <c r="I728" i="17" s="1"/>
  <c r="P727" i="17"/>
  <c r="F727" i="17"/>
  <c r="I727" i="17" s="1"/>
  <c r="P726" i="17"/>
  <c r="F726" i="17"/>
  <c r="I726" i="17" s="1"/>
  <c r="P725" i="17"/>
  <c r="F725" i="17"/>
  <c r="I725" i="17" s="1"/>
  <c r="P724" i="17"/>
  <c r="F724" i="17"/>
  <c r="P723" i="17"/>
  <c r="I723" i="17"/>
  <c r="F723" i="17"/>
  <c r="E722" i="17"/>
  <c r="H721" i="17"/>
  <c r="G721" i="17"/>
  <c r="D721" i="17"/>
  <c r="P720" i="17"/>
  <c r="F720" i="17"/>
  <c r="I720" i="17" s="1"/>
  <c r="P719" i="17"/>
  <c r="F719" i="17"/>
  <c r="I719" i="17" s="1"/>
  <c r="P718" i="17"/>
  <c r="F718" i="17"/>
  <c r="I718" i="17" s="1"/>
  <c r="P717" i="17"/>
  <c r="F717" i="17"/>
  <c r="I717" i="17" s="1"/>
  <c r="P716" i="17"/>
  <c r="F716" i="17"/>
  <c r="I716" i="17" s="1"/>
  <c r="P715" i="17"/>
  <c r="F715" i="17"/>
  <c r="I715" i="17" s="1"/>
  <c r="P714" i="17"/>
  <c r="F714" i="17"/>
  <c r="I714" i="17" s="1"/>
  <c r="H713" i="17"/>
  <c r="G713" i="17"/>
  <c r="D713" i="17"/>
  <c r="P712" i="17"/>
  <c r="F712" i="17"/>
  <c r="I712" i="17" s="1"/>
  <c r="P711" i="17"/>
  <c r="F711" i="17"/>
  <c r="I711" i="17" s="1"/>
  <c r="P710" i="17"/>
  <c r="F710" i="17"/>
  <c r="I710" i="17" s="1"/>
  <c r="P709" i="17"/>
  <c r="F709" i="17"/>
  <c r="I709" i="17" s="1"/>
  <c r="P707" i="17"/>
  <c r="F707" i="17"/>
  <c r="I707" i="17" s="1"/>
  <c r="J1388" i="13"/>
  <c r="I1388" i="13"/>
  <c r="F1388" i="13"/>
  <c r="F1387" i="13"/>
  <c r="F1386" i="13"/>
  <c r="F1384" i="13"/>
  <c r="I1384" i="13" s="1"/>
  <c r="F1383" i="13"/>
  <c r="I1383" i="13" s="1"/>
  <c r="F1382" i="13"/>
  <c r="I1382" i="13" s="1"/>
  <c r="F1380" i="13"/>
  <c r="I1380" i="13" s="1"/>
  <c r="F1379" i="13"/>
  <c r="I1379" i="13" s="1"/>
  <c r="F1378" i="13"/>
  <c r="I1378" i="13" s="1"/>
  <c r="F1377" i="13"/>
  <c r="I1377" i="13" s="1"/>
  <c r="F1375" i="13"/>
  <c r="I1375" i="13" s="1"/>
  <c r="F1374" i="13"/>
  <c r="I1374" i="13" s="1"/>
  <c r="F1372" i="13"/>
  <c r="I1372" i="13" s="1"/>
  <c r="F1371" i="13"/>
  <c r="I1371" i="13" s="1"/>
  <c r="F1370" i="13"/>
  <c r="I1370" i="13" s="1"/>
  <c r="F1369" i="13"/>
  <c r="I1369" i="13" s="1"/>
  <c r="F1367" i="13"/>
  <c r="I1367" i="13" s="1"/>
  <c r="F1366" i="13"/>
  <c r="I1366" i="13" s="1"/>
  <c r="F1365" i="13"/>
  <c r="I1365" i="13" s="1"/>
  <c r="I1368" i="13" s="1"/>
  <c r="F1362" i="13"/>
  <c r="I1362" i="13" s="1"/>
  <c r="F1359" i="13"/>
  <c r="I1359" i="13" s="1"/>
  <c r="F1358" i="13"/>
  <c r="I1358" i="13" s="1"/>
  <c r="F1357" i="13"/>
  <c r="I1357" i="13" s="1"/>
  <c r="F1356" i="13"/>
  <c r="I1356" i="13" s="1"/>
  <c r="F1355" i="13"/>
  <c r="I1355" i="13" s="1"/>
  <c r="F1354" i="13"/>
  <c r="I1354" i="13" s="1"/>
  <c r="F1352" i="13"/>
  <c r="I1352" i="13" s="1"/>
  <c r="F1351" i="13"/>
  <c r="I1351" i="13" s="1"/>
  <c r="F1350" i="13"/>
  <c r="I1350" i="13" s="1"/>
  <c r="F1347" i="13"/>
  <c r="I1347" i="13" s="1"/>
  <c r="F1346" i="13"/>
  <c r="I1346" i="13" s="1"/>
  <c r="F1345" i="13"/>
  <c r="I1345" i="13" s="1"/>
  <c r="F1344" i="13"/>
  <c r="I1344" i="13" s="1"/>
  <c r="F1343" i="13"/>
  <c r="I1343" i="13" s="1"/>
  <c r="F1342" i="13"/>
  <c r="I1342" i="13" s="1"/>
  <c r="F1341" i="13"/>
  <c r="I1341" i="13" s="1"/>
  <c r="F1339" i="13"/>
  <c r="I1339" i="13" s="1"/>
  <c r="F1338" i="13"/>
  <c r="I1338" i="13" s="1"/>
  <c r="F1337" i="13"/>
  <c r="I1337" i="13" s="1"/>
  <c r="F1336" i="13"/>
  <c r="I1336" i="13" s="1"/>
  <c r="F1335" i="13"/>
  <c r="I1335" i="13" s="1"/>
  <c r="F1334" i="13"/>
  <c r="I1334" i="13" s="1"/>
  <c r="F1333" i="13"/>
  <c r="I1333" i="13" s="1"/>
  <c r="F1332" i="13"/>
  <c r="I1332" i="13" s="1"/>
  <c r="F1331" i="13"/>
  <c r="I1331" i="13" s="1"/>
  <c r="F1330" i="13"/>
  <c r="I1330" i="13" s="1"/>
  <c r="F1326" i="13"/>
  <c r="I1326" i="13" s="1"/>
  <c r="F1325" i="13"/>
  <c r="I1325" i="13" s="1"/>
  <c r="F1324" i="13"/>
  <c r="I1324" i="13" s="1"/>
  <c r="F1323" i="13"/>
  <c r="I1323" i="13" s="1"/>
  <c r="F1322" i="13"/>
  <c r="I1322" i="13" s="1"/>
  <c r="F1321" i="13"/>
  <c r="I1321" i="13" s="1"/>
  <c r="F1320" i="13"/>
  <c r="I1320" i="13" s="1"/>
  <c r="F1319" i="13"/>
  <c r="I1319" i="13" s="1"/>
  <c r="F1318" i="13"/>
  <c r="I1318" i="13" s="1"/>
  <c r="F1316" i="13"/>
  <c r="I1316" i="13" s="1"/>
  <c r="F1315" i="13"/>
  <c r="I1315" i="13" s="1"/>
  <c r="F1314" i="13"/>
  <c r="I1314" i="13" s="1"/>
  <c r="F1313" i="13"/>
  <c r="I1313" i="13" s="1"/>
  <c r="F1310" i="13"/>
  <c r="I1310" i="13" s="1"/>
  <c r="F1309" i="13"/>
  <c r="I1309" i="13" s="1"/>
  <c r="F1308" i="13"/>
  <c r="I1308" i="13" s="1"/>
  <c r="F1306" i="13"/>
  <c r="I1306" i="13" s="1"/>
  <c r="F1305" i="13"/>
  <c r="I1305" i="13" s="1"/>
  <c r="F1304" i="13"/>
  <c r="I1304" i="13" s="1"/>
  <c r="I1303" i="13"/>
  <c r="F1303" i="13"/>
  <c r="I1302" i="13"/>
  <c r="F1302" i="13"/>
  <c r="I1301" i="13"/>
  <c r="F1301" i="13"/>
  <c r="F1300" i="13"/>
  <c r="I1300" i="13" s="1"/>
  <c r="F1298" i="13"/>
  <c r="I1298" i="13" s="1"/>
  <c r="F1297" i="13"/>
  <c r="I1297" i="13" s="1"/>
  <c r="F1296" i="13"/>
  <c r="I1296" i="13" s="1"/>
  <c r="F1295" i="13"/>
  <c r="I1295" i="13" s="1"/>
  <c r="F1294" i="13"/>
  <c r="I1294" i="13" s="1"/>
  <c r="F1293" i="13"/>
  <c r="I1293" i="13" s="1"/>
  <c r="F1292" i="13"/>
  <c r="F1299" i="13" s="1"/>
  <c r="F1290" i="13"/>
  <c r="I1290" i="13" s="1"/>
  <c r="F1289" i="13"/>
  <c r="I1289" i="13" s="1"/>
  <c r="F1288" i="13"/>
  <c r="I1288" i="13" s="1"/>
  <c r="F1287" i="13"/>
  <c r="I1287" i="13" s="1"/>
  <c r="F1286" i="13"/>
  <c r="I1286" i="13" s="1"/>
  <c r="I1285" i="13"/>
  <c r="F1285" i="13"/>
  <c r="I1284" i="13"/>
  <c r="F1284" i="13"/>
  <c r="I1282" i="13"/>
  <c r="F1282" i="13"/>
  <c r="F1281" i="13"/>
  <c r="I1281" i="13" s="1"/>
  <c r="F1280" i="13"/>
  <c r="I1280" i="13" s="1"/>
  <c r="I1279" i="13"/>
  <c r="F1279" i="13"/>
  <c r="G1352" i="1"/>
  <c r="G1350" i="1"/>
  <c r="F1384" i="1"/>
  <c r="F1385" i="1" s="1"/>
  <c r="I1383" i="1"/>
  <c r="H1383" i="1"/>
  <c r="E1383" i="1"/>
  <c r="G1382" i="1"/>
  <c r="J1382" i="1" s="1"/>
  <c r="G1381" i="1"/>
  <c r="I1380" i="1"/>
  <c r="H1380" i="1"/>
  <c r="E1380" i="1"/>
  <c r="G1379" i="1"/>
  <c r="J1379" i="1" s="1"/>
  <c r="G1378" i="1"/>
  <c r="J1378" i="1" s="1"/>
  <c r="G1377" i="1"/>
  <c r="I1376" i="1"/>
  <c r="H1376" i="1"/>
  <c r="G1375" i="1"/>
  <c r="J1375" i="1" s="1"/>
  <c r="G1374" i="1"/>
  <c r="J1374" i="1" s="1"/>
  <c r="G1373" i="1"/>
  <c r="J1373" i="1" s="1"/>
  <c r="E1373" i="1"/>
  <c r="E1376" i="1" s="1"/>
  <c r="J1372" i="1"/>
  <c r="G1372" i="1"/>
  <c r="G1371" i="1"/>
  <c r="I1370" i="1"/>
  <c r="H1370" i="1"/>
  <c r="E1370" i="1"/>
  <c r="G1369" i="1"/>
  <c r="J1369" i="1" s="1"/>
  <c r="G1368" i="1"/>
  <c r="I1367" i="1"/>
  <c r="H1367" i="1"/>
  <c r="E1367" i="1"/>
  <c r="G1366" i="1"/>
  <c r="J1366" i="1" s="1"/>
  <c r="G1365" i="1"/>
  <c r="J1365" i="1" s="1"/>
  <c r="G1364" i="1"/>
  <c r="J1364" i="1" s="1"/>
  <c r="G1363" i="1"/>
  <c r="I1362" i="1"/>
  <c r="H1362" i="1"/>
  <c r="E1362" i="1"/>
  <c r="G1361" i="1"/>
  <c r="J1361" i="1" s="1"/>
  <c r="G1360" i="1"/>
  <c r="J1360" i="1" s="1"/>
  <c r="G1359" i="1"/>
  <c r="J1359" i="1" s="1"/>
  <c r="G1356" i="1"/>
  <c r="J1356" i="1" s="1"/>
  <c r="I1354" i="1"/>
  <c r="H1354" i="1"/>
  <c r="E1354" i="1"/>
  <c r="J1353" i="1"/>
  <c r="G1353" i="1"/>
  <c r="J1352" i="1"/>
  <c r="G1351" i="1"/>
  <c r="J1351" i="1" s="1"/>
  <c r="J1350" i="1"/>
  <c r="G1349" i="1"/>
  <c r="J1349" i="1" s="1"/>
  <c r="G1348" i="1"/>
  <c r="I1347" i="1"/>
  <c r="H1347" i="1"/>
  <c r="E1347" i="1"/>
  <c r="G1346" i="1"/>
  <c r="J1346" i="1" s="1"/>
  <c r="G1345" i="1"/>
  <c r="J1345" i="1" s="1"/>
  <c r="J1344" i="1"/>
  <c r="G1344" i="1"/>
  <c r="F1343" i="1"/>
  <c r="F1357" i="1" s="1"/>
  <c r="F1358" i="1" s="1"/>
  <c r="I1342" i="1"/>
  <c r="H1342" i="1"/>
  <c r="E1342" i="1"/>
  <c r="G1341" i="1"/>
  <c r="J1341" i="1" s="1"/>
  <c r="J1340" i="1"/>
  <c r="G1339" i="1"/>
  <c r="J1339" i="1" s="1"/>
  <c r="G1338" i="1"/>
  <c r="J1338" i="1" s="1"/>
  <c r="G1337" i="1"/>
  <c r="J1337" i="1" s="1"/>
  <c r="G1336" i="1"/>
  <c r="J1336" i="1" s="1"/>
  <c r="G1335" i="1"/>
  <c r="I1334" i="1"/>
  <c r="H1334" i="1"/>
  <c r="E1334" i="1"/>
  <c r="G1333" i="1"/>
  <c r="J1333" i="1" s="1"/>
  <c r="G1332" i="1"/>
  <c r="J1332" i="1" s="1"/>
  <c r="G1331" i="1"/>
  <c r="J1331" i="1" s="1"/>
  <c r="G1330" i="1"/>
  <c r="J1330" i="1" s="1"/>
  <c r="G1329" i="1"/>
  <c r="J1329" i="1" s="1"/>
  <c r="G1328" i="1"/>
  <c r="J1328" i="1" s="1"/>
  <c r="G1327" i="1"/>
  <c r="J1327" i="1" s="1"/>
  <c r="G1326" i="1"/>
  <c r="J1326" i="1" s="1"/>
  <c r="G1325" i="1"/>
  <c r="J1325" i="1" s="1"/>
  <c r="G1324" i="1"/>
  <c r="J1324" i="1" s="1"/>
  <c r="F1322" i="1"/>
  <c r="M1321" i="1"/>
  <c r="I1321" i="1"/>
  <c r="H1321" i="1"/>
  <c r="L1321" i="1" s="1"/>
  <c r="E1321" i="1"/>
  <c r="G1320" i="1"/>
  <c r="J1320" i="1" s="1"/>
  <c r="G1319" i="1"/>
  <c r="J1319" i="1" s="1"/>
  <c r="G1318" i="1"/>
  <c r="J1318" i="1" s="1"/>
  <c r="G1317" i="1"/>
  <c r="J1317" i="1" s="1"/>
  <c r="G1316" i="1"/>
  <c r="J1316" i="1" s="1"/>
  <c r="G1315" i="1"/>
  <c r="J1315" i="1" s="1"/>
  <c r="G1314" i="1"/>
  <c r="J1314" i="1" s="1"/>
  <c r="G1313" i="1"/>
  <c r="J1313" i="1" s="1"/>
  <c r="G1312" i="1"/>
  <c r="J1312" i="1" s="1"/>
  <c r="I1311" i="1"/>
  <c r="I1322" i="1" s="1"/>
  <c r="H1311" i="1"/>
  <c r="E1311" i="1"/>
  <c r="E1322" i="1" s="1"/>
  <c r="G1310" i="1"/>
  <c r="J1310" i="1" s="1"/>
  <c r="G1309" i="1"/>
  <c r="J1309" i="1" s="1"/>
  <c r="G1308" i="1"/>
  <c r="J1308" i="1" s="1"/>
  <c r="G1307" i="1"/>
  <c r="I1305" i="1"/>
  <c r="H1305" i="1"/>
  <c r="E1305" i="1"/>
  <c r="G1304" i="1"/>
  <c r="J1304" i="1" s="1"/>
  <c r="G1303" i="1"/>
  <c r="J1303" i="1" s="1"/>
  <c r="G1302" i="1"/>
  <c r="J1302" i="1" s="1"/>
  <c r="I1301" i="1"/>
  <c r="F1301" i="1"/>
  <c r="F1306" i="1" s="1"/>
  <c r="F1323" i="1" s="1"/>
  <c r="E1301" i="1"/>
  <c r="G1300" i="1"/>
  <c r="J1300" i="1" s="1"/>
  <c r="G1299" i="1"/>
  <c r="J1299" i="1" s="1"/>
  <c r="G1298" i="1"/>
  <c r="J1298" i="1" s="1"/>
  <c r="H1301" i="1"/>
  <c r="G1297" i="1"/>
  <c r="J1297" i="1" s="1"/>
  <c r="G1296" i="1"/>
  <c r="J1296" i="1" s="1"/>
  <c r="G1295" i="1"/>
  <c r="J1295" i="1" s="1"/>
  <c r="G1294" i="1"/>
  <c r="J1294" i="1" s="1"/>
  <c r="I1293" i="1"/>
  <c r="H1293" i="1"/>
  <c r="E1293" i="1"/>
  <c r="G1292" i="1"/>
  <c r="J1292" i="1" s="1"/>
  <c r="G1291" i="1"/>
  <c r="J1291" i="1" s="1"/>
  <c r="G1290" i="1"/>
  <c r="J1290" i="1" s="1"/>
  <c r="G1289" i="1"/>
  <c r="J1289" i="1" s="1"/>
  <c r="G1288" i="1"/>
  <c r="J1288" i="1" s="1"/>
  <c r="G1287" i="1"/>
  <c r="J1287" i="1" s="1"/>
  <c r="G1286" i="1"/>
  <c r="I1285" i="1"/>
  <c r="H1285" i="1"/>
  <c r="E1285" i="1"/>
  <c r="G1284" i="1"/>
  <c r="J1284" i="1" s="1"/>
  <c r="G1283" i="1"/>
  <c r="J1283" i="1" s="1"/>
  <c r="G1282" i="1"/>
  <c r="J1282" i="1" s="1"/>
  <c r="G1281" i="1"/>
  <c r="J1281" i="1" s="1"/>
  <c r="G1280" i="1"/>
  <c r="J1280" i="1" s="1"/>
  <c r="G1279" i="1"/>
  <c r="J1279" i="1" s="1"/>
  <c r="G1278" i="1"/>
  <c r="I1277" i="1"/>
  <c r="H1277" i="1"/>
  <c r="E1277" i="1"/>
  <c r="G1276" i="1"/>
  <c r="G1275" i="1"/>
  <c r="J1275" i="1" s="1"/>
  <c r="G1274" i="1"/>
  <c r="J1274" i="1" s="1"/>
  <c r="G1273" i="1"/>
  <c r="J1273" i="1" s="1"/>
  <c r="F1291" i="13" l="1"/>
  <c r="I1292" i="13"/>
  <c r="I1299" i="13" s="1"/>
  <c r="I1373" i="13"/>
  <c r="I1381" i="13"/>
  <c r="E1343" i="1"/>
  <c r="E1355" i="1"/>
  <c r="G1383" i="1"/>
  <c r="J1383" i="1" s="1"/>
  <c r="I1291" i="13"/>
  <c r="F1386" i="1"/>
  <c r="I1348" i="13"/>
  <c r="E766" i="17"/>
  <c r="P82" i="14"/>
  <c r="J966" i="17"/>
  <c r="K1032" i="17"/>
  <c r="Q966" i="17"/>
  <c r="H1116" i="16"/>
  <c r="H1111" i="16"/>
  <c r="H1148" i="16"/>
  <c r="G1592" i="1"/>
  <c r="J1591" i="1"/>
  <c r="G722" i="17"/>
  <c r="G766" i="17" s="1"/>
  <c r="D722" i="17"/>
  <c r="D766" i="17" s="1"/>
  <c r="P721" i="17"/>
  <c r="G1475" i="1"/>
  <c r="J1475" i="1" s="1"/>
  <c r="J1474" i="1"/>
  <c r="G1503" i="1"/>
  <c r="J1503" i="1" s="1"/>
  <c r="J1440" i="1"/>
  <c r="I1317" i="13"/>
  <c r="Q82" i="14"/>
  <c r="S82" i="14" s="1"/>
  <c r="T82" i="14" s="1"/>
  <c r="I1283" i="13"/>
  <c r="F1283" i="13"/>
  <c r="I1307" i="13"/>
  <c r="G1347" i="1"/>
  <c r="J1347" i="1" s="1"/>
  <c r="R85" i="14"/>
  <c r="Q85" i="14"/>
  <c r="P85" i="14"/>
  <c r="R84" i="14"/>
  <c r="Q84" i="14"/>
  <c r="S84" i="14" s="1"/>
  <c r="P84" i="14"/>
  <c r="P94" i="14"/>
  <c r="R94" i="14"/>
  <c r="Q94" i="14"/>
  <c r="S94" i="14" s="1"/>
  <c r="S87" i="14"/>
  <c r="T87" i="14" s="1"/>
  <c r="P95" i="14"/>
  <c r="R95" i="14"/>
  <c r="Q95" i="14"/>
  <c r="S95" i="14" s="1"/>
  <c r="P97" i="14"/>
  <c r="R97" i="14"/>
  <c r="Q97" i="14"/>
  <c r="R86" i="14"/>
  <c r="Q86" i="14"/>
  <c r="P86" i="14"/>
  <c r="R83" i="14"/>
  <c r="Q83" i="14"/>
  <c r="P83" i="14"/>
  <c r="P93" i="14"/>
  <c r="R93" i="14"/>
  <c r="Q93" i="14"/>
  <c r="N90" i="14"/>
  <c r="R88" i="14"/>
  <c r="Q88" i="14"/>
  <c r="P88" i="14"/>
  <c r="N89" i="14"/>
  <c r="P96" i="14"/>
  <c r="R96" i="14"/>
  <c r="Q96" i="14"/>
  <c r="S96" i="14" s="1"/>
  <c r="P91" i="14"/>
  <c r="Q91" i="14"/>
  <c r="R91" i="14"/>
  <c r="P92" i="14"/>
  <c r="R92" i="14"/>
  <c r="Q92" i="14"/>
  <c r="F764" i="17"/>
  <c r="I764" i="17" s="1"/>
  <c r="C190" i="15"/>
  <c r="H1175" i="16"/>
  <c r="E1118" i="16"/>
  <c r="E1178" i="16" s="1"/>
  <c r="H1104" i="16"/>
  <c r="P764" i="17"/>
  <c r="P765" i="17" s="1"/>
  <c r="H722" i="17"/>
  <c r="H766" i="17" s="1"/>
  <c r="F721" i="17"/>
  <c r="I721" i="17" s="1"/>
  <c r="P713" i="17"/>
  <c r="P730" i="17"/>
  <c r="P731" i="17" s="1"/>
  <c r="F730" i="17"/>
  <c r="I730" i="17" s="1"/>
  <c r="I724" i="17"/>
  <c r="F713" i="17"/>
  <c r="I732" i="17"/>
  <c r="F1311" i="13"/>
  <c r="F1327" i="13"/>
  <c r="F1381" i="13"/>
  <c r="F1385" i="13"/>
  <c r="I1311" i="13"/>
  <c r="I1327" i="13"/>
  <c r="I1340" i="13"/>
  <c r="I1349" i="13" s="1"/>
  <c r="F1340" i="13"/>
  <c r="F1349" i="13" s="1"/>
  <c r="F1348" i="13"/>
  <c r="I1353" i="13"/>
  <c r="I1360" i="13"/>
  <c r="F1360" i="13"/>
  <c r="F1368" i="13"/>
  <c r="I1376" i="13"/>
  <c r="F1376" i="13"/>
  <c r="I1385" i="13"/>
  <c r="F1307" i="13"/>
  <c r="F1317" i="13"/>
  <c r="F1328" i="13" s="1"/>
  <c r="F1353" i="13"/>
  <c r="F1373" i="13"/>
  <c r="J1381" i="1"/>
  <c r="I1384" i="1"/>
  <c r="I1385" i="1" s="1"/>
  <c r="I1355" i="1"/>
  <c r="H1355" i="1"/>
  <c r="I1343" i="1"/>
  <c r="G1334" i="1"/>
  <c r="J1334" i="1" s="1"/>
  <c r="G1321" i="1"/>
  <c r="G1293" i="1"/>
  <c r="J1293" i="1" s="1"/>
  <c r="H1306" i="1"/>
  <c r="G1285" i="1"/>
  <c r="J1285" i="1" s="1"/>
  <c r="G1277" i="1"/>
  <c r="J1277" i="1" s="1"/>
  <c r="J1276" i="1"/>
  <c r="J1286" i="1"/>
  <c r="I1306" i="1"/>
  <c r="I1323" i="1" s="1"/>
  <c r="J1278" i="1"/>
  <c r="E1306" i="1"/>
  <c r="E1323" i="1" s="1"/>
  <c r="G1301" i="1"/>
  <c r="J1301" i="1" s="1"/>
  <c r="G1305" i="1"/>
  <c r="J1305" i="1" s="1"/>
  <c r="G1311" i="1"/>
  <c r="J1307" i="1"/>
  <c r="H1322" i="1"/>
  <c r="H1343" i="1"/>
  <c r="E1384" i="1"/>
  <c r="E1385" i="1" s="1"/>
  <c r="J1368" i="1"/>
  <c r="G1370" i="1"/>
  <c r="J1370" i="1" s="1"/>
  <c r="G1376" i="1"/>
  <c r="J1376" i="1" s="1"/>
  <c r="J1371" i="1"/>
  <c r="G1362" i="1"/>
  <c r="H1384" i="1"/>
  <c r="H1385" i="1" s="1"/>
  <c r="G1367" i="1"/>
  <c r="J1367" i="1" s="1"/>
  <c r="J1363" i="1"/>
  <c r="G1380" i="1"/>
  <c r="J1380" i="1" s="1"/>
  <c r="J1377" i="1"/>
  <c r="G1342" i="1"/>
  <c r="J1342" i="1" s="1"/>
  <c r="J1335" i="1"/>
  <c r="G1354" i="1"/>
  <c r="J1354" i="1" s="1"/>
  <c r="J1348" i="1"/>
  <c r="D113" i="14"/>
  <c r="I1328" i="13" l="1"/>
  <c r="Q1032" i="17"/>
  <c r="K1098" i="17"/>
  <c r="J1032" i="17"/>
  <c r="F1361" i="13"/>
  <c r="I1389" i="13"/>
  <c r="I1390" i="13" s="1"/>
  <c r="E1357" i="1"/>
  <c r="E1358" i="1" s="1"/>
  <c r="H1118" i="16"/>
  <c r="J1592" i="1"/>
  <c r="G1620" i="1"/>
  <c r="J1620" i="1" s="1"/>
  <c r="P722" i="17"/>
  <c r="P766" i="17" s="1"/>
  <c r="F765" i="17"/>
  <c r="I1312" i="13"/>
  <c r="I1329" i="13" s="1"/>
  <c r="F1312" i="13"/>
  <c r="F1329" i="13" s="1"/>
  <c r="S85" i="14"/>
  <c r="T85" i="14" s="1"/>
  <c r="S91" i="14"/>
  <c r="T91" i="14" s="1"/>
  <c r="H1357" i="1"/>
  <c r="H1358" i="1" s="1"/>
  <c r="S86" i="14"/>
  <c r="T86" i="14" s="1"/>
  <c r="T84" i="14"/>
  <c r="T95" i="14"/>
  <c r="T94" i="14"/>
  <c r="S97" i="14"/>
  <c r="T97" i="14" s="1"/>
  <c r="T96" i="14"/>
  <c r="Q89" i="14"/>
  <c r="P89" i="14"/>
  <c r="R89" i="14"/>
  <c r="P90" i="14"/>
  <c r="R90" i="14"/>
  <c r="Q90" i="14"/>
  <c r="S93" i="14"/>
  <c r="T93" i="14" s="1"/>
  <c r="S83" i="14"/>
  <c r="T83" i="14" s="1"/>
  <c r="S92" i="14"/>
  <c r="T92" i="14" s="1"/>
  <c r="S88" i="14"/>
  <c r="T88" i="14" s="1"/>
  <c r="F731" i="17"/>
  <c r="I731" i="17" s="1"/>
  <c r="I713" i="17"/>
  <c r="F722" i="17"/>
  <c r="I722" i="17" s="1"/>
  <c r="I765" i="17"/>
  <c r="F1363" i="13"/>
  <c r="F1364" i="13" s="1"/>
  <c r="I1361" i="13"/>
  <c r="I1363" i="13" s="1"/>
  <c r="I1364" i="13" s="1"/>
  <c r="F1389" i="13"/>
  <c r="F1390" i="13" s="1"/>
  <c r="I1357" i="1"/>
  <c r="I1358" i="1" s="1"/>
  <c r="I1386" i="1" s="1"/>
  <c r="G1355" i="1"/>
  <c r="J1355" i="1" s="1"/>
  <c r="H1323" i="1"/>
  <c r="H1386" i="1" s="1"/>
  <c r="G1384" i="1"/>
  <c r="J1362" i="1"/>
  <c r="G1343" i="1"/>
  <c r="E1386" i="1"/>
  <c r="G1306" i="1"/>
  <c r="G1322" i="1"/>
  <c r="J1311" i="1"/>
  <c r="D112" i="14"/>
  <c r="K1164" i="17" l="1"/>
  <c r="Q1098" i="17"/>
  <c r="J1098" i="17"/>
  <c r="I1391" i="13"/>
  <c r="F1391" i="13"/>
  <c r="S90" i="14"/>
  <c r="T90" i="14" s="1"/>
  <c r="S89" i="14"/>
  <c r="T89" i="14" s="1"/>
  <c r="F766" i="17"/>
  <c r="I766" i="17" s="1"/>
  <c r="J1306" i="1"/>
  <c r="G1323" i="1"/>
  <c r="J1321" i="1"/>
  <c r="J1322" i="1"/>
  <c r="G1357" i="1"/>
  <c r="J1343" i="1"/>
  <c r="G1385" i="1"/>
  <c r="J1385" i="1" s="1"/>
  <c r="J1384" i="1"/>
  <c r="H1180" i="1"/>
  <c r="I1181" i="1"/>
  <c r="H1181" i="1"/>
  <c r="K1230" i="17" l="1"/>
  <c r="Q1164" i="17"/>
  <c r="J1164" i="17"/>
  <c r="G1358" i="1"/>
  <c r="J1358" i="1" s="1"/>
  <c r="J1357" i="1"/>
  <c r="J1323" i="1"/>
  <c r="F1226" i="1"/>
  <c r="F646" i="1"/>
  <c r="F522" i="1"/>
  <c r="F531" i="1" s="1"/>
  <c r="F418" i="1"/>
  <c r="G831" i="1"/>
  <c r="G832" i="1"/>
  <c r="G833" i="1"/>
  <c r="G716" i="1"/>
  <c r="G717" i="1"/>
  <c r="G602" i="1"/>
  <c r="F138" i="1"/>
  <c r="L120" i="14"/>
  <c r="K120" i="14" s="1"/>
  <c r="O120" i="14" s="1"/>
  <c r="G120" i="14"/>
  <c r="C120" i="14"/>
  <c r="L119" i="14"/>
  <c r="K119" i="14" s="1"/>
  <c r="O119" i="14" s="1"/>
  <c r="G119" i="14"/>
  <c r="C119" i="14"/>
  <c r="L118" i="14"/>
  <c r="K118" i="14" s="1"/>
  <c r="O118" i="14" s="1"/>
  <c r="G118" i="14"/>
  <c r="C118" i="14"/>
  <c r="L117" i="14"/>
  <c r="K117" i="14" s="1"/>
  <c r="O117" i="14" s="1"/>
  <c r="G117" i="14"/>
  <c r="C117" i="14"/>
  <c r="L116" i="14"/>
  <c r="K116" i="14" s="1"/>
  <c r="O116" i="14" s="1"/>
  <c r="G116" i="14"/>
  <c r="C116" i="14"/>
  <c r="L115" i="14"/>
  <c r="K115" i="14" s="1"/>
  <c r="G115" i="14"/>
  <c r="C115" i="14"/>
  <c r="L114" i="14"/>
  <c r="K114" i="14" s="1"/>
  <c r="M114" i="14" s="1"/>
  <c r="G114" i="14"/>
  <c r="C114" i="14"/>
  <c r="L113" i="14"/>
  <c r="K113" i="14" s="1"/>
  <c r="G113" i="14"/>
  <c r="C113" i="14"/>
  <c r="L112" i="14"/>
  <c r="K112" i="14" s="1"/>
  <c r="M112" i="14" s="1"/>
  <c r="G112" i="14"/>
  <c r="C112" i="14"/>
  <c r="L111" i="14"/>
  <c r="K111" i="14" s="1"/>
  <c r="G111" i="14"/>
  <c r="C111" i="14"/>
  <c r="L110" i="14"/>
  <c r="K110" i="14" s="1"/>
  <c r="M110" i="14" s="1"/>
  <c r="G110" i="14"/>
  <c r="C110" i="14"/>
  <c r="L109" i="14"/>
  <c r="K109" i="14" s="1"/>
  <c r="G109" i="14"/>
  <c r="C109" i="14"/>
  <c r="L108" i="14"/>
  <c r="K108" i="14" s="1"/>
  <c r="M108" i="14" s="1"/>
  <c r="G108" i="14"/>
  <c r="C108" i="14"/>
  <c r="L107" i="14"/>
  <c r="K107" i="14" s="1"/>
  <c r="G107" i="14"/>
  <c r="C107" i="14"/>
  <c r="L106" i="14"/>
  <c r="K106" i="14" s="1"/>
  <c r="M106" i="14" s="1"/>
  <c r="G106" i="14"/>
  <c r="C106" i="14"/>
  <c r="L105" i="14"/>
  <c r="K105" i="14" s="1"/>
  <c r="G105" i="14"/>
  <c r="C105" i="14"/>
  <c r="E173" i="15"/>
  <c r="E170" i="15"/>
  <c r="E167" i="15"/>
  <c r="H1082" i="16"/>
  <c r="F1082" i="16"/>
  <c r="I1082" i="16" s="1"/>
  <c r="I1083" i="16" s="1"/>
  <c r="E1081" i="16"/>
  <c r="H1080" i="16"/>
  <c r="H1079" i="16"/>
  <c r="H1078" i="16"/>
  <c r="I1078" i="16" s="1"/>
  <c r="H1077" i="16"/>
  <c r="H1076" i="16"/>
  <c r="H1075" i="16"/>
  <c r="H1074" i="16"/>
  <c r="H1073" i="16"/>
  <c r="H1072" i="16"/>
  <c r="H1071" i="16"/>
  <c r="H1070" i="16"/>
  <c r="H1069" i="16"/>
  <c r="H1068" i="16"/>
  <c r="H1067" i="16"/>
  <c r="H1066" i="16"/>
  <c r="H1065" i="16"/>
  <c r="H1064" i="16"/>
  <c r="H1063" i="16"/>
  <c r="H1062" i="16"/>
  <c r="H1061" i="16"/>
  <c r="H1060" i="16"/>
  <c r="H1059" i="16"/>
  <c r="H1058" i="16"/>
  <c r="H1057" i="16"/>
  <c r="H1056" i="16"/>
  <c r="H1055" i="16"/>
  <c r="E1054" i="16"/>
  <c r="H1053" i="16"/>
  <c r="H1052" i="16"/>
  <c r="H1051" i="16"/>
  <c r="H1050" i="16"/>
  <c r="H1049" i="16"/>
  <c r="H1048" i="16"/>
  <c r="H1047" i="16"/>
  <c r="H1046" i="16"/>
  <c r="H1045" i="16"/>
  <c r="H1044" i="16"/>
  <c r="H1043" i="16"/>
  <c r="H1042" i="16"/>
  <c r="H1041" i="16"/>
  <c r="H1040" i="16"/>
  <c r="H1039" i="16"/>
  <c r="H1038" i="16"/>
  <c r="H1037" i="16"/>
  <c r="H1036" i="16"/>
  <c r="H1035" i="16"/>
  <c r="H1034" i="16"/>
  <c r="H1033" i="16"/>
  <c r="H1032" i="16"/>
  <c r="H1031" i="16"/>
  <c r="H1030" i="16"/>
  <c r="H1029" i="16"/>
  <c r="H1028" i="16"/>
  <c r="H1027" i="16"/>
  <c r="H1026" i="16"/>
  <c r="H1025" i="16"/>
  <c r="E1022" i="16"/>
  <c r="H1021" i="16"/>
  <c r="H1020" i="16"/>
  <c r="H1019" i="16"/>
  <c r="H1018" i="16"/>
  <c r="E1017" i="16"/>
  <c r="H1016" i="16"/>
  <c r="H1015" i="16"/>
  <c r="H1014" i="16"/>
  <c r="H1013" i="16"/>
  <c r="H1012" i="16"/>
  <c r="H1011" i="16"/>
  <c r="E1010" i="16"/>
  <c r="H1009" i="16"/>
  <c r="H1008" i="16"/>
  <c r="H1007" i="16"/>
  <c r="H1006" i="16"/>
  <c r="H1005" i="16"/>
  <c r="H1004" i="16"/>
  <c r="H1003" i="16"/>
  <c r="H1002" i="16"/>
  <c r="H1001" i="16"/>
  <c r="H1000" i="16"/>
  <c r="H999" i="16"/>
  <c r="H998" i="16"/>
  <c r="H997" i="16"/>
  <c r="H996" i="16"/>
  <c r="H995" i="16"/>
  <c r="E701" i="17"/>
  <c r="H700" i="17"/>
  <c r="H701" i="17" s="1"/>
  <c r="G700" i="17"/>
  <c r="G701" i="17" s="1"/>
  <c r="D700" i="17"/>
  <c r="D701" i="17" s="1"/>
  <c r="P699" i="17"/>
  <c r="F699" i="17"/>
  <c r="I699" i="17" s="1"/>
  <c r="P698" i="17"/>
  <c r="F698" i="17"/>
  <c r="I698" i="17" s="1"/>
  <c r="P697" i="17"/>
  <c r="F697" i="17"/>
  <c r="I697" i="17" s="1"/>
  <c r="P696" i="17"/>
  <c r="F696" i="17"/>
  <c r="I696" i="17" s="1"/>
  <c r="P695" i="17"/>
  <c r="F695" i="17"/>
  <c r="I695" i="17" s="1"/>
  <c r="P694" i="17"/>
  <c r="F694" i="17"/>
  <c r="I694" i="17" s="1"/>
  <c r="P693" i="17"/>
  <c r="F693" i="17"/>
  <c r="I693" i="17" s="1"/>
  <c r="P692" i="17"/>
  <c r="F692" i="17"/>
  <c r="I692" i="17" s="1"/>
  <c r="P691" i="17"/>
  <c r="F691" i="17"/>
  <c r="I691" i="17" s="1"/>
  <c r="P690" i="17"/>
  <c r="F690" i="17"/>
  <c r="I690" i="17" s="1"/>
  <c r="P689" i="17"/>
  <c r="F689" i="17"/>
  <c r="I689" i="17" s="1"/>
  <c r="P688" i="17"/>
  <c r="F688" i="17"/>
  <c r="I688" i="17" s="1"/>
  <c r="P687" i="17"/>
  <c r="F687" i="17"/>
  <c r="I687" i="17" s="1"/>
  <c r="P686" i="17"/>
  <c r="F686" i="17"/>
  <c r="I686" i="17" s="1"/>
  <c r="P685" i="17"/>
  <c r="F685" i="17"/>
  <c r="I685" i="17" s="1"/>
  <c r="P684" i="17"/>
  <c r="F684" i="17"/>
  <c r="I684" i="17" s="1"/>
  <c r="P683" i="17"/>
  <c r="F683" i="17"/>
  <c r="I683" i="17" s="1"/>
  <c r="P682" i="17"/>
  <c r="F682" i="17"/>
  <c r="I682" i="17" s="1"/>
  <c r="P681" i="17"/>
  <c r="F681" i="17"/>
  <c r="I681" i="17" s="1"/>
  <c r="P680" i="17"/>
  <c r="F680" i="17"/>
  <c r="I680" i="17" s="1"/>
  <c r="P679" i="17"/>
  <c r="F679" i="17"/>
  <c r="I679" i="17" s="1"/>
  <c r="P678" i="17"/>
  <c r="F678" i="17"/>
  <c r="I678" i="17" s="1"/>
  <c r="P677" i="17"/>
  <c r="F677" i="17"/>
  <c r="I677" i="17" s="1"/>
  <c r="P676" i="17"/>
  <c r="F676" i="17"/>
  <c r="I676" i="17" s="1"/>
  <c r="P675" i="17"/>
  <c r="F675" i="17"/>
  <c r="I675" i="17" s="1"/>
  <c r="P674" i="17"/>
  <c r="F674" i="17"/>
  <c r="I674" i="17" s="1"/>
  <c r="P673" i="17"/>
  <c r="F673" i="17"/>
  <c r="I673" i="17" s="1"/>
  <c r="P672" i="17"/>
  <c r="F672" i="17"/>
  <c r="I672" i="17" s="1"/>
  <c r="P671" i="17"/>
  <c r="F671" i="17"/>
  <c r="I671" i="17" s="1"/>
  <c r="P670" i="17"/>
  <c r="F670" i="17"/>
  <c r="I670" i="17" s="1"/>
  <c r="P669" i="17"/>
  <c r="F669" i="17"/>
  <c r="I669" i="17" s="1"/>
  <c r="P668" i="17"/>
  <c r="F668" i="17"/>
  <c r="I668" i="17" s="1"/>
  <c r="E667" i="17"/>
  <c r="D667" i="17"/>
  <c r="H666" i="17"/>
  <c r="H667" i="17" s="1"/>
  <c r="G666" i="17"/>
  <c r="G667" i="17" s="1"/>
  <c r="P665" i="17"/>
  <c r="F665" i="17"/>
  <c r="I665" i="17" s="1"/>
  <c r="P664" i="17"/>
  <c r="F664" i="17"/>
  <c r="I664" i="17" s="1"/>
  <c r="P663" i="17"/>
  <c r="F663" i="17"/>
  <c r="I663" i="17" s="1"/>
  <c r="P662" i="17"/>
  <c r="F662" i="17"/>
  <c r="I662" i="17" s="1"/>
  <c r="P661" i="17"/>
  <c r="F661" i="17"/>
  <c r="I661" i="17" s="1"/>
  <c r="P660" i="17"/>
  <c r="F660" i="17"/>
  <c r="I660" i="17" s="1"/>
  <c r="P659" i="17"/>
  <c r="F659" i="17"/>
  <c r="E658" i="17"/>
  <c r="H657" i="17"/>
  <c r="G657" i="17"/>
  <c r="D657" i="17"/>
  <c r="P656" i="17"/>
  <c r="F656" i="17"/>
  <c r="I656" i="17" s="1"/>
  <c r="P655" i="17"/>
  <c r="F655" i="17"/>
  <c r="I655" i="17" s="1"/>
  <c r="P654" i="17"/>
  <c r="F654" i="17"/>
  <c r="I654" i="17" s="1"/>
  <c r="P653" i="17"/>
  <c r="F653" i="17"/>
  <c r="I653" i="17" s="1"/>
  <c r="P652" i="17"/>
  <c r="F652" i="17"/>
  <c r="I652" i="17" s="1"/>
  <c r="P651" i="17"/>
  <c r="F651" i="17"/>
  <c r="I651" i="17" s="1"/>
  <c r="P650" i="17"/>
  <c r="F650" i="17"/>
  <c r="I650" i="17" s="1"/>
  <c r="H649" i="17"/>
  <c r="G649" i="17"/>
  <c r="G658" i="17" s="1"/>
  <c r="D649" i="17"/>
  <c r="P648" i="17"/>
  <c r="F648" i="17"/>
  <c r="I648" i="17" s="1"/>
  <c r="P647" i="17"/>
  <c r="F647" i="17"/>
  <c r="I647" i="17" s="1"/>
  <c r="P646" i="17"/>
  <c r="F646" i="17"/>
  <c r="I646" i="17" s="1"/>
  <c r="P645" i="17"/>
  <c r="F645" i="17"/>
  <c r="I645" i="17" s="1"/>
  <c r="P644" i="17"/>
  <c r="F644" i="17"/>
  <c r="I644" i="17" s="1"/>
  <c r="J1271" i="13"/>
  <c r="I1271" i="13"/>
  <c r="F1271" i="13"/>
  <c r="F1270" i="13"/>
  <c r="F1269" i="13"/>
  <c r="F1267" i="13"/>
  <c r="I1267" i="13" s="1"/>
  <c r="F1266" i="13"/>
  <c r="F1268" i="13" s="1"/>
  <c r="F1265" i="13"/>
  <c r="I1265" i="13" s="1"/>
  <c r="F1263" i="13"/>
  <c r="I1263" i="13" s="1"/>
  <c r="F1262" i="13"/>
  <c r="I1262" i="13" s="1"/>
  <c r="F1261" i="13"/>
  <c r="I1261" i="13" s="1"/>
  <c r="F1260" i="13"/>
  <c r="F1258" i="13"/>
  <c r="I1258" i="13" s="1"/>
  <c r="F1257" i="13"/>
  <c r="F1255" i="13"/>
  <c r="I1255" i="13" s="1"/>
  <c r="F1254" i="13"/>
  <c r="I1254" i="13" s="1"/>
  <c r="F1253" i="13"/>
  <c r="I1253" i="13" s="1"/>
  <c r="F1252" i="13"/>
  <c r="F1250" i="13"/>
  <c r="I1250" i="13" s="1"/>
  <c r="F1249" i="13"/>
  <c r="I1249" i="13" s="1"/>
  <c r="F1248" i="13"/>
  <c r="F1251" i="13" s="1"/>
  <c r="F1245" i="13"/>
  <c r="I1245" i="13" s="1"/>
  <c r="F1242" i="13"/>
  <c r="I1242" i="13" s="1"/>
  <c r="F1241" i="13"/>
  <c r="I1241" i="13" s="1"/>
  <c r="F1240" i="13"/>
  <c r="I1240" i="13" s="1"/>
  <c r="F1239" i="13"/>
  <c r="I1239" i="13" s="1"/>
  <c r="F1238" i="13"/>
  <c r="I1238" i="13" s="1"/>
  <c r="F1237" i="13"/>
  <c r="F1235" i="13"/>
  <c r="I1235" i="13" s="1"/>
  <c r="F1234" i="13"/>
  <c r="I1234" i="13" s="1"/>
  <c r="F1233" i="13"/>
  <c r="F1236" i="13" s="1"/>
  <c r="F1230" i="13"/>
  <c r="I1230" i="13" s="1"/>
  <c r="F1229" i="13"/>
  <c r="I1229" i="13" s="1"/>
  <c r="F1228" i="13"/>
  <c r="I1228" i="13" s="1"/>
  <c r="F1227" i="13"/>
  <c r="I1227" i="13" s="1"/>
  <c r="F1226" i="13"/>
  <c r="I1226" i="13" s="1"/>
  <c r="F1225" i="13"/>
  <c r="F1231" i="13" s="1"/>
  <c r="F1224" i="13"/>
  <c r="I1224" i="13" s="1"/>
  <c r="F1222" i="13"/>
  <c r="I1222" i="13" s="1"/>
  <c r="F1221" i="13"/>
  <c r="I1221" i="13" s="1"/>
  <c r="F1220" i="13"/>
  <c r="I1220" i="13" s="1"/>
  <c r="F1219" i="13"/>
  <c r="I1219" i="13" s="1"/>
  <c r="F1218" i="13"/>
  <c r="I1218" i="13" s="1"/>
  <c r="F1217" i="13"/>
  <c r="I1217" i="13" s="1"/>
  <c r="F1216" i="13"/>
  <c r="I1216" i="13" s="1"/>
  <c r="F1215" i="13"/>
  <c r="I1215" i="13" s="1"/>
  <c r="F1214" i="13"/>
  <c r="I1214" i="13" s="1"/>
  <c r="F1213" i="13"/>
  <c r="F1209" i="13"/>
  <c r="I1209" i="13" s="1"/>
  <c r="F1208" i="13"/>
  <c r="I1208" i="13" s="1"/>
  <c r="F1207" i="13"/>
  <c r="I1207" i="13" s="1"/>
  <c r="F1206" i="13"/>
  <c r="I1206" i="13" s="1"/>
  <c r="F1205" i="13"/>
  <c r="I1205" i="13" s="1"/>
  <c r="F1204" i="13"/>
  <c r="I1204" i="13" s="1"/>
  <c r="F1203" i="13"/>
  <c r="I1203" i="13" s="1"/>
  <c r="F1202" i="13"/>
  <c r="I1202" i="13" s="1"/>
  <c r="F1201" i="13"/>
  <c r="F1210" i="13" s="1"/>
  <c r="F1199" i="13"/>
  <c r="I1199" i="13" s="1"/>
  <c r="F1198" i="13"/>
  <c r="I1198" i="13" s="1"/>
  <c r="F1197" i="13"/>
  <c r="I1197" i="13" s="1"/>
  <c r="F1196" i="13"/>
  <c r="F1200" i="13" s="1"/>
  <c r="F1193" i="13"/>
  <c r="I1193" i="13" s="1"/>
  <c r="F1192" i="13"/>
  <c r="I1192" i="13" s="1"/>
  <c r="F1191" i="13"/>
  <c r="F1194" i="13" s="1"/>
  <c r="F1189" i="13"/>
  <c r="I1189" i="13" s="1"/>
  <c r="F1188" i="13"/>
  <c r="I1188" i="13" s="1"/>
  <c r="F1187" i="13"/>
  <c r="I1187" i="13" s="1"/>
  <c r="F1186" i="13"/>
  <c r="I1186" i="13" s="1"/>
  <c r="F1185" i="13"/>
  <c r="I1185" i="13" s="1"/>
  <c r="F1184" i="13"/>
  <c r="I1184" i="13" s="1"/>
  <c r="F1183" i="13"/>
  <c r="F1181" i="13"/>
  <c r="I1181" i="13" s="1"/>
  <c r="F1180" i="13"/>
  <c r="I1180" i="13" s="1"/>
  <c r="F1179" i="13"/>
  <c r="I1179" i="13" s="1"/>
  <c r="F1178" i="13"/>
  <c r="I1178" i="13" s="1"/>
  <c r="F1177" i="13"/>
  <c r="I1177" i="13" s="1"/>
  <c r="F1176" i="13"/>
  <c r="I1176" i="13" s="1"/>
  <c r="F1175" i="13"/>
  <c r="F1182" i="13" s="1"/>
  <c r="F1173" i="13"/>
  <c r="I1173" i="13" s="1"/>
  <c r="F1172" i="13"/>
  <c r="I1172" i="13" s="1"/>
  <c r="F1171" i="13"/>
  <c r="I1171" i="13" s="1"/>
  <c r="F1170" i="13"/>
  <c r="I1170" i="13" s="1"/>
  <c r="F1169" i="13"/>
  <c r="I1169" i="13" s="1"/>
  <c r="F1168" i="13"/>
  <c r="I1168" i="13" s="1"/>
  <c r="F1167" i="13"/>
  <c r="F1165" i="13"/>
  <c r="I1165" i="13" s="1"/>
  <c r="F1164" i="13"/>
  <c r="I1164" i="13" s="1"/>
  <c r="F1163" i="13"/>
  <c r="I1163" i="13" s="1"/>
  <c r="F1162" i="13"/>
  <c r="F1166" i="13" s="1"/>
  <c r="F1184" i="1"/>
  <c r="F1267" i="1"/>
  <c r="F1268" i="1" s="1"/>
  <c r="I1266" i="1"/>
  <c r="H1266" i="1"/>
  <c r="E1266" i="1"/>
  <c r="G1265" i="1"/>
  <c r="J1265" i="1" s="1"/>
  <c r="G1264" i="1"/>
  <c r="J1264" i="1" s="1"/>
  <c r="I1263" i="1"/>
  <c r="H1263" i="1"/>
  <c r="E1263" i="1"/>
  <c r="G1262" i="1"/>
  <c r="J1262" i="1" s="1"/>
  <c r="G1261" i="1"/>
  <c r="J1261" i="1" s="1"/>
  <c r="G1260" i="1"/>
  <c r="J1260" i="1" s="1"/>
  <c r="I1259" i="1"/>
  <c r="H1259" i="1"/>
  <c r="G1258" i="1"/>
  <c r="J1258" i="1" s="1"/>
  <c r="G1257" i="1"/>
  <c r="J1257" i="1" s="1"/>
  <c r="J1256" i="1"/>
  <c r="G1256" i="1"/>
  <c r="E1256" i="1"/>
  <c r="E1259" i="1" s="1"/>
  <c r="G1255" i="1"/>
  <c r="J1255" i="1" s="1"/>
  <c r="G1254" i="1"/>
  <c r="I1253" i="1"/>
  <c r="H1253" i="1"/>
  <c r="E1253" i="1"/>
  <c r="J1252" i="1"/>
  <c r="G1252" i="1"/>
  <c r="G1251" i="1"/>
  <c r="I1250" i="1"/>
  <c r="H1250" i="1"/>
  <c r="E1250" i="1"/>
  <c r="G1249" i="1"/>
  <c r="J1249" i="1" s="1"/>
  <c r="G1248" i="1"/>
  <c r="J1248" i="1" s="1"/>
  <c r="G1247" i="1"/>
  <c r="J1247" i="1" s="1"/>
  <c r="G1246" i="1"/>
  <c r="I1245" i="1"/>
  <c r="H1245" i="1"/>
  <c r="E1245" i="1"/>
  <c r="G1244" i="1"/>
  <c r="J1244" i="1" s="1"/>
  <c r="G1243" i="1"/>
  <c r="J1243" i="1" s="1"/>
  <c r="J1242" i="1"/>
  <c r="G1242" i="1"/>
  <c r="F1240" i="1"/>
  <c r="F1241" i="1" s="1"/>
  <c r="J1239" i="1"/>
  <c r="G1239" i="1"/>
  <c r="I1237" i="1"/>
  <c r="H1237" i="1"/>
  <c r="E1237" i="1"/>
  <c r="E1238" i="1" s="1"/>
  <c r="G1236" i="1"/>
  <c r="J1236" i="1" s="1"/>
  <c r="J1235" i="1"/>
  <c r="G1234" i="1"/>
  <c r="J1234" i="1" s="1"/>
  <c r="J1233" i="1"/>
  <c r="G1232" i="1"/>
  <c r="J1232" i="1" s="1"/>
  <c r="J1231" i="1"/>
  <c r="G1231" i="1"/>
  <c r="I1230" i="1"/>
  <c r="I1238" i="1" s="1"/>
  <c r="H1230" i="1"/>
  <c r="H1238" i="1" s="1"/>
  <c r="E1230" i="1"/>
  <c r="G1229" i="1"/>
  <c r="J1229" i="1" s="1"/>
  <c r="J1228" i="1"/>
  <c r="G1228" i="1"/>
  <c r="G1227" i="1"/>
  <c r="J1227" i="1" s="1"/>
  <c r="I1225" i="1"/>
  <c r="H1225" i="1"/>
  <c r="E1225" i="1"/>
  <c r="J1224" i="1"/>
  <c r="G1224" i="1"/>
  <c r="J1223" i="1"/>
  <c r="G1222" i="1"/>
  <c r="J1222" i="1" s="1"/>
  <c r="J1221" i="1"/>
  <c r="G1221" i="1"/>
  <c r="G1220" i="1"/>
  <c r="J1220" i="1" s="1"/>
  <c r="J1219" i="1"/>
  <c r="G1219" i="1"/>
  <c r="G1218" i="1"/>
  <c r="I1217" i="1"/>
  <c r="H1217" i="1"/>
  <c r="E1217" i="1"/>
  <c r="J1216" i="1"/>
  <c r="G1216" i="1"/>
  <c r="G1215" i="1"/>
  <c r="J1215" i="1" s="1"/>
  <c r="G1214" i="1"/>
  <c r="J1214" i="1" s="1"/>
  <c r="G1213" i="1"/>
  <c r="J1213" i="1" s="1"/>
  <c r="G1212" i="1"/>
  <c r="J1212" i="1" s="1"/>
  <c r="G1211" i="1"/>
  <c r="J1211" i="1" s="1"/>
  <c r="G1210" i="1"/>
  <c r="J1210" i="1" s="1"/>
  <c r="G1209" i="1"/>
  <c r="J1209" i="1" s="1"/>
  <c r="G1208" i="1"/>
  <c r="J1208" i="1" s="1"/>
  <c r="G1207" i="1"/>
  <c r="F1205" i="1"/>
  <c r="L1204" i="1"/>
  <c r="I1204" i="1"/>
  <c r="M1204" i="1" s="1"/>
  <c r="H1204" i="1"/>
  <c r="E1204" i="1"/>
  <c r="E1205" i="1" s="1"/>
  <c r="C166" i="15" s="1"/>
  <c r="J1203" i="1"/>
  <c r="G1203" i="1"/>
  <c r="G1202" i="1"/>
  <c r="J1202" i="1" s="1"/>
  <c r="J1201" i="1"/>
  <c r="G1201" i="1"/>
  <c r="G1200" i="1"/>
  <c r="J1200" i="1" s="1"/>
  <c r="J1199" i="1"/>
  <c r="G1199" i="1"/>
  <c r="G1198" i="1"/>
  <c r="J1198" i="1" s="1"/>
  <c r="J1197" i="1"/>
  <c r="G1197" i="1"/>
  <c r="G1196" i="1"/>
  <c r="J1196" i="1" s="1"/>
  <c r="J1195" i="1"/>
  <c r="G1195" i="1"/>
  <c r="I1194" i="1"/>
  <c r="I1205" i="1" s="1"/>
  <c r="H1194" i="1"/>
  <c r="H1205" i="1" s="1"/>
  <c r="E1194" i="1"/>
  <c r="G1193" i="1"/>
  <c r="J1193" i="1" s="1"/>
  <c r="G1192" i="1"/>
  <c r="J1192" i="1" s="1"/>
  <c r="G1191" i="1"/>
  <c r="J1191" i="1" s="1"/>
  <c r="J1190" i="1"/>
  <c r="G1190" i="1"/>
  <c r="I1188" i="1"/>
  <c r="H1188" i="1"/>
  <c r="E1188" i="1"/>
  <c r="G1187" i="1"/>
  <c r="J1187" i="1" s="1"/>
  <c r="J1186" i="1"/>
  <c r="G1186" i="1"/>
  <c r="G1185" i="1"/>
  <c r="J1185" i="1" s="1"/>
  <c r="H1184" i="1"/>
  <c r="F1189" i="1"/>
  <c r="F1206" i="1" s="1"/>
  <c r="F1269" i="1" s="1"/>
  <c r="E1184" i="1"/>
  <c r="G1183" i="1"/>
  <c r="J1183" i="1" s="1"/>
  <c r="G1182" i="1"/>
  <c r="J1182" i="1" s="1"/>
  <c r="I1184" i="1"/>
  <c r="G1181" i="1"/>
  <c r="J1181" i="1" s="1"/>
  <c r="G1180" i="1"/>
  <c r="J1180" i="1" s="1"/>
  <c r="G1179" i="1"/>
  <c r="J1179" i="1" s="1"/>
  <c r="G1178" i="1"/>
  <c r="J1178" i="1" s="1"/>
  <c r="G1177" i="1"/>
  <c r="I1176" i="1"/>
  <c r="H1176" i="1"/>
  <c r="E1176" i="1"/>
  <c r="J1175" i="1"/>
  <c r="G1175" i="1"/>
  <c r="G1174" i="1"/>
  <c r="J1174" i="1" s="1"/>
  <c r="J1173" i="1"/>
  <c r="G1173" i="1"/>
  <c r="G1172" i="1"/>
  <c r="J1172" i="1" s="1"/>
  <c r="J1171" i="1"/>
  <c r="G1171" i="1"/>
  <c r="G1170" i="1"/>
  <c r="J1170" i="1" s="1"/>
  <c r="G1169" i="1"/>
  <c r="G1176" i="1" s="1"/>
  <c r="J1176" i="1" s="1"/>
  <c r="E1168" i="1"/>
  <c r="G1167" i="1"/>
  <c r="J1167" i="1" s="1"/>
  <c r="G1166" i="1"/>
  <c r="J1166" i="1" s="1"/>
  <c r="G1165" i="1"/>
  <c r="J1165" i="1" s="1"/>
  <c r="G1164" i="1"/>
  <c r="J1164" i="1" s="1"/>
  <c r="I1168" i="1"/>
  <c r="H1168" i="1"/>
  <c r="G1163" i="1"/>
  <c r="J1163" i="1" s="1"/>
  <c r="J1162" i="1"/>
  <c r="G1162" i="1"/>
  <c r="G1161" i="1"/>
  <c r="J1161" i="1" s="1"/>
  <c r="I1160" i="1"/>
  <c r="H1160" i="1"/>
  <c r="E1160" i="1"/>
  <c r="E1189" i="1" s="1"/>
  <c r="G1159" i="1"/>
  <c r="J1159" i="1" s="1"/>
  <c r="G1158" i="1"/>
  <c r="J1158" i="1" s="1"/>
  <c r="G1157" i="1"/>
  <c r="J1157" i="1" s="1"/>
  <c r="G1156" i="1"/>
  <c r="I1064" i="1"/>
  <c r="H1064" i="1"/>
  <c r="F1211" i="13" l="1"/>
  <c r="H658" i="17"/>
  <c r="I1226" i="1"/>
  <c r="E1226" i="1"/>
  <c r="E1240" i="1" s="1"/>
  <c r="E1241" i="1" s="1"/>
  <c r="C169" i="15" s="1"/>
  <c r="C171" i="15" s="1"/>
  <c r="F1223" i="13"/>
  <c r="F1232" i="13" s="1"/>
  <c r="F1243" i="13"/>
  <c r="F1256" i="13"/>
  <c r="F1272" i="13" s="1"/>
  <c r="F1273" i="13" s="1"/>
  <c r="F1259" i="13"/>
  <c r="F1264" i="13"/>
  <c r="G1160" i="1"/>
  <c r="E1206" i="1"/>
  <c r="J1169" i="1"/>
  <c r="G1245" i="1"/>
  <c r="D658" i="17"/>
  <c r="C165" i="15"/>
  <c r="C168" i="15" s="1"/>
  <c r="F1244" i="13"/>
  <c r="Q1230" i="17"/>
  <c r="J1230" i="17"/>
  <c r="H1054" i="16"/>
  <c r="H1081" i="16"/>
  <c r="H1017" i="16"/>
  <c r="H1010" i="16"/>
  <c r="E702" i="17"/>
  <c r="M105" i="14"/>
  <c r="O105" i="14"/>
  <c r="N105" i="14" s="1"/>
  <c r="P105" i="14" s="1"/>
  <c r="G1386" i="1"/>
  <c r="J1386" i="1" s="1"/>
  <c r="F1174" i="13"/>
  <c r="F1190" i="13"/>
  <c r="G1184" i="1"/>
  <c r="J1184" i="1" s="1"/>
  <c r="I1240" i="1"/>
  <c r="I1241" i="1" s="1"/>
  <c r="H1226" i="1"/>
  <c r="H1240" i="1" s="1"/>
  <c r="H1241" i="1" s="1"/>
  <c r="M109" i="14"/>
  <c r="O109" i="14"/>
  <c r="N109" i="14" s="1"/>
  <c r="R109" i="14" s="1"/>
  <c r="M113" i="14"/>
  <c r="O113" i="14"/>
  <c r="N113" i="14" s="1"/>
  <c r="R113" i="14" s="1"/>
  <c r="M107" i="14"/>
  <c r="O107" i="14"/>
  <c r="N107" i="14" s="1"/>
  <c r="R107" i="14" s="1"/>
  <c r="M111" i="14"/>
  <c r="O111" i="14"/>
  <c r="N111" i="14" s="1"/>
  <c r="R111" i="14" s="1"/>
  <c r="M115" i="14"/>
  <c r="O115" i="14"/>
  <c r="N115" i="14" s="1"/>
  <c r="R115" i="14" s="1"/>
  <c r="O106" i="14"/>
  <c r="N106" i="14" s="1"/>
  <c r="P106" i="14" s="1"/>
  <c r="O108" i="14"/>
  <c r="N108" i="14" s="1"/>
  <c r="R108" i="14" s="1"/>
  <c r="O110" i="14"/>
  <c r="N110" i="14" s="1"/>
  <c r="P110" i="14" s="1"/>
  <c r="O112" i="14"/>
  <c r="N112" i="14" s="1"/>
  <c r="R112" i="14" s="1"/>
  <c r="O114" i="14"/>
  <c r="N114" i="14" s="1"/>
  <c r="P114" i="14" s="1"/>
  <c r="N116" i="14"/>
  <c r="R116" i="14" s="1"/>
  <c r="N117" i="14"/>
  <c r="P117" i="14" s="1"/>
  <c r="N118" i="14"/>
  <c r="R118" i="14" s="1"/>
  <c r="N119" i="14"/>
  <c r="P119" i="14" s="1"/>
  <c r="N120" i="14"/>
  <c r="R120" i="14" s="1"/>
  <c r="R105" i="14"/>
  <c r="R106" i="14"/>
  <c r="R114" i="14"/>
  <c r="P116" i="14"/>
  <c r="Q105" i="14"/>
  <c r="M116" i="14"/>
  <c r="M117" i="14"/>
  <c r="M118" i="14"/>
  <c r="M119" i="14"/>
  <c r="M120" i="14"/>
  <c r="H1022" i="16"/>
  <c r="E1024" i="16"/>
  <c r="E1084" i="16" s="1"/>
  <c r="P700" i="17"/>
  <c r="P701" i="17" s="1"/>
  <c r="F666" i="17"/>
  <c r="I666" i="17" s="1"/>
  <c r="P666" i="17"/>
  <c r="P667" i="17" s="1"/>
  <c r="P649" i="17"/>
  <c r="F649" i="17"/>
  <c r="P657" i="17"/>
  <c r="F657" i="17"/>
  <c r="I657" i="17" s="1"/>
  <c r="G702" i="17"/>
  <c r="D702" i="17"/>
  <c r="I659" i="17"/>
  <c r="F700" i="17"/>
  <c r="H702" i="17"/>
  <c r="I1225" i="13"/>
  <c r="I1231" i="13" s="1"/>
  <c r="I1233" i="13"/>
  <c r="I1236" i="13" s="1"/>
  <c r="I1248" i="13"/>
  <c r="I1251" i="13" s="1"/>
  <c r="I1266" i="13"/>
  <c r="I1268" i="13" s="1"/>
  <c r="I1162" i="13"/>
  <c r="I1166" i="13" s="1"/>
  <c r="I1167" i="13"/>
  <c r="I1174" i="13" s="1"/>
  <c r="I1175" i="13"/>
  <c r="I1182" i="13" s="1"/>
  <c r="I1183" i="13"/>
  <c r="I1190" i="13" s="1"/>
  <c r="I1191" i="13"/>
  <c r="I1194" i="13" s="1"/>
  <c r="I1196" i="13"/>
  <c r="I1200" i="13" s="1"/>
  <c r="I1201" i="13"/>
  <c r="I1210" i="13" s="1"/>
  <c r="I1213" i="13"/>
  <c r="I1223" i="13" s="1"/>
  <c r="I1237" i="13"/>
  <c r="I1243" i="13" s="1"/>
  <c r="I1252" i="13"/>
  <c r="I1256" i="13" s="1"/>
  <c r="I1257" i="13"/>
  <c r="I1259" i="13" s="1"/>
  <c r="I1260" i="13"/>
  <c r="I1264" i="13" s="1"/>
  <c r="J1160" i="1"/>
  <c r="I1189" i="1"/>
  <c r="I1206" i="1" s="1"/>
  <c r="H1189" i="1"/>
  <c r="H1206" i="1" s="1"/>
  <c r="G1168" i="1"/>
  <c r="J1168" i="1" s="1"/>
  <c r="G1188" i="1"/>
  <c r="J1188" i="1" s="1"/>
  <c r="G1217" i="1"/>
  <c r="J1207" i="1"/>
  <c r="G1225" i="1"/>
  <c r="J1225" i="1" s="1"/>
  <c r="J1218" i="1"/>
  <c r="G1230" i="1"/>
  <c r="G1237" i="1"/>
  <c r="J1237" i="1" s="1"/>
  <c r="G1266" i="1"/>
  <c r="J1266" i="1" s="1"/>
  <c r="J1156" i="1"/>
  <c r="J1177" i="1"/>
  <c r="G1194" i="1"/>
  <c r="G1204" i="1"/>
  <c r="H1267" i="1"/>
  <c r="H1268" i="1" s="1"/>
  <c r="J1245" i="1"/>
  <c r="E1267" i="1"/>
  <c r="E1268" i="1" s="1"/>
  <c r="I1267" i="1"/>
  <c r="I1268" i="1" s="1"/>
  <c r="G1250" i="1"/>
  <c r="J1250" i="1" s="1"/>
  <c r="J1246" i="1"/>
  <c r="G1253" i="1"/>
  <c r="J1253" i="1" s="1"/>
  <c r="J1251" i="1"/>
  <c r="G1259" i="1"/>
  <c r="J1259" i="1" s="1"/>
  <c r="J1254" i="1"/>
  <c r="G1263" i="1"/>
  <c r="J1263" i="1" s="1"/>
  <c r="F1071" i="13"/>
  <c r="I1071" i="13" s="1"/>
  <c r="M1065" i="1"/>
  <c r="M1182" i="1" s="1"/>
  <c r="M1299" i="1" s="1"/>
  <c r="L1065" i="1"/>
  <c r="L1182" i="1" s="1"/>
  <c r="G1065" i="1"/>
  <c r="J1065" i="1" s="1"/>
  <c r="I1046" i="1"/>
  <c r="H1046" i="1"/>
  <c r="I601" i="1"/>
  <c r="H601" i="1"/>
  <c r="G601" i="1" s="1"/>
  <c r="L1299" i="1" l="1"/>
  <c r="G1188" i="13"/>
  <c r="J1188" i="13" s="1"/>
  <c r="E1269" i="1"/>
  <c r="C172" i="15"/>
  <c r="C174" i="15" s="1"/>
  <c r="C175" i="15" s="1"/>
  <c r="I1211" i="13"/>
  <c r="H1024" i="16"/>
  <c r="M1416" i="1"/>
  <c r="K1182" i="1"/>
  <c r="N1182" i="1" s="1"/>
  <c r="F1195" i="13"/>
  <c r="F1212" i="13" s="1"/>
  <c r="F1246" i="13"/>
  <c r="F1247" i="13" s="1"/>
  <c r="F667" i="17"/>
  <c r="I667" i="17" s="1"/>
  <c r="P120" i="14"/>
  <c r="R110" i="14"/>
  <c r="R117" i="14"/>
  <c r="P108" i="14"/>
  <c r="Q111" i="14"/>
  <c r="S111" i="14" s="1"/>
  <c r="T111" i="14" s="1"/>
  <c r="Q117" i="14"/>
  <c r="P111" i="14"/>
  <c r="Q106" i="14"/>
  <c r="S106" i="14" s="1"/>
  <c r="T106" i="14" s="1"/>
  <c r="Q114" i="14"/>
  <c r="S114" i="14" s="1"/>
  <c r="T114" i="14" s="1"/>
  <c r="R119" i="14"/>
  <c r="Q119" i="14"/>
  <c r="P118" i="14"/>
  <c r="S117" i="14"/>
  <c r="T117" i="14" s="1"/>
  <c r="Q109" i="14"/>
  <c r="S109" i="14" s="1"/>
  <c r="P113" i="14"/>
  <c r="Q110" i="14"/>
  <c r="S110" i="14" s="1"/>
  <c r="T110" i="14" s="1"/>
  <c r="P658" i="17"/>
  <c r="P702" i="17" s="1"/>
  <c r="Q115" i="14"/>
  <c r="S115" i="14" s="1"/>
  <c r="Q113" i="14"/>
  <c r="S113" i="14" s="1"/>
  <c r="Q107" i="14"/>
  <c r="S107" i="14" s="1"/>
  <c r="P115" i="14"/>
  <c r="P112" i="14"/>
  <c r="P109" i="14"/>
  <c r="P107" i="14"/>
  <c r="Q112" i="14"/>
  <c r="S112" i="14" s="1"/>
  <c r="Q108" i="14"/>
  <c r="S108" i="14" s="1"/>
  <c r="Q120" i="14"/>
  <c r="S120" i="14" s="1"/>
  <c r="T120" i="14" s="1"/>
  <c r="Q118" i="14"/>
  <c r="S118" i="14" s="1"/>
  <c r="T118" i="14" s="1"/>
  <c r="Q116" i="14"/>
  <c r="S116" i="14" s="1"/>
  <c r="T116" i="14" s="1"/>
  <c r="S105" i="14"/>
  <c r="T105" i="14" s="1"/>
  <c r="F701" i="17"/>
  <c r="I700" i="17"/>
  <c r="F658" i="17"/>
  <c r="I658" i="17" s="1"/>
  <c r="I649" i="17"/>
  <c r="I1232" i="13"/>
  <c r="I1244" i="13"/>
  <c r="I1195" i="13"/>
  <c r="I1212" i="13" s="1"/>
  <c r="I1272" i="13"/>
  <c r="I1273" i="13" s="1"/>
  <c r="O1182" i="1"/>
  <c r="G1267" i="1"/>
  <c r="G1226" i="1"/>
  <c r="J1217" i="1"/>
  <c r="I1269" i="1"/>
  <c r="J1194" i="1"/>
  <c r="G1205" i="1"/>
  <c r="J1230" i="1"/>
  <c r="G1238" i="1"/>
  <c r="J1238" i="1" s="1"/>
  <c r="H1269" i="1"/>
  <c r="G1189" i="1"/>
  <c r="K1065" i="1"/>
  <c r="N1065" i="1" s="1"/>
  <c r="G1071" i="13"/>
  <c r="J1071" i="13" s="1"/>
  <c r="L144" i="14"/>
  <c r="K144" i="14" s="1"/>
  <c r="O144" i="14" s="1"/>
  <c r="G144" i="14"/>
  <c r="C144" i="14"/>
  <c r="L143" i="14"/>
  <c r="K143" i="14" s="1"/>
  <c r="G143" i="14"/>
  <c r="C143" i="14"/>
  <c r="L142" i="14"/>
  <c r="K142" i="14" s="1"/>
  <c r="O142" i="14" s="1"/>
  <c r="G142" i="14"/>
  <c r="C142" i="14"/>
  <c r="L141" i="14"/>
  <c r="K141" i="14" s="1"/>
  <c r="O141" i="14" s="1"/>
  <c r="G141" i="14"/>
  <c r="C141" i="14"/>
  <c r="L140" i="14"/>
  <c r="K140" i="14" s="1"/>
  <c r="O140" i="14" s="1"/>
  <c r="G140" i="14"/>
  <c r="C140" i="14"/>
  <c r="L139" i="14"/>
  <c r="K139" i="14" s="1"/>
  <c r="O139" i="14" s="1"/>
  <c r="G139" i="14"/>
  <c r="C139" i="14"/>
  <c r="G138" i="14"/>
  <c r="L137" i="14"/>
  <c r="K137" i="14" s="1"/>
  <c r="G137" i="14"/>
  <c r="C137" i="14"/>
  <c r="G136" i="14"/>
  <c r="L135" i="14"/>
  <c r="K135" i="14" s="1"/>
  <c r="G135" i="14"/>
  <c r="C135" i="14"/>
  <c r="L134" i="14"/>
  <c r="K134" i="14" s="1"/>
  <c r="G134" i="14"/>
  <c r="C134" i="14"/>
  <c r="L133" i="14"/>
  <c r="K133" i="14" s="1"/>
  <c r="G133" i="14"/>
  <c r="C133" i="14"/>
  <c r="L132" i="14"/>
  <c r="K132" i="14" s="1"/>
  <c r="G132" i="14"/>
  <c r="C132" i="14"/>
  <c r="L131" i="14"/>
  <c r="K131" i="14" s="1"/>
  <c r="G131" i="14"/>
  <c r="C131" i="14"/>
  <c r="L130" i="14"/>
  <c r="K130" i="14" s="1"/>
  <c r="G130" i="14"/>
  <c r="C130" i="14"/>
  <c r="L129" i="14"/>
  <c r="K129" i="14" s="1"/>
  <c r="G129" i="14"/>
  <c r="C129" i="14"/>
  <c r="E158" i="15"/>
  <c r="E155" i="15"/>
  <c r="E152" i="15"/>
  <c r="H988" i="16"/>
  <c r="F988" i="16"/>
  <c r="I988" i="16" s="1"/>
  <c r="I989" i="16" s="1"/>
  <c r="E987" i="16"/>
  <c r="H986" i="16"/>
  <c r="H985" i="16"/>
  <c r="H984" i="16"/>
  <c r="I984" i="16" s="1"/>
  <c r="H983" i="16"/>
  <c r="H982" i="16"/>
  <c r="H981" i="16"/>
  <c r="H980" i="16"/>
  <c r="H979" i="16"/>
  <c r="H978" i="16"/>
  <c r="H977" i="16"/>
  <c r="H976" i="16"/>
  <c r="H975" i="16"/>
  <c r="H974" i="16"/>
  <c r="H973" i="16"/>
  <c r="H972" i="16"/>
  <c r="H971" i="16"/>
  <c r="H970" i="16"/>
  <c r="H969" i="16"/>
  <c r="H968" i="16"/>
  <c r="H967" i="16"/>
  <c r="H966" i="16"/>
  <c r="H965" i="16"/>
  <c r="H964" i="16"/>
  <c r="H963" i="16"/>
  <c r="H962" i="16"/>
  <c r="H961" i="16"/>
  <c r="E960" i="16"/>
  <c r="H959" i="16"/>
  <c r="H958" i="16"/>
  <c r="H957" i="16"/>
  <c r="H956" i="16"/>
  <c r="H955" i="16"/>
  <c r="H954" i="16"/>
  <c r="H953" i="16"/>
  <c r="H952" i="16"/>
  <c r="H951" i="16"/>
  <c r="H950" i="16"/>
  <c r="H949" i="16"/>
  <c r="H948" i="16"/>
  <c r="H947" i="16"/>
  <c r="H946" i="16"/>
  <c r="H945" i="16"/>
  <c r="H944" i="16"/>
  <c r="H943" i="16"/>
  <c r="H942" i="16"/>
  <c r="H941" i="16"/>
  <c r="H940" i="16"/>
  <c r="H939" i="16"/>
  <c r="H938" i="16"/>
  <c r="H937" i="16"/>
  <c r="H936" i="16"/>
  <c r="H935" i="16"/>
  <c r="H934" i="16"/>
  <c r="H933" i="16"/>
  <c r="H932" i="16"/>
  <c r="H931" i="16"/>
  <c r="E928" i="16"/>
  <c r="H927" i="16"/>
  <c r="H926" i="16"/>
  <c r="H925" i="16"/>
  <c r="H924" i="16"/>
  <c r="E923" i="16"/>
  <c r="H922" i="16"/>
  <c r="H921" i="16"/>
  <c r="H920" i="16"/>
  <c r="H919" i="16"/>
  <c r="H918" i="16"/>
  <c r="H917" i="16"/>
  <c r="E916" i="16"/>
  <c r="H915" i="16"/>
  <c r="H914" i="16"/>
  <c r="H913" i="16"/>
  <c r="H912" i="16"/>
  <c r="H911" i="16"/>
  <c r="H910" i="16"/>
  <c r="H909" i="16"/>
  <c r="H908" i="16"/>
  <c r="H907" i="16"/>
  <c r="H906" i="16"/>
  <c r="H905" i="16"/>
  <c r="H904" i="16"/>
  <c r="H903" i="16"/>
  <c r="H902" i="16"/>
  <c r="H901" i="16"/>
  <c r="E638" i="17"/>
  <c r="H637" i="17"/>
  <c r="H638" i="17" s="1"/>
  <c r="G637" i="17"/>
  <c r="G638" i="17" s="1"/>
  <c r="D637" i="17"/>
  <c r="D638" i="17" s="1"/>
  <c r="P636" i="17"/>
  <c r="F636" i="17"/>
  <c r="I636" i="17" s="1"/>
  <c r="P635" i="17"/>
  <c r="F635" i="17"/>
  <c r="I635" i="17" s="1"/>
  <c r="P634" i="17"/>
  <c r="F634" i="17"/>
  <c r="I634" i="17" s="1"/>
  <c r="P633" i="17"/>
  <c r="F633" i="17"/>
  <c r="I633" i="17" s="1"/>
  <c r="P632" i="17"/>
  <c r="F632" i="17"/>
  <c r="I632" i="17" s="1"/>
  <c r="P631" i="17"/>
  <c r="F631" i="17"/>
  <c r="I631" i="17" s="1"/>
  <c r="P630" i="17"/>
  <c r="F630" i="17"/>
  <c r="I630" i="17" s="1"/>
  <c r="P629" i="17"/>
  <c r="F629" i="17"/>
  <c r="I629" i="17" s="1"/>
  <c r="P628" i="17"/>
  <c r="F628" i="17"/>
  <c r="I628" i="17" s="1"/>
  <c r="P627" i="17"/>
  <c r="F627" i="17"/>
  <c r="I627" i="17" s="1"/>
  <c r="P626" i="17"/>
  <c r="F626" i="17"/>
  <c r="I626" i="17" s="1"/>
  <c r="P625" i="17"/>
  <c r="F625" i="17"/>
  <c r="I625" i="17" s="1"/>
  <c r="P624" i="17"/>
  <c r="F624" i="17"/>
  <c r="I624" i="17" s="1"/>
  <c r="P623" i="17"/>
  <c r="F623" i="17"/>
  <c r="I623" i="17" s="1"/>
  <c r="P622" i="17"/>
  <c r="F622" i="17"/>
  <c r="I622" i="17" s="1"/>
  <c r="P621" i="17"/>
  <c r="F621" i="17"/>
  <c r="I621" i="17" s="1"/>
  <c r="P620" i="17"/>
  <c r="F620" i="17"/>
  <c r="I620" i="17" s="1"/>
  <c r="P619" i="17"/>
  <c r="F619" i="17"/>
  <c r="I619" i="17" s="1"/>
  <c r="P618" i="17"/>
  <c r="F618" i="17"/>
  <c r="I618" i="17" s="1"/>
  <c r="P617" i="17"/>
  <c r="F617" i="17"/>
  <c r="I617" i="17" s="1"/>
  <c r="P616" i="17"/>
  <c r="F616" i="17"/>
  <c r="I616" i="17" s="1"/>
  <c r="P615" i="17"/>
  <c r="F615" i="17"/>
  <c r="I615" i="17" s="1"/>
  <c r="P614" i="17"/>
  <c r="F614" i="17"/>
  <c r="I614" i="17" s="1"/>
  <c r="P613" i="17"/>
  <c r="F613" i="17"/>
  <c r="I613" i="17" s="1"/>
  <c r="P612" i="17"/>
  <c r="F612" i="17"/>
  <c r="I612" i="17" s="1"/>
  <c r="P611" i="17"/>
  <c r="F611" i="17"/>
  <c r="I611" i="17" s="1"/>
  <c r="P610" i="17"/>
  <c r="F610" i="17"/>
  <c r="I610" i="17" s="1"/>
  <c r="P609" i="17"/>
  <c r="F609" i="17"/>
  <c r="I609" i="17" s="1"/>
  <c r="P608" i="17"/>
  <c r="F608" i="17"/>
  <c r="I608" i="17" s="1"/>
  <c r="P607" i="17"/>
  <c r="F607" i="17"/>
  <c r="I607" i="17" s="1"/>
  <c r="P606" i="17"/>
  <c r="F606" i="17"/>
  <c r="I606" i="17" s="1"/>
  <c r="P605" i="17"/>
  <c r="F605" i="17"/>
  <c r="I605" i="17" s="1"/>
  <c r="E604" i="17"/>
  <c r="D604" i="17"/>
  <c r="H603" i="17"/>
  <c r="H604" i="17" s="1"/>
  <c r="G603" i="17"/>
  <c r="G604" i="17" s="1"/>
  <c r="P602" i="17"/>
  <c r="F602" i="17"/>
  <c r="I602" i="17" s="1"/>
  <c r="P601" i="17"/>
  <c r="F601" i="17"/>
  <c r="I601" i="17" s="1"/>
  <c r="P600" i="17"/>
  <c r="F600" i="17"/>
  <c r="I600" i="17" s="1"/>
  <c r="P599" i="17"/>
  <c r="F599" i="17"/>
  <c r="I599" i="17" s="1"/>
  <c r="P598" i="17"/>
  <c r="F598" i="17"/>
  <c r="I598" i="17" s="1"/>
  <c r="P597" i="17"/>
  <c r="F597" i="17"/>
  <c r="I597" i="17" s="1"/>
  <c r="P596" i="17"/>
  <c r="F596" i="17"/>
  <c r="E595" i="17"/>
  <c r="E639" i="17" s="1"/>
  <c r="H594" i="17"/>
  <c r="G594" i="17"/>
  <c r="D594" i="17"/>
  <c r="P593" i="17"/>
  <c r="F593" i="17"/>
  <c r="I593" i="17" s="1"/>
  <c r="P592" i="17"/>
  <c r="F592" i="17"/>
  <c r="I592" i="17" s="1"/>
  <c r="P591" i="17"/>
  <c r="F591" i="17"/>
  <c r="I591" i="17" s="1"/>
  <c r="P590" i="17"/>
  <c r="F590" i="17"/>
  <c r="I590" i="17" s="1"/>
  <c r="P589" i="17"/>
  <c r="F589" i="17"/>
  <c r="I589" i="17" s="1"/>
  <c r="P588" i="17"/>
  <c r="F588" i="17"/>
  <c r="I588" i="17" s="1"/>
  <c r="P587" i="17"/>
  <c r="F587" i="17"/>
  <c r="I587" i="17" s="1"/>
  <c r="H586" i="17"/>
  <c r="H595" i="17" s="1"/>
  <c r="G586" i="17"/>
  <c r="D586" i="17"/>
  <c r="D595" i="17" s="1"/>
  <c r="P585" i="17"/>
  <c r="F585" i="17"/>
  <c r="I585" i="17" s="1"/>
  <c r="P584" i="17"/>
  <c r="F584" i="17"/>
  <c r="I584" i="17" s="1"/>
  <c r="P583" i="17"/>
  <c r="F583" i="17"/>
  <c r="I583" i="17" s="1"/>
  <c r="P582" i="17"/>
  <c r="F582" i="17"/>
  <c r="I582" i="17" s="1"/>
  <c r="P581" i="17"/>
  <c r="I581" i="17"/>
  <c r="F581" i="17"/>
  <c r="J1154" i="13"/>
  <c r="I1154" i="13"/>
  <c r="F1154" i="13"/>
  <c r="F1153" i="13"/>
  <c r="F1152" i="13"/>
  <c r="F1150" i="13"/>
  <c r="I1150" i="13" s="1"/>
  <c r="F1149" i="13"/>
  <c r="F1148" i="13"/>
  <c r="I1148" i="13" s="1"/>
  <c r="F1146" i="13"/>
  <c r="I1146" i="13" s="1"/>
  <c r="F1145" i="13"/>
  <c r="I1145" i="13" s="1"/>
  <c r="F1144" i="13"/>
  <c r="I1144" i="13" s="1"/>
  <c r="F1143" i="13"/>
  <c r="F1141" i="13"/>
  <c r="I1141" i="13" s="1"/>
  <c r="F1140" i="13"/>
  <c r="F1138" i="13"/>
  <c r="I1138" i="13" s="1"/>
  <c r="F1137" i="13"/>
  <c r="I1137" i="13" s="1"/>
  <c r="F1136" i="13"/>
  <c r="I1136" i="13" s="1"/>
  <c r="F1135" i="13"/>
  <c r="F1133" i="13"/>
  <c r="I1133" i="13" s="1"/>
  <c r="F1132" i="13"/>
  <c r="I1132" i="13" s="1"/>
  <c r="F1131" i="13"/>
  <c r="F1128" i="13"/>
  <c r="I1128" i="13" s="1"/>
  <c r="F1125" i="13"/>
  <c r="I1125" i="13" s="1"/>
  <c r="F1124" i="13"/>
  <c r="I1124" i="13" s="1"/>
  <c r="F1123" i="13"/>
  <c r="I1123" i="13" s="1"/>
  <c r="F1122" i="13"/>
  <c r="I1122" i="13" s="1"/>
  <c r="F1121" i="13"/>
  <c r="I1121" i="13" s="1"/>
  <c r="F1120" i="13"/>
  <c r="F1118" i="13"/>
  <c r="I1118" i="13" s="1"/>
  <c r="F1117" i="13"/>
  <c r="I1117" i="13" s="1"/>
  <c r="F1116" i="13"/>
  <c r="F1113" i="13"/>
  <c r="I1113" i="13" s="1"/>
  <c r="F1112" i="13"/>
  <c r="I1112" i="13" s="1"/>
  <c r="F1111" i="13"/>
  <c r="I1111" i="13" s="1"/>
  <c r="F1110" i="13"/>
  <c r="I1110" i="13" s="1"/>
  <c r="F1109" i="13"/>
  <c r="I1109" i="13" s="1"/>
  <c r="F1108" i="13"/>
  <c r="F1107" i="13"/>
  <c r="I1107" i="13" s="1"/>
  <c r="F1105" i="13"/>
  <c r="I1105" i="13" s="1"/>
  <c r="F1104" i="13"/>
  <c r="I1104" i="13" s="1"/>
  <c r="F1103" i="13"/>
  <c r="I1103" i="13" s="1"/>
  <c r="F1102" i="13"/>
  <c r="I1102" i="13" s="1"/>
  <c r="F1101" i="13"/>
  <c r="I1101" i="13" s="1"/>
  <c r="F1100" i="13"/>
  <c r="I1100" i="13" s="1"/>
  <c r="F1099" i="13"/>
  <c r="I1099" i="13" s="1"/>
  <c r="F1098" i="13"/>
  <c r="I1098" i="13" s="1"/>
  <c r="F1097" i="13"/>
  <c r="I1097" i="13" s="1"/>
  <c r="F1096" i="13"/>
  <c r="F1092" i="13"/>
  <c r="I1092" i="13" s="1"/>
  <c r="F1091" i="13"/>
  <c r="I1091" i="13" s="1"/>
  <c r="F1090" i="13"/>
  <c r="I1090" i="13" s="1"/>
  <c r="F1089" i="13"/>
  <c r="I1089" i="13" s="1"/>
  <c r="F1088" i="13"/>
  <c r="I1088" i="13" s="1"/>
  <c r="F1087" i="13"/>
  <c r="I1087" i="13" s="1"/>
  <c r="F1086" i="13"/>
  <c r="I1086" i="13" s="1"/>
  <c r="F1085" i="13"/>
  <c r="I1085" i="13" s="1"/>
  <c r="F1084" i="13"/>
  <c r="F1082" i="13"/>
  <c r="I1082" i="13" s="1"/>
  <c r="F1081" i="13"/>
  <c r="I1081" i="13" s="1"/>
  <c r="F1080" i="13"/>
  <c r="I1080" i="13" s="1"/>
  <c r="F1079" i="13"/>
  <c r="F1076" i="13"/>
  <c r="I1076" i="13" s="1"/>
  <c r="F1075" i="13"/>
  <c r="I1075" i="13" s="1"/>
  <c r="F1074" i="13"/>
  <c r="F1072" i="13"/>
  <c r="I1072" i="13" s="1"/>
  <c r="F1070" i="13"/>
  <c r="I1070" i="13" s="1"/>
  <c r="F1069" i="13"/>
  <c r="I1069" i="13" s="1"/>
  <c r="F1068" i="13"/>
  <c r="I1068" i="13" s="1"/>
  <c r="F1067" i="13"/>
  <c r="I1067" i="13" s="1"/>
  <c r="F1066" i="13"/>
  <c r="F1064" i="13"/>
  <c r="I1064" i="13" s="1"/>
  <c r="F1063" i="13"/>
  <c r="I1063" i="13" s="1"/>
  <c r="F1062" i="13"/>
  <c r="I1062" i="13" s="1"/>
  <c r="F1061" i="13"/>
  <c r="I1061" i="13" s="1"/>
  <c r="F1060" i="13"/>
  <c r="I1060" i="13" s="1"/>
  <c r="F1059" i="13"/>
  <c r="I1059" i="13" s="1"/>
  <c r="F1058" i="13"/>
  <c r="F1056" i="13"/>
  <c r="I1056" i="13" s="1"/>
  <c r="F1055" i="13"/>
  <c r="I1055" i="13" s="1"/>
  <c r="F1054" i="13"/>
  <c r="I1054" i="13" s="1"/>
  <c r="F1053" i="13"/>
  <c r="I1053" i="13" s="1"/>
  <c r="F1052" i="13"/>
  <c r="I1052" i="13" s="1"/>
  <c r="F1051" i="13"/>
  <c r="I1051" i="13" s="1"/>
  <c r="F1050" i="13"/>
  <c r="F1048" i="13"/>
  <c r="I1048" i="13" s="1"/>
  <c r="F1047" i="13"/>
  <c r="I1047" i="13" s="1"/>
  <c r="F1046" i="13"/>
  <c r="I1046" i="13" s="1"/>
  <c r="F1045" i="13"/>
  <c r="F1049" i="13" s="1"/>
  <c r="F1150" i="1"/>
  <c r="F1151" i="1" s="1"/>
  <c r="I1149" i="1"/>
  <c r="H1149" i="1"/>
  <c r="E1149" i="1"/>
  <c r="G1148" i="1"/>
  <c r="J1148" i="1" s="1"/>
  <c r="J1147" i="1"/>
  <c r="G1147" i="1"/>
  <c r="G1149" i="1" s="1"/>
  <c r="J1149" i="1" s="1"/>
  <c r="I1146" i="1"/>
  <c r="H1146" i="1"/>
  <c r="G1145" i="1"/>
  <c r="J1145" i="1" s="1"/>
  <c r="G1144" i="1"/>
  <c r="J1144" i="1" s="1"/>
  <c r="E1146" i="1"/>
  <c r="G1143" i="1"/>
  <c r="J1143" i="1" s="1"/>
  <c r="I1142" i="1"/>
  <c r="H1142" i="1"/>
  <c r="J1141" i="1"/>
  <c r="G1141" i="1"/>
  <c r="G1140" i="1"/>
  <c r="J1140" i="1" s="1"/>
  <c r="G1139" i="1"/>
  <c r="J1139" i="1" s="1"/>
  <c r="E1139" i="1"/>
  <c r="E1142" i="1" s="1"/>
  <c r="J1138" i="1"/>
  <c r="G1138" i="1"/>
  <c r="G1137" i="1"/>
  <c r="I1136" i="1"/>
  <c r="H1136" i="1"/>
  <c r="E1136" i="1"/>
  <c r="G1135" i="1"/>
  <c r="J1135" i="1" s="1"/>
  <c r="G1134" i="1"/>
  <c r="J1134" i="1" s="1"/>
  <c r="I1133" i="1"/>
  <c r="H1133" i="1"/>
  <c r="E1133" i="1"/>
  <c r="G1132" i="1"/>
  <c r="J1132" i="1" s="1"/>
  <c r="G1131" i="1"/>
  <c r="J1131" i="1" s="1"/>
  <c r="G1130" i="1"/>
  <c r="J1130" i="1" s="1"/>
  <c r="J1129" i="1"/>
  <c r="G1129" i="1"/>
  <c r="I1128" i="1"/>
  <c r="H1128" i="1"/>
  <c r="E1128" i="1"/>
  <c r="G1127" i="1"/>
  <c r="J1127" i="1" s="1"/>
  <c r="G1126" i="1"/>
  <c r="J1126" i="1" s="1"/>
  <c r="G1125" i="1"/>
  <c r="J1125" i="1" s="1"/>
  <c r="F1123" i="1"/>
  <c r="F1124" i="1" s="1"/>
  <c r="J1122" i="1"/>
  <c r="G1122" i="1"/>
  <c r="I1120" i="1"/>
  <c r="H1120" i="1"/>
  <c r="E1120" i="1"/>
  <c r="G1119" i="1"/>
  <c r="J1119" i="1" s="1"/>
  <c r="J1118" i="1"/>
  <c r="G1117" i="1"/>
  <c r="J1117" i="1" s="1"/>
  <c r="J1116" i="1"/>
  <c r="G1115" i="1"/>
  <c r="J1115" i="1" s="1"/>
  <c r="G1114" i="1"/>
  <c r="I1113" i="1"/>
  <c r="H1113" i="1"/>
  <c r="H1121" i="1" s="1"/>
  <c r="E1113" i="1"/>
  <c r="G1112" i="1"/>
  <c r="J1112" i="1" s="1"/>
  <c r="G1111" i="1"/>
  <c r="J1111" i="1" s="1"/>
  <c r="G1110" i="1"/>
  <c r="J1110" i="1" s="1"/>
  <c r="I1108" i="1"/>
  <c r="H1108" i="1"/>
  <c r="E1108" i="1"/>
  <c r="G1107" i="1"/>
  <c r="J1107" i="1" s="1"/>
  <c r="J1106" i="1"/>
  <c r="G1105" i="1"/>
  <c r="J1105" i="1" s="1"/>
  <c r="G1104" i="1"/>
  <c r="J1104" i="1" s="1"/>
  <c r="G1103" i="1"/>
  <c r="J1103" i="1" s="1"/>
  <c r="G1102" i="1"/>
  <c r="J1102" i="1" s="1"/>
  <c r="G1101" i="1"/>
  <c r="I1100" i="1"/>
  <c r="H1100" i="1"/>
  <c r="E1100" i="1"/>
  <c r="G1099" i="1"/>
  <c r="J1099" i="1" s="1"/>
  <c r="G1098" i="1"/>
  <c r="J1098" i="1" s="1"/>
  <c r="G1097" i="1"/>
  <c r="J1097" i="1" s="1"/>
  <c r="G1096" i="1"/>
  <c r="J1096" i="1" s="1"/>
  <c r="J1095" i="1"/>
  <c r="G1095" i="1"/>
  <c r="G1094" i="1"/>
  <c r="J1094" i="1" s="1"/>
  <c r="G1093" i="1"/>
  <c r="J1093" i="1" s="1"/>
  <c r="G1092" i="1"/>
  <c r="J1092" i="1" s="1"/>
  <c r="J1091" i="1"/>
  <c r="G1091" i="1"/>
  <c r="G1090" i="1"/>
  <c r="F1088" i="1"/>
  <c r="L1087" i="1"/>
  <c r="I1087" i="1"/>
  <c r="M1087" i="1" s="1"/>
  <c r="H1087" i="1"/>
  <c r="E1087" i="1"/>
  <c r="G1086" i="1"/>
  <c r="J1086" i="1" s="1"/>
  <c r="G1085" i="1"/>
  <c r="J1085" i="1" s="1"/>
  <c r="G1084" i="1"/>
  <c r="J1084" i="1" s="1"/>
  <c r="J1083" i="1"/>
  <c r="G1083" i="1"/>
  <c r="G1082" i="1"/>
  <c r="J1082" i="1" s="1"/>
  <c r="G1081" i="1"/>
  <c r="J1081" i="1" s="1"/>
  <c r="G1080" i="1"/>
  <c r="J1080" i="1" s="1"/>
  <c r="J1079" i="1"/>
  <c r="G1079" i="1"/>
  <c r="G1078" i="1"/>
  <c r="G1087" i="1" s="1"/>
  <c r="I1077" i="1"/>
  <c r="I1088" i="1" s="1"/>
  <c r="H1077" i="1"/>
  <c r="H1088" i="1" s="1"/>
  <c r="E1077" i="1"/>
  <c r="J1076" i="1"/>
  <c r="G1076" i="1"/>
  <c r="G1075" i="1"/>
  <c r="J1075" i="1" s="1"/>
  <c r="G1074" i="1"/>
  <c r="J1074" i="1" s="1"/>
  <c r="G1073" i="1"/>
  <c r="I1071" i="1"/>
  <c r="H1071" i="1"/>
  <c r="E1071" i="1"/>
  <c r="G1070" i="1"/>
  <c r="J1070" i="1" s="1"/>
  <c r="J1069" i="1"/>
  <c r="G1069" i="1"/>
  <c r="G1068" i="1"/>
  <c r="G1071" i="1" s="1"/>
  <c r="J1071" i="1" s="1"/>
  <c r="I1067" i="1"/>
  <c r="H1067" i="1"/>
  <c r="F1067" i="1"/>
  <c r="F1072" i="1" s="1"/>
  <c r="F1089" i="1" s="1"/>
  <c r="F1152" i="1" s="1"/>
  <c r="E1067" i="1"/>
  <c r="G1066" i="1"/>
  <c r="J1066" i="1" s="1"/>
  <c r="G1064" i="1"/>
  <c r="J1064" i="1" s="1"/>
  <c r="G1063" i="1"/>
  <c r="J1063" i="1" s="1"/>
  <c r="J1062" i="1"/>
  <c r="G1062" i="1"/>
  <c r="G1061" i="1"/>
  <c r="J1061" i="1" s="1"/>
  <c r="G1060" i="1"/>
  <c r="I1059" i="1"/>
  <c r="H1059" i="1"/>
  <c r="E1059" i="1"/>
  <c r="G1058" i="1"/>
  <c r="J1058" i="1" s="1"/>
  <c r="J1057" i="1"/>
  <c r="G1057" i="1"/>
  <c r="G1056" i="1"/>
  <c r="J1056" i="1" s="1"/>
  <c r="G1055" i="1"/>
  <c r="J1055" i="1" s="1"/>
  <c r="G1054" i="1"/>
  <c r="J1054" i="1" s="1"/>
  <c r="J1053" i="1"/>
  <c r="G1053" i="1"/>
  <c r="G1052" i="1"/>
  <c r="G1059" i="1" s="1"/>
  <c r="J1059" i="1" s="1"/>
  <c r="I1051" i="1"/>
  <c r="H1051" i="1"/>
  <c r="E1051" i="1"/>
  <c r="J1050" i="1"/>
  <c r="G1050" i="1"/>
  <c r="G1049" i="1"/>
  <c r="J1049" i="1" s="1"/>
  <c r="G1048" i="1"/>
  <c r="J1048" i="1" s="1"/>
  <c r="G1047" i="1"/>
  <c r="J1047" i="1" s="1"/>
  <c r="G1046" i="1"/>
  <c r="J1046" i="1" s="1"/>
  <c r="G1045" i="1"/>
  <c r="J1045" i="1" s="1"/>
  <c r="G1044" i="1"/>
  <c r="J1044" i="1" s="1"/>
  <c r="I1043" i="1"/>
  <c r="H1043" i="1"/>
  <c r="E1043" i="1"/>
  <c r="E1072" i="1" s="1"/>
  <c r="C150" i="15" s="1"/>
  <c r="G1042" i="1"/>
  <c r="J1042" i="1" s="1"/>
  <c r="G1041" i="1"/>
  <c r="J1041" i="1" s="1"/>
  <c r="G1040" i="1"/>
  <c r="J1040" i="1" s="1"/>
  <c r="G1039" i="1"/>
  <c r="J1039" i="1" s="1"/>
  <c r="G1067" i="1" l="1"/>
  <c r="J1067" i="1" s="1"/>
  <c r="I1121" i="1"/>
  <c r="H987" i="16"/>
  <c r="M1533" i="1"/>
  <c r="G1100" i="1"/>
  <c r="G1120" i="1"/>
  <c r="J1120" i="1" s="1"/>
  <c r="O1065" i="1"/>
  <c r="F1274" i="13"/>
  <c r="G1077" i="1"/>
  <c r="G1108" i="1"/>
  <c r="J1108" i="1" s="1"/>
  <c r="J1114" i="1"/>
  <c r="H960" i="16"/>
  <c r="L1416" i="1"/>
  <c r="G1305" i="13"/>
  <c r="J1305" i="13" s="1"/>
  <c r="K1299" i="1"/>
  <c r="H923" i="16"/>
  <c r="T108" i="14"/>
  <c r="S119" i="14"/>
  <c r="T119" i="14" s="1"/>
  <c r="T107" i="14"/>
  <c r="T115" i="14"/>
  <c r="T113" i="14"/>
  <c r="T109" i="14"/>
  <c r="T112" i="14"/>
  <c r="F702" i="17"/>
  <c r="I702" i="17" s="1"/>
  <c r="I701" i="17"/>
  <c r="I1274" i="13"/>
  <c r="I1246" i="13"/>
  <c r="I1247" i="13" s="1"/>
  <c r="J1205" i="1"/>
  <c r="J1204" i="1"/>
  <c r="J1226" i="1"/>
  <c r="G1240" i="1"/>
  <c r="G1206" i="1"/>
  <c r="J1189" i="1"/>
  <c r="G1268" i="1"/>
  <c r="J1268" i="1" s="1"/>
  <c r="J1267" i="1"/>
  <c r="F603" i="17"/>
  <c r="I603" i="17" s="1"/>
  <c r="P603" i="17"/>
  <c r="P604" i="17" s="1"/>
  <c r="H1109" i="1"/>
  <c r="H1123" i="1" s="1"/>
  <c r="H1124" i="1" s="1"/>
  <c r="F1083" i="13"/>
  <c r="F1093" i="13"/>
  <c r="F1114" i="13"/>
  <c r="F1119" i="13"/>
  <c r="F1134" i="13"/>
  <c r="F1151" i="13"/>
  <c r="J1060" i="1"/>
  <c r="F1065" i="13"/>
  <c r="F1077" i="13"/>
  <c r="F1106" i="13"/>
  <c r="F1126" i="13"/>
  <c r="F1139" i="13"/>
  <c r="F1147" i="13"/>
  <c r="H928" i="16"/>
  <c r="G595" i="17"/>
  <c r="F1057" i="13"/>
  <c r="G1051" i="1"/>
  <c r="J1051" i="1" s="1"/>
  <c r="F1073" i="13"/>
  <c r="H1150" i="1"/>
  <c r="H1151" i="1" s="1"/>
  <c r="F1142" i="13"/>
  <c r="E1121" i="1"/>
  <c r="E1109" i="1"/>
  <c r="E1088" i="1"/>
  <c r="C151" i="15" s="1"/>
  <c r="N139" i="14"/>
  <c r="Q139" i="14" s="1"/>
  <c r="N140" i="14"/>
  <c r="R140" i="14" s="1"/>
  <c r="N141" i="14"/>
  <c r="R141" i="14" s="1"/>
  <c r="N142" i="14"/>
  <c r="R142" i="14" s="1"/>
  <c r="N144" i="14"/>
  <c r="P144" i="14" s="1"/>
  <c r="Q141" i="14"/>
  <c r="O129" i="14"/>
  <c r="N129" i="14" s="1"/>
  <c r="M129" i="14"/>
  <c r="O131" i="14"/>
  <c r="N131" i="14" s="1"/>
  <c r="M131" i="14"/>
  <c r="O133" i="14"/>
  <c r="N133" i="14" s="1"/>
  <c r="M133" i="14"/>
  <c r="O135" i="14"/>
  <c r="N135" i="14" s="1"/>
  <c r="M135" i="14"/>
  <c r="L138" i="14"/>
  <c r="K138" i="14" s="1"/>
  <c r="C138" i="14"/>
  <c r="M139" i="14"/>
  <c r="M140" i="14"/>
  <c r="M141" i="14"/>
  <c r="M142" i="14"/>
  <c r="O143" i="14"/>
  <c r="N143" i="14" s="1"/>
  <c r="M143" i="14"/>
  <c r="O130" i="14"/>
  <c r="N130" i="14" s="1"/>
  <c r="M130" i="14"/>
  <c r="O132" i="14"/>
  <c r="N132" i="14" s="1"/>
  <c r="M132" i="14"/>
  <c r="O134" i="14"/>
  <c r="N134" i="14" s="1"/>
  <c r="M134" i="14"/>
  <c r="L136" i="14"/>
  <c r="K136" i="14" s="1"/>
  <c r="C136" i="14"/>
  <c r="O137" i="14"/>
  <c r="N137" i="14" s="1"/>
  <c r="M137" i="14"/>
  <c r="M144" i="14"/>
  <c r="H916" i="16"/>
  <c r="E930" i="16"/>
  <c r="E990" i="16" s="1"/>
  <c r="P637" i="17"/>
  <c r="P638" i="17" s="1"/>
  <c r="P586" i="17"/>
  <c r="F586" i="17"/>
  <c r="P594" i="17"/>
  <c r="F594" i="17"/>
  <c r="I594" i="17" s="1"/>
  <c r="G639" i="17"/>
  <c r="F604" i="17"/>
  <c r="I604" i="17" s="1"/>
  <c r="D639" i="17"/>
  <c r="I596" i="17"/>
  <c r="F637" i="17"/>
  <c r="H639" i="17"/>
  <c r="I1108" i="13"/>
  <c r="I1114" i="13" s="1"/>
  <c r="I1116" i="13"/>
  <c r="I1119" i="13" s="1"/>
  <c r="I1131" i="13"/>
  <c r="I1134" i="13" s="1"/>
  <c r="I1149" i="13"/>
  <c r="I1151" i="13" s="1"/>
  <c r="I1045" i="13"/>
  <c r="I1049" i="13" s="1"/>
  <c r="I1050" i="13"/>
  <c r="I1057" i="13" s="1"/>
  <c r="I1058" i="13"/>
  <c r="I1065" i="13" s="1"/>
  <c r="I1066" i="13"/>
  <c r="I1073" i="13" s="1"/>
  <c r="I1074" i="13"/>
  <c r="I1077" i="13" s="1"/>
  <c r="I1079" i="13"/>
  <c r="I1083" i="13" s="1"/>
  <c r="I1084" i="13"/>
  <c r="I1093" i="13" s="1"/>
  <c r="I1096" i="13"/>
  <c r="I1106" i="13" s="1"/>
  <c r="I1120" i="13"/>
  <c r="I1126" i="13" s="1"/>
  <c r="I1135" i="13"/>
  <c r="I1139" i="13" s="1"/>
  <c r="I1140" i="13"/>
  <c r="I1142" i="13" s="1"/>
  <c r="I1143" i="13"/>
  <c r="I1147" i="13" s="1"/>
  <c r="I1150" i="1"/>
  <c r="I1151" i="1" s="1"/>
  <c r="I1109" i="1"/>
  <c r="I1123" i="1" s="1"/>
  <c r="I1124" i="1" s="1"/>
  <c r="H1072" i="1"/>
  <c r="H1089" i="1" s="1"/>
  <c r="H1152" i="1" s="1"/>
  <c r="I1072" i="1"/>
  <c r="I1089" i="1" s="1"/>
  <c r="G1088" i="1"/>
  <c r="J1077" i="1"/>
  <c r="G1043" i="1"/>
  <c r="J1052" i="1"/>
  <c r="J1068" i="1"/>
  <c r="J1073" i="1"/>
  <c r="J1078" i="1"/>
  <c r="G1109" i="1"/>
  <c r="J1100" i="1"/>
  <c r="G1113" i="1"/>
  <c r="G1128" i="1"/>
  <c r="G1136" i="1"/>
  <c r="J1136" i="1" s="1"/>
  <c r="G1146" i="1"/>
  <c r="J1146" i="1" s="1"/>
  <c r="J1090" i="1"/>
  <c r="J1101" i="1"/>
  <c r="E1150" i="1"/>
  <c r="E1151" i="1" s="1"/>
  <c r="G1133" i="1"/>
  <c r="J1133" i="1" s="1"/>
  <c r="G1142" i="1"/>
  <c r="J1142" i="1" s="1"/>
  <c r="J1137" i="1"/>
  <c r="D162" i="14"/>
  <c r="I162" i="14"/>
  <c r="H162" i="14"/>
  <c r="L1533" i="1" l="1"/>
  <c r="G1422" i="13"/>
  <c r="J1422" i="13" s="1"/>
  <c r="K1416" i="1"/>
  <c r="P141" i="14"/>
  <c r="M1650" i="1"/>
  <c r="N1299" i="1"/>
  <c r="O1299" i="1"/>
  <c r="H930" i="16"/>
  <c r="R144" i="14"/>
  <c r="Q144" i="14"/>
  <c r="R139" i="14"/>
  <c r="S139" i="14" s="1"/>
  <c r="P139" i="14"/>
  <c r="S141" i="14"/>
  <c r="T141" i="14" s="1"/>
  <c r="P142" i="14"/>
  <c r="P140" i="14"/>
  <c r="G1241" i="1"/>
  <c r="J1241" i="1" s="1"/>
  <c r="J1240" i="1"/>
  <c r="J1206" i="1"/>
  <c r="F1115" i="13"/>
  <c r="F1155" i="13"/>
  <c r="F1156" i="13" s="1"/>
  <c r="F1127" i="13"/>
  <c r="F1129" i="13" s="1"/>
  <c r="F1130" i="13" s="1"/>
  <c r="F1094" i="13"/>
  <c r="P595" i="17"/>
  <c r="F1078" i="13"/>
  <c r="F1095" i="13" s="1"/>
  <c r="E1123" i="1"/>
  <c r="E1124" i="1" s="1"/>
  <c r="C154" i="15" s="1"/>
  <c r="E1089" i="1"/>
  <c r="C153" i="15"/>
  <c r="C157" i="15"/>
  <c r="Q142" i="14"/>
  <c r="S142" i="14" s="1"/>
  <c r="T142" i="14" s="1"/>
  <c r="Q140" i="14"/>
  <c r="S140" i="14" s="1"/>
  <c r="Q137" i="14"/>
  <c r="P137" i="14"/>
  <c r="R137" i="14"/>
  <c r="O136" i="14"/>
  <c r="N136" i="14" s="1"/>
  <c r="M136" i="14"/>
  <c r="Q134" i="14"/>
  <c r="P134" i="14"/>
  <c r="R134" i="14"/>
  <c r="Q132" i="14"/>
  <c r="P132" i="14"/>
  <c r="R132" i="14"/>
  <c r="Q130" i="14"/>
  <c r="P130" i="14"/>
  <c r="R130" i="14"/>
  <c r="R143" i="14"/>
  <c r="P143" i="14"/>
  <c r="Q143" i="14"/>
  <c r="O138" i="14"/>
  <c r="N138" i="14" s="1"/>
  <c r="M138" i="14"/>
  <c r="Q135" i="14"/>
  <c r="R135" i="14"/>
  <c r="P135" i="14"/>
  <c r="Q133" i="14"/>
  <c r="R133" i="14"/>
  <c r="P133" i="14"/>
  <c r="Q131" i="14"/>
  <c r="R131" i="14"/>
  <c r="P131" i="14"/>
  <c r="Q129" i="14"/>
  <c r="R129" i="14"/>
  <c r="P129" i="14"/>
  <c r="P639" i="17"/>
  <c r="F638" i="17"/>
  <c r="I637" i="17"/>
  <c r="F595" i="17"/>
  <c r="I595" i="17" s="1"/>
  <c r="I586" i="17"/>
  <c r="I1078" i="13"/>
  <c r="I1155" i="13"/>
  <c r="I1156" i="13" s="1"/>
  <c r="I1115" i="13"/>
  <c r="I1094" i="13"/>
  <c r="I1127" i="13"/>
  <c r="I1152" i="1"/>
  <c r="G1150" i="1"/>
  <c r="J1128" i="1"/>
  <c r="J1113" i="1"/>
  <c r="G1121" i="1"/>
  <c r="J1121" i="1" s="1"/>
  <c r="G1072" i="1"/>
  <c r="J1043" i="1"/>
  <c r="J1088" i="1"/>
  <c r="J1087" i="1"/>
  <c r="G1123" i="1"/>
  <c r="J1109" i="1"/>
  <c r="D160" i="14"/>
  <c r="D161" i="14"/>
  <c r="F954" i="13"/>
  <c r="I954" i="13" s="1"/>
  <c r="M948" i="1"/>
  <c r="M1064" i="1" s="1"/>
  <c r="M1181" i="1" s="1"/>
  <c r="M1298" i="1" s="1"/>
  <c r="L948" i="1"/>
  <c r="G948" i="1"/>
  <c r="J948" i="1" s="1"/>
  <c r="G946" i="1"/>
  <c r="G947" i="1"/>
  <c r="F1157" i="13" l="1"/>
  <c r="G954" i="13"/>
  <c r="J954" i="13" s="1"/>
  <c r="L1064" i="1"/>
  <c r="M1415" i="1"/>
  <c r="N1416" i="1"/>
  <c r="O1416" i="1"/>
  <c r="M1767" i="1"/>
  <c r="S144" i="14"/>
  <c r="T144" i="14" s="1"/>
  <c r="K1533" i="1"/>
  <c r="L1650" i="1"/>
  <c r="G1539" i="13"/>
  <c r="J1539" i="13" s="1"/>
  <c r="T139" i="14"/>
  <c r="T140" i="14"/>
  <c r="S143" i="14"/>
  <c r="T143" i="14" s="1"/>
  <c r="S129" i="14"/>
  <c r="T129" i="14" s="1"/>
  <c r="G1269" i="1"/>
  <c r="J1269" i="1" s="1"/>
  <c r="C156" i="15"/>
  <c r="E1152" i="1"/>
  <c r="C159" i="15"/>
  <c r="S133" i="14"/>
  <c r="T133" i="14" s="1"/>
  <c r="S130" i="14"/>
  <c r="T130" i="14" s="1"/>
  <c r="S134" i="14"/>
  <c r="T134" i="14" s="1"/>
  <c r="R136" i="14"/>
  <c r="P136" i="14"/>
  <c r="Q136" i="14"/>
  <c r="S131" i="14"/>
  <c r="T131" i="14" s="1"/>
  <c r="S135" i="14"/>
  <c r="T135" i="14" s="1"/>
  <c r="R138" i="14"/>
  <c r="P138" i="14"/>
  <c r="Q138" i="14"/>
  <c r="S132" i="14"/>
  <c r="T132" i="14" s="1"/>
  <c r="S137" i="14"/>
  <c r="T137" i="14" s="1"/>
  <c r="F639" i="17"/>
  <c r="I639" i="17" s="1"/>
  <c r="I638" i="17"/>
  <c r="I1129" i="13"/>
  <c r="I1130" i="13" s="1"/>
  <c r="I1095" i="13"/>
  <c r="G1089" i="1"/>
  <c r="J1072" i="1"/>
  <c r="G1124" i="1"/>
  <c r="J1124" i="1" s="1"/>
  <c r="J1123" i="1"/>
  <c r="G1151" i="1"/>
  <c r="J1151" i="1" s="1"/>
  <c r="J1150" i="1"/>
  <c r="K948" i="1"/>
  <c r="N948" i="1" s="1"/>
  <c r="J999" i="1"/>
  <c r="J1001" i="1"/>
  <c r="J989" i="1"/>
  <c r="J946" i="1"/>
  <c r="J947" i="1"/>
  <c r="N1533" i="1" l="1"/>
  <c r="O1533" i="1"/>
  <c r="M1532" i="1"/>
  <c r="L1181" i="1"/>
  <c r="G1070" i="13"/>
  <c r="J1070" i="13" s="1"/>
  <c r="K1064" i="1"/>
  <c r="K1650" i="1"/>
  <c r="L1767" i="1"/>
  <c r="G1656" i="13"/>
  <c r="J1656" i="13" s="1"/>
  <c r="M1884" i="1"/>
  <c r="S138" i="14"/>
  <c r="T138" i="14" s="1"/>
  <c r="S136" i="14"/>
  <c r="T136" i="14" s="1"/>
  <c r="I1157" i="13"/>
  <c r="C160" i="15"/>
  <c r="G1152" i="1"/>
  <c r="J1152" i="1" s="1"/>
  <c r="J1089" i="1"/>
  <c r="O948" i="1"/>
  <c r="L168" i="14"/>
  <c r="K168" i="14" s="1"/>
  <c r="O168" i="14" s="1"/>
  <c r="G168" i="14"/>
  <c r="C168" i="14"/>
  <c r="L167" i="14"/>
  <c r="K167" i="14" s="1"/>
  <c r="O167" i="14" s="1"/>
  <c r="G167" i="14"/>
  <c r="C167" i="14"/>
  <c r="L166" i="14"/>
  <c r="K166" i="14" s="1"/>
  <c r="O166" i="14" s="1"/>
  <c r="G166" i="14"/>
  <c r="C166" i="14"/>
  <c r="L165" i="14"/>
  <c r="K165" i="14" s="1"/>
  <c r="O165" i="14" s="1"/>
  <c r="G165" i="14"/>
  <c r="C165" i="14"/>
  <c r="L164" i="14"/>
  <c r="K164" i="14" s="1"/>
  <c r="O164" i="14" s="1"/>
  <c r="G164" i="14"/>
  <c r="C164" i="14"/>
  <c r="L163" i="14"/>
  <c r="K163" i="14" s="1"/>
  <c r="O163" i="14" s="1"/>
  <c r="G163" i="14"/>
  <c r="C163" i="14"/>
  <c r="L162" i="14"/>
  <c r="K162" i="14" s="1"/>
  <c r="O162" i="14" s="1"/>
  <c r="G162" i="14"/>
  <c r="C162" i="14"/>
  <c r="G161" i="14"/>
  <c r="G160" i="14"/>
  <c r="C160" i="14"/>
  <c r="L159" i="14"/>
  <c r="K159" i="14" s="1"/>
  <c r="G159" i="14"/>
  <c r="C159" i="14"/>
  <c r="L158" i="14"/>
  <c r="K158" i="14" s="1"/>
  <c r="G158" i="14"/>
  <c r="C158" i="14"/>
  <c r="L157" i="14"/>
  <c r="K157" i="14" s="1"/>
  <c r="G157" i="14"/>
  <c r="C157" i="14"/>
  <c r="L156" i="14"/>
  <c r="K156" i="14" s="1"/>
  <c r="G156" i="14"/>
  <c r="C156" i="14"/>
  <c r="L155" i="14"/>
  <c r="K155" i="14" s="1"/>
  <c r="M155" i="14" s="1"/>
  <c r="G155" i="14"/>
  <c r="C155" i="14"/>
  <c r="L154" i="14"/>
  <c r="K154" i="14" s="1"/>
  <c r="G154" i="14"/>
  <c r="C154" i="14"/>
  <c r="L153" i="14"/>
  <c r="K153" i="14" s="1"/>
  <c r="M153" i="14" s="1"/>
  <c r="G153" i="14"/>
  <c r="C153" i="14"/>
  <c r="E143" i="15"/>
  <c r="E140" i="15"/>
  <c r="E137" i="15"/>
  <c r="H894" i="16"/>
  <c r="F894" i="16"/>
  <c r="I894" i="16" s="1"/>
  <c r="I895" i="16" s="1"/>
  <c r="E893" i="16"/>
  <c r="H892" i="16"/>
  <c r="H891" i="16"/>
  <c r="H890" i="16"/>
  <c r="I890" i="16" s="1"/>
  <c r="H889" i="16"/>
  <c r="H888" i="16"/>
  <c r="H887" i="16"/>
  <c r="H886" i="16"/>
  <c r="H885" i="16"/>
  <c r="H884" i="16"/>
  <c r="H883" i="16"/>
  <c r="H882" i="16"/>
  <c r="H881" i="16"/>
  <c r="H880" i="16"/>
  <c r="H879" i="16"/>
  <c r="H878" i="16"/>
  <c r="H877" i="16"/>
  <c r="H876" i="16"/>
  <c r="H875" i="16"/>
  <c r="H874" i="16"/>
  <c r="H873" i="16"/>
  <c r="H872" i="16"/>
  <c r="H871" i="16"/>
  <c r="H870" i="16"/>
  <c r="H869" i="16"/>
  <c r="H868" i="16"/>
  <c r="H867" i="16"/>
  <c r="E866" i="16"/>
  <c r="H865" i="16"/>
  <c r="H864" i="16"/>
  <c r="H863" i="16"/>
  <c r="H862" i="16"/>
  <c r="H861" i="16"/>
  <c r="H860" i="16"/>
  <c r="H859" i="16"/>
  <c r="H858" i="16"/>
  <c r="H857" i="16"/>
  <c r="H856" i="16"/>
  <c r="H855" i="16"/>
  <c r="H854" i="16"/>
  <c r="H853" i="16"/>
  <c r="H852" i="16"/>
  <c r="H851" i="16"/>
  <c r="H850" i="16"/>
  <c r="H849" i="16"/>
  <c r="H848" i="16"/>
  <c r="H847" i="16"/>
  <c r="H846" i="16"/>
  <c r="H845" i="16"/>
  <c r="H844" i="16"/>
  <c r="H843" i="16"/>
  <c r="H842" i="16"/>
  <c r="H841" i="16"/>
  <c r="H840" i="16"/>
  <c r="H839" i="16"/>
  <c r="H838" i="16"/>
  <c r="H837" i="16"/>
  <c r="E834" i="16"/>
  <c r="H833" i="16"/>
  <c r="H832" i="16"/>
  <c r="H831" i="16"/>
  <c r="H830" i="16"/>
  <c r="H834" i="16" s="1"/>
  <c r="E829" i="16"/>
  <c r="H828" i="16"/>
  <c r="H827" i="16"/>
  <c r="H826" i="16"/>
  <c r="H825" i="16"/>
  <c r="H824" i="16"/>
  <c r="H823" i="16"/>
  <c r="E822" i="16"/>
  <c r="H821" i="16"/>
  <c r="H820" i="16"/>
  <c r="H819" i="16"/>
  <c r="H818" i="16"/>
  <c r="H817" i="16"/>
  <c r="H816" i="16"/>
  <c r="H815" i="16"/>
  <c r="H814" i="16"/>
  <c r="H813" i="16"/>
  <c r="H812" i="16"/>
  <c r="H811" i="16"/>
  <c r="H810" i="16"/>
  <c r="H809" i="16"/>
  <c r="H808" i="16"/>
  <c r="H807" i="16"/>
  <c r="E575" i="17"/>
  <c r="D574" i="17"/>
  <c r="D575" i="17" s="1"/>
  <c r="P573" i="17"/>
  <c r="F573" i="17"/>
  <c r="I573" i="17" s="1"/>
  <c r="P572" i="17"/>
  <c r="F572" i="17"/>
  <c r="I572" i="17" s="1"/>
  <c r="P571" i="17"/>
  <c r="F571" i="17"/>
  <c r="I571" i="17" s="1"/>
  <c r="P570" i="17"/>
  <c r="F570" i="17"/>
  <c r="I570" i="17" s="1"/>
  <c r="P569" i="17"/>
  <c r="F569" i="17"/>
  <c r="I569" i="17" s="1"/>
  <c r="P568" i="17"/>
  <c r="F568" i="17"/>
  <c r="I568" i="17" s="1"/>
  <c r="P567" i="17"/>
  <c r="F567" i="17"/>
  <c r="I567" i="17" s="1"/>
  <c r="P566" i="17"/>
  <c r="F566" i="17"/>
  <c r="I566" i="17" s="1"/>
  <c r="P565" i="17"/>
  <c r="F565" i="17"/>
  <c r="I565" i="17" s="1"/>
  <c r="P564" i="17"/>
  <c r="F564" i="17"/>
  <c r="I564" i="17" s="1"/>
  <c r="P563" i="17"/>
  <c r="F563" i="17"/>
  <c r="I563" i="17" s="1"/>
  <c r="P562" i="17"/>
  <c r="F562" i="17"/>
  <c r="I562" i="17" s="1"/>
  <c r="P561" i="17"/>
  <c r="F561" i="17"/>
  <c r="I561" i="17" s="1"/>
  <c r="P560" i="17"/>
  <c r="F560" i="17"/>
  <c r="I560" i="17" s="1"/>
  <c r="P559" i="17"/>
  <c r="F559" i="17"/>
  <c r="I559" i="17" s="1"/>
  <c r="P558" i="17"/>
  <c r="F558" i="17"/>
  <c r="I558" i="17" s="1"/>
  <c r="P557" i="17"/>
  <c r="F557" i="17"/>
  <c r="I557" i="17" s="1"/>
  <c r="P556" i="17"/>
  <c r="F556" i="17"/>
  <c r="I556" i="17" s="1"/>
  <c r="P555" i="17"/>
  <c r="F555" i="17"/>
  <c r="I555" i="17" s="1"/>
  <c r="P554" i="17"/>
  <c r="F554" i="17"/>
  <c r="I554" i="17" s="1"/>
  <c r="P553" i="17"/>
  <c r="F553" i="17"/>
  <c r="I553" i="17" s="1"/>
  <c r="P552" i="17"/>
  <c r="F552" i="17"/>
  <c r="I552" i="17" s="1"/>
  <c r="P551" i="17"/>
  <c r="F551" i="17"/>
  <c r="I551" i="17" s="1"/>
  <c r="P550" i="17"/>
  <c r="F550" i="17"/>
  <c r="I550" i="17" s="1"/>
  <c r="P549" i="17"/>
  <c r="F549" i="17"/>
  <c r="I549" i="17" s="1"/>
  <c r="P548" i="17"/>
  <c r="F548" i="17"/>
  <c r="I548" i="17" s="1"/>
  <c r="P547" i="17"/>
  <c r="F547" i="17"/>
  <c r="I547" i="17" s="1"/>
  <c r="P546" i="17"/>
  <c r="F546" i="17"/>
  <c r="I546" i="17" s="1"/>
  <c r="H574" i="17"/>
  <c r="H575" i="17" s="1"/>
  <c r="G574" i="17"/>
  <c r="G575" i="17" s="1"/>
  <c r="F545" i="17"/>
  <c r="I545" i="17" s="1"/>
  <c r="P544" i="17"/>
  <c r="F544" i="17"/>
  <c r="I544" i="17" s="1"/>
  <c r="P543" i="17"/>
  <c r="F543" i="17"/>
  <c r="I543" i="17" s="1"/>
  <c r="P542" i="17"/>
  <c r="F542" i="17"/>
  <c r="I542" i="17" s="1"/>
  <c r="E541" i="17"/>
  <c r="E576" i="17" s="1"/>
  <c r="D541" i="17"/>
  <c r="H540" i="17"/>
  <c r="H541" i="17" s="1"/>
  <c r="G540" i="17"/>
  <c r="G541" i="17" s="1"/>
  <c r="P539" i="17"/>
  <c r="F539" i="17"/>
  <c r="I539" i="17" s="1"/>
  <c r="P538" i="17"/>
  <c r="F538" i="17"/>
  <c r="I538" i="17" s="1"/>
  <c r="P537" i="17"/>
  <c r="F537" i="17"/>
  <c r="I537" i="17" s="1"/>
  <c r="P536" i="17"/>
  <c r="F536" i="17"/>
  <c r="I536" i="17" s="1"/>
  <c r="P535" i="17"/>
  <c r="F535" i="17"/>
  <c r="I535" i="17" s="1"/>
  <c r="P534" i="17"/>
  <c r="F534" i="17"/>
  <c r="I534" i="17" s="1"/>
  <c r="P533" i="17"/>
  <c r="F533" i="17"/>
  <c r="I533" i="17" s="1"/>
  <c r="E532" i="17"/>
  <c r="H531" i="17"/>
  <c r="G531" i="17"/>
  <c r="D531" i="17"/>
  <c r="P530" i="17"/>
  <c r="F530" i="17"/>
  <c r="I530" i="17" s="1"/>
  <c r="P529" i="17"/>
  <c r="F529" i="17"/>
  <c r="I529" i="17" s="1"/>
  <c r="P528" i="17"/>
  <c r="F528" i="17"/>
  <c r="I528" i="17" s="1"/>
  <c r="P527" i="17"/>
  <c r="F527" i="17"/>
  <c r="I527" i="17" s="1"/>
  <c r="P526" i="17"/>
  <c r="F526" i="17"/>
  <c r="I526" i="17" s="1"/>
  <c r="P525" i="17"/>
  <c r="F525" i="17"/>
  <c r="I525" i="17" s="1"/>
  <c r="P524" i="17"/>
  <c r="F524" i="17"/>
  <c r="I524" i="17" s="1"/>
  <c r="H523" i="17"/>
  <c r="H532" i="17" s="1"/>
  <c r="G523" i="17"/>
  <c r="D523" i="17"/>
  <c r="P522" i="17"/>
  <c r="F522" i="17"/>
  <c r="I522" i="17" s="1"/>
  <c r="P521" i="17"/>
  <c r="F521" i="17"/>
  <c r="I521" i="17" s="1"/>
  <c r="P520" i="17"/>
  <c r="F520" i="17"/>
  <c r="I520" i="17" s="1"/>
  <c r="P519" i="17"/>
  <c r="F519" i="17"/>
  <c r="I519" i="17" s="1"/>
  <c r="P518" i="17"/>
  <c r="F518" i="17"/>
  <c r="I518" i="17" s="1"/>
  <c r="J1037" i="13"/>
  <c r="I1037" i="13"/>
  <c r="F1037" i="13"/>
  <c r="F1036" i="13"/>
  <c r="F1035" i="13"/>
  <c r="F1033" i="13"/>
  <c r="I1033" i="13" s="1"/>
  <c r="F1032" i="13"/>
  <c r="F1031" i="13"/>
  <c r="I1031" i="13" s="1"/>
  <c r="F1029" i="13"/>
  <c r="I1029" i="13" s="1"/>
  <c r="F1028" i="13"/>
  <c r="I1028" i="13" s="1"/>
  <c r="F1027" i="13"/>
  <c r="I1027" i="13" s="1"/>
  <c r="F1026" i="13"/>
  <c r="F1024" i="13"/>
  <c r="I1024" i="13" s="1"/>
  <c r="F1023" i="13"/>
  <c r="F1025" i="13" s="1"/>
  <c r="F1021" i="13"/>
  <c r="I1021" i="13" s="1"/>
  <c r="F1020" i="13"/>
  <c r="I1020" i="13" s="1"/>
  <c r="F1019" i="13"/>
  <c r="I1019" i="13" s="1"/>
  <c r="F1018" i="13"/>
  <c r="F1016" i="13"/>
  <c r="I1016" i="13" s="1"/>
  <c r="F1015" i="13"/>
  <c r="I1015" i="13" s="1"/>
  <c r="F1014" i="13"/>
  <c r="F1011" i="13"/>
  <c r="I1011" i="13" s="1"/>
  <c r="F1008" i="13"/>
  <c r="I1008" i="13" s="1"/>
  <c r="F1007" i="13"/>
  <c r="I1007" i="13" s="1"/>
  <c r="F1006" i="13"/>
  <c r="I1006" i="13" s="1"/>
  <c r="F1005" i="13"/>
  <c r="I1005" i="13" s="1"/>
  <c r="F1004" i="13"/>
  <c r="I1004" i="13" s="1"/>
  <c r="F1003" i="13"/>
  <c r="F1001" i="13"/>
  <c r="I1001" i="13" s="1"/>
  <c r="F1000" i="13"/>
  <c r="I1000" i="13" s="1"/>
  <c r="F999" i="13"/>
  <c r="F1002" i="13" s="1"/>
  <c r="F996" i="13"/>
  <c r="I996" i="13" s="1"/>
  <c r="F995" i="13"/>
  <c r="I995" i="13" s="1"/>
  <c r="F994" i="13"/>
  <c r="I994" i="13" s="1"/>
  <c r="F993" i="13"/>
  <c r="I993" i="13" s="1"/>
  <c r="F992" i="13"/>
  <c r="I992" i="13" s="1"/>
  <c r="F991" i="13"/>
  <c r="F990" i="13"/>
  <c r="I990" i="13" s="1"/>
  <c r="F988" i="13"/>
  <c r="I988" i="13" s="1"/>
  <c r="F987" i="13"/>
  <c r="I987" i="13" s="1"/>
  <c r="F986" i="13"/>
  <c r="I986" i="13" s="1"/>
  <c r="F985" i="13"/>
  <c r="I985" i="13" s="1"/>
  <c r="F984" i="13"/>
  <c r="I984" i="13" s="1"/>
  <c r="F983" i="13"/>
  <c r="I983" i="13" s="1"/>
  <c r="F982" i="13"/>
  <c r="I982" i="13" s="1"/>
  <c r="F981" i="13"/>
  <c r="I981" i="13" s="1"/>
  <c r="F980" i="13"/>
  <c r="I980" i="13" s="1"/>
  <c r="F979" i="13"/>
  <c r="F975" i="13"/>
  <c r="I975" i="13" s="1"/>
  <c r="F974" i="13"/>
  <c r="I974" i="13" s="1"/>
  <c r="F973" i="13"/>
  <c r="I973" i="13" s="1"/>
  <c r="F972" i="13"/>
  <c r="I972" i="13" s="1"/>
  <c r="F971" i="13"/>
  <c r="I971" i="13" s="1"/>
  <c r="F970" i="13"/>
  <c r="I970" i="13" s="1"/>
  <c r="F969" i="13"/>
  <c r="I969" i="13" s="1"/>
  <c r="F968" i="13"/>
  <c r="I968" i="13" s="1"/>
  <c r="F967" i="13"/>
  <c r="F965" i="13"/>
  <c r="I965" i="13" s="1"/>
  <c r="F964" i="13"/>
  <c r="I964" i="13" s="1"/>
  <c r="F963" i="13"/>
  <c r="I963" i="13" s="1"/>
  <c r="F962" i="13"/>
  <c r="F959" i="13"/>
  <c r="I959" i="13" s="1"/>
  <c r="F958" i="13"/>
  <c r="I958" i="13" s="1"/>
  <c r="F957" i="13"/>
  <c r="F955" i="13"/>
  <c r="I955" i="13" s="1"/>
  <c r="F953" i="13"/>
  <c r="I953" i="13" s="1"/>
  <c r="F952" i="13"/>
  <c r="I952" i="13" s="1"/>
  <c r="F951" i="13"/>
  <c r="I951" i="13" s="1"/>
  <c r="F950" i="13"/>
  <c r="F948" i="13"/>
  <c r="I948" i="13" s="1"/>
  <c r="F947" i="13"/>
  <c r="I947" i="13" s="1"/>
  <c r="F946" i="13"/>
  <c r="I946" i="13" s="1"/>
  <c r="F945" i="13"/>
  <c r="I945" i="13" s="1"/>
  <c r="F944" i="13"/>
  <c r="I944" i="13" s="1"/>
  <c r="F943" i="13"/>
  <c r="I943" i="13" s="1"/>
  <c r="F942" i="13"/>
  <c r="F940" i="13"/>
  <c r="I940" i="13" s="1"/>
  <c r="F939" i="13"/>
  <c r="I939" i="13" s="1"/>
  <c r="F938" i="13"/>
  <c r="I938" i="13" s="1"/>
  <c r="F937" i="13"/>
  <c r="I937" i="13" s="1"/>
  <c r="F936" i="13"/>
  <c r="I936" i="13" s="1"/>
  <c r="F935" i="13"/>
  <c r="I935" i="13" s="1"/>
  <c r="F934" i="13"/>
  <c r="F932" i="13"/>
  <c r="I932" i="13" s="1"/>
  <c r="F931" i="13"/>
  <c r="I931" i="13" s="1"/>
  <c r="F930" i="13"/>
  <c r="I930" i="13" s="1"/>
  <c r="F929" i="13"/>
  <c r="F1033" i="1"/>
  <c r="F1034" i="1" s="1"/>
  <c r="I1032" i="1"/>
  <c r="H1032" i="1"/>
  <c r="E1032" i="1"/>
  <c r="G1031" i="1"/>
  <c r="J1031" i="1" s="1"/>
  <c r="G1030" i="1"/>
  <c r="J1030" i="1" s="1"/>
  <c r="I1029" i="1"/>
  <c r="H1029" i="1"/>
  <c r="G1028" i="1"/>
  <c r="J1028" i="1" s="1"/>
  <c r="E1028" i="1"/>
  <c r="G1027" i="1"/>
  <c r="J1027" i="1" s="1"/>
  <c r="E1027" i="1"/>
  <c r="E1029" i="1" s="1"/>
  <c r="G1026" i="1"/>
  <c r="J1026" i="1" s="1"/>
  <c r="I1025" i="1"/>
  <c r="H1025" i="1"/>
  <c r="G1024" i="1"/>
  <c r="J1024" i="1" s="1"/>
  <c r="G1023" i="1"/>
  <c r="J1023" i="1" s="1"/>
  <c r="G1022" i="1"/>
  <c r="J1022" i="1" s="1"/>
  <c r="E1022" i="1"/>
  <c r="E1025" i="1" s="1"/>
  <c r="G1021" i="1"/>
  <c r="J1021" i="1" s="1"/>
  <c r="G1020" i="1"/>
  <c r="J1020" i="1" s="1"/>
  <c r="E1020" i="1"/>
  <c r="E1019" i="1"/>
  <c r="I1019" i="1"/>
  <c r="H1019" i="1"/>
  <c r="G1018" i="1"/>
  <c r="J1018" i="1" s="1"/>
  <c r="G1017" i="1"/>
  <c r="J1017" i="1" s="1"/>
  <c r="I1016" i="1"/>
  <c r="H1016" i="1"/>
  <c r="E1016" i="1"/>
  <c r="G1015" i="1"/>
  <c r="J1015" i="1" s="1"/>
  <c r="G1014" i="1"/>
  <c r="J1014" i="1" s="1"/>
  <c r="G1013" i="1"/>
  <c r="J1013" i="1" s="1"/>
  <c r="G1012" i="1"/>
  <c r="J1012" i="1" s="1"/>
  <c r="I1011" i="1"/>
  <c r="H1011" i="1"/>
  <c r="E1011" i="1"/>
  <c r="G1010" i="1"/>
  <c r="J1010" i="1" s="1"/>
  <c r="G1009" i="1"/>
  <c r="J1009" i="1" s="1"/>
  <c r="G1008" i="1"/>
  <c r="J1008" i="1" s="1"/>
  <c r="F1006" i="1"/>
  <c r="F1007" i="1" s="1"/>
  <c r="G1005" i="1"/>
  <c r="J1005" i="1" s="1"/>
  <c r="I1003" i="1"/>
  <c r="H1003" i="1"/>
  <c r="E1003" i="1"/>
  <c r="G1002" i="1"/>
  <c r="J1002" i="1" s="1"/>
  <c r="G1000" i="1"/>
  <c r="J1000" i="1" s="1"/>
  <c r="G998" i="1"/>
  <c r="J998" i="1" s="1"/>
  <c r="G997" i="1"/>
  <c r="I996" i="1"/>
  <c r="I1004" i="1" s="1"/>
  <c r="H996" i="1"/>
  <c r="H1004" i="1" s="1"/>
  <c r="E996" i="1"/>
  <c r="G995" i="1"/>
  <c r="J995" i="1" s="1"/>
  <c r="G994" i="1"/>
  <c r="J994" i="1" s="1"/>
  <c r="G993" i="1"/>
  <c r="I991" i="1"/>
  <c r="H991" i="1"/>
  <c r="E991" i="1"/>
  <c r="G990" i="1"/>
  <c r="J990" i="1" s="1"/>
  <c r="G988" i="1"/>
  <c r="J988" i="1" s="1"/>
  <c r="G987" i="1"/>
  <c r="J987" i="1" s="1"/>
  <c r="G986" i="1"/>
  <c r="J986" i="1" s="1"/>
  <c r="G985" i="1"/>
  <c r="J985" i="1" s="1"/>
  <c r="G984" i="1"/>
  <c r="J984" i="1" s="1"/>
  <c r="I983" i="1"/>
  <c r="H983" i="1"/>
  <c r="E983" i="1"/>
  <c r="G982" i="1"/>
  <c r="J982" i="1" s="1"/>
  <c r="G981" i="1"/>
  <c r="J981" i="1" s="1"/>
  <c r="G980" i="1"/>
  <c r="J980" i="1" s="1"/>
  <c r="G979" i="1"/>
  <c r="J979" i="1" s="1"/>
  <c r="G978" i="1"/>
  <c r="J978" i="1" s="1"/>
  <c r="G977" i="1"/>
  <c r="J977" i="1" s="1"/>
  <c r="G976" i="1"/>
  <c r="J976" i="1" s="1"/>
  <c r="G975" i="1"/>
  <c r="J975" i="1" s="1"/>
  <c r="G974" i="1"/>
  <c r="J974" i="1" s="1"/>
  <c r="G973" i="1"/>
  <c r="J973" i="1" s="1"/>
  <c r="F971" i="1"/>
  <c r="I970" i="1"/>
  <c r="M970" i="1" s="1"/>
  <c r="H970" i="1"/>
  <c r="L970" i="1" s="1"/>
  <c r="E970" i="1"/>
  <c r="G969" i="1"/>
  <c r="J969" i="1" s="1"/>
  <c r="G968" i="1"/>
  <c r="J968" i="1" s="1"/>
  <c r="G967" i="1"/>
  <c r="J967" i="1" s="1"/>
  <c r="G966" i="1"/>
  <c r="J966" i="1" s="1"/>
  <c r="G965" i="1"/>
  <c r="J965" i="1" s="1"/>
  <c r="G964" i="1"/>
  <c r="J964" i="1" s="1"/>
  <c r="G963" i="1"/>
  <c r="J963" i="1" s="1"/>
  <c r="G962" i="1"/>
  <c r="J962" i="1" s="1"/>
  <c r="G961" i="1"/>
  <c r="J961" i="1" s="1"/>
  <c r="I960" i="1"/>
  <c r="I971" i="1" s="1"/>
  <c r="H960" i="1"/>
  <c r="H971" i="1" s="1"/>
  <c r="E960" i="1"/>
  <c r="E971" i="1" s="1"/>
  <c r="C136" i="15" s="1"/>
  <c r="G959" i="1"/>
  <c r="J959" i="1" s="1"/>
  <c r="G958" i="1"/>
  <c r="J958" i="1" s="1"/>
  <c r="G957" i="1"/>
  <c r="J957" i="1" s="1"/>
  <c r="G956" i="1"/>
  <c r="J956" i="1" s="1"/>
  <c r="I954" i="1"/>
  <c r="H954" i="1"/>
  <c r="E954" i="1"/>
  <c r="G953" i="1"/>
  <c r="J953" i="1" s="1"/>
  <c r="G952" i="1"/>
  <c r="J952" i="1" s="1"/>
  <c r="G951" i="1"/>
  <c r="I950" i="1"/>
  <c r="H950" i="1"/>
  <c r="F950" i="1"/>
  <c r="F955" i="1" s="1"/>
  <c r="F972" i="1" s="1"/>
  <c r="F1035" i="1" s="1"/>
  <c r="E950" i="1"/>
  <c r="G949" i="1"/>
  <c r="J949" i="1" s="1"/>
  <c r="G945" i="1"/>
  <c r="J945" i="1" s="1"/>
  <c r="G944" i="1"/>
  <c r="G950" i="1" s="1"/>
  <c r="I943" i="1"/>
  <c r="H943" i="1"/>
  <c r="E943" i="1"/>
  <c r="G942" i="1"/>
  <c r="J942" i="1" s="1"/>
  <c r="G941" i="1"/>
  <c r="J941" i="1" s="1"/>
  <c r="G940" i="1"/>
  <c r="J940" i="1" s="1"/>
  <c r="G939" i="1"/>
  <c r="J939" i="1" s="1"/>
  <c r="G938" i="1"/>
  <c r="J938" i="1" s="1"/>
  <c r="G937" i="1"/>
  <c r="J937" i="1" s="1"/>
  <c r="G936" i="1"/>
  <c r="I935" i="1"/>
  <c r="H935" i="1"/>
  <c r="E935" i="1"/>
  <c r="G934" i="1"/>
  <c r="J934" i="1" s="1"/>
  <c r="G933" i="1"/>
  <c r="J933" i="1" s="1"/>
  <c r="G932" i="1"/>
  <c r="J932" i="1" s="1"/>
  <c r="G931" i="1"/>
  <c r="J931" i="1" s="1"/>
  <c r="G930" i="1"/>
  <c r="J930" i="1" s="1"/>
  <c r="G929" i="1"/>
  <c r="J929" i="1" s="1"/>
  <c r="G928" i="1"/>
  <c r="I927" i="1"/>
  <c r="H927" i="1"/>
  <c r="E927" i="1"/>
  <c r="G926" i="1"/>
  <c r="J926" i="1" s="1"/>
  <c r="G925" i="1"/>
  <c r="J925" i="1" s="1"/>
  <c r="G924" i="1"/>
  <c r="J924" i="1" s="1"/>
  <c r="G923" i="1"/>
  <c r="F966" i="13" l="1"/>
  <c r="F976" i="13"/>
  <c r="F1022" i="13"/>
  <c r="N1650" i="1"/>
  <c r="O1650" i="1"/>
  <c r="E992" i="1"/>
  <c r="M2001" i="1"/>
  <c r="N1064" i="1"/>
  <c r="O1064" i="1"/>
  <c r="M1649" i="1"/>
  <c r="G927" i="1"/>
  <c r="J923" i="1"/>
  <c r="E955" i="1"/>
  <c r="E972" i="1" s="1"/>
  <c r="E1004" i="1"/>
  <c r="L1884" i="1"/>
  <c r="K1767" i="1"/>
  <c r="G1773" i="13"/>
  <c r="J1773" i="13" s="1"/>
  <c r="G1187" i="13"/>
  <c r="J1187" i="13" s="1"/>
  <c r="L1298" i="1"/>
  <c r="K1181" i="1"/>
  <c r="H829" i="16"/>
  <c r="H866" i="16"/>
  <c r="G532" i="17"/>
  <c r="D532" i="17"/>
  <c r="D576" i="17" s="1"/>
  <c r="P540" i="17"/>
  <c r="P541" i="17" s="1"/>
  <c r="N163" i="14"/>
  <c r="P163" i="14" s="1"/>
  <c r="O153" i="14"/>
  <c r="N153" i="14" s="1"/>
  <c r="P153" i="14" s="1"/>
  <c r="H992" i="1"/>
  <c r="H1006" i="1" s="1"/>
  <c r="H1007" i="1" s="1"/>
  <c r="I992" i="1"/>
  <c r="I1006" i="1" s="1"/>
  <c r="I1007" i="1" s="1"/>
  <c r="G954" i="1"/>
  <c r="J954" i="1" s="1"/>
  <c r="J951" i="1"/>
  <c r="G996" i="1"/>
  <c r="J993" i="1"/>
  <c r="G1003" i="1"/>
  <c r="J1003" i="1" s="1"/>
  <c r="J997" i="1"/>
  <c r="N162" i="14"/>
  <c r="P162" i="14" s="1"/>
  <c r="P531" i="17"/>
  <c r="F949" i="13"/>
  <c r="F960" i="13"/>
  <c r="F989" i="13"/>
  <c r="F1009" i="13"/>
  <c r="F1010" i="13" s="1"/>
  <c r="F1017" i="13"/>
  <c r="C135" i="15"/>
  <c r="C138" i="15" s="1"/>
  <c r="G943" i="1"/>
  <c r="J943" i="1" s="1"/>
  <c r="J936" i="1"/>
  <c r="G935" i="1"/>
  <c r="J935" i="1" s="1"/>
  <c r="J928" i="1"/>
  <c r="J950" i="1"/>
  <c r="J944" i="1"/>
  <c r="F933" i="13"/>
  <c r="F941" i="13"/>
  <c r="F956" i="13"/>
  <c r="F1030" i="13"/>
  <c r="F997" i="13"/>
  <c r="F998" i="13" s="1"/>
  <c r="F1034" i="13"/>
  <c r="H955" i="1"/>
  <c r="H972" i="1" s="1"/>
  <c r="H1035" i="1" s="1"/>
  <c r="H1033" i="1"/>
  <c r="H1034" i="1" s="1"/>
  <c r="N164" i="14"/>
  <c r="P164" i="14" s="1"/>
  <c r="N165" i="14"/>
  <c r="R165" i="14" s="1"/>
  <c r="N167" i="14"/>
  <c r="R167" i="14" s="1"/>
  <c r="N168" i="14"/>
  <c r="P168" i="14" s="1"/>
  <c r="M154" i="14"/>
  <c r="O154" i="14"/>
  <c r="N154" i="14" s="1"/>
  <c r="P154" i="14" s="1"/>
  <c r="O155" i="14"/>
  <c r="N155" i="14" s="1"/>
  <c r="P155" i="14" s="1"/>
  <c r="R163" i="14"/>
  <c r="Q163" i="14"/>
  <c r="R153" i="14"/>
  <c r="R155" i="14"/>
  <c r="O156" i="14"/>
  <c r="N156" i="14" s="1"/>
  <c r="M156" i="14"/>
  <c r="O158" i="14"/>
  <c r="N158" i="14" s="1"/>
  <c r="M158" i="14"/>
  <c r="L160" i="14"/>
  <c r="K160" i="14" s="1"/>
  <c r="M162" i="14"/>
  <c r="M163" i="14"/>
  <c r="M164" i="14"/>
  <c r="M165" i="14"/>
  <c r="N166" i="14"/>
  <c r="Q153" i="14"/>
  <c r="S153" i="14" s="1"/>
  <c r="Q155" i="14"/>
  <c r="O157" i="14"/>
  <c r="N157" i="14" s="1"/>
  <c r="M157" i="14"/>
  <c r="O159" i="14"/>
  <c r="N159" i="14" s="1"/>
  <c r="M159" i="14"/>
  <c r="L161" i="14"/>
  <c r="K161" i="14" s="1"/>
  <c r="C161" i="14"/>
  <c r="M166" i="14"/>
  <c r="M167" i="14"/>
  <c r="M168" i="14"/>
  <c r="H893" i="16"/>
  <c r="E836" i="16"/>
  <c r="E896" i="16" s="1"/>
  <c r="H822" i="16"/>
  <c r="H836" i="16" s="1"/>
  <c r="F523" i="17"/>
  <c r="I523" i="17" s="1"/>
  <c r="H576" i="17"/>
  <c r="P523" i="17"/>
  <c r="F531" i="17"/>
  <c r="I531" i="17" s="1"/>
  <c r="F540" i="17"/>
  <c r="I540" i="17" s="1"/>
  <c r="G576" i="17"/>
  <c r="F574" i="17"/>
  <c r="I574" i="17" s="1"/>
  <c r="P545" i="17"/>
  <c r="P574" i="17" s="1"/>
  <c r="P575" i="17" s="1"/>
  <c r="I991" i="13"/>
  <c r="I997" i="13" s="1"/>
  <c r="I999" i="13"/>
  <c r="I1002" i="13" s="1"/>
  <c r="I1014" i="13"/>
  <c r="I1017" i="13" s="1"/>
  <c r="I1032" i="13"/>
  <c r="I1034" i="13" s="1"/>
  <c r="I929" i="13"/>
  <c r="I933" i="13" s="1"/>
  <c r="I934" i="13"/>
  <c r="I941" i="13" s="1"/>
  <c r="I942" i="13"/>
  <c r="I949" i="13" s="1"/>
  <c r="I950" i="13"/>
  <c r="I956" i="13" s="1"/>
  <c r="I957" i="13"/>
  <c r="I960" i="13" s="1"/>
  <c r="I962" i="13"/>
  <c r="I966" i="13" s="1"/>
  <c r="I967" i="13"/>
  <c r="I976" i="13" s="1"/>
  <c r="I979" i="13"/>
  <c r="I989" i="13" s="1"/>
  <c r="I1003" i="13"/>
  <c r="I1009" i="13" s="1"/>
  <c r="I1018" i="13"/>
  <c r="I1022" i="13" s="1"/>
  <c r="I1023" i="13"/>
  <c r="I1025" i="13" s="1"/>
  <c r="I1026" i="13"/>
  <c r="I1030" i="13" s="1"/>
  <c r="G1019" i="1"/>
  <c r="J1019" i="1" s="1"/>
  <c r="I955" i="1"/>
  <c r="I972" i="1" s="1"/>
  <c r="J927" i="1"/>
  <c r="G955" i="1"/>
  <c r="G970" i="1"/>
  <c r="G960" i="1"/>
  <c r="G983" i="1"/>
  <c r="G991" i="1"/>
  <c r="J991" i="1" s="1"/>
  <c r="E1033" i="1"/>
  <c r="E1034" i="1" s="1"/>
  <c r="G1016" i="1"/>
  <c r="J1016" i="1" s="1"/>
  <c r="G1025" i="1"/>
  <c r="J1025" i="1" s="1"/>
  <c r="G1032" i="1"/>
  <c r="J1032" i="1" s="1"/>
  <c r="G1011" i="1"/>
  <c r="J1011" i="1" s="1"/>
  <c r="I1033" i="1"/>
  <c r="I1034" i="1" s="1"/>
  <c r="I1035" i="1" s="1"/>
  <c r="G1029" i="1"/>
  <c r="J1029" i="1" s="1"/>
  <c r="I184" i="14"/>
  <c r="H184" i="14"/>
  <c r="D184" i="14"/>
  <c r="J184" i="14"/>
  <c r="M1766" i="1" l="1"/>
  <c r="M2118" i="1"/>
  <c r="F1038" i="13"/>
  <c r="F1039" i="13" s="1"/>
  <c r="E1035" i="1"/>
  <c r="C142" i="15"/>
  <c r="C144" i="15" s="1"/>
  <c r="O1181" i="1"/>
  <c r="N1181" i="1"/>
  <c r="N1767" i="1"/>
  <c r="O1767" i="1"/>
  <c r="E1006" i="1"/>
  <c r="E1007" i="1" s="1"/>
  <c r="C139" i="15" s="1"/>
  <c r="C141" i="15" s="1"/>
  <c r="C145" i="15" s="1"/>
  <c r="G1304" i="13"/>
  <c r="J1304" i="13" s="1"/>
  <c r="L1415" i="1"/>
  <c r="K1298" i="1"/>
  <c r="K1884" i="1"/>
  <c r="L2001" i="1"/>
  <c r="G1890" i="13"/>
  <c r="J1890" i="13" s="1"/>
  <c r="F977" i="13"/>
  <c r="R154" i="14"/>
  <c r="S163" i="14"/>
  <c r="R164" i="14"/>
  <c r="R162" i="14"/>
  <c r="R168" i="14"/>
  <c r="Q162" i="14"/>
  <c r="S155" i="14"/>
  <c r="T153" i="14"/>
  <c r="Q164" i="14"/>
  <c r="G1004" i="1"/>
  <c r="J1004" i="1" s="1"/>
  <c r="J996" i="1"/>
  <c r="P532" i="17"/>
  <c r="P576" i="17" s="1"/>
  <c r="F1012" i="13"/>
  <c r="F1013" i="13" s="1"/>
  <c r="I977" i="13"/>
  <c r="F961" i="13"/>
  <c r="F978" i="13" s="1"/>
  <c r="F1040" i="13" s="1"/>
  <c r="P167" i="14"/>
  <c r="Q167" i="14"/>
  <c r="S167" i="14" s="1"/>
  <c r="Q168" i="14"/>
  <c r="S168" i="14" s="1"/>
  <c r="T168" i="14" s="1"/>
  <c r="T163" i="14"/>
  <c r="P165" i="14"/>
  <c r="Q165" i="14"/>
  <c r="S165" i="14" s="1"/>
  <c r="Q154" i="14"/>
  <c r="S154" i="14" s="1"/>
  <c r="T154" i="14" s="1"/>
  <c r="T155" i="14"/>
  <c r="O160" i="14"/>
  <c r="N160" i="14" s="1"/>
  <c r="M160" i="14"/>
  <c r="Q158" i="14"/>
  <c r="R158" i="14"/>
  <c r="P158" i="14"/>
  <c r="Q156" i="14"/>
  <c r="R156" i="14"/>
  <c r="P156" i="14"/>
  <c r="O161" i="14"/>
  <c r="N161" i="14" s="1"/>
  <c r="M161" i="14"/>
  <c r="Q159" i="14"/>
  <c r="P159" i="14"/>
  <c r="R159" i="14"/>
  <c r="Q157" i="14"/>
  <c r="P157" i="14"/>
  <c r="R157" i="14"/>
  <c r="R166" i="14"/>
  <c r="P166" i="14"/>
  <c r="Q166" i="14"/>
  <c r="S166" i="14" s="1"/>
  <c r="F541" i="17"/>
  <c r="I541" i="17" s="1"/>
  <c r="F575" i="17"/>
  <c r="I575" i="17" s="1"/>
  <c r="F532" i="17"/>
  <c r="I532" i="17" s="1"/>
  <c r="I998" i="13"/>
  <c r="I1010" i="13"/>
  <c r="I961" i="13"/>
  <c r="I978" i="13" s="1"/>
  <c r="I1038" i="13"/>
  <c r="I1039" i="13" s="1"/>
  <c r="J983" i="1"/>
  <c r="G992" i="1"/>
  <c r="J955" i="1"/>
  <c r="G1033" i="1"/>
  <c r="J1033" i="1" s="1"/>
  <c r="G971" i="1"/>
  <c r="J960" i="1"/>
  <c r="D185" i="14"/>
  <c r="J180" i="14"/>
  <c r="N1298" i="1" l="1"/>
  <c r="O1298" i="1"/>
  <c r="K1415" i="1"/>
  <c r="L1532" i="1"/>
  <c r="G1421" i="13"/>
  <c r="J1421" i="13" s="1"/>
  <c r="M1883" i="1"/>
  <c r="L2118" i="1"/>
  <c r="G2007" i="13"/>
  <c r="J2007" i="13" s="1"/>
  <c r="K2001" i="1"/>
  <c r="S164" i="14"/>
  <c r="T164" i="14" s="1"/>
  <c r="N1884" i="1"/>
  <c r="O1884" i="1"/>
  <c r="M2235" i="1"/>
  <c r="S162" i="14"/>
  <c r="T162" i="14" s="1"/>
  <c r="T167" i="14"/>
  <c r="I1012" i="13"/>
  <c r="I1013" i="13" s="1"/>
  <c r="I1040" i="13" s="1"/>
  <c r="T166" i="14"/>
  <c r="T165" i="14"/>
  <c r="S158" i="14"/>
  <c r="T158" i="14" s="1"/>
  <c r="S159" i="14"/>
  <c r="T159" i="14" s="1"/>
  <c r="R161" i="14"/>
  <c r="P161" i="14"/>
  <c r="Q161" i="14"/>
  <c r="S161" i="14" s="1"/>
  <c r="Q160" i="14"/>
  <c r="R160" i="14"/>
  <c r="P160" i="14"/>
  <c r="S157" i="14"/>
  <c r="T157" i="14" s="1"/>
  <c r="S156" i="14"/>
  <c r="T156" i="14" s="1"/>
  <c r="F576" i="17"/>
  <c r="I576" i="17" s="1"/>
  <c r="J970" i="1"/>
  <c r="J971" i="1"/>
  <c r="G972" i="1"/>
  <c r="G1006" i="1"/>
  <c r="J992" i="1"/>
  <c r="G1034" i="1"/>
  <c r="J1034" i="1" s="1"/>
  <c r="D190" i="14"/>
  <c r="C190" i="14" s="1"/>
  <c r="I190" i="14"/>
  <c r="H190" i="14"/>
  <c r="J190" i="14"/>
  <c r="H503" i="17"/>
  <c r="G503" i="17"/>
  <c r="P503" i="17" s="1"/>
  <c r="H499" i="17"/>
  <c r="G499" i="17"/>
  <c r="F499" i="17" s="1"/>
  <c r="I499" i="17" s="1"/>
  <c r="H493" i="17"/>
  <c r="G493" i="17"/>
  <c r="P493" i="17" s="1"/>
  <c r="H488" i="17"/>
  <c r="G488" i="17"/>
  <c r="F488" i="17" s="1"/>
  <c r="I488" i="17" s="1"/>
  <c r="H482" i="17"/>
  <c r="G482" i="17"/>
  <c r="I902" i="1"/>
  <c r="H902" i="1"/>
  <c r="L192" i="14"/>
  <c r="K192" i="14" s="1"/>
  <c r="O192" i="14" s="1"/>
  <c r="G192" i="14"/>
  <c r="C192" i="14"/>
  <c r="L191" i="14"/>
  <c r="K191" i="14" s="1"/>
  <c r="O191" i="14" s="1"/>
  <c r="G191" i="14"/>
  <c r="C191" i="14"/>
  <c r="L189" i="14"/>
  <c r="K189" i="14" s="1"/>
  <c r="O189" i="14" s="1"/>
  <c r="G189" i="14"/>
  <c r="C189" i="14"/>
  <c r="L188" i="14"/>
  <c r="K188" i="14" s="1"/>
  <c r="O188" i="14" s="1"/>
  <c r="G188" i="14"/>
  <c r="C188" i="14"/>
  <c r="L187" i="14"/>
  <c r="K187" i="14" s="1"/>
  <c r="O187" i="14" s="1"/>
  <c r="G187" i="14"/>
  <c r="C187" i="14"/>
  <c r="L186" i="14"/>
  <c r="K186" i="14" s="1"/>
  <c r="O186" i="14" s="1"/>
  <c r="G186" i="14"/>
  <c r="C186" i="14"/>
  <c r="G185" i="14"/>
  <c r="L184" i="14"/>
  <c r="K184" i="14" s="1"/>
  <c r="G184" i="14"/>
  <c r="C184" i="14"/>
  <c r="L183" i="14"/>
  <c r="K183" i="14" s="1"/>
  <c r="G183" i="14"/>
  <c r="C183" i="14"/>
  <c r="L182" i="14"/>
  <c r="K182" i="14" s="1"/>
  <c r="M182" i="14" s="1"/>
  <c r="G182" i="14"/>
  <c r="C182" i="14"/>
  <c r="L181" i="14"/>
  <c r="K181" i="14" s="1"/>
  <c r="G181" i="14"/>
  <c r="C181" i="14"/>
  <c r="L180" i="14"/>
  <c r="K180" i="14" s="1"/>
  <c r="M180" i="14" s="1"/>
  <c r="G180" i="14"/>
  <c r="C180" i="14"/>
  <c r="L179" i="14"/>
  <c r="K179" i="14" s="1"/>
  <c r="G179" i="14"/>
  <c r="C179" i="14"/>
  <c r="L178" i="14"/>
  <c r="K178" i="14" s="1"/>
  <c r="M178" i="14" s="1"/>
  <c r="G178" i="14"/>
  <c r="C178" i="14"/>
  <c r="L177" i="14"/>
  <c r="K177" i="14" s="1"/>
  <c r="G177" i="14"/>
  <c r="C177" i="14"/>
  <c r="E128" i="15"/>
  <c r="E125" i="15"/>
  <c r="E122" i="15"/>
  <c r="H800" i="16"/>
  <c r="F800" i="16"/>
  <c r="I800" i="16" s="1"/>
  <c r="I801" i="16" s="1"/>
  <c r="E799" i="16"/>
  <c r="H798" i="16"/>
  <c r="H797" i="16"/>
  <c r="I796" i="16"/>
  <c r="H796" i="16"/>
  <c r="H795" i="16"/>
  <c r="H794" i="16"/>
  <c r="H793" i="16"/>
  <c r="H792" i="16"/>
  <c r="H791" i="16"/>
  <c r="H790" i="16"/>
  <c r="H789" i="16"/>
  <c r="H788" i="16"/>
  <c r="H787" i="16"/>
  <c r="H786" i="16"/>
  <c r="H785" i="16"/>
  <c r="H784" i="16"/>
  <c r="H783" i="16"/>
  <c r="H782" i="16"/>
  <c r="H781" i="16"/>
  <c r="H780" i="16"/>
  <c r="H779" i="16"/>
  <c r="H778" i="16"/>
  <c r="H777" i="16"/>
  <c r="H776" i="16"/>
  <c r="H775" i="16"/>
  <c r="H774" i="16"/>
  <c r="H773" i="16"/>
  <c r="E772" i="16"/>
  <c r="H771" i="16"/>
  <c r="H770" i="16"/>
  <c r="H769" i="16"/>
  <c r="H768" i="16"/>
  <c r="H767" i="16"/>
  <c r="H766" i="16"/>
  <c r="H765" i="16"/>
  <c r="H764" i="16"/>
  <c r="H763" i="16"/>
  <c r="H762" i="16"/>
  <c r="H761" i="16"/>
  <c r="H760" i="16"/>
  <c r="H759" i="16"/>
  <c r="H758" i="16"/>
  <c r="H757" i="16"/>
  <c r="H756" i="16"/>
  <c r="H755" i="16"/>
  <c r="H754" i="16"/>
  <c r="H753" i="16"/>
  <c r="H752" i="16"/>
  <c r="H751" i="16"/>
  <c r="H750" i="16"/>
  <c r="H749" i="16"/>
  <c r="H748" i="16"/>
  <c r="H747" i="16"/>
  <c r="H746" i="16"/>
  <c r="H745" i="16"/>
  <c r="H744" i="16"/>
  <c r="H743" i="16"/>
  <c r="E740" i="16"/>
  <c r="H739" i="16"/>
  <c r="H738" i="16"/>
  <c r="H737" i="16"/>
  <c r="H736" i="16"/>
  <c r="E735" i="16"/>
  <c r="H734" i="16"/>
  <c r="H733" i="16"/>
  <c r="H732" i="16"/>
  <c r="H731" i="16"/>
  <c r="H730" i="16"/>
  <c r="H729" i="16"/>
  <c r="E728" i="16"/>
  <c r="H727" i="16"/>
  <c r="H726" i="16"/>
  <c r="H725" i="16"/>
  <c r="H724" i="16"/>
  <c r="H723" i="16"/>
  <c r="H722" i="16"/>
  <c r="H721" i="16"/>
  <c r="H720" i="16"/>
  <c r="H719" i="16"/>
  <c r="H718" i="16"/>
  <c r="H717" i="16"/>
  <c r="H716" i="16"/>
  <c r="H715" i="16"/>
  <c r="H714" i="16"/>
  <c r="H713" i="16"/>
  <c r="E512" i="17"/>
  <c r="H511" i="17"/>
  <c r="H512" i="17" s="1"/>
  <c r="D511" i="17"/>
  <c r="D512" i="17" s="1"/>
  <c r="P510" i="17"/>
  <c r="F510" i="17"/>
  <c r="I510" i="17" s="1"/>
  <c r="P509" i="17"/>
  <c r="F509" i="17"/>
  <c r="I509" i="17" s="1"/>
  <c r="P508" i="17"/>
  <c r="F508" i="17"/>
  <c r="I508" i="17" s="1"/>
  <c r="P507" i="17"/>
  <c r="F507" i="17"/>
  <c r="I507" i="17" s="1"/>
  <c r="P506" i="17"/>
  <c r="F506" i="17"/>
  <c r="I506" i="17" s="1"/>
  <c r="P505" i="17"/>
  <c r="F505" i="17"/>
  <c r="I505" i="17" s="1"/>
  <c r="P504" i="17"/>
  <c r="F504" i="17"/>
  <c r="I504" i="17" s="1"/>
  <c r="F503" i="17"/>
  <c r="I503" i="17" s="1"/>
  <c r="P502" i="17"/>
  <c r="F502" i="17"/>
  <c r="I502" i="17" s="1"/>
  <c r="P501" i="17"/>
  <c r="F501" i="17"/>
  <c r="I501" i="17" s="1"/>
  <c r="P500" i="17"/>
  <c r="F500" i="17"/>
  <c r="I500" i="17" s="1"/>
  <c r="P499" i="17"/>
  <c r="P498" i="17"/>
  <c r="F498" i="17"/>
  <c r="I498" i="17" s="1"/>
  <c r="P497" i="17"/>
  <c r="F497" i="17"/>
  <c r="I497" i="17" s="1"/>
  <c r="P496" i="17"/>
  <c r="F496" i="17"/>
  <c r="I496" i="17" s="1"/>
  <c r="P495" i="17"/>
  <c r="F495" i="17"/>
  <c r="I495" i="17" s="1"/>
  <c r="P494" i="17"/>
  <c r="F494" i="17"/>
  <c r="I494" i="17" s="1"/>
  <c r="F493" i="17"/>
  <c r="I493" i="17" s="1"/>
  <c r="P492" i="17"/>
  <c r="F492" i="17"/>
  <c r="I492" i="17" s="1"/>
  <c r="P491" i="17"/>
  <c r="F491" i="17"/>
  <c r="I491" i="17" s="1"/>
  <c r="P490" i="17"/>
  <c r="F490" i="17"/>
  <c r="I490" i="17" s="1"/>
  <c r="P489" i="17"/>
  <c r="F489" i="17"/>
  <c r="I489" i="17" s="1"/>
  <c r="P488" i="17"/>
  <c r="P487" i="17"/>
  <c r="F487" i="17"/>
  <c r="I487" i="17" s="1"/>
  <c r="P486" i="17"/>
  <c r="F486" i="17"/>
  <c r="I486" i="17" s="1"/>
  <c r="P485" i="17"/>
  <c r="F485" i="17"/>
  <c r="P484" i="17"/>
  <c r="F484" i="17"/>
  <c r="I484" i="17" s="1"/>
  <c r="P483" i="17"/>
  <c r="F483" i="17"/>
  <c r="I483" i="17" s="1"/>
  <c r="F482" i="17"/>
  <c r="I482" i="17" s="1"/>
  <c r="P481" i="17"/>
  <c r="F481" i="17"/>
  <c r="I481" i="17" s="1"/>
  <c r="P480" i="17"/>
  <c r="F480" i="17"/>
  <c r="I480" i="17" s="1"/>
  <c r="P479" i="17"/>
  <c r="F479" i="17"/>
  <c r="I479" i="17" s="1"/>
  <c r="E478" i="17"/>
  <c r="D478" i="17"/>
  <c r="H477" i="17"/>
  <c r="H478" i="17" s="1"/>
  <c r="G477" i="17"/>
  <c r="G478" i="17" s="1"/>
  <c r="P476" i="17"/>
  <c r="F476" i="17"/>
  <c r="I476" i="17" s="1"/>
  <c r="P475" i="17"/>
  <c r="F475" i="17"/>
  <c r="I475" i="17" s="1"/>
  <c r="P474" i="17"/>
  <c r="F474" i="17"/>
  <c r="I474" i="17" s="1"/>
  <c r="P473" i="17"/>
  <c r="F473" i="17"/>
  <c r="I473" i="17" s="1"/>
  <c r="P472" i="17"/>
  <c r="F472" i="17"/>
  <c r="I472" i="17" s="1"/>
  <c r="P471" i="17"/>
  <c r="F471" i="17"/>
  <c r="I471" i="17" s="1"/>
  <c r="P470" i="17"/>
  <c r="I470" i="17"/>
  <c r="F470" i="17"/>
  <c r="E469" i="17"/>
  <c r="H468" i="17"/>
  <c r="G468" i="17"/>
  <c r="D468" i="17"/>
  <c r="P467" i="17"/>
  <c r="F467" i="17"/>
  <c r="I467" i="17" s="1"/>
  <c r="P466" i="17"/>
  <c r="F466" i="17"/>
  <c r="I466" i="17" s="1"/>
  <c r="P465" i="17"/>
  <c r="F465" i="17"/>
  <c r="I465" i="17" s="1"/>
  <c r="P464" i="17"/>
  <c r="F464" i="17"/>
  <c r="I464" i="17" s="1"/>
  <c r="P463" i="17"/>
  <c r="F463" i="17"/>
  <c r="I463" i="17" s="1"/>
  <c r="P462" i="17"/>
  <c r="F462" i="17"/>
  <c r="I462" i="17" s="1"/>
  <c r="P461" i="17"/>
  <c r="F461" i="17"/>
  <c r="I461" i="17" s="1"/>
  <c r="H460" i="17"/>
  <c r="H469" i="17" s="1"/>
  <c r="G460" i="17"/>
  <c r="G469" i="17" s="1"/>
  <c r="D460" i="17"/>
  <c r="P459" i="17"/>
  <c r="F459" i="17"/>
  <c r="I459" i="17" s="1"/>
  <c r="P458" i="17"/>
  <c r="F458" i="17"/>
  <c r="I458" i="17" s="1"/>
  <c r="P457" i="17"/>
  <c r="F457" i="17"/>
  <c r="I457" i="17" s="1"/>
  <c r="P456" i="17"/>
  <c r="F456" i="17"/>
  <c r="I456" i="17" s="1"/>
  <c r="P455" i="17"/>
  <c r="F455" i="17"/>
  <c r="I455" i="17" s="1"/>
  <c r="J921" i="13"/>
  <c r="I921" i="13"/>
  <c r="F921" i="13"/>
  <c r="F920" i="13"/>
  <c r="F919" i="13"/>
  <c r="F917" i="13"/>
  <c r="I917" i="13" s="1"/>
  <c r="F916" i="13"/>
  <c r="F915" i="13"/>
  <c r="I915" i="13" s="1"/>
  <c r="F913" i="13"/>
  <c r="I913" i="13" s="1"/>
  <c r="F912" i="13"/>
  <c r="I912" i="13" s="1"/>
  <c r="F911" i="13"/>
  <c r="I911" i="13" s="1"/>
  <c r="F910" i="13"/>
  <c r="F908" i="13"/>
  <c r="I908" i="13" s="1"/>
  <c r="F907" i="13"/>
  <c r="F909" i="13" s="1"/>
  <c r="F905" i="13"/>
  <c r="I905" i="13" s="1"/>
  <c r="F904" i="13"/>
  <c r="I904" i="13" s="1"/>
  <c r="F903" i="13"/>
  <c r="I903" i="13" s="1"/>
  <c r="F902" i="13"/>
  <c r="F906" i="13" s="1"/>
  <c r="F900" i="13"/>
  <c r="I900" i="13" s="1"/>
  <c r="F899" i="13"/>
  <c r="I899" i="13" s="1"/>
  <c r="F898" i="13"/>
  <c r="F895" i="13"/>
  <c r="I895" i="13" s="1"/>
  <c r="F892" i="13"/>
  <c r="I892" i="13" s="1"/>
  <c r="F891" i="13"/>
  <c r="I891" i="13" s="1"/>
  <c r="F890" i="13"/>
  <c r="I890" i="13" s="1"/>
  <c r="F889" i="13"/>
  <c r="I889" i="13" s="1"/>
  <c r="F888" i="13"/>
  <c r="I888" i="13" s="1"/>
  <c r="F887" i="13"/>
  <c r="F885" i="13"/>
  <c r="I885" i="13" s="1"/>
  <c r="F884" i="13"/>
  <c r="I884" i="13" s="1"/>
  <c r="F883" i="13"/>
  <c r="F880" i="13"/>
  <c r="I880" i="13" s="1"/>
  <c r="F879" i="13"/>
  <c r="I879" i="13" s="1"/>
  <c r="F878" i="13"/>
  <c r="I878" i="13" s="1"/>
  <c r="F877" i="13"/>
  <c r="I877" i="13" s="1"/>
  <c r="F876" i="13"/>
  <c r="I876" i="13" s="1"/>
  <c r="F875" i="13"/>
  <c r="F874" i="13"/>
  <c r="I874" i="13" s="1"/>
  <c r="F872" i="13"/>
  <c r="I872" i="13" s="1"/>
  <c r="F871" i="13"/>
  <c r="I871" i="13" s="1"/>
  <c r="F870" i="13"/>
  <c r="I870" i="13" s="1"/>
  <c r="F869" i="13"/>
  <c r="I869" i="13" s="1"/>
  <c r="F868" i="13"/>
  <c r="I868" i="13" s="1"/>
  <c r="F867" i="13"/>
  <c r="I867" i="13" s="1"/>
  <c r="F866" i="13"/>
  <c r="I866" i="13" s="1"/>
  <c r="F865" i="13"/>
  <c r="I865" i="13" s="1"/>
  <c r="F864" i="13"/>
  <c r="I864" i="13" s="1"/>
  <c r="F863" i="13"/>
  <c r="F859" i="13"/>
  <c r="I859" i="13" s="1"/>
  <c r="F858" i="13"/>
  <c r="I858" i="13" s="1"/>
  <c r="F857" i="13"/>
  <c r="I857" i="13" s="1"/>
  <c r="F856" i="13"/>
  <c r="I856" i="13" s="1"/>
  <c r="F855" i="13"/>
  <c r="I855" i="13" s="1"/>
  <c r="F854" i="13"/>
  <c r="I854" i="13" s="1"/>
  <c r="F853" i="13"/>
  <c r="I853" i="13" s="1"/>
  <c r="F852" i="13"/>
  <c r="I852" i="13" s="1"/>
  <c r="F851" i="13"/>
  <c r="F860" i="13" s="1"/>
  <c r="F849" i="13"/>
  <c r="I849" i="13" s="1"/>
  <c r="F848" i="13"/>
  <c r="I848" i="13" s="1"/>
  <c r="F847" i="13"/>
  <c r="I847" i="13" s="1"/>
  <c r="F846" i="13"/>
  <c r="F850" i="13" s="1"/>
  <c r="F861" i="13" s="1"/>
  <c r="F843" i="13"/>
  <c r="I843" i="13" s="1"/>
  <c r="F842" i="13"/>
  <c r="I842" i="13" s="1"/>
  <c r="F841" i="13"/>
  <c r="F839" i="13"/>
  <c r="I839" i="13" s="1"/>
  <c r="F838" i="13"/>
  <c r="I838" i="13" s="1"/>
  <c r="F837" i="13"/>
  <c r="I837" i="13" s="1"/>
  <c r="F836" i="13"/>
  <c r="I836" i="13" s="1"/>
  <c r="F835" i="13"/>
  <c r="F840" i="13" s="1"/>
  <c r="F833" i="13"/>
  <c r="I833" i="13" s="1"/>
  <c r="F832" i="13"/>
  <c r="I832" i="13" s="1"/>
  <c r="F831" i="13"/>
  <c r="I831" i="13" s="1"/>
  <c r="F830" i="13"/>
  <c r="I830" i="13" s="1"/>
  <c r="F829" i="13"/>
  <c r="I829" i="13" s="1"/>
  <c r="F828" i="13"/>
  <c r="I828" i="13" s="1"/>
  <c r="F827" i="13"/>
  <c r="F825" i="13"/>
  <c r="I825" i="13" s="1"/>
  <c r="F824" i="13"/>
  <c r="I824" i="13" s="1"/>
  <c r="F823" i="13"/>
  <c r="I823" i="13" s="1"/>
  <c r="F822" i="13"/>
  <c r="I822" i="13" s="1"/>
  <c r="F821" i="13"/>
  <c r="I821" i="13" s="1"/>
  <c r="F820" i="13"/>
  <c r="I820" i="13" s="1"/>
  <c r="F819" i="13"/>
  <c r="F817" i="13"/>
  <c r="I817" i="13" s="1"/>
  <c r="F816" i="13"/>
  <c r="I816" i="13" s="1"/>
  <c r="F815" i="13"/>
  <c r="I815" i="13" s="1"/>
  <c r="F814" i="13"/>
  <c r="F917" i="1"/>
  <c r="F918" i="1" s="1"/>
  <c r="I916" i="1"/>
  <c r="H916" i="1"/>
  <c r="E916" i="1"/>
  <c r="G915" i="1"/>
  <c r="J915" i="1" s="1"/>
  <c r="G914" i="1"/>
  <c r="J914" i="1" s="1"/>
  <c r="I913" i="1"/>
  <c r="H913" i="1"/>
  <c r="G912" i="1"/>
  <c r="J912" i="1" s="1"/>
  <c r="E912" i="1"/>
  <c r="G911" i="1"/>
  <c r="J911" i="1" s="1"/>
  <c r="E911" i="1"/>
  <c r="E913" i="1" s="1"/>
  <c r="G910" i="1"/>
  <c r="I909" i="1"/>
  <c r="H909" i="1"/>
  <c r="G908" i="1"/>
  <c r="J908" i="1" s="1"/>
  <c r="G907" i="1"/>
  <c r="J907" i="1" s="1"/>
  <c r="G906" i="1"/>
  <c r="J906" i="1" s="1"/>
  <c r="E906" i="1"/>
  <c r="G905" i="1"/>
  <c r="J905" i="1" s="1"/>
  <c r="G904" i="1"/>
  <c r="E904" i="1"/>
  <c r="I903" i="1"/>
  <c r="H903" i="1"/>
  <c r="E903" i="1"/>
  <c r="G902" i="1"/>
  <c r="J902" i="1" s="1"/>
  <c r="G901" i="1"/>
  <c r="J901" i="1" s="1"/>
  <c r="I900" i="1"/>
  <c r="H900" i="1"/>
  <c r="E900" i="1"/>
  <c r="G899" i="1"/>
  <c r="J899" i="1" s="1"/>
  <c r="J898" i="1"/>
  <c r="G898" i="1"/>
  <c r="G897" i="1"/>
  <c r="J897" i="1" s="1"/>
  <c r="G896" i="1"/>
  <c r="J896" i="1" s="1"/>
  <c r="I895" i="1"/>
  <c r="H895" i="1"/>
  <c r="E895" i="1"/>
  <c r="G894" i="1"/>
  <c r="J894" i="1" s="1"/>
  <c r="J893" i="1"/>
  <c r="G893" i="1"/>
  <c r="G892" i="1"/>
  <c r="J892" i="1" s="1"/>
  <c r="F890" i="1"/>
  <c r="F891" i="1" s="1"/>
  <c r="G889" i="1"/>
  <c r="J889" i="1" s="1"/>
  <c r="I887" i="1"/>
  <c r="H887" i="1"/>
  <c r="E887" i="1"/>
  <c r="J886" i="1"/>
  <c r="G886" i="1"/>
  <c r="J885" i="1"/>
  <c r="G884" i="1"/>
  <c r="J884" i="1" s="1"/>
  <c r="J883" i="1"/>
  <c r="J882" i="1"/>
  <c r="G882" i="1"/>
  <c r="G881" i="1"/>
  <c r="I880" i="1"/>
  <c r="I888" i="1" s="1"/>
  <c r="H880" i="1"/>
  <c r="H888" i="1" s="1"/>
  <c r="E880" i="1"/>
  <c r="G879" i="1"/>
  <c r="J879" i="1" s="1"/>
  <c r="G878" i="1"/>
  <c r="J878" i="1" s="1"/>
  <c r="G877" i="1"/>
  <c r="I875" i="1"/>
  <c r="H875" i="1"/>
  <c r="E875" i="1"/>
  <c r="E876" i="1" s="1"/>
  <c r="G874" i="1"/>
  <c r="J874" i="1" s="1"/>
  <c r="J873" i="1"/>
  <c r="G872" i="1"/>
  <c r="J872" i="1" s="1"/>
  <c r="G871" i="1"/>
  <c r="J871" i="1" s="1"/>
  <c r="G870" i="1"/>
  <c r="J870" i="1" s="1"/>
  <c r="G869" i="1"/>
  <c r="J869" i="1" s="1"/>
  <c r="G868" i="1"/>
  <c r="J868" i="1" s="1"/>
  <c r="I867" i="1"/>
  <c r="H867" i="1"/>
  <c r="H876" i="1" s="1"/>
  <c r="E867" i="1"/>
  <c r="G866" i="1"/>
  <c r="J866" i="1" s="1"/>
  <c r="G865" i="1"/>
  <c r="J865" i="1" s="1"/>
  <c r="G864" i="1"/>
  <c r="J864" i="1" s="1"/>
  <c r="G863" i="1"/>
  <c r="J863" i="1" s="1"/>
  <c r="G862" i="1"/>
  <c r="J862" i="1" s="1"/>
  <c r="G861" i="1"/>
  <c r="J861" i="1" s="1"/>
  <c r="G860" i="1"/>
  <c r="J860" i="1" s="1"/>
  <c r="G859" i="1"/>
  <c r="J859" i="1" s="1"/>
  <c r="G858" i="1"/>
  <c r="J858" i="1" s="1"/>
  <c r="G857" i="1"/>
  <c r="J857" i="1" s="1"/>
  <c r="F855" i="1"/>
  <c r="I854" i="1"/>
  <c r="M854" i="1" s="1"/>
  <c r="H854" i="1"/>
  <c r="L854" i="1" s="1"/>
  <c r="E854" i="1"/>
  <c r="G853" i="1"/>
  <c r="J853" i="1" s="1"/>
  <c r="G852" i="1"/>
  <c r="J852" i="1" s="1"/>
  <c r="G851" i="1"/>
  <c r="J851" i="1" s="1"/>
  <c r="G850" i="1"/>
  <c r="J850" i="1" s="1"/>
  <c r="G849" i="1"/>
  <c r="J849" i="1" s="1"/>
  <c r="G848" i="1"/>
  <c r="J848" i="1" s="1"/>
  <c r="G847" i="1"/>
  <c r="J847" i="1" s="1"/>
  <c r="G846" i="1"/>
  <c r="J846" i="1" s="1"/>
  <c r="G845" i="1"/>
  <c r="J845" i="1" s="1"/>
  <c r="I844" i="1"/>
  <c r="H844" i="1"/>
  <c r="H855" i="1" s="1"/>
  <c r="E844" i="1"/>
  <c r="E855" i="1" s="1"/>
  <c r="C121" i="15" s="1"/>
  <c r="G843" i="1"/>
  <c r="J843" i="1" s="1"/>
  <c r="G842" i="1"/>
  <c r="J842" i="1" s="1"/>
  <c r="G841" i="1"/>
  <c r="J841" i="1" s="1"/>
  <c r="G840" i="1"/>
  <c r="I838" i="1"/>
  <c r="H838" i="1"/>
  <c r="E838" i="1"/>
  <c r="G837" i="1"/>
  <c r="J837" i="1" s="1"/>
  <c r="G836" i="1"/>
  <c r="J836" i="1" s="1"/>
  <c r="G835" i="1"/>
  <c r="J835" i="1" s="1"/>
  <c r="I834" i="1"/>
  <c r="H834" i="1"/>
  <c r="F834" i="1"/>
  <c r="F839" i="1" s="1"/>
  <c r="F856" i="1" s="1"/>
  <c r="F919" i="1" s="1"/>
  <c r="E834" i="1"/>
  <c r="J833" i="1"/>
  <c r="J832" i="1"/>
  <c r="J831" i="1"/>
  <c r="J830" i="1"/>
  <c r="G830" i="1"/>
  <c r="G829" i="1"/>
  <c r="G834" i="1" s="1"/>
  <c r="I828" i="1"/>
  <c r="H828" i="1"/>
  <c r="E828" i="1"/>
  <c r="G827" i="1"/>
  <c r="J827" i="1" s="1"/>
  <c r="G826" i="1"/>
  <c r="J826" i="1" s="1"/>
  <c r="G825" i="1"/>
  <c r="J825" i="1" s="1"/>
  <c r="G824" i="1"/>
  <c r="J824" i="1" s="1"/>
  <c r="G823" i="1"/>
  <c r="J823" i="1" s="1"/>
  <c r="G822" i="1"/>
  <c r="J822" i="1" s="1"/>
  <c r="G821" i="1"/>
  <c r="G828" i="1" s="1"/>
  <c r="J828" i="1" s="1"/>
  <c r="I820" i="1"/>
  <c r="H820" i="1"/>
  <c r="E820" i="1"/>
  <c r="G819" i="1"/>
  <c r="J819" i="1" s="1"/>
  <c r="G818" i="1"/>
  <c r="J818" i="1" s="1"/>
  <c r="G817" i="1"/>
  <c r="J817" i="1" s="1"/>
  <c r="G816" i="1"/>
  <c r="J816" i="1" s="1"/>
  <c r="G815" i="1"/>
  <c r="J815" i="1" s="1"/>
  <c r="G814" i="1"/>
  <c r="J814" i="1" s="1"/>
  <c r="G813" i="1"/>
  <c r="J813" i="1" s="1"/>
  <c r="I812" i="1"/>
  <c r="H812" i="1"/>
  <c r="E812" i="1"/>
  <c r="G811" i="1"/>
  <c r="J811" i="1" s="1"/>
  <c r="G810" i="1"/>
  <c r="J810" i="1" s="1"/>
  <c r="G809" i="1"/>
  <c r="J809" i="1" s="1"/>
  <c r="G808" i="1"/>
  <c r="G880" i="1" l="1"/>
  <c r="K2118" i="1"/>
  <c r="L2235" i="1"/>
  <c r="G2124" i="13"/>
  <c r="J2124" i="13" s="1"/>
  <c r="L1649" i="1"/>
  <c r="G1538" i="13"/>
  <c r="J1538" i="13" s="1"/>
  <c r="K1532" i="1"/>
  <c r="E909" i="1"/>
  <c r="F886" i="13"/>
  <c r="F914" i="13"/>
  <c r="G511" i="17"/>
  <c r="G512" i="17" s="1"/>
  <c r="M2000" i="1"/>
  <c r="N1415" i="1"/>
  <c r="O1415" i="1"/>
  <c r="G812" i="1"/>
  <c r="E888" i="1"/>
  <c r="E513" i="17"/>
  <c r="N2001" i="1"/>
  <c r="O2001" i="1"/>
  <c r="E839" i="1"/>
  <c r="H772" i="16"/>
  <c r="H728" i="16"/>
  <c r="H740" i="16"/>
  <c r="H735" i="16"/>
  <c r="H742" i="16" s="1"/>
  <c r="H799" i="16"/>
  <c r="D469" i="17"/>
  <c r="P482" i="17"/>
  <c r="P511" i="17" s="1"/>
  <c r="P512" i="17" s="1"/>
  <c r="P468" i="17"/>
  <c r="F477" i="17"/>
  <c r="F478" i="17" s="1"/>
  <c r="I478" i="17" s="1"/>
  <c r="P477" i="17"/>
  <c r="P478" i="17" s="1"/>
  <c r="N187" i="14"/>
  <c r="T161" i="14"/>
  <c r="G190" i="14"/>
  <c r="N188" i="14"/>
  <c r="Q188" i="14" s="1"/>
  <c r="M177" i="14"/>
  <c r="O177" i="14"/>
  <c r="N177" i="14" s="1"/>
  <c r="P177" i="14" s="1"/>
  <c r="L190" i="14"/>
  <c r="K190" i="14" s="1"/>
  <c r="O190" i="14" s="1"/>
  <c r="J834" i="1"/>
  <c r="S160" i="14"/>
  <c r="T160" i="14" s="1"/>
  <c r="F834" i="13"/>
  <c r="F844" i="13"/>
  <c r="F873" i="13"/>
  <c r="F893" i="13"/>
  <c r="F894" i="13" s="1"/>
  <c r="F901" i="13"/>
  <c r="J821" i="1"/>
  <c r="J877" i="1"/>
  <c r="F818" i="13"/>
  <c r="F918" i="13"/>
  <c r="J972" i="1"/>
  <c r="G1007" i="1"/>
  <c r="J1006" i="1"/>
  <c r="I876" i="1"/>
  <c r="I890" i="1" s="1"/>
  <c r="I891" i="1" s="1"/>
  <c r="F881" i="13"/>
  <c r="E742" i="16"/>
  <c r="F826" i="13"/>
  <c r="N189" i="14"/>
  <c r="Q189" i="14" s="1"/>
  <c r="N190" i="14"/>
  <c r="P190" i="14" s="1"/>
  <c r="N191" i="14"/>
  <c r="P191" i="14" s="1"/>
  <c r="N192" i="14"/>
  <c r="P192" i="14" s="1"/>
  <c r="M181" i="14"/>
  <c r="O181" i="14"/>
  <c r="N181" i="14" s="1"/>
  <c r="P181" i="14" s="1"/>
  <c r="M179" i="14"/>
  <c r="O179" i="14"/>
  <c r="N179" i="14" s="1"/>
  <c r="P179" i="14" s="1"/>
  <c r="M183" i="14"/>
  <c r="O183" i="14"/>
  <c r="N183" i="14" s="1"/>
  <c r="P183" i="14" s="1"/>
  <c r="O178" i="14"/>
  <c r="N178" i="14" s="1"/>
  <c r="P178" i="14" s="1"/>
  <c r="O180" i="14"/>
  <c r="N180" i="14" s="1"/>
  <c r="P180" i="14" s="1"/>
  <c r="O182" i="14"/>
  <c r="N182" i="14" s="1"/>
  <c r="R182" i="14" s="1"/>
  <c r="N186" i="14"/>
  <c r="R186" i="14" s="1"/>
  <c r="R187" i="14"/>
  <c r="P187" i="14"/>
  <c r="Q187" i="14"/>
  <c r="R177" i="14"/>
  <c r="R179" i="14"/>
  <c r="O184" i="14"/>
  <c r="N184" i="14" s="1"/>
  <c r="M184" i="14"/>
  <c r="M186" i="14"/>
  <c r="M187" i="14"/>
  <c r="M188" i="14"/>
  <c r="Q192" i="14"/>
  <c r="L185" i="14"/>
  <c r="K185" i="14" s="1"/>
  <c r="C185" i="14"/>
  <c r="M189" i="14"/>
  <c r="M190" i="14"/>
  <c r="M191" i="14"/>
  <c r="M192" i="14"/>
  <c r="E802" i="16"/>
  <c r="F460" i="17"/>
  <c r="G513" i="17"/>
  <c r="P460" i="17"/>
  <c r="P469" i="17" s="1"/>
  <c r="F468" i="17"/>
  <c r="I468" i="17" s="1"/>
  <c r="D513" i="17"/>
  <c r="F511" i="17"/>
  <c r="H513" i="17"/>
  <c r="I875" i="13"/>
  <c r="I881" i="13" s="1"/>
  <c r="I883" i="13"/>
  <c r="I886" i="13" s="1"/>
  <c r="I898" i="13"/>
  <c r="I901" i="13" s="1"/>
  <c r="I916" i="13"/>
  <c r="I918" i="13" s="1"/>
  <c r="I814" i="13"/>
  <c r="I818" i="13" s="1"/>
  <c r="I819" i="13"/>
  <c r="I826" i="13" s="1"/>
  <c r="I827" i="13"/>
  <c r="I834" i="13" s="1"/>
  <c r="I835" i="13"/>
  <c r="I840" i="13" s="1"/>
  <c r="I841" i="13"/>
  <c r="I844" i="13" s="1"/>
  <c r="I846" i="13"/>
  <c r="I850" i="13" s="1"/>
  <c r="I851" i="13"/>
  <c r="I860" i="13" s="1"/>
  <c r="I863" i="13"/>
  <c r="I873" i="13" s="1"/>
  <c r="I887" i="13"/>
  <c r="I893" i="13" s="1"/>
  <c r="I902" i="13"/>
  <c r="I906" i="13" s="1"/>
  <c r="I907" i="13"/>
  <c r="I909" i="13" s="1"/>
  <c r="I910" i="13"/>
  <c r="I914" i="13" s="1"/>
  <c r="H917" i="1"/>
  <c r="H918" i="1" s="1"/>
  <c r="H839" i="1"/>
  <c r="H856" i="1" s="1"/>
  <c r="J812" i="1"/>
  <c r="G820" i="1"/>
  <c r="J820" i="1" s="1"/>
  <c r="G838" i="1"/>
  <c r="J838" i="1" s="1"/>
  <c r="G854" i="1"/>
  <c r="G867" i="1"/>
  <c r="E890" i="1"/>
  <c r="J880" i="1"/>
  <c r="G909" i="1"/>
  <c r="J909" i="1" s="1"/>
  <c r="J904" i="1"/>
  <c r="G916" i="1"/>
  <c r="J916" i="1" s="1"/>
  <c r="I839" i="1"/>
  <c r="J829" i="1"/>
  <c r="G844" i="1"/>
  <c r="J840" i="1"/>
  <c r="I855" i="1"/>
  <c r="H890" i="1"/>
  <c r="H891" i="1" s="1"/>
  <c r="G875" i="1"/>
  <c r="J875" i="1" s="1"/>
  <c r="G887" i="1"/>
  <c r="J887" i="1" s="1"/>
  <c r="J881" i="1"/>
  <c r="E917" i="1"/>
  <c r="E918" i="1" s="1"/>
  <c r="C127" i="15" s="1"/>
  <c r="C129" i="15" s="1"/>
  <c r="G900" i="1"/>
  <c r="J900" i="1" s="1"/>
  <c r="J910" i="1"/>
  <c r="G913" i="1"/>
  <c r="J913" i="1" s="1"/>
  <c r="G895" i="1"/>
  <c r="I917" i="1"/>
  <c r="I918" i="1" s="1"/>
  <c r="G903" i="1"/>
  <c r="J903" i="1" s="1"/>
  <c r="M602" i="1"/>
  <c r="L602" i="1"/>
  <c r="M717" i="1"/>
  <c r="M832" i="1" s="1"/>
  <c r="M947" i="1" s="1"/>
  <c r="M1063" i="1" s="1"/>
  <c r="M1180" i="1" s="1"/>
  <c r="L717" i="1"/>
  <c r="K717" i="1"/>
  <c r="O717" i="1" s="1"/>
  <c r="J716" i="1"/>
  <c r="J717" i="1"/>
  <c r="F722" i="13"/>
  <c r="I722" i="13" s="1"/>
  <c r="F723" i="13"/>
  <c r="I723" i="13" s="1"/>
  <c r="G608" i="13"/>
  <c r="J608" i="13" s="1"/>
  <c r="F607" i="13"/>
  <c r="I607" i="13" s="1"/>
  <c r="F608" i="13"/>
  <c r="I608" i="13" s="1"/>
  <c r="K602" i="1"/>
  <c r="I856" i="1" l="1"/>
  <c r="E891" i="1"/>
  <c r="C124" i="15"/>
  <c r="C126" i="15" s="1"/>
  <c r="N1532" i="1"/>
  <c r="O1532" i="1"/>
  <c r="G2241" i="13"/>
  <c r="J2241" i="13" s="1"/>
  <c r="K2235" i="1"/>
  <c r="M1297" i="1"/>
  <c r="E856" i="1"/>
  <c r="C120" i="15"/>
  <c r="C123" i="15" s="1"/>
  <c r="C130" i="15" s="1"/>
  <c r="N2118" i="1"/>
  <c r="O2118" i="1"/>
  <c r="R181" i="14"/>
  <c r="M2117" i="1"/>
  <c r="L1766" i="1"/>
  <c r="K1649" i="1"/>
  <c r="G1655" i="13"/>
  <c r="J1655" i="13" s="1"/>
  <c r="P513" i="17"/>
  <c r="I477" i="17"/>
  <c r="P188" i="14"/>
  <c r="R188" i="14"/>
  <c r="S188" i="14" s="1"/>
  <c r="T188" i="14" s="1"/>
  <c r="P189" i="14"/>
  <c r="R178" i="14"/>
  <c r="Q177" i="14"/>
  <c r="S177" i="14" s="1"/>
  <c r="T177" i="14" s="1"/>
  <c r="R189" i="14"/>
  <c r="S189" i="14" s="1"/>
  <c r="P182" i="14"/>
  <c r="Q182" i="14"/>
  <c r="S182" i="14" s="1"/>
  <c r="Q191" i="14"/>
  <c r="S187" i="14"/>
  <c r="T187" i="14" s="1"/>
  <c r="R191" i="14"/>
  <c r="F922" i="13"/>
  <c r="F923" i="13" s="1"/>
  <c r="F882" i="13"/>
  <c r="F896" i="13" s="1"/>
  <c r="F897" i="13" s="1"/>
  <c r="F924" i="13" s="1"/>
  <c r="G1035" i="1"/>
  <c r="J1035" i="1" s="1"/>
  <c r="J1007" i="1"/>
  <c r="F845" i="13"/>
  <c r="F862" i="13" s="1"/>
  <c r="G723" i="13"/>
  <c r="J723" i="13" s="1"/>
  <c r="L832" i="1"/>
  <c r="G888" i="1"/>
  <c r="J888" i="1" s="1"/>
  <c r="I861" i="13"/>
  <c r="Q178" i="14"/>
  <c r="S178" i="14" s="1"/>
  <c r="T178" i="14" s="1"/>
  <c r="R190" i="14"/>
  <c r="Q180" i="14"/>
  <c r="R192" i="14"/>
  <c r="S192" i="14" s="1"/>
  <c r="T192" i="14" s="1"/>
  <c r="Q190" i="14"/>
  <c r="R183" i="14"/>
  <c r="R180" i="14"/>
  <c r="P186" i="14"/>
  <c r="Q183" i="14"/>
  <c r="Q181" i="14"/>
  <c r="S181" i="14" s="1"/>
  <c r="T181" i="14" s="1"/>
  <c r="Q179" i="14"/>
  <c r="S179" i="14" s="1"/>
  <c r="T179" i="14" s="1"/>
  <c r="Q186" i="14"/>
  <c r="S186" i="14" s="1"/>
  <c r="O185" i="14"/>
  <c r="N185" i="14" s="1"/>
  <c r="M185" i="14"/>
  <c r="Q184" i="14"/>
  <c r="R184" i="14"/>
  <c r="P184" i="14"/>
  <c r="I460" i="17"/>
  <c r="F469" i="17"/>
  <c r="I469" i="17" s="1"/>
  <c r="F512" i="17"/>
  <c r="I511" i="17"/>
  <c r="I882" i="13"/>
  <c r="I894" i="13"/>
  <c r="I845" i="13"/>
  <c r="I922" i="13"/>
  <c r="I923" i="13" s="1"/>
  <c r="I919" i="1"/>
  <c r="H919" i="1"/>
  <c r="G917" i="1"/>
  <c r="J895" i="1"/>
  <c r="G855" i="1"/>
  <c r="J844" i="1"/>
  <c r="J867" i="1"/>
  <c r="G876" i="1"/>
  <c r="G839" i="1"/>
  <c r="N602" i="1"/>
  <c r="O602" i="1"/>
  <c r="N717" i="1"/>
  <c r="D208" i="14"/>
  <c r="M2234" i="1" l="1"/>
  <c r="M1414" i="1"/>
  <c r="N2235" i="1"/>
  <c r="O2235" i="1"/>
  <c r="N1649" i="1"/>
  <c r="O1649" i="1"/>
  <c r="E919" i="1"/>
  <c r="K1766" i="1"/>
  <c r="L1883" i="1"/>
  <c r="G1772" i="13"/>
  <c r="J1772" i="13" s="1"/>
  <c r="T182" i="14"/>
  <c r="T189" i="14"/>
  <c r="T186" i="14"/>
  <c r="S183" i="14"/>
  <c r="T183" i="14" s="1"/>
  <c r="S191" i="14"/>
  <c r="T191" i="14" s="1"/>
  <c r="I862" i="13"/>
  <c r="I896" i="13"/>
  <c r="I897" i="13" s="1"/>
  <c r="L947" i="1"/>
  <c r="L1063" i="1" s="1"/>
  <c r="L1180" i="1" s="1"/>
  <c r="G838" i="13"/>
  <c r="J838" i="13" s="1"/>
  <c r="K832" i="1"/>
  <c r="S184" i="14"/>
  <c r="T184" i="14" s="1"/>
  <c r="S190" i="14"/>
  <c r="T190" i="14" s="1"/>
  <c r="I924" i="13"/>
  <c r="S180" i="14"/>
  <c r="T180" i="14" s="1"/>
  <c r="R185" i="14"/>
  <c r="P185" i="14"/>
  <c r="Q185" i="14"/>
  <c r="F513" i="17"/>
  <c r="I512" i="17"/>
  <c r="G856" i="1"/>
  <c r="J839" i="1"/>
  <c r="J854" i="1"/>
  <c r="J855" i="1"/>
  <c r="G890" i="1"/>
  <c r="J876" i="1"/>
  <c r="G918" i="1"/>
  <c r="J917" i="1"/>
  <c r="J918" i="1" s="1"/>
  <c r="D209" i="14"/>
  <c r="K1180" i="1" l="1"/>
  <c r="L1297" i="1"/>
  <c r="G1186" i="13"/>
  <c r="J1186" i="13" s="1"/>
  <c r="L2000" i="1"/>
  <c r="G1889" i="13"/>
  <c r="J1889" i="13" s="1"/>
  <c r="K1883" i="1"/>
  <c r="M1531" i="1"/>
  <c r="N1766" i="1"/>
  <c r="O1766" i="1"/>
  <c r="S185" i="14"/>
  <c r="G1069" i="13"/>
  <c r="J1069" i="13" s="1"/>
  <c r="K1063" i="1"/>
  <c r="N832" i="1"/>
  <c r="O832" i="1"/>
  <c r="G953" i="13"/>
  <c r="J953" i="13" s="1"/>
  <c r="K947" i="1"/>
  <c r="T185" i="14"/>
  <c r="I513" i="17"/>
  <c r="G891" i="1"/>
  <c r="J890" i="1"/>
  <c r="J891" i="1" s="1"/>
  <c r="G919" i="1"/>
  <c r="J919" i="1" s="1"/>
  <c r="J856" i="1"/>
  <c r="L216" i="14"/>
  <c r="K216" i="14" s="1"/>
  <c r="O216" i="14" s="1"/>
  <c r="G216" i="14"/>
  <c r="C216" i="14"/>
  <c r="L215" i="14"/>
  <c r="K215" i="14" s="1"/>
  <c r="O215" i="14" s="1"/>
  <c r="G215" i="14"/>
  <c r="C215" i="14"/>
  <c r="L214" i="14"/>
  <c r="K214" i="14" s="1"/>
  <c r="O214" i="14" s="1"/>
  <c r="G214" i="14"/>
  <c r="C214" i="14"/>
  <c r="L213" i="14"/>
  <c r="K213" i="14" s="1"/>
  <c r="G213" i="14"/>
  <c r="C213" i="14"/>
  <c r="L212" i="14"/>
  <c r="K212" i="14" s="1"/>
  <c r="M212" i="14" s="1"/>
  <c r="G212" i="14"/>
  <c r="C212" i="14"/>
  <c r="L211" i="14"/>
  <c r="K211" i="14" s="1"/>
  <c r="G211" i="14"/>
  <c r="C211" i="14"/>
  <c r="L210" i="14"/>
  <c r="K210" i="14" s="1"/>
  <c r="M210" i="14" s="1"/>
  <c r="G210" i="14"/>
  <c r="C210" i="14"/>
  <c r="G209" i="14"/>
  <c r="L208" i="14"/>
  <c r="K208" i="14" s="1"/>
  <c r="G208" i="14"/>
  <c r="C208" i="14"/>
  <c r="L207" i="14"/>
  <c r="K207" i="14" s="1"/>
  <c r="O207" i="14" s="1"/>
  <c r="G207" i="14"/>
  <c r="C207" i="14"/>
  <c r="L206" i="14"/>
  <c r="K206" i="14" s="1"/>
  <c r="O206" i="14" s="1"/>
  <c r="G206" i="14"/>
  <c r="C206" i="14"/>
  <c r="L205" i="14"/>
  <c r="K205" i="14" s="1"/>
  <c r="O205" i="14" s="1"/>
  <c r="G205" i="14"/>
  <c r="C205" i="14"/>
  <c r="G204" i="14"/>
  <c r="L203" i="14"/>
  <c r="K203" i="14" s="1"/>
  <c r="G203" i="14"/>
  <c r="C203" i="14"/>
  <c r="L202" i="14"/>
  <c r="K202" i="14" s="1"/>
  <c r="G202" i="14"/>
  <c r="C202" i="14"/>
  <c r="L201" i="14"/>
  <c r="K201" i="14" s="1"/>
  <c r="G201" i="14"/>
  <c r="C201" i="14"/>
  <c r="E113" i="15"/>
  <c r="E110" i="15"/>
  <c r="E107" i="15"/>
  <c r="H706" i="16"/>
  <c r="F706" i="16"/>
  <c r="I706" i="16" s="1"/>
  <c r="I707" i="16" s="1"/>
  <c r="E705" i="16"/>
  <c r="H704" i="16"/>
  <c r="H703" i="16"/>
  <c r="I702" i="16"/>
  <c r="H702" i="16"/>
  <c r="H701" i="16"/>
  <c r="H700" i="16"/>
  <c r="H699" i="16"/>
  <c r="H698" i="16"/>
  <c r="H697" i="16"/>
  <c r="H696" i="16"/>
  <c r="H695" i="16"/>
  <c r="H694" i="16"/>
  <c r="H693" i="16"/>
  <c r="H692" i="16"/>
  <c r="H691" i="16"/>
  <c r="H690" i="16"/>
  <c r="H689" i="16"/>
  <c r="H688" i="16"/>
  <c r="H687" i="16"/>
  <c r="H686" i="16"/>
  <c r="H685" i="16"/>
  <c r="H684" i="16"/>
  <c r="H683" i="16"/>
  <c r="H682" i="16"/>
  <c r="H681" i="16"/>
  <c r="H680" i="16"/>
  <c r="H679" i="16"/>
  <c r="E678" i="16"/>
  <c r="H677" i="16"/>
  <c r="H676" i="16"/>
  <c r="H675" i="16"/>
  <c r="H674" i="16"/>
  <c r="H673" i="16"/>
  <c r="H672" i="16"/>
  <c r="H671" i="16"/>
  <c r="H670" i="16"/>
  <c r="H669" i="16"/>
  <c r="H668" i="16"/>
  <c r="H667" i="16"/>
  <c r="H666" i="16"/>
  <c r="H665" i="16"/>
  <c r="H664" i="16"/>
  <c r="H663" i="16"/>
  <c r="H662" i="16"/>
  <c r="H661" i="16"/>
  <c r="H660" i="16"/>
  <c r="H659" i="16"/>
  <c r="H658" i="16"/>
  <c r="H657" i="16"/>
  <c r="H656" i="16"/>
  <c r="H655" i="16"/>
  <c r="H654" i="16"/>
  <c r="H653" i="16"/>
  <c r="H652" i="16"/>
  <c r="H651" i="16"/>
  <c r="H650" i="16"/>
  <c r="H649" i="16"/>
  <c r="E646" i="16"/>
  <c r="H645" i="16"/>
  <c r="H644" i="16"/>
  <c r="H643" i="16"/>
  <c r="H642" i="16"/>
  <c r="E641" i="16"/>
  <c r="H640" i="16"/>
  <c r="H639" i="16"/>
  <c r="H638" i="16"/>
  <c r="H637" i="16"/>
  <c r="H636" i="16"/>
  <c r="H635" i="16"/>
  <c r="E634" i="16"/>
  <c r="H633" i="16"/>
  <c r="H632" i="16"/>
  <c r="H631" i="16"/>
  <c r="H630" i="16"/>
  <c r="H629" i="16"/>
  <c r="H628" i="16"/>
  <c r="H627" i="16"/>
  <c r="H626" i="16"/>
  <c r="H625" i="16"/>
  <c r="H624" i="16"/>
  <c r="H623" i="16"/>
  <c r="H622" i="16"/>
  <c r="H621" i="16"/>
  <c r="H620" i="16"/>
  <c r="H619" i="16"/>
  <c r="E449" i="17"/>
  <c r="H448" i="17"/>
  <c r="H449" i="17" s="1"/>
  <c r="G448" i="17"/>
  <c r="G449" i="17" s="1"/>
  <c r="D448" i="17"/>
  <c r="D449" i="17" s="1"/>
  <c r="P447" i="17"/>
  <c r="F447" i="17"/>
  <c r="I447" i="17" s="1"/>
  <c r="P446" i="17"/>
  <c r="F446" i="17"/>
  <c r="I446" i="17" s="1"/>
  <c r="P445" i="17"/>
  <c r="F445" i="17"/>
  <c r="I445" i="17" s="1"/>
  <c r="P444" i="17"/>
  <c r="F444" i="17"/>
  <c r="I444" i="17" s="1"/>
  <c r="P443" i="17"/>
  <c r="I443" i="17"/>
  <c r="F443" i="17"/>
  <c r="P442" i="17"/>
  <c r="F442" i="17"/>
  <c r="I442" i="17" s="1"/>
  <c r="P441" i="17"/>
  <c r="F441" i="17"/>
  <c r="I441" i="17" s="1"/>
  <c r="P440" i="17"/>
  <c r="F440" i="17"/>
  <c r="I440" i="17" s="1"/>
  <c r="P439" i="17"/>
  <c r="F439" i="17"/>
  <c r="I439" i="17" s="1"/>
  <c r="P438" i="17"/>
  <c r="F438" i="17"/>
  <c r="I438" i="17" s="1"/>
  <c r="P437" i="17"/>
  <c r="F437" i="17"/>
  <c r="I437" i="17" s="1"/>
  <c r="P436" i="17"/>
  <c r="F436" i="17"/>
  <c r="I436" i="17" s="1"/>
  <c r="P435" i="17"/>
  <c r="F435" i="17"/>
  <c r="I435" i="17" s="1"/>
  <c r="P434" i="17"/>
  <c r="F434" i="17"/>
  <c r="I434" i="17" s="1"/>
  <c r="P433" i="17"/>
  <c r="F433" i="17"/>
  <c r="I433" i="17" s="1"/>
  <c r="P432" i="17"/>
  <c r="F432" i="17"/>
  <c r="I432" i="17" s="1"/>
  <c r="P431" i="17"/>
  <c r="F431" i="17"/>
  <c r="I431" i="17" s="1"/>
  <c r="P430" i="17"/>
  <c r="F430" i="17"/>
  <c r="I430" i="17" s="1"/>
  <c r="P429" i="17"/>
  <c r="F429" i="17"/>
  <c r="I429" i="17" s="1"/>
  <c r="P428" i="17"/>
  <c r="F428" i="17"/>
  <c r="I428" i="17" s="1"/>
  <c r="P427" i="17"/>
  <c r="F427" i="17"/>
  <c r="I427" i="17" s="1"/>
  <c r="P426" i="17"/>
  <c r="F426" i="17"/>
  <c r="I426" i="17" s="1"/>
  <c r="P425" i="17"/>
  <c r="F425" i="17"/>
  <c r="I425" i="17" s="1"/>
  <c r="P424" i="17"/>
  <c r="F424" i="17"/>
  <c r="I424" i="17" s="1"/>
  <c r="P423" i="17"/>
  <c r="F423" i="17"/>
  <c r="I423" i="17" s="1"/>
  <c r="P422" i="17"/>
  <c r="F422" i="17"/>
  <c r="P421" i="17"/>
  <c r="F421" i="17"/>
  <c r="I421" i="17" s="1"/>
  <c r="P420" i="17"/>
  <c r="F420" i="17"/>
  <c r="I420" i="17" s="1"/>
  <c r="P419" i="17"/>
  <c r="F419" i="17"/>
  <c r="I419" i="17" s="1"/>
  <c r="P418" i="17"/>
  <c r="F418" i="17"/>
  <c r="I418" i="17" s="1"/>
  <c r="P417" i="17"/>
  <c r="F417" i="17"/>
  <c r="I417" i="17" s="1"/>
  <c r="P416" i="17"/>
  <c r="I416" i="17"/>
  <c r="F416" i="17"/>
  <c r="E415" i="17"/>
  <c r="D415" i="17"/>
  <c r="H414" i="17"/>
  <c r="H415" i="17" s="1"/>
  <c r="G414" i="17"/>
  <c r="G415" i="17" s="1"/>
  <c r="P413" i="17"/>
  <c r="F413" i="17"/>
  <c r="I413" i="17" s="1"/>
  <c r="P412" i="17"/>
  <c r="F412" i="17"/>
  <c r="I412" i="17" s="1"/>
  <c r="P411" i="17"/>
  <c r="F411" i="17"/>
  <c r="I411" i="17" s="1"/>
  <c r="P410" i="17"/>
  <c r="F410" i="17"/>
  <c r="I410" i="17" s="1"/>
  <c r="P409" i="17"/>
  <c r="F409" i="17"/>
  <c r="I409" i="17" s="1"/>
  <c r="P408" i="17"/>
  <c r="F408" i="17"/>
  <c r="I408" i="17" s="1"/>
  <c r="P407" i="17"/>
  <c r="F407" i="17"/>
  <c r="I407" i="17" s="1"/>
  <c r="E406" i="17"/>
  <c r="H405" i="17"/>
  <c r="G405" i="17"/>
  <c r="D405" i="17"/>
  <c r="P404" i="17"/>
  <c r="F404" i="17"/>
  <c r="I404" i="17" s="1"/>
  <c r="P403" i="17"/>
  <c r="F403" i="17"/>
  <c r="I403" i="17" s="1"/>
  <c r="P402" i="17"/>
  <c r="F402" i="17"/>
  <c r="I402" i="17" s="1"/>
  <c r="P401" i="17"/>
  <c r="F401" i="17"/>
  <c r="I401" i="17" s="1"/>
  <c r="P400" i="17"/>
  <c r="F400" i="17"/>
  <c r="I400" i="17" s="1"/>
  <c r="P399" i="17"/>
  <c r="F399" i="17"/>
  <c r="I399" i="17" s="1"/>
  <c r="P398" i="17"/>
  <c r="F398" i="17"/>
  <c r="I398" i="17" s="1"/>
  <c r="H397" i="17"/>
  <c r="G397" i="17"/>
  <c r="G406" i="17" s="1"/>
  <c r="D397" i="17"/>
  <c r="P396" i="17"/>
  <c r="F396" i="17"/>
  <c r="I396" i="17" s="1"/>
  <c r="P395" i="17"/>
  <c r="F395" i="17"/>
  <c r="I395" i="17" s="1"/>
  <c r="P394" i="17"/>
  <c r="F394" i="17"/>
  <c r="I394" i="17" s="1"/>
  <c r="P393" i="17"/>
  <c r="F393" i="17"/>
  <c r="I393" i="17" s="1"/>
  <c r="P392" i="17"/>
  <c r="F392" i="17"/>
  <c r="I392" i="17" s="1"/>
  <c r="J806" i="13"/>
  <c r="I806" i="13"/>
  <c r="F806" i="13"/>
  <c r="F805" i="13"/>
  <c r="F804" i="13"/>
  <c r="F802" i="13"/>
  <c r="I802" i="13" s="1"/>
  <c r="F801" i="13"/>
  <c r="F800" i="13"/>
  <c r="I800" i="13" s="1"/>
  <c r="F798" i="13"/>
  <c r="I798" i="13" s="1"/>
  <c r="F797" i="13"/>
  <c r="I797" i="13" s="1"/>
  <c r="F796" i="13"/>
  <c r="I796" i="13" s="1"/>
  <c r="F795" i="13"/>
  <c r="F793" i="13"/>
  <c r="I793" i="13" s="1"/>
  <c r="F792" i="13"/>
  <c r="F790" i="13"/>
  <c r="I790" i="13" s="1"/>
  <c r="F789" i="13"/>
  <c r="I789" i="13" s="1"/>
  <c r="F788" i="13"/>
  <c r="I788" i="13" s="1"/>
  <c r="F787" i="13"/>
  <c r="F785" i="13"/>
  <c r="I785" i="13" s="1"/>
  <c r="F784" i="13"/>
  <c r="I784" i="13" s="1"/>
  <c r="F783" i="13"/>
  <c r="F780" i="13"/>
  <c r="I780" i="13" s="1"/>
  <c r="F777" i="13"/>
  <c r="I777" i="13" s="1"/>
  <c r="F776" i="13"/>
  <c r="I776" i="13" s="1"/>
  <c r="F775" i="13"/>
  <c r="I775" i="13" s="1"/>
  <c r="F774" i="13"/>
  <c r="I774" i="13" s="1"/>
  <c r="F773" i="13"/>
  <c r="I773" i="13" s="1"/>
  <c r="F772" i="13"/>
  <c r="F770" i="13"/>
  <c r="I770" i="13" s="1"/>
  <c r="F769" i="13"/>
  <c r="I769" i="13" s="1"/>
  <c r="F768" i="13"/>
  <c r="F765" i="13"/>
  <c r="I765" i="13" s="1"/>
  <c r="F764" i="13"/>
  <c r="I764" i="13" s="1"/>
  <c r="F763" i="13"/>
  <c r="I763" i="13" s="1"/>
  <c r="F762" i="13"/>
  <c r="I762" i="13" s="1"/>
  <c r="F761" i="13"/>
  <c r="I761" i="13" s="1"/>
  <c r="F760" i="13"/>
  <c r="F759" i="13"/>
  <c r="I759" i="13" s="1"/>
  <c r="F757" i="13"/>
  <c r="I757" i="13" s="1"/>
  <c r="F756" i="13"/>
  <c r="I756" i="13" s="1"/>
  <c r="F755" i="13"/>
  <c r="I755" i="13" s="1"/>
  <c r="F754" i="13"/>
  <c r="I754" i="13" s="1"/>
  <c r="F753" i="13"/>
  <c r="I753" i="13" s="1"/>
  <c r="F752" i="13"/>
  <c r="I752" i="13" s="1"/>
  <c r="F751" i="13"/>
  <c r="I751" i="13" s="1"/>
  <c r="F750" i="13"/>
  <c r="I750" i="13" s="1"/>
  <c r="F749" i="13"/>
  <c r="I749" i="13" s="1"/>
  <c r="F748" i="13"/>
  <c r="F744" i="13"/>
  <c r="I744" i="13" s="1"/>
  <c r="F743" i="13"/>
  <c r="I743" i="13" s="1"/>
  <c r="F742" i="13"/>
  <c r="I742" i="13" s="1"/>
  <c r="F741" i="13"/>
  <c r="I741" i="13" s="1"/>
  <c r="F740" i="13"/>
  <c r="I740" i="13" s="1"/>
  <c r="F739" i="13"/>
  <c r="I739" i="13" s="1"/>
  <c r="F738" i="13"/>
  <c r="I738" i="13" s="1"/>
  <c r="F737" i="13"/>
  <c r="I737" i="13" s="1"/>
  <c r="F736" i="13"/>
  <c r="F734" i="13"/>
  <c r="I734" i="13" s="1"/>
  <c r="F733" i="13"/>
  <c r="I733" i="13" s="1"/>
  <c r="F732" i="13"/>
  <c r="I732" i="13" s="1"/>
  <c r="F731" i="13"/>
  <c r="F728" i="13"/>
  <c r="I728" i="13" s="1"/>
  <c r="F727" i="13"/>
  <c r="I727" i="13" s="1"/>
  <c r="F726" i="13"/>
  <c r="F724" i="13"/>
  <c r="I724" i="13" s="1"/>
  <c r="F721" i="13"/>
  <c r="I721" i="13" s="1"/>
  <c r="F720" i="13"/>
  <c r="F718" i="13"/>
  <c r="I718" i="13" s="1"/>
  <c r="F717" i="13"/>
  <c r="I717" i="13" s="1"/>
  <c r="F716" i="13"/>
  <c r="I716" i="13" s="1"/>
  <c r="F715" i="13"/>
  <c r="I715" i="13" s="1"/>
  <c r="F714" i="13"/>
  <c r="I714" i="13" s="1"/>
  <c r="F713" i="13"/>
  <c r="I713" i="13" s="1"/>
  <c r="F712" i="13"/>
  <c r="F710" i="13"/>
  <c r="I710" i="13" s="1"/>
  <c r="F709" i="13"/>
  <c r="I709" i="13" s="1"/>
  <c r="F708" i="13"/>
  <c r="I708" i="13" s="1"/>
  <c r="F707" i="13"/>
  <c r="I707" i="13" s="1"/>
  <c r="F706" i="13"/>
  <c r="I706" i="13" s="1"/>
  <c r="F705" i="13"/>
  <c r="I705" i="13" s="1"/>
  <c r="F704" i="13"/>
  <c r="F702" i="13"/>
  <c r="I702" i="13" s="1"/>
  <c r="F701" i="13"/>
  <c r="I701" i="13" s="1"/>
  <c r="F700" i="13"/>
  <c r="I700" i="13" s="1"/>
  <c r="F699" i="13"/>
  <c r="F802" i="1"/>
  <c r="F803" i="1" s="1"/>
  <c r="I801" i="1"/>
  <c r="H801" i="1"/>
  <c r="E801" i="1"/>
  <c r="G800" i="1"/>
  <c r="J800" i="1" s="1"/>
  <c r="G799" i="1"/>
  <c r="J799" i="1" s="1"/>
  <c r="I798" i="1"/>
  <c r="H798" i="1"/>
  <c r="G797" i="1"/>
  <c r="J797" i="1" s="1"/>
  <c r="E797" i="1"/>
  <c r="G796" i="1"/>
  <c r="J796" i="1" s="1"/>
  <c r="E796" i="1"/>
  <c r="E798" i="1" s="1"/>
  <c r="G795" i="1"/>
  <c r="I794" i="1"/>
  <c r="H794" i="1"/>
  <c r="G793" i="1"/>
  <c r="J793" i="1" s="1"/>
  <c r="G792" i="1"/>
  <c r="J792" i="1" s="1"/>
  <c r="G791" i="1"/>
  <c r="J791" i="1" s="1"/>
  <c r="E791" i="1"/>
  <c r="G790" i="1"/>
  <c r="J790" i="1" s="1"/>
  <c r="G789" i="1"/>
  <c r="E789" i="1"/>
  <c r="I788" i="1"/>
  <c r="H788" i="1"/>
  <c r="E788" i="1"/>
  <c r="G787" i="1"/>
  <c r="J787" i="1" s="1"/>
  <c r="G786" i="1"/>
  <c r="J786" i="1" s="1"/>
  <c r="I785" i="1"/>
  <c r="H785" i="1"/>
  <c r="E785" i="1"/>
  <c r="G784" i="1"/>
  <c r="J784" i="1" s="1"/>
  <c r="G783" i="1"/>
  <c r="J783" i="1" s="1"/>
  <c r="G782" i="1"/>
  <c r="J782" i="1" s="1"/>
  <c r="G781" i="1"/>
  <c r="J781" i="1" s="1"/>
  <c r="I780" i="1"/>
  <c r="H780" i="1"/>
  <c r="E780" i="1"/>
  <c r="G779" i="1"/>
  <c r="J779" i="1" s="1"/>
  <c r="G778" i="1"/>
  <c r="J778" i="1" s="1"/>
  <c r="G777" i="1"/>
  <c r="J777" i="1" s="1"/>
  <c r="F775" i="1"/>
  <c r="F776" i="1" s="1"/>
  <c r="G774" i="1"/>
  <c r="J774" i="1" s="1"/>
  <c r="I772" i="1"/>
  <c r="H772" i="1"/>
  <c r="E772" i="1"/>
  <c r="G771" i="1"/>
  <c r="J771" i="1" s="1"/>
  <c r="J770" i="1"/>
  <c r="G769" i="1"/>
  <c r="J769" i="1" s="1"/>
  <c r="J768" i="1"/>
  <c r="G767" i="1"/>
  <c r="J767" i="1" s="1"/>
  <c r="G766" i="1"/>
  <c r="I765" i="1"/>
  <c r="H765" i="1"/>
  <c r="H773" i="1" s="1"/>
  <c r="E765" i="1"/>
  <c r="G764" i="1"/>
  <c r="J764" i="1" s="1"/>
  <c r="G763" i="1"/>
  <c r="J763" i="1" s="1"/>
  <c r="G762" i="1"/>
  <c r="I760" i="1"/>
  <c r="H760" i="1"/>
  <c r="E760" i="1"/>
  <c r="G759" i="1"/>
  <c r="J759" i="1" s="1"/>
  <c r="J758" i="1"/>
  <c r="G757" i="1"/>
  <c r="J757" i="1" s="1"/>
  <c r="G756" i="1"/>
  <c r="J756" i="1" s="1"/>
  <c r="G755" i="1"/>
  <c r="J755" i="1" s="1"/>
  <c r="G754" i="1"/>
  <c r="J754" i="1" s="1"/>
  <c r="G753" i="1"/>
  <c r="J753" i="1" s="1"/>
  <c r="I752" i="1"/>
  <c r="H752" i="1"/>
  <c r="E752" i="1"/>
  <c r="G751" i="1"/>
  <c r="J751" i="1" s="1"/>
  <c r="G750" i="1"/>
  <c r="J750" i="1" s="1"/>
  <c r="G749" i="1"/>
  <c r="J749" i="1" s="1"/>
  <c r="G748" i="1"/>
  <c r="J748" i="1" s="1"/>
  <c r="G747" i="1"/>
  <c r="J747" i="1" s="1"/>
  <c r="G746" i="1"/>
  <c r="J746" i="1" s="1"/>
  <c r="G745" i="1"/>
  <c r="J745" i="1" s="1"/>
  <c r="G744" i="1"/>
  <c r="J744" i="1" s="1"/>
  <c r="G743" i="1"/>
  <c r="J743" i="1" s="1"/>
  <c r="G742" i="1"/>
  <c r="J742" i="1" s="1"/>
  <c r="F740" i="1"/>
  <c r="I739" i="1"/>
  <c r="M739" i="1" s="1"/>
  <c r="H739" i="1"/>
  <c r="L739" i="1" s="1"/>
  <c r="E739" i="1"/>
  <c r="G738" i="1"/>
  <c r="J738" i="1" s="1"/>
  <c r="G737" i="1"/>
  <c r="J737" i="1" s="1"/>
  <c r="G736" i="1"/>
  <c r="J736" i="1" s="1"/>
  <c r="G735" i="1"/>
  <c r="J735" i="1" s="1"/>
  <c r="G734" i="1"/>
  <c r="J734" i="1" s="1"/>
  <c r="G733" i="1"/>
  <c r="J733" i="1" s="1"/>
  <c r="G732" i="1"/>
  <c r="J732" i="1" s="1"/>
  <c r="G731" i="1"/>
  <c r="J731" i="1" s="1"/>
  <c r="G730" i="1"/>
  <c r="J730" i="1" s="1"/>
  <c r="I729" i="1"/>
  <c r="H729" i="1"/>
  <c r="H740" i="1" s="1"/>
  <c r="E729" i="1"/>
  <c r="E740" i="1" s="1"/>
  <c r="C106" i="15" s="1"/>
  <c r="G728" i="1"/>
  <c r="J728" i="1" s="1"/>
  <c r="G727" i="1"/>
  <c r="J727" i="1" s="1"/>
  <c r="G726" i="1"/>
  <c r="J726" i="1" s="1"/>
  <c r="G725" i="1"/>
  <c r="I723" i="1"/>
  <c r="H723" i="1"/>
  <c r="E723" i="1"/>
  <c r="G722" i="1"/>
  <c r="J722" i="1" s="1"/>
  <c r="J721" i="1"/>
  <c r="G721" i="1"/>
  <c r="G720" i="1"/>
  <c r="J720" i="1" s="1"/>
  <c r="I719" i="1"/>
  <c r="H719" i="1"/>
  <c r="F719" i="1"/>
  <c r="F724" i="1" s="1"/>
  <c r="E719" i="1"/>
  <c r="G718" i="1"/>
  <c r="J718" i="1" s="1"/>
  <c r="G715" i="1"/>
  <c r="J715" i="1" s="1"/>
  <c r="G714" i="1"/>
  <c r="I713" i="1"/>
  <c r="H713" i="1"/>
  <c r="E713" i="1"/>
  <c r="G712" i="1"/>
  <c r="J712" i="1" s="1"/>
  <c r="G711" i="1"/>
  <c r="J711" i="1" s="1"/>
  <c r="G710" i="1"/>
  <c r="J710" i="1" s="1"/>
  <c r="G709" i="1"/>
  <c r="J709" i="1" s="1"/>
  <c r="G708" i="1"/>
  <c r="J708" i="1" s="1"/>
  <c r="G707" i="1"/>
  <c r="J707" i="1" s="1"/>
  <c r="G706" i="1"/>
  <c r="J706" i="1" s="1"/>
  <c r="I705" i="1"/>
  <c r="H705" i="1"/>
  <c r="E705" i="1"/>
  <c r="G704" i="1"/>
  <c r="J704" i="1" s="1"/>
  <c r="G703" i="1"/>
  <c r="J703" i="1" s="1"/>
  <c r="G702" i="1"/>
  <c r="J702" i="1" s="1"/>
  <c r="G701" i="1"/>
  <c r="J701" i="1" s="1"/>
  <c r="G700" i="1"/>
  <c r="J700" i="1" s="1"/>
  <c r="G699" i="1"/>
  <c r="J699" i="1" s="1"/>
  <c r="G698" i="1"/>
  <c r="I697" i="1"/>
  <c r="H697" i="1"/>
  <c r="E697" i="1"/>
  <c r="G696" i="1"/>
  <c r="J696" i="1" s="1"/>
  <c r="G695" i="1"/>
  <c r="J695" i="1" s="1"/>
  <c r="G694" i="1"/>
  <c r="J694" i="1" s="1"/>
  <c r="G693" i="1"/>
  <c r="E773" i="1" l="1"/>
  <c r="M1648" i="1"/>
  <c r="K2000" i="1"/>
  <c r="L2117" i="1"/>
  <c r="G2006" i="13"/>
  <c r="J2006" i="13" s="1"/>
  <c r="E450" i="17"/>
  <c r="J719" i="1"/>
  <c r="G719" i="1"/>
  <c r="F778" i="13"/>
  <c r="H406" i="17"/>
  <c r="N1883" i="1"/>
  <c r="O1883" i="1"/>
  <c r="L1414" i="1"/>
  <c r="G1303" i="13"/>
  <c r="J1303" i="13" s="1"/>
  <c r="K1297" i="1"/>
  <c r="N1180" i="1"/>
  <c r="O1180" i="1"/>
  <c r="H634" i="16"/>
  <c r="H641" i="16"/>
  <c r="H646" i="16"/>
  <c r="D406" i="17"/>
  <c r="F414" i="17"/>
  <c r="F415" i="17" s="1"/>
  <c r="I415" i="17" s="1"/>
  <c r="P414" i="17"/>
  <c r="P415" i="17" s="1"/>
  <c r="G765" i="1"/>
  <c r="N1063" i="1"/>
  <c r="O1063" i="1"/>
  <c r="N947" i="1"/>
  <c r="O947" i="1"/>
  <c r="F719" i="13"/>
  <c r="G705" i="1"/>
  <c r="J705" i="1" s="1"/>
  <c r="J698" i="1"/>
  <c r="J714" i="1"/>
  <c r="F741" i="1"/>
  <c r="F804" i="1" s="1"/>
  <c r="E761" i="1"/>
  <c r="E775" i="1" s="1"/>
  <c r="E776" i="1" s="1"/>
  <c r="C109" i="15" s="1"/>
  <c r="C111" i="15" s="1"/>
  <c r="J762" i="1"/>
  <c r="I773" i="1"/>
  <c r="E794" i="1"/>
  <c r="F735" i="13"/>
  <c r="F745" i="13"/>
  <c r="F771" i="13"/>
  <c r="F779" i="13" s="1"/>
  <c r="F791" i="13"/>
  <c r="F794" i="13"/>
  <c r="F729" i="13"/>
  <c r="F758" i="13"/>
  <c r="F711" i="13"/>
  <c r="F725" i="13"/>
  <c r="F786" i="13"/>
  <c r="F803" i="13"/>
  <c r="F703" i="13"/>
  <c r="I724" i="1"/>
  <c r="I761" i="1"/>
  <c r="H761" i="1"/>
  <c r="H775" i="1" s="1"/>
  <c r="H776" i="1" s="1"/>
  <c r="F766" i="13"/>
  <c r="H705" i="16"/>
  <c r="F799" i="13"/>
  <c r="N214" i="14"/>
  <c r="P214" i="14" s="1"/>
  <c r="N215" i="14"/>
  <c r="R215" i="14" s="1"/>
  <c r="N216" i="14"/>
  <c r="P216" i="14" s="1"/>
  <c r="N205" i="14"/>
  <c r="N206" i="14"/>
  <c r="R206" i="14" s="1"/>
  <c r="N207" i="14"/>
  <c r="Q207" i="14" s="1"/>
  <c r="M211" i="14"/>
  <c r="O211" i="14"/>
  <c r="N211" i="14" s="1"/>
  <c r="M213" i="14"/>
  <c r="O213" i="14"/>
  <c r="N213" i="14" s="1"/>
  <c r="P213" i="14" s="1"/>
  <c r="O210" i="14"/>
  <c r="N210" i="14" s="1"/>
  <c r="P210" i="14" s="1"/>
  <c r="O212" i="14"/>
  <c r="N212" i="14" s="1"/>
  <c r="R205" i="14"/>
  <c r="P205" i="14"/>
  <c r="Q205" i="14"/>
  <c r="S205" i="14" s="1"/>
  <c r="O201" i="14"/>
  <c r="N201" i="14" s="1"/>
  <c r="M201" i="14"/>
  <c r="O203" i="14"/>
  <c r="N203" i="14" s="1"/>
  <c r="M203" i="14"/>
  <c r="M205" i="14"/>
  <c r="M206" i="14"/>
  <c r="M207" i="14"/>
  <c r="L209" i="14"/>
  <c r="K209" i="14" s="1"/>
  <c r="C209" i="14"/>
  <c r="R210" i="14"/>
  <c r="R211" i="14"/>
  <c r="P211" i="14"/>
  <c r="R212" i="14"/>
  <c r="P212" i="14"/>
  <c r="Q216" i="14"/>
  <c r="O202" i="14"/>
  <c r="N202" i="14" s="1"/>
  <c r="M202" i="14"/>
  <c r="L204" i="14"/>
  <c r="K204" i="14" s="1"/>
  <c r="C204" i="14"/>
  <c r="O208" i="14"/>
  <c r="N208" i="14" s="1"/>
  <c r="M208" i="14"/>
  <c r="Q211" i="14"/>
  <c r="Q212" i="14"/>
  <c r="M214" i="14"/>
  <c r="M215" i="14"/>
  <c r="M216" i="14"/>
  <c r="E648" i="16"/>
  <c r="E708" i="16" s="1"/>
  <c r="H678" i="16"/>
  <c r="P448" i="17"/>
  <c r="P449" i="17" s="1"/>
  <c r="P405" i="17"/>
  <c r="F397" i="17"/>
  <c r="G450" i="17"/>
  <c r="P397" i="17"/>
  <c r="F405" i="17"/>
  <c r="I405" i="17" s="1"/>
  <c r="D450" i="17"/>
  <c r="F448" i="17"/>
  <c r="H450" i="17"/>
  <c r="I760" i="13"/>
  <c r="I766" i="13" s="1"/>
  <c r="I768" i="13"/>
  <c r="I771" i="13" s="1"/>
  <c r="I783" i="13"/>
  <c r="I786" i="13" s="1"/>
  <c r="I801" i="13"/>
  <c r="I803" i="13" s="1"/>
  <c r="I699" i="13"/>
  <c r="I703" i="13" s="1"/>
  <c r="I704" i="13"/>
  <c r="I711" i="13" s="1"/>
  <c r="I712" i="13"/>
  <c r="I719" i="13" s="1"/>
  <c r="I720" i="13"/>
  <c r="I725" i="13" s="1"/>
  <c r="I726" i="13"/>
  <c r="I729" i="13" s="1"/>
  <c r="I731" i="13"/>
  <c r="I735" i="13" s="1"/>
  <c r="I736" i="13"/>
  <c r="I745" i="13" s="1"/>
  <c r="I748" i="13"/>
  <c r="I758" i="13" s="1"/>
  <c r="I772" i="13"/>
  <c r="I778" i="13" s="1"/>
  <c r="I787" i="13"/>
  <c r="I791" i="13" s="1"/>
  <c r="I792" i="13"/>
  <c r="I794" i="13" s="1"/>
  <c r="I795" i="13"/>
  <c r="I799" i="13" s="1"/>
  <c r="H802" i="1"/>
  <c r="H803" i="1" s="1"/>
  <c r="H724" i="1"/>
  <c r="H741" i="1" s="1"/>
  <c r="G697" i="1"/>
  <c r="J697" i="1" s="1"/>
  <c r="G713" i="1"/>
  <c r="J713" i="1" s="1"/>
  <c r="G723" i="1"/>
  <c r="J723" i="1" s="1"/>
  <c r="G739" i="1"/>
  <c r="G752" i="1"/>
  <c r="J765" i="1"/>
  <c r="G794" i="1"/>
  <c r="J794" i="1" s="1"/>
  <c r="J789" i="1"/>
  <c r="G801" i="1"/>
  <c r="J801" i="1" s="1"/>
  <c r="E724" i="1"/>
  <c r="G729" i="1"/>
  <c r="J725" i="1"/>
  <c r="I740" i="1"/>
  <c r="I741" i="1" s="1"/>
  <c r="G760" i="1"/>
  <c r="J760" i="1" s="1"/>
  <c r="G772" i="1"/>
  <c r="J772" i="1" s="1"/>
  <c r="J766" i="1"/>
  <c r="E802" i="1"/>
  <c r="E803" i="1" s="1"/>
  <c r="C112" i="15" s="1"/>
  <c r="C114" i="15" s="1"/>
  <c r="G785" i="1"/>
  <c r="J785" i="1" s="1"/>
  <c r="J795" i="1"/>
  <c r="G798" i="1"/>
  <c r="J798" i="1" s="1"/>
  <c r="G780" i="1"/>
  <c r="I802" i="1"/>
  <c r="I803" i="1" s="1"/>
  <c r="G788" i="1"/>
  <c r="J788" i="1" s="1"/>
  <c r="D231" i="14"/>
  <c r="D232" i="14"/>
  <c r="P406" i="17" l="1"/>
  <c r="H648" i="16"/>
  <c r="N1297" i="1"/>
  <c r="O1297" i="1"/>
  <c r="N2000" i="1"/>
  <c r="O2000" i="1"/>
  <c r="M1765" i="1"/>
  <c r="L1531" i="1"/>
  <c r="K1414" i="1"/>
  <c r="G1420" i="13"/>
  <c r="J1420" i="13" s="1"/>
  <c r="L2234" i="1"/>
  <c r="G2123" i="13"/>
  <c r="J2123" i="13" s="1"/>
  <c r="K2117" i="1"/>
  <c r="I414" i="17"/>
  <c r="R214" i="14"/>
  <c r="P206" i="14"/>
  <c r="P207" i="14"/>
  <c r="R213" i="14"/>
  <c r="R207" i="14"/>
  <c r="S207" i="14" s="1"/>
  <c r="S211" i="14"/>
  <c r="T211" i="14" s="1"/>
  <c r="F807" i="13"/>
  <c r="F808" i="13" s="1"/>
  <c r="F746" i="13"/>
  <c r="E741" i="1"/>
  <c r="C105" i="15"/>
  <c r="C108" i="15" s="1"/>
  <c r="C115" i="15" s="1"/>
  <c r="G724" i="1"/>
  <c r="F767" i="13"/>
  <c r="F781" i="13" s="1"/>
  <c r="F782" i="13" s="1"/>
  <c r="I775" i="1"/>
  <c r="I776" i="1" s="1"/>
  <c r="I767" i="13"/>
  <c r="I746" i="13"/>
  <c r="F730" i="13"/>
  <c r="F747" i="13" s="1"/>
  <c r="F809" i="13" s="1"/>
  <c r="P450" i="17"/>
  <c r="R216" i="14"/>
  <c r="S216" i="14" s="1"/>
  <c r="T216" i="14" s="1"/>
  <c r="Q214" i="14"/>
  <c r="S214" i="14" s="1"/>
  <c r="T214" i="14" s="1"/>
  <c r="P215" i="14"/>
  <c r="Q213" i="14"/>
  <c r="Q215" i="14"/>
  <c r="S215" i="14" s="1"/>
  <c r="T205" i="14"/>
  <c r="Q206" i="14"/>
  <c r="S206" i="14" s="1"/>
  <c r="T206" i="14" s="1"/>
  <c r="S212" i="14"/>
  <c r="T212" i="14" s="1"/>
  <c r="Q210" i="14"/>
  <c r="S210" i="14" s="1"/>
  <c r="T210" i="14" s="1"/>
  <c r="Q208" i="14"/>
  <c r="P208" i="14"/>
  <c r="R208" i="14"/>
  <c r="O204" i="14"/>
  <c r="N204" i="14" s="1"/>
  <c r="M204" i="14"/>
  <c r="Q202" i="14"/>
  <c r="P202" i="14"/>
  <c r="R202" i="14"/>
  <c r="Q203" i="14"/>
  <c r="R203" i="14"/>
  <c r="P203" i="14"/>
  <c r="Q201" i="14"/>
  <c r="R201" i="14"/>
  <c r="P201" i="14"/>
  <c r="M209" i="14"/>
  <c r="O209" i="14"/>
  <c r="N209" i="14" s="1"/>
  <c r="I397" i="17"/>
  <c r="F406" i="17"/>
  <c r="I406" i="17" s="1"/>
  <c r="F449" i="17"/>
  <c r="I448" i="17"/>
  <c r="I779" i="13"/>
  <c r="I730" i="13"/>
  <c r="I807" i="13"/>
  <c r="I808" i="13" s="1"/>
  <c r="I804" i="1"/>
  <c r="H804" i="1"/>
  <c r="G802" i="1"/>
  <c r="J780" i="1"/>
  <c r="G740" i="1"/>
  <c r="J729" i="1"/>
  <c r="J752" i="1"/>
  <c r="G761" i="1"/>
  <c r="J724" i="1"/>
  <c r="E804" i="1"/>
  <c r="G773" i="1"/>
  <c r="J773" i="1" s="1"/>
  <c r="D227" i="14"/>
  <c r="F589" i="16"/>
  <c r="H589" i="16"/>
  <c r="I589" i="16" l="1"/>
  <c r="F683" i="16"/>
  <c r="K2234" i="1"/>
  <c r="G2240" i="13"/>
  <c r="J2240" i="13" s="1"/>
  <c r="M1882" i="1"/>
  <c r="T207" i="14"/>
  <c r="N2117" i="1"/>
  <c r="O2117" i="1"/>
  <c r="N1414" i="1"/>
  <c r="O1414" i="1"/>
  <c r="K1531" i="1"/>
  <c r="L1648" i="1"/>
  <c r="G1537" i="13"/>
  <c r="J1537" i="13" s="1"/>
  <c r="S213" i="14"/>
  <c r="T213" i="14" s="1"/>
  <c r="S201" i="14"/>
  <c r="T201" i="14" s="1"/>
  <c r="G741" i="1"/>
  <c r="I781" i="13"/>
  <c r="I782" i="13" s="1"/>
  <c r="I747" i="13"/>
  <c r="T215" i="14"/>
  <c r="S202" i="14"/>
  <c r="T202" i="14" s="1"/>
  <c r="R204" i="14"/>
  <c r="P204" i="14"/>
  <c r="Q204" i="14"/>
  <c r="R209" i="14"/>
  <c r="P209" i="14"/>
  <c r="Q209" i="14"/>
  <c r="S203" i="14"/>
  <c r="T203" i="14" s="1"/>
  <c r="S208" i="14"/>
  <c r="T208" i="14" s="1"/>
  <c r="F450" i="17"/>
  <c r="I450" i="17" s="1"/>
  <c r="I449" i="17"/>
  <c r="J741" i="1"/>
  <c r="G803" i="1"/>
  <c r="J802" i="1"/>
  <c r="J803" i="1" s="1"/>
  <c r="G775" i="1"/>
  <c r="J761" i="1"/>
  <c r="J739" i="1"/>
  <c r="J740" i="1"/>
  <c r="L239" i="14"/>
  <c r="K239" i="14" s="1"/>
  <c r="O239" i="14" s="1"/>
  <c r="G239" i="14"/>
  <c r="C239" i="14"/>
  <c r="L238" i="14"/>
  <c r="K238" i="14" s="1"/>
  <c r="O238" i="14" s="1"/>
  <c r="G238" i="14"/>
  <c r="C238" i="14"/>
  <c r="L237" i="14"/>
  <c r="K237" i="14" s="1"/>
  <c r="G237" i="14"/>
  <c r="C237" i="14"/>
  <c r="L236" i="14"/>
  <c r="K236" i="14" s="1"/>
  <c r="M236" i="14" s="1"/>
  <c r="G236" i="14"/>
  <c r="C236" i="14"/>
  <c r="L235" i="14"/>
  <c r="K235" i="14" s="1"/>
  <c r="O235" i="14" s="1"/>
  <c r="G235" i="14"/>
  <c r="C235" i="14"/>
  <c r="L234" i="14"/>
  <c r="K234" i="14" s="1"/>
  <c r="O234" i="14" s="1"/>
  <c r="G234" i="14"/>
  <c r="C234" i="14"/>
  <c r="L233" i="14"/>
  <c r="K233" i="14" s="1"/>
  <c r="G233" i="14"/>
  <c r="C233" i="14"/>
  <c r="G232" i="14"/>
  <c r="C232" i="14"/>
  <c r="L231" i="14"/>
  <c r="K231" i="14" s="1"/>
  <c r="G231" i="14"/>
  <c r="C231" i="14"/>
  <c r="L230" i="14"/>
  <c r="K230" i="14" s="1"/>
  <c r="O230" i="14" s="1"/>
  <c r="G230" i="14"/>
  <c r="C230" i="14"/>
  <c r="L229" i="14"/>
  <c r="K229" i="14" s="1"/>
  <c r="O229" i="14" s="1"/>
  <c r="G229" i="14"/>
  <c r="C229" i="14"/>
  <c r="L228" i="14"/>
  <c r="K228" i="14" s="1"/>
  <c r="O228" i="14" s="1"/>
  <c r="G228" i="14"/>
  <c r="C228" i="14"/>
  <c r="L227" i="14"/>
  <c r="K227" i="14" s="1"/>
  <c r="O227" i="14" s="1"/>
  <c r="G227" i="14"/>
  <c r="C227" i="14"/>
  <c r="L226" i="14"/>
  <c r="K226" i="14" s="1"/>
  <c r="O226" i="14" s="1"/>
  <c r="G226" i="14"/>
  <c r="C226" i="14"/>
  <c r="L225" i="14"/>
  <c r="K225" i="14" s="1"/>
  <c r="O225" i="14" s="1"/>
  <c r="G225" i="14"/>
  <c r="C225" i="14"/>
  <c r="L224" i="14"/>
  <c r="K224" i="14" s="1"/>
  <c r="G224" i="14"/>
  <c r="C224" i="14"/>
  <c r="E98" i="15"/>
  <c r="E95" i="15"/>
  <c r="E92" i="15"/>
  <c r="H612" i="16"/>
  <c r="F612" i="16"/>
  <c r="I612" i="16" s="1"/>
  <c r="I613" i="16" s="1"/>
  <c r="E611" i="16"/>
  <c r="H610" i="16"/>
  <c r="H609" i="16"/>
  <c r="H608" i="16"/>
  <c r="I608" i="16" s="1"/>
  <c r="H607" i="16"/>
  <c r="H606" i="16"/>
  <c r="H605" i="16"/>
  <c r="H604" i="16"/>
  <c r="H603" i="16"/>
  <c r="H602" i="16"/>
  <c r="H601" i="16"/>
  <c r="H600" i="16"/>
  <c r="H599" i="16"/>
  <c r="H598" i="16"/>
  <c r="H597" i="16"/>
  <c r="H596" i="16"/>
  <c r="H595" i="16"/>
  <c r="H594" i="16"/>
  <c r="H593" i="16"/>
  <c r="H592" i="16"/>
  <c r="H591" i="16"/>
  <c r="H590" i="16"/>
  <c r="H588" i="16"/>
  <c r="H587" i="16"/>
  <c r="H586" i="16"/>
  <c r="H585" i="16"/>
  <c r="E584" i="16"/>
  <c r="H583" i="16"/>
  <c r="H582" i="16"/>
  <c r="H581" i="16"/>
  <c r="H580" i="16"/>
  <c r="H579" i="16"/>
  <c r="H578" i="16"/>
  <c r="H577" i="16"/>
  <c r="H576" i="16"/>
  <c r="H575" i="16"/>
  <c r="H574" i="16"/>
  <c r="H573" i="16"/>
  <c r="H572" i="16"/>
  <c r="H571" i="16"/>
  <c r="H570" i="16"/>
  <c r="H569" i="16"/>
  <c r="H568" i="16"/>
  <c r="H567" i="16"/>
  <c r="H566" i="16"/>
  <c r="H565" i="16"/>
  <c r="H564" i="16"/>
  <c r="H563" i="16"/>
  <c r="H562" i="16"/>
  <c r="H561" i="16"/>
  <c r="H560" i="16"/>
  <c r="H559" i="16"/>
  <c r="H558" i="16"/>
  <c r="H557" i="16"/>
  <c r="H556" i="16"/>
  <c r="H555" i="16"/>
  <c r="E552" i="16"/>
  <c r="H551" i="16"/>
  <c r="H550" i="16"/>
  <c r="H549" i="16"/>
  <c r="H548" i="16"/>
  <c r="E547" i="16"/>
  <c r="H546" i="16"/>
  <c r="H545" i="16"/>
  <c r="H544" i="16"/>
  <c r="H543" i="16"/>
  <c r="H542" i="16"/>
  <c r="H541" i="16"/>
  <c r="E540" i="16"/>
  <c r="H539" i="16"/>
  <c r="H538" i="16"/>
  <c r="H537" i="16"/>
  <c r="H536" i="16"/>
  <c r="H535" i="16"/>
  <c r="H534" i="16"/>
  <c r="H533" i="16"/>
  <c r="H532" i="16"/>
  <c r="H531" i="16"/>
  <c r="H530" i="16"/>
  <c r="H529" i="16"/>
  <c r="H528" i="16"/>
  <c r="H527" i="16"/>
  <c r="H526" i="16"/>
  <c r="H525" i="16"/>
  <c r="E386" i="17"/>
  <c r="G385" i="17"/>
  <c r="G386" i="17" s="1"/>
  <c r="D385" i="17"/>
  <c r="D386" i="17" s="1"/>
  <c r="P384" i="17"/>
  <c r="F384" i="17"/>
  <c r="I384" i="17" s="1"/>
  <c r="P383" i="17"/>
  <c r="F383" i="17"/>
  <c r="I383" i="17" s="1"/>
  <c r="P382" i="17"/>
  <c r="F382" i="17"/>
  <c r="I382" i="17" s="1"/>
  <c r="P381" i="17"/>
  <c r="F381" i="17"/>
  <c r="I381" i="17" s="1"/>
  <c r="P380" i="17"/>
  <c r="F380" i="17"/>
  <c r="I380" i="17" s="1"/>
  <c r="P379" i="17"/>
  <c r="F379" i="17"/>
  <c r="I379" i="17" s="1"/>
  <c r="P378" i="17"/>
  <c r="F378" i="17"/>
  <c r="I378" i="17" s="1"/>
  <c r="P377" i="17"/>
  <c r="F377" i="17"/>
  <c r="I377" i="17" s="1"/>
  <c r="P376" i="17"/>
  <c r="F376" i="17"/>
  <c r="I376" i="17" s="1"/>
  <c r="P375" i="17"/>
  <c r="F375" i="17"/>
  <c r="I375" i="17" s="1"/>
  <c r="P374" i="17"/>
  <c r="F374" i="17"/>
  <c r="I374" i="17" s="1"/>
  <c r="P373" i="17"/>
  <c r="F373" i="17"/>
  <c r="I373" i="17" s="1"/>
  <c r="P372" i="17"/>
  <c r="F372" i="17"/>
  <c r="I372" i="17" s="1"/>
  <c r="P371" i="17"/>
  <c r="F371" i="17"/>
  <c r="I371" i="17" s="1"/>
  <c r="P370" i="17"/>
  <c r="F370" i="17"/>
  <c r="I370" i="17" s="1"/>
  <c r="P369" i="17"/>
  <c r="F369" i="17"/>
  <c r="I369" i="17" s="1"/>
  <c r="P368" i="17"/>
  <c r="F368" i="17"/>
  <c r="I368" i="17" s="1"/>
  <c r="P367" i="17"/>
  <c r="F367" i="17"/>
  <c r="I367" i="17" s="1"/>
  <c r="P366" i="17"/>
  <c r="F366" i="17"/>
  <c r="I366" i="17" s="1"/>
  <c r="P365" i="17"/>
  <c r="F365" i="17"/>
  <c r="I365" i="17" s="1"/>
  <c r="P364" i="17"/>
  <c r="F364" i="17"/>
  <c r="I364" i="17" s="1"/>
  <c r="P363" i="17"/>
  <c r="F363" i="17"/>
  <c r="I363" i="17" s="1"/>
  <c r="P362" i="17"/>
  <c r="F362" i="17"/>
  <c r="I362" i="17" s="1"/>
  <c r="P361" i="17"/>
  <c r="F361" i="17"/>
  <c r="I361" i="17" s="1"/>
  <c r="P360" i="17"/>
  <c r="F360" i="17"/>
  <c r="I360" i="17" s="1"/>
  <c r="P359" i="17"/>
  <c r="F359" i="17"/>
  <c r="P358" i="17"/>
  <c r="F358" i="17"/>
  <c r="I358" i="17" s="1"/>
  <c r="P357" i="17"/>
  <c r="F357" i="17"/>
  <c r="I357" i="17" s="1"/>
  <c r="P356" i="17"/>
  <c r="F356" i="17"/>
  <c r="I356" i="17" s="1"/>
  <c r="P355" i="17"/>
  <c r="F355" i="17"/>
  <c r="I355" i="17" s="1"/>
  <c r="P354" i="17"/>
  <c r="F354" i="17"/>
  <c r="I354" i="17" s="1"/>
  <c r="P353" i="17"/>
  <c r="I353" i="17"/>
  <c r="F353" i="17"/>
  <c r="H352" i="17"/>
  <c r="E352" i="17"/>
  <c r="D352" i="17"/>
  <c r="H351" i="17"/>
  <c r="G351" i="17"/>
  <c r="G352" i="17" s="1"/>
  <c r="P350" i="17"/>
  <c r="F350" i="17"/>
  <c r="I350" i="17" s="1"/>
  <c r="P349" i="17"/>
  <c r="F349" i="17"/>
  <c r="I349" i="17" s="1"/>
  <c r="P348" i="17"/>
  <c r="F348" i="17"/>
  <c r="I348" i="17" s="1"/>
  <c r="P347" i="17"/>
  <c r="F347" i="17"/>
  <c r="I347" i="17" s="1"/>
  <c r="P346" i="17"/>
  <c r="F346" i="17"/>
  <c r="I346" i="17" s="1"/>
  <c r="P345" i="17"/>
  <c r="F345" i="17"/>
  <c r="I345" i="17" s="1"/>
  <c r="P344" i="17"/>
  <c r="I344" i="17"/>
  <c r="F344" i="17"/>
  <c r="E343" i="17"/>
  <c r="H342" i="17"/>
  <c r="G342" i="17"/>
  <c r="D342" i="17"/>
  <c r="P341" i="17"/>
  <c r="F341" i="17"/>
  <c r="I341" i="17" s="1"/>
  <c r="P340" i="17"/>
  <c r="F340" i="17"/>
  <c r="I340" i="17" s="1"/>
  <c r="P339" i="17"/>
  <c r="F339" i="17"/>
  <c r="I339" i="17" s="1"/>
  <c r="P338" i="17"/>
  <c r="F338" i="17"/>
  <c r="I338" i="17" s="1"/>
  <c r="P337" i="17"/>
  <c r="F337" i="17"/>
  <c r="I337" i="17" s="1"/>
  <c r="P336" i="17"/>
  <c r="F336" i="17"/>
  <c r="I336" i="17" s="1"/>
  <c r="P335" i="17"/>
  <c r="F335" i="17"/>
  <c r="I335" i="17" s="1"/>
  <c r="H334" i="17"/>
  <c r="H343" i="17" s="1"/>
  <c r="G334" i="17"/>
  <c r="D334" i="17"/>
  <c r="D343" i="17" s="1"/>
  <c r="P333" i="17"/>
  <c r="F333" i="17"/>
  <c r="I333" i="17" s="1"/>
  <c r="P332" i="17"/>
  <c r="F332" i="17"/>
  <c r="I332" i="17" s="1"/>
  <c r="P331" i="17"/>
  <c r="F331" i="17"/>
  <c r="I331" i="17" s="1"/>
  <c r="P330" i="17"/>
  <c r="F330" i="17"/>
  <c r="I330" i="17" s="1"/>
  <c r="P329" i="17"/>
  <c r="F329" i="17"/>
  <c r="I329" i="17" s="1"/>
  <c r="F629" i="13"/>
  <c r="I629" i="13" s="1"/>
  <c r="F628" i="13"/>
  <c r="F627" i="13"/>
  <c r="I627" i="13" s="1"/>
  <c r="F626" i="13"/>
  <c r="I626" i="13" s="1"/>
  <c r="F625" i="13"/>
  <c r="I625" i="13" s="1"/>
  <c r="F624" i="13"/>
  <c r="I624" i="13" s="1"/>
  <c r="F623" i="13"/>
  <c r="I623" i="13" s="1"/>
  <c r="F622" i="13"/>
  <c r="I622" i="13" s="1"/>
  <c r="F621" i="13"/>
  <c r="I621" i="13" s="1"/>
  <c r="F619" i="13"/>
  <c r="I619" i="13" s="1"/>
  <c r="F618" i="13"/>
  <c r="I618" i="13" s="1"/>
  <c r="F617" i="13"/>
  <c r="I617" i="13" s="1"/>
  <c r="F616" i="13"/>
  <c r="F613" i="13"/>
  <c r="I613" i="13" s="1"/>
  <c r="F612" i="13"/>
  <c r="I612" i="13" s="1"/>
  <c r="F611" i="13"/>
  <c r="F609" i="13"/>
  <c r="I609" i="13" s="1"/>
  <c r="F606" i="13"/>
  <c r="I606" i="13" s="1"/>
  <c r="F605" i="13"/>
  <c r="F603" i="13"/>
  <c r="I603" i="13" s="1"/>
  <c r="F602" i="13"/>
  <c r="I602" i="13" s="1"/>
  <c r="F601" i="13"/>
  <c r="I601" i="13" s="1"/>
  <c r="F600" i="13"/>
  <c r="I600" i="13" s="1"/>
  <c r="F599" i="13"/>
  <c r="I599" i="13" s="1"/>
  <c r="F598" i="13"/>
  <c r="F597" i="13"/>
  <c r="F595" i="13"/>
  <c r="I595" i="13" s="1"/>
  <c r="F594" i="13"/>
  <c r="I594" i="13" s="1"/>
  <c r="F593" i="13"/>
  <c r="I593" i="13" s="1"/>
  <c r="F592" i="13"/>
  <c r="I592" i="13" s="1"/>
  <c r="F591" i="13"/>
  <c r="I591" i="13" s="1"/>
  <c r="F590" i="13"/>
  <c r="I590" i="13" s="1"/>
  <c r="F589" i="13"/>
  <c r="F587" i="13"/>
  <c r="I587" i="13" s="1"/>
  <c r="F586" i="13"/>
  <c r="I586" i="13" s="1"/>
  <c r="F585" i="13"/>
  <c r="I585" i="13" s="1"/>
  <c r="F584" i="13"/>
  <c r="F665" i="13"/>
  <c r="F662" i="13"/>
  <c r="F661" i="13"/>
  <c r="F660" i="13"/>
  <c r="F659" i="13"/>
  <c r="F658" i="13"/>
  <c r="F657" i="13"/>
  <c r="F655" i="13"/>
  <c r="I655" i="13" s="1"/>
  <c r="F654" i="13"/>
  <c r="F653" i="13"/>
  <c r="I653" i="13" s="1"/>
  <c r="F650" i="13"/>
  <c r="F649" i="13"/>
  <c r="I649" i="13" s="1"/>
  <c r="F648" i="13"/>
  <c r="I648" i="13" s="1"/>
  <c r="F647" i="13"/>
  <c r="I647" i="13" s="1"/>
  <c r="F646" i="13"/>
  <c r="I646" i="13" s="1"/>
  <c r="F645" i="13"/>
  <c r="F644" i="13"/>
  <c r="F642" i="13"/>
  <c r="F641" i="13"/>
  <c r="I641" i="13" s="1"/>
  <c r="F640" i="13"/>
  <c r="I640" i="13" s="1"/>
  <c r="F639" i="13"/>
  <c r="I639" i="13" s="1"/>
  <c r="F638" i="13"/>
  <c r="F637" i="13"/>
  <c r="I637" i="13" s="1"/>
  <c r="F636" i="13"/>
  <c r="I636" i="13" s="1"/>
  <c r="F635" i="13"/>
  <c r="I635" i="13" s="1"/>
  <c r="F634" i="13"/>
  <c r="I634" i="13" s="1"/>
  <c r="F633" i="13"/>
  <c r="F677" i="13"/>
  <c r="F690" i="13"/>
  <c r="F689" i="13"/>
  <c r="F687" i="13"/>
  <c r="I687" i="13" s="1"/>
  <c r="F686" i="13"/>
  <c r="F685" i="13"/>
  <c r="F691" i="13"/>
  <c r="F683" i="13"/>
  <c r="I683" i="13" s="1"/>
  <c r="F682" i="13"/>
  <c r="I682" i="13" s="1"/>
  <c r="F681" i="13"/>
  <c r="I681" i="13" s="1"/>
  <c r="F680" i="13"/>
  <c r="F678" i="13"/>
  <c r="I678" i="13" s="1"/>
  <c r="F675" i="13"/>
  <c r="I675" i="13" s="1"/>
  <c r="F674" i="13"/>
  <c r="I674" i="13" s="1"/>
  <c r="F673" i="13"/>
  <c r="I673" i="13" s="1"/>
  <c r="F672" i="13"/>
  <c r="F670" i="13"/>
  <c r="I670" i="13" s="1"/>
  <c r="F669" i="13"/>
  <c r="I669" i="13" s="1"/>
  <c r="F668" i="13"/>
  <c r="J691" i="13"/>
  <c r="I691" i="13"/>
  <c r="I685" i="13"/>
  <c r="I662" i="13"/>
  <c r="I661" i="13"/>
  <c r="I660" i="13"/>
  <c r="I659" i="13"/>
  <c r="I658" i="13"/>
  <c r="I650" i="13"/>
  <c r="I642" i="13"/>
  <c r="I638" i="13"/>
  <c r="F687" i="1"/>
  <c r="F688" i="1" s="1"/>
  <c r="I686" i="1"/>
  <c r="H686" i="1"/>
  <c r="E686" i="1"/>
  <c r="G685" i="1"/>
  <c r="J685" i="1" s="1"/>
  <c r="G684" i="1"/>
  <c r="J684" i="1" s="1"/>
  <c r="I683" i="1"/>
  <c r="H683" i="1"/>
  <c r="G682" i="1"/>
  <c r="J682" i="1" s="1"/>
  <c r="E682" i="1"/>
  <c r="G681" i="1"/>
  <c r="J681" i="1" s="1"/>
  <c r="E681" i="1"/>
  <c r="G680" i="1"/>
  <c r="J680" i="1" s="1"/>
  <c r="I679" i="1"/>
  <c r="H679" i="1"/>
  <c r="G678" i="1"/>
  <c r="J678" i="1" s="1"/>
  <c r="G677" i="1"/>
  <c r="J677" i="1" s="1"/>
  <c r="G676" i="1"/>
  <c r="J676" i="1" s="1"/>
  <c r="E676" i="1"/>
  <c r="G675" i="1"/>
  <c r="J675" i="1" s="1"/>
  <c r="G674" i="1"/>
  <c r="E674" i="1"/>
  <c r="E673" i="1"/>
  <c r="I673" i="1"/>
  <c r="H673" i="1"/>
  <c r="G672" i="1"/>
  <c r="J672" i="1" s="1"/>
  <c r="G671" i="1"/>
  <c r="J671" i="1" s="1"/>
  <c r="I670" i="1"/>
  <c r="H670" i="1"/>
  <c r="E670" i="1"/>
  <c r="G669" i="1"/>
  <c r="J669" i="1" s="1"/>
  <c r="G668" i="1"/>
  <c r="J668" i="1" s="1"/>
  <c r="G667" i="1"/>
  <c r="J667" i="1" s="1"/>
  <c r="G666" i="1"/>
  <c r="J666" i="1" s="1"/>
  <c r="I665" i="1"/>
  <c r="E665" i="1"/>
  <c r="G664" i="1"/>
  <c r="J664" i="1" s="1"/>
  <c r="G662" i="1"/>
  <c r="J662" i="1" s="1"/>
  <c r="F660" i="1"/>
  <c r="F661" i="1" s="1"/>
  <c r="G659" i="1"/>
  <c r="J659" i="1" s="1"/>
  <c r="I657" i="1"/>
  <c r="H657" i="1"/>
  <c r="E657" i="1"/>
  <c r="G656" i="1"/>
  <c r="J656" i="1" s="1"/>
  <c r="J655" i="1"/>
  <c r="J654" i="1"/>
  <c r="G654" i="1"/>
  <c r="J653" i="1"/>
  <c r="G652" i="1"/>
  <c r="J652" i="1" s="1"/>
  <c r="G651" i="1"/>
  <c r="J651" i="1" s="1"/>
  <c r="I650" i="1"/>
  <c r="I658" i="1" s="1"/>
  <c r="H650" i="1"/>
  <c r="E650" i="1"/>
  <c r="G649" i="1"/>
  <c r="J649" i="1" s="1"/>
  <c r="G648" i="1"/>
  <c r="J648" i="1" s="1"/>
  <c r="G647" i="1"/>
  <c r="I645" i="1"/>
  <c r="H645" i="1"/>
  <c r="E645" i="1"/>
  <c r="J644" i="1"/>
  <c r="G644" i="1"/>
  <c r="J643" i="1"/>
  <c r="G642" i="1"/>
  <c r="J642" i="1" s="1"/>
  <c r="G641" i="1"/>
  <c r="J641" i="1" s="1"/>
  <c r="G640" i="1"/>
  <c r="J640" i="1" s="1"/>
  <c r="G639" i="1"/>
  <c r="J639" i="1" s="1"/>
  <c r="G638" i="1"/>
  <c r="E637" i="1"/>
  <c r="G636" i="1"/>
  <c r="J636" i="1" s="1"/>
  <c r="G635" i="1"/>
  <c r="J635" i="1" s="1"/>
  <c r="G634" i="1"/>
  <c r="J634" i="1" s="1"/>
  <c r="G633" i="1"/>
  <c r="J633" i="1" s="1"/>
  <c r="G632" i="1"/>
  <c r="J632" i="1" s="1"/>
  <c r="G631" i="1"/>
  <c r="J631" i="1" s="1"/>
  <c r="I637" i="1"/>
  <c r="I646" i="1" s="1"/>
  <c r="I660" i="1" s="1"/>
  <c r="I661" i="1" s="1"/>
  <c r="H637" i="1"/>
  <c r="G629" i="1"/>
  <c r="J629" i="1" s="1"/>
  <c r="G628" i="1"/>
  <c r="J628" i="1" s="1"/>
  <c r="G627" i="1"/>
  <c r="F625" i="1"/>
  <c r="I624" i="1"/>
  <c r="M624" i="1" s="1"/>
  <c r="H624" i="1"/>
  <c r="L624" i="1" s="1"/>
  <c r="E624" i="1"/>
  <c r="G623" i="1"/>
  <c r="J623" i="1" s="1"/>
  <c r="G622" i="1"/>
  <c r="J622" i="1" s="1"/>
  <c r="G621" i="1"/>
  <c r="J621" i="1" s="1"/>
  <c r="G620" i="1"/>
  <c r="J620" i="1" s="1"/>
  <c r="G619" i="1"/>
  <c r="J619" i="1" s="1"/>
  <c r="G618" i="1"/>
  <c r="J618" i="1" s="1"/>
  <c r="G617" i="1"/>
  <c r="J617" i="1" s="1"/>
  <c r="G616" i="1"/>
  <c r="J616" i="1" s="1"/>
  <c r="G615" i="1"/>
  <c r="J615" i="1" s="1"/>
  <c r="I614" i="1"/>
  <c r="I625" i="1" s="1"/>
  <c r="H614" i="1"/>
  <c r="H625" i="1" s="1"/>
  <c r="E614" i="1"/>
  <c r="E625" i="1" s="1"/>
  <c r="C91" i="15" s="1"/>
  <c r="G613" i="1"/>
  <c r="J613" i="1" s="1"/>
  <c r="G612" i="1"/>
  <c r="J612" i="1" s="1"/>
  <c r="G611" i="1"/>
  <c r="J611" i="1" s="1"/>
  <c r="G610" i="1"/>
  <c r="I608" i="1"/>
  <c r="H608" i="1"/>
  <c r="E608" i="1"/>
  <c r="G607" i="1"/>
  <c r="J607" i="1" s="1"/>
  <c r="G606" i="1"/>
  <c r="J606" i="1" s="1"/>
  <c r="G605" i="1"/>
  <c r="J605" i="1" s="1"/>
  <c r="I604" i="1"/>
  <c r="H604" i="1"/>
  <c r="F604" i="1"/>
  <c r="F609" i="1" s="1"/>
  <c r="F626" i="1" s="1"/>
  <c r="E604" i="1"/>
  <c r="G603" i="1"/>
  <c r="G600" i="1"/>
  <c r="J600" i="1" s="1"/>
  <c r="G599" i="1"/>
  <c r="I598" i="1"/>
  <c r="H598" i="1"/>
  <c r="E598" i="1"/>
  <c r="G597" i="1"/>
  <c r="J597" i="1" s="1"/>
  <c r="G596" i="1"/>
  <c r="J596" i="1" s="1"/>
  <c r="G595" i="1"/>
  <c r="J595" i="1" s="1"/>
  <c r="G594" i="1"/>
  <c r="J594" i="1" s="1"/>
  <c r="G593" i="1"/>
  <c r="J593" i="1" s="1"/>
  <c r="G592" i="1"/>
  <c r="J592" i="1" s="1"/>
  <c r="G591" i="1"/>
  <c r="J591" i="1" s="1"/>
  <c r="I590" i="1"/>
  <c r="E590" i="1"/>
  <c r="G589" i="1"/>
  <c r="J589" i="1" s="1"/>
  <c r="G588" i="1"/>
  <c r="J588" i="1" s="1"/>
  <c r="G587" i="1"/>
  <c r="J587" i="1" s="1"/>
  <c r="G586" i="1"/>
  <c r="J586" i="1" s="1"/>
  <c r="H590" i="1"/>
  <c r="G585" i="1"/>
  <c r="J585" i="1" s="1"/>
  <c r="G584" i="1"/>
  <c r="J584" i="1" s="1"/>
  <c r="G583" i="1"/>
  <c r="I582" i="1"/>
  <c r="H582" i="1"/>
  <c r="E582" i="1"/>
  <c r="G581" i="1"/>
  <c r="J581" i="1" s="1"/>
  <c r="G580" i="1"/>
  <c r="J580" i="1" s="1"/>
  <c r="G579" i="1"/>
  <c r="J579" i="1" s="1"/>
  <c r="G578" i="1"/>
  <c r="G604" i="1" l="1"/>
  <c r="J604" i="1" s="1"/>
  <c r="N1531" i="1"/>
  <c r="O1531" i="1"/>
  <c r="N2234" i="1"/>
  <c r="O2234" i="1"/>
  <c r="F777" i="16"/>
  <c r="I683" i="16"/>
  <c r="E683" i="1"/>
  <c r="E387" i="17"/>
  <c r="K1648" i="1"/>
  <c r="L1765" i="1"/>
  <c r="G1654" i="13"/>
  <c r="J1654" i="13" s="1"/>
  <c r="M1999" i="1"/>
  <c r="P334" i="17"/>
  <c r="F351" i="17"/>
  <c r="F352" i="17" s="1"/>
  <c r="I352" i="17" s="1"/>
  <c r="S204" i="14"/>
  <c r="T204" i="14" s="1"/>
  <c r="S209" i="14"/>
  <c r="T209" i="14" s="1"/>
  <c r="I809" i="13"/>
  <c r="F651" i="13"/>
  <c r="F663" i="13"/>
  <c r="F604" i="13"/>
  <c r="F620" i="13"/>
  <c r="I598" i="13"/>
  <c r="I645" i="13"/>
  <c r="F676" i="13"/>
  <c r="F614" i="13"/>
  <c r="G614" i="1"/>
  <c r="F689" i="1"/>
  <c r="G582" i="1"/>
  <c r="E609" i="1"/>
  <c r="H646" i="1"/>
  <c r="H660" i="1" s="1"/>
  <c r="H661" i="1" s="1"/>
  <c r="G645" i="1"/>
  <c r="J645" i="1" s="1"/>
  <c r="E646" i="1"/>
  <c r="H658" i="1"/>
  <c r="G657" i="1"/>
  <c r="J657" i="1" s="1"/>
  <c r="E658" i="1"/>
  <c r="E679" i="1"/>
  <c r="G590" i="1"/>
  <c r="J590" i="1" s="1"/>
  <c r="F684" i="13"/>
  <c r="G776" i="1"/>
  <c r="G804" i="1" s="1"/>
  <c r="J804" i="1" s="1"/>
  <c r="J775" i="1"/>
  <c r="J776" i="1" s="1"/>
  <c r="N225" i="14"/>
  <c r="F610" i="13"/>
  <c r="I609" i="1"/>
  <c r="I626" i="1" s="1"/>
  <c r="N239" i="14"/>
  <c r="Q239" i="14" s="1"/>
  <c r="H540" i="16"/>
  <c r="H584" i="16"/>
  <c r="H611" i="16"/>
  <c r="P385" i="17"/>
  <c r="P386" i="17" s="1"/>
  <c r="F679" i="13"/>
  <c r="F643" i="13"/>
  <c r="F652" i="13" s="1"/>
  <c r="N238" i="14"/>
  <c r="P238" i="14" s="1"/>
  <c r="N234" i="14"/>
  <c r="R234" i="14" s="1"/>
  <c r="N235" i="14"/>
  <c r="R235" i="14" s="1"/>
  <c r="N226" i="14"/>
  <c r="P226" i="14" s="1"/>
  <c r="N227" i="14"/>
  <c r="P227" i="14" s="1"/>
  <c r="N228" i="14"/>
  <c r="R228" i="14" s="1"/>
  <c r="N229" i="14"/>
  <c r="P229" i="14" s="1"/>
  <c r="N230" i="14"/>
  <c r="P230" i="14" s="1"/>
  <c r="O233" i="14"/>
  <c r="N233" i="14" s="1"/>
  <c r="M233" i="14"/>
  <c r="R225" i="14"/>
  <c r="P225" i="14"/>
  <c r="Q225" i="14"/>
  <c r="Q229" i="14"/>
  <c r="P235" i="14"/>
  <c r="O237" i="14"/>
  <c r="N237" i="14" s="1"/>
  <c r="M237" i="14"/>
  <c r="O224" i="14"/>
  <c r="N224" i="14" s="1"/>
  <c r="M224" i="14"/>
  <c r="M225" i="14"/>
  <c r="M226" i="14"/>
  <c r="M227" i="14"/>
  <c r="M228" i="14"/>
  <c r="M229" i="14"/>
  <c r="M230" i="14"/>
  <c r="L232" i="14"/>
  <c r="K232" i="14" s="1"/>
  <c r="M234" i="14"/>
  <c r="M235" i="14"/>
  <c r="O236" i="14"/>
  <c r="N236" i="14" s="1"/>
  <c r="Q238" i="14"/>
  <c r="O231" i="14"/>
  <c r="N231" i="14" s="1"/>
  <c r="M231" i="14"/>
  <c r="M238" i="14"/>
  <c r="M239" i="14"/>
  <c r="E554" i="16"/>
  <c r="E614" i="16" s="1"/>
  <c r="H547" i="16"/>
  <c r="H552" i="16"/>
  <c r="G343" i="17"/>
  <c r="G387" i="17" s="1"/>
  <c r="F342" i="17"/>
  <c r="I342" i="17" s="1"/>
  <c r="P342" i="17"/>
  <c r="D387" i="17"/>
  <c r="F334" i="17"/>
  <c r="P351" i="17"/>
  <c r="P352" i="17" s="1"/>
  <c r="F385" i="17"/>
  <c r="H385" i="17"/>
  <c r="H386" i="17" s="1"/>
  <c r="H387" i="17" s="1"/>
  <c r="F671" i="13"/>
  <c r="F630" i="13"/>
  <c r="F656" i="13"/>
  <c r="F664" i="13" s="1"/>
  <c r="F588" i="13"/>
  <c r="F596" i="13"/>
  <c r="F688" i="13"/>
  <c r="I628" i="13"/>
  <c r="I630" i="13" s="1"/>
  <c r="I633" i="13"/>
  <c r="I643" i="13" s="1"/>
  <c r="I644" i="13"/>
  <c r="I651" i="13" s="1"/>
  <c r="I654" i="13"/>
  <c r="I656" i="13" s="1"/>
  <c r="I657" i="13"/>
  <c r="I663" i="13" s="1"/>
  <c r="I668" i="13"/>
  <c r="I671" i="13" s="1"/>
  <c r="I686" i="13"/>
  <c r="I688" i="13" s="1"/>
  <c r="I584" i="13"/>
  <c r="I588" i="13" s="1"/>
  <c r="I589" i="13"/>
  <c r="I596" i="13" s="1"/>
  <c r="I597" i="13"/>
  <c r="I604" i="13" s="1"/>
  <c r="I605" i="13"/>
  <c r="I610" i="13" s="1"/>
  <c r="I611" i="13"/>
  <c r="I614" i="13" s="1"/>
  <c r="I616" i="13"/>
  <c r="I620" i="13" s="1"/>
  <c r="I665" i="13"/>
  <c r="I672" i="13"/>
  <c r="I676" i="13" s="1"/>
  <c r="I677" i="13"/>
  <c r="I679" i="13" s="1"/>
  <c r="I680" i="13"/>
  <c r="I684" i="13" s="1"/>
  <c r="J582" i="1"/>
  <c r="H609" i="1"/>
  <c r="H626" i="1" s="1"/>
  <c r="J614" i="1"/>
  <c r="G598" i="1"/>
  <c r="J598" i="1" s="1"/>
  <c r="J599" i="1"/>
  <c r="G608" i="1"/>
  <c r="J608" i="1" s="1"/>
  <c r="G624" i="1"/>
  <c r="G625" i="1" s="1"/>
  <c r="J627" i="1"/>
  <c r="G630" i="1"/>
  <c r="J630" i="1" s="1"/>
  <c r="J638" i="1"/>
  <c r="J583" i="1"/>
  <c r="J610" i="1"/>
  <c r="G650" i="1"/>
  <c r="G658" i="1" s="1"/>
  <c r="J658" i="1" s="1"/>
  <c r="J647" i="1"/>
  <c r="G670" i="1"/>
  <c r="J670" i="1" s="1"/>
  <c r="G673" i="1"/>
  <c r="J673" i="1" s="1"/>
  <c r="G679" i="1"/>
  <c r="J679" i="1" s="1"/>
  <c r="J674" i="1"/>
  <c r="G686" i="1"/>
  <c r="J686" i="1" s="1"/>
  <c r="H665" i="1"/>
  <c r="H687" i="1" s="1"/>
  <c r="H688" i="1" s="1"/>
  <c r="G663" i="1"/>
  <c r="J663" i="1" s="1"/>
  <c r="E687" i="1"/>
  <c r="E688" i="1" s="1"/>
  <c r="I687" i="1"/>
  <c r="I688" i="1" s="1"/>
  <c r="I689" i="1" s="1"/>
  <c r="G683" i="1"/>
  <c r="J683" i="1" s="1"/>
  <c r="D254" i="14"/>
  <c r="C254" i="14" s="1"/>
  <c r="D255" i="14"/>
  <c r="C255" i="14" s="1"/>
  <c r="H255" i="14"/>
  <c r="H248" i="14"/>
  <c r="H472" i="1"/>
  <c r="D260" i="14"/>
  <c r="D259" i="14"/>
  <c r="I260" i="14"/>
  <c r="H260" i="14"/>
  <c r="I259" i="14"/>
  <c r="H259" i="14"/>
  <c r="J260" i="14"/>
  <c r="J259" i="14"/>
  <c r="H314" i="17"/>
  <c r="G314" i="17"/>
  <c r="H310" i="17"/>
  <c r="G310" i="17"/>
  <c r="H304" i="17"/>
  <c r="G304" i="17"/>
  <c r="I557" i="1"/>
  <c r="H557" i="1"/>
  <c r="I548" i="1"/>
  <c r="H548" i="1"/>
  <c r="E256" i="14"/>
  <c r="D256" i="14"/>
  <c r="J256" i="14"/>
  <c r="I515" i="1"/>
  <c r="H515" i="1"/>
  <c r="L1882" i="1" l="1"/>
  <c r="G1771" i="13"/>
  <c r="J1771" i="13" s="1"/>
  <c r="K1765" i="1"/>
  <c r="M2116" i="1"/>
  <c r="N1648" i="1"/>
  <c r="O1648" i="1"/>
  <c r="I777" i="16"/>
  <c r="F871" i="16"/>
  <c r="Q226" i="14"/>
  <c r="J650" i="1"/>
  <c r="R226" i="14"/>
  <c r="E660" i="1"/>
  <c r="E661" i="1" s="1"/>
  <c r="C94" i="15" s="1"/>
  <c r="C96" i="15" s="1"/>
  <c r="I351" i="17"/>
  <c r="P343" i="17"/>
  <c r="P387" i="17" s="1"/>
  <c r="Q230" i="14"/>
  <c r="S230" i="14" s="1"/>
  <c r="T230" i="14" s="1"/>
  <c r="R230" i="14"/>
  <c r="P239" i="14"/>
  <c r="R239" i="14"/>
  <c r="S239" i="14" s="1"/>
  <c r="S225" i="14"/>
  <c r="T225" i="14" s="1"/>
  <c r="P234" i="14"/>
  <c r="P228" i="14"/>
  <c r="S226" i="14"/>
  <c r="T226" i="14" s="1"/>
  <c r="Q227" i="14"/>
  <c r="R238" i="14"/>
  <c r="S238" i="14" s="1"/>
  <c r="T238" i="14" s="1"/>
  <c r="R229" i="14"/>
  <c r="S229" i="14" s="1"/>
  <c r="T229" i="14" s="1"/>
  <c r="F631" i="13"/>
  <c r="C97" i="15"/>
  <c r="C99" i="15" s="1"/>
  <c r="E626" i="1"/>
  <c r="E689" i="1" s="1"/>
  <c r="C90" i="15"/>
  <c r="C93" i="15" s="1"/>
  <c r="C100" i="15" s="1"/>
  <c r="R227" i="14"/>
  <c r="F692" i="13"/>
  <c r="F693" i="13" s="1"/>
  <c r="F666" i="13"/>
  <c r="F667" i="13" s="1"/>
  <c r="Q234" i="14"/>
  <c r="S234" i="14" s="1"/>
  <c r="Q228" i="14"/>
  <c r="S228" i="14" s="1"/>
  <c r="Q235" i="14"/>
  <c r="S235" i="14" s="1"/>
  <c r="T235" i="14" s="1"/>
  <c r="Q231" i="14"/>
  <c r="P231" i="14"/>
  <c r="R231" i="14"/>
  <c r="O232" i="14"/>
  <c r="N232" i="14" s="1"/>
  <c r="M232" i="14"/>
  <c r="Q224" i="14"/>
  <c r="R224" i="14"/>
  <c r="P224" i="14"/>
  <c r="R237" i="14"/>
  <c r="P237" i="14"/>
  <c r="Q237" i="14"/>
  <c r="R236" i="14"/>
  <c r="P236" i="14"/>
  <c r="Q236" i="14"/>
  <c r="R233" i="14"/>
  <c r="P233" i="14"/>
  <c r="Q233" i="14"/>
  <c r="H554" i="16"/>
  <c r="F386" i="17"/>
  <c r="I385" i="17"/>
  <c r="I334" i="17"/>
  <c r="F343" i="17"/>
  <c r="I343" i="17" s="1"/>
  <c r="I664" i="13"/>
  <c r="I652" i="13"/>
  <c r="F615" i="13"/>
  <c r="F632" i="13" s="1"/>
  <c r="I615" i="13"/>
  <c r="I692" i="13"/>
  <c r="I693" i="13" s="1"/>
  <c r="I631" i="13"/>
  <c r="J624" i="1"/>
  <c r="J625" i="1"/>
  <c r="G665" i="1"/>
  <c r="H689" i="1"/>
  <c r="G609" i="1"/>
  <c r="G637" i="1"/>
  <c r="L262" i="14"/>
  <c r="K262" i="14" s="1"/>
  <c r="O262" i="14" s="1"/>
  <c r="G262" i="14"/>
  <c r="C262" i="14"/>
  <c r="L261" i="14"/>
  <c r="K261" i="14" s="1"/>
  <c r="O261" i="14" s="1"/>
  <c r="G261" i="14"/>
  <c r="C261" i="14"/>
  <c r="L260" i="14"/>
  <c r="K260" i="14" s="1"/>
  <c r="O260" i="14" s="1"/>
  <c r="G260" i="14"/>
  <c r="C260" i="14"/>
  <c r="L259" i="14"/>
  <c r="K259" i="14" s="1"/>
  <c r="G259" i="14"/>
  <c r="C259" i="14"/>
  <c r="L258" i="14"/>
  <c r="K258" i="14" s="1"/>
  <c r="O258" i="14" s="1"/>
  <c r="G258" i="14"/>
  <c r="C258" i="14"/>
  <c r="L257" i="14"/>
  <c r="K257" i="14" s="1"/>
  <c r="O257" i="14" s="1"/>
  <c r="G257" i="14"/>
  <c r="C257" i="14"/>
  <c r="L256" i="14"/>
  <c r="K256" i="14" s="1"/>
  <c r="O256" i="14" s="1"/>
  <c r="G256" i="14"/>
  <c r="C256" i="14"/>
  <c r="L255" i="14"/>
  <c r="K255" i="14" s="1"/>
  <c r="O255" i="14" s="1"/>
  <c r="G255" i="14"/>
  <c r="L254" i="14"/>
  <c r="K254" i="14" s="1"/>
  <c r="O254" i="14" s="1"/>
  <c r="G254" i="14"/>
  <c r="L253" i="14"/>
  <c r="K253" i="14" s="1"/>
  <c r="O253" i="14" s="1"/>
  <c r="G253" i="14"/>
  <c r="C253" i="14"/>
  <c r="L252" i="14"/>
  <c r="K252" i="14" s="1"/>
  <c r="O252" i="14" s="1"/>
  <c r="G252" i="14"/>
  <c r="C252" i="14"/>
  <c r="L251" i="14"/>
  <c r="K251" i="14" s="1"/>
  <c r="O251" i="14" s="1"/>
  <c r="G251" i="14"/>
  <c r="C251" i="14"/>
  <c r="G250" i="14"/>
  <c r="L249" i="14"/>
  <c r="K249" i="14" s="1"/>
  <c r="G249" i="14"/>
  <c r="C249" i="14"/>
  <c r="L248" i="14"/>
  <c r="K248" i="14" s="1"/>
  <c r="G248" i="14"/>
  <c r="C248" i="14"/>
  <c r="L247" i="14"/>
  <c r="K247" i="14" s="1"/>
  <c r="G247" i="14"/>
  <c r="C247" i="14"/>
  <c r="E83" i="15"/>
  <c r="E80" i="15"/>
  <c r="E77" i="15"/>
  <c r="H518" i="16"/>
  <c r="F518" i="16"/>
  <c r="I518" i="16" s="1"/>
  <c r="I519" i="16" s="1"/>
  <c r="E517" i="16"/>
  <c r="H516" i="16"/>
  <c r="H515" i="16"/>
  <c r="H514" i="16"/>
  <c r="I514" i="16" s="1"/>
  <c r="H513" i="16"/>
  <c r="H512" i="16"/>
  <c r="H511" i="16"/>
  <c r="H510" i="16"/>
  <c r="H509" i="16"/>
  <c r="H508" i="16"/>
  <c r="H507" i="16"/>
  <c r="H506" i="16"/>
  <c r="H505" i="16"/>
  <c r="H504" i="16"/>
  <c r="H503" i="16"/>
  <c r="H502" i="16"/>
  <c r="H501" i="16"/>
  <c r="H500" i="16"/>
  <c r="H499" i="16"/>
  <c r="H498" i="16"/>
  <c r="H497" i="16"/>
  <c r="H496" i="16"/>
  <c r="H495" i="16"/>
  <c r="H494" i="16"/>
  <c r="H493" i="16"/>
  <c r="H492" i="16"/>
  <c r="E491" i="16"/>
  <c r="H490" i="16"/>
  <c r="H489" i="16"/>
  <c r="H488" i="16"/>
  <c r="H487" i="16"/>
  <c r="H486" i="16"/>
  <c r="H485" i="16"/>
  <c r="H484" i="16"/>
  <c r="H483" i="16"/>
  <c r="H482" i="16"/>
  <c r="H481" i="16"/>
  <c r="H480" i="16"/>
  <c r="H479" i="16"/>
  <c r="H478" i="16"/>
  <c r="H477" i="16"/>
  <c r="H476" i="16"/>
  <c r="H475" i="16"/>
  <c r="H474" i="16"/>
  <c r="H473" i="16"/>
  <c r="H472" i="16"/>
  <c r="H471" i="16"/>
  <c r="H470" i="16"/>
  <c r="H469" i="16"/>
  <c r="H468" i="16"/>
  <c r="H467" i="16"/>
  <c r="H466" i="16"/>
  <c r="H465" i="16"/>
  <c r="H464" i="16"/>
  <c r="H463" i="16"/>
  <c r="H462" i="16"/>
  <c r="E459" i="16"/>
  <c r="H458" i="16"/>
  <c r="H457" i="16"/>
  <c r="H456" i="16"/>
  <c r="H455" i="16"/>
  <c r="E454" i="16"/>
  <c r="H453" i="16"/>
  <c r="H452" i="16"/>
  <c r="H451" i="16"/>
  <c r="H450" i="16"/>
  <c r="H449" i="16"/>
  <c r="H448" i="16"/>
  <c r="E447" i="16"/>
  <c r="H446" i="16"/>
  <c r="H445" i="16"/>
  <c r="H444" i="16"/>
  <c r="H443" i="16"/>
  <c r="H442" i="16"/>
  <c r="H441" i="16"/>
  <c r="H440" i="16"/>
  <c r="H439" i="16"/>
  <c r="H438" i="16"/>
  <c r="H437" i="16"/>
  <c r="H436" i="16"/>
  <c r="H435" i="16"/>
  <c r="H434" i="16"/>
  <c r="H433" i="16"/>
  <c r="H432" i="16"/>
  <c r="E323" i="17"/>
  <c r="H322" i="17"/>
  <c r="H323" i="17" s="1"/>
  <c r="G322" i="17"/>
  <c r="G323" i="17" s="1"/>
  <c r="D322" i="17"/>
  <c r="D323" i="17" s="1"/>
  <c r="P321" i="17"/>
  <c r="F321" i="17"/>
  <c r="I321" i="17" s="1"/>
  <c r="P320" i="17"/>
  <c r="F320" i="17"/>
  <c r="I320" i="17" s="1"/>
  <c r="P319" i="17"/>
  <c r="F319" i="17"/>
  <c r="I319" i="17" s="1"/>
  <c r="P318" i="17"/>
  <c r="F318" i="17"/>
  <c r="I318" i="17" s="1"/>
  <c r="P317" i="17"/>
  <c r="F317" i="17"/>
  <c r="I317" i="17" s="1"/>
  <c r="P316" i="17"/>
  <c r="F316" i="17"/>
  <c r="I316" i="17" s="1"/>
  <c r="P315" i="17"/>
  <c r="F315" i="17"/>
  <c r="I315" i="17" s="1"/>
  <c r="P314" i="17"/>
  <c r="F314" i="17"/>
  <c r="I314" i="17" s="1"/>
  <c r="P313" i="17"/>
  <c r="F313" i="17"/>
  <c r="I313" i="17" s="1"/>
  <c r="P312" i="17"/>
  <c r="F312" i="17"/>
  <c r="I312" i="17" s="1"/>
  <c r="P311" i="17"/>
  <c r="F311" i="17"/>
  <c r="I311" i="17" s="1"/>
  <c r="P310" i="17"/>
  <c r="F310" i="17"/>
  <c r="I310" i="17" s="1"/>
  <c r="P309" i="17"/>
  <c r="F309" i="17"/>
  <c r="I309" i="17" s="1"/>
  <c r="P308" i="17"/>
  <c r="F308" i="17"/>
  <c r="I308" i="17" s="1"/>
  <c r="P307" i="17"/>
  <c r="F307" i="17"/>
  <c r="I307" i="17" s="1"/>
  <c r="P306" i="17"/>
  <c r="F306" i="17"/>
  <c r="I306" i="17" s="1"/>
  <c r="P305" i="17"/>
  <c r="F305" i="17"/>
  <c r="I305" i="17" s="1"/>
  <c r="P304" i="17"/>
  <c r="F304" i="17"/>
  <c r="I304" i="17" s="1"/>
  <c r="P303" i="17"/>
  <c r="F303" i="17"/>
  <c r="I303" i="17" s="1"/>
  <c r="P302" i="17"/>
  <c r="F302" i="17"/>
  <c r="I302" i="17" s="1"/>
  <c r="P301" i="17"/>
  <c r="F301" i="17"/>
  <c r="I301" i="17" s="1"/>
  <c r="P300" i="17"/>
  <c r="F300" i="17"/>
  <c r="I300" i="17" s="1"/>
  <c r="P299" i="17"/>
  <c r="F299" i="17"/>
  <c r="I299" i="17" s="1"/>
  <c r="P298" i="17"/>
  <c r="F298" i="17"/>
  <c r="I298" i="17" s="1"/>
  <c r="P297" i="17"/>
  <c r="F297" i="17"/>
  <c r="I297" i="17" s="1"/>
  <c r="P296" i="17"/>
  <c r="F296" i="17"/>
  <c r="P295" i="17"/>
  <c r="F295" i="17"/>
  <c r="I295" i="17" s="1"/>
  <c r="P294" i="17"/>
  <c r="F294" i="17"/>
  <c r="I294" i="17" s="1"/>
  <c r="P293" i="17"/>
  <c r="F293" i="17"/>
  <c r="I293" i="17" s="1"/>
  <c r="P292" i="17"/>
  <c r="F292" i="17"/>
  <c r="I292" i="17" s="1"/>
  <c r="P291" i="17"/>
  <c r="F291" i="17"/>
  <c r="I291" i="17" s="1"/>
  <c r="P290" i="17"/>
  <c r="I290" i="17"/>
  <c r="F290" i="17"/>
  <c r="H289" i="17"/>
  <c r="E289" i="17"/>
  <c r="D289" i="17"/>
  <c r="H288" i="17"/>
  <c r="G288" i="17"/>
  <c r="G289" i="17" s="1"/>
  <c r="P287" i="17"/>
  <c r="F287" i="17"/>
  <c r="I287" i="17" s="1"/>
  <c r="P286" i="17"/>
  <c r="F286" i="17"/>
  <c r="I286" i="17" s="1"/>
  <c r="P285" i="17"/>
  <c r="F285" i="17"/>
  <c r="I285" i="17" s="1"/>
  <c r="P284" i="17"/>
  <c r="F284" i="17"/>
  <c r="I284" i="17" s="1"/>
  <c r="P283" i="17"/>
  <c r="F283" i="17"/>
  <c r="I283" i="17" s="1"/>
  <c r="P282" i="17"/>
  <c r="F282" i="17"/>
  <c r="I282" i="17" s="1"/>
  <c r="P281" i="17"/>
  <c r="I281" i="17"/>
  <c r="F281" i="17"/>
  <c r="E280" i="17"/>
  <c r="H279" i="17"/>
  <c r="G279" i="17"/>
  <c r="D279" i="17"/>
  <c r="P278" i="17"/>
  <c r="F278" i="17"/>
  <c r="I278" i="17" s="1"/>
  <c r="P277" i="17"/>
  <c r="F277" i="17"/>
  <c r="I277" i="17" s="1"/>
  <c r="P276" i="17"/>
  <c r="F276" i="17"/>
  <c r="I276" i="17" s="1"/>
  <c r="P275" i="17"/>
  <c r="F275" i="17"/>
  <c r="I275" i="17" s="1"/>
  <c r="P274" i="17"/>
  <c r="F274" i="17"/>
  <c r="I274" i="17" s="1"/>
  <c r="P273" i="17"/>
  <c r="F273" i="17"/>
  <c r="I273" i="17" s="1"/>
  <c r="P272" i="17"/>
  <c r="F272" i="17"/>
  <c r="I272" i="17" s="1"/>
  <c r="H271" i="17"/>
  <c r="G271" i="17"/>
  <c r="D271" i="17"/>
  <c r="P270" i="17"/>
  <c r="F270" i="17"/>
  <c r="I270" i="17" s="1"/>
  <c r="P269" i="17"/>
  <c r="F269" i="17"/>
  <c r="I269" i="17" s="1"/>
  <c r="P268" i="17"/>
  <c r="F268" i="17"/>
  <c r="I268" i="17" s="1"/>
  <c r="P267" i="17"/>
  <c r="F267" i="17"/>
  <c r="I267" i="17" s="1"/>
  <c r="P266" i="17"/>
  <c r="F266" i="17"/>
  <c r="I266" i="17" s="1"/>
  <c r="F575" i="13"/>
  <c r="F574" i="13"/>
  <c r="F572" i="13"/>
  <c r="I572" i="13" s="1"/>
  <c r="F571" i="13"/>
  <c r="F570" i="13"/>
  <c r="F568" i="13"/>
  <c r="I568" i="13" s="1"/>
  <c r="F567" i="13"/>
  <c r="I567" i="13" s="1"/>
  <c r="F566" i="13"/>
  <c r="I566" i="13" s="1"/>
  <c r="F565" i="13"/>
  <c r="F563" i="13"/>
  <c r="F562" i="13"/>
  <c r="F560" i="13"/>
  <c r="I560" i="13" s="1"/>
  <c r="F559" i="13"/>
  <c r="I559" i="13" s="1"/>
  <c r="F558" i="13"/>
  <c r="F557" i="13"/>
  <c r="F555" i="13"/>
  <c r="I555" i="13" s="1"/>
  <c r="F554" i="13"/>
  <c r="I554" i="13" s="1"/>
  <c r="F553" i="13"/>
  <c r="F550" i="13"/>
  <c r="G550" i="13" s="1"/>
  <c r="J550" i="13" s="1"/>
  <c r="F547" i="13"/>
  <c r="F546" i="13"/>
  <c r="I546" i="13" s="1"/>
  <c r="F545" i="13"/>
  <c r="I545" i="13" s="1"/>
  <c r="F544" i="13"/>
  <c r="I544" i="13" s="1"/>
  <c r="F543" i="13"/>
  <c r="F542" i="13"/>
  <c r="F540" i="13"/>
  <c r="I540" i="13" s="1"/>
  <c r="F539" i="13"/>
  <c r="F538" i="13"/>
  <c r="F535" i="13"/>
  <c r="I535" i="13" s="1"/>
  <c r="F534" i="13"/>
  <c r="F533" i="13"/>
  <c r="I533" i="13" s="1"/>
  <c r="F532" i="13"/>
  <c r="I532" i="13" s="1"/>
  <c r="F531" i="13"/>
  <c r="I531" i="13" s="1"/>
  <c r="F530" i="13"/>
  <c r="F529" i="13"/>
  <c r="F527" i="13"/>
  <c r="F526" i="13"/>
  <c r="I526" i="13" s="1"/>
  <c r="F525" i="13"/>
  <c r="I525" i="13" s="1"/>
  <c r="F524" i="13"/>
  <c r="I524" i="13" s="1"/>
  <c r="F523" i="13"/>
  <c r="F522" i="13"/>
  <c r="I522" i="13" s="1"/>
  <c r="F521" i="13"/>
  <c r="I521" i="13" s="1"/>
  <c r="F520" i="13"/>
  <c r="I520" i="13" s="1"/>
  <c r="F519" i="13"/>
  <c r="I519" i="13" s="1"/>
  <c r="F518" i="13"/>
  <c r="F514" i="13"/>
  <c r="I514" i="13" s="1"/>
  <c r="F513" i="13"/>
  <c r="I513" i="13" s="1"/>
  <c r="F512" i="13"/>
  <c r="I512" i="13" s="1"/>
  <c r="F511" i="13"/>
  <c r="I511" i="13" s="1"/>
  <c r="F510" i="13"/>
  <c r="I510" i="13" s="1"/>
  <c r="F509" i="13"/>
  <c r="I509" i="13" s="1"/>
  <c r="F508" i="13"/>
  <c r="I508" i="13" s="1"/>
  <c r="F507" i="13"/>
  <c r="I507" i="13" s="1"/>
  <c r="F506" i="13"/>
  <c r="F504" i="13"/>
  <c r="I504" i="13" s="1"/>
  <c r="F503" i="13"/>
  <c r="I503" i="13" s="1"/>
  <c r="F502" i="13"/>
  <c r="I502" i="13" s="1"/>
  <c r="F501" i="13"/>
  <c r="F498" i="13"/>
  <c r="I498" i="13" s="1"/>
  <c r="F497" i="13"/>
  <c r="I497" i="13" s="1"/>
  <c r="F496" i="13"/>
  <c r="F494" i="13"/>
  <c r="I494" i="13" s="1"/>
  <c r="F493" i="13"/>
  <c r="I493" i="13" s="1"/>
  <c r="F492" i="13"/>
  <c r="F490" i="13"/>
  <c r="I490" i="13" s="1"/>
  <c r="F489" i="13"/>
  <c r="I489" i="13" s="1"/>
  <c r="F488" i="13"/>
  <c r="I488" i="13" s="1"/>
  <c r="F487" i="13"/>
  <c r="I487" i="13" s="1"/>
  <c r="F486" i="13"/>
  <c r="I486" i="13" s="1"/>
  <c r="F485" i="13"/>
  <c r="I485" i="13" s="1"/>
  <c r="F484" i="13"/>
  <c r="F482" i="13"/>
  <c r="I482" i="13" s="1"/>
  <c r="F481" i="13"/>
  <c r="I481" i="13" s="1"/>
  <c r="F480" i="13"/>
  <c r="I480" i="13" s="1"/>
  <c r="F479" i="13"/>
  <c r="I479" i="13" s="1"/>
  <c r="F478" i="13"/>
  <c r="I478" i="13" s="1"/>
  <c r="F477" i="13"/>
  <c r="I477" i="13" s="1"/>
  <c r="F476" i="13"/>
  <c r="F474" i="13"/>
  <c r="I474" i="13" s="1"/>
  <c r="F473" i="13"/>
  <c r="I473" i="13" s="1"/>
  <c r="F472" i="13"/>
  <c r="I472" i="13" s="1"/>
  <c r="F471" i="13"/>
  <c r="J576" i="13"/>
  <c r="I576" i="13"/>
  <c r="G576" i="13"/>
  <c r="F576" i="13"/>
  <c r="I563" i="13"/>
  <c r="I558" i="13"/>
  <c r="I547" i="13"/>
  <c r="I543" i="13"/>
  <c r="I534" i="13"/>
  <c r="I527" i="13"/>
  <c r="I523" i="13"/>
  <c r="F572" i="1"/>
  <c r="F573" i="1" s="1"/>
  <c r="I571" i="1"/>
  <c r="H571" i="1"/>
  <c r="E571" i="1"/>
  <c r="G570" i="1"/>
  <c r="J570" i="1" s="1"/>
  <c r="G569" i="1"/>
  <c r="J569" i="1" s="1"/>
  <c r="I568" i="1"/>
  <c r="H568" i="1"/>
  <c r="G567" i="1"/>
  <c r="J567" i="1" s="1"/>
  <c r="E567" i="1"/>
  <c r="G566" i="1"/>
  <c r="J566" i="1" s="1"/>
  <c r="E566" i="1"/>
  <c r="G565" i="1"/>
  <c r="J565" i="1" s="1"/>
  <c r="I564" i="1"/>
  <c r="H564" i="1"/>
  <c r="G563" i="1"/>
  <c r="J563" i="1" s="1"/>
  <c r="G562" i="1"/>
  <c r="J562" i="1" s="1"/>
  <c r="G561" i="1"/>
  <c r="J561" i="1" s="1"/>
  <c r="E561" i="1"/>
  <c r="G560" i="1"/>
  <c r="J560" i="1" s="1"/>
  <c r="G559" i="1"/>
  <c r="E559" i="1"/>
  <c r="I558" i="1"/>
  <c r="H558" i="1"/>
  <c r="E558" i="1"/>
  <c r="G557" i="1"/>
  <c r="J557" i="1" s="1"/>
  <c r="G556" i="1"/>
  <c r="J556" i="1" s="1"/>
  <c r="I555" i="1"/>
  <c r="H555" i="1"/>
  <c r="E555" i="1"/>
  <c r="G554" i="1"/>
  <c r="J554" i="1" s="1"/>
  <c r="G553" i="1"/>
  <c r="J553" i="1" s="1"/>
  <c r="G552" i="1"/>
  <c r="J552" i="1" s="1"/>
  <c r="G551" i="1"/>
  <c r="J551" i="1" s="1"/>
  <c r="I550" i="1"/>
  <c r="H550" i="1"/>
  <c r="E550" i="1"/>
  <c r="G549" i="1"/>
  <c r="J549" i="1" s="1"/>
  <c r="G548" i="1"/>
  <c r="J548" i="1" s="1"/>
  <c r="G547" i="1"/>
  <c r="J547" i="1" s="1"/>
  <c r="F545" i="1"/>
  <c r="F546" i="1" s="1"/>
  <c r="G544" i="1"/>
  <c r="J544" i="1" s="1"/>
  <c r="I542" i="1"/>
  <c r="H542" i="1"/>
  <c r="E542" i="1"/>
  <c r="E543" i="1" s="1"/>
  <c r="G541" i="1"/>
  <c r="J541" i="1" s="1"/>
  <c r="J540" i="1"/>
  <c r="G539" i="1"/>
  <c r="J539" i="1" s="1"/>
  <c r="J538" i="1"/>
  <c r="G537" i="1"/>
  <c r="J537" i="1" s="1"/>
  <c r="G536" i="1"/>
  <c r="I535" i="1"/>
  <c r="H535" i="1"/>
  <c r="H543" i="1" s="1"/>
  <c r="E535" i="1"/>
  <c r="G534" i="1"/>
  <c r="J534" i="1" s="1"/>
  <c r="G533" i="1"/>
  <c r="J533" i="1" s="1"/>
  <c r="G532" i="1"/>
  <c r="I530" i="1"/>
  <c r="H530" i="1"/>
  <c r="E530" i="1"/>
  <c r="G529" i="1"/>
  <c r="J529" i="1" s="1"/>
  <c r="J528" i="1"/>
  <c r="G527" i="1"/>
  <c r="J527" i="1" s="1"/>
  <c r="G526" i="1"/>
  <c r="J526" i="1" s="1"/>
  <c r="G525" i="1"/>
  <c r="J525" i="1" s="1"/>
  <c r="G524" i="1"/>
  <c r="J524" i="1" s="1"/>
  <c r="G523" i="1"/>
  <c r="J523" i="1" s="1"/>
  <c r="I522" i="1"/>
  <c r="H522" i="1"/>
  <c r="H531" i="1" s="1"/>
  <c r="E522" i="1"/>
  <c r="G521" i="1"/>
  <c r="J521" i="1" s="1"/>
  <c r="G520" i="1"/>
  <c r="J520" i="1" s="1"/>
  <c r="G519" i="1"/>
  <c r="J519" i="1" s="1"/>
  <c r="G518" i="1"/>
  <c r="J518" i="1" s="1"/>
  <c r="G517" i="1"/>
  <c r="J517" i="1" s="1"/>
  <c r="G516" i="1"/>
  <c r="J516" i="1" s="1"/>
  <c r="G515" i="1"/>
  <c r="J515" i="1" s="1"/>
  <c r="G514" i="1"/>
  <c r="J514" i="1" s="1"/>
  <c r="G513" i="1"/>
  <c r="J513" i="1" s="1"/>
  <c r="G512" i="1"/>
  <c r="J512" i="1" s="1"/>
  <c r="F510" i="1"/>
  <c r="I509" i="1"/>
  <c r="M509" i="1" s="1"/>
  <c r="H509" i="1"/>
  <c r="L509" i="1" s="1"/>
  <c r="E509" i="1"/>
  <c r="G508" i="1"/>
  <c r="J508" i="1" s="1"/>
  <c r="G507" i="1"/>
  <c r="J507" i="1" s="1"/>
  <c r="G506" i="1"/>
  <c r="J506" i="1" s="1"/>
  <c r="G505" i="1"/>
  <c r="J505" i="1" s="1"/>
  <c r="G504" i="1"/>
  <c r="J504" i="1" s="1"/>
  <c r="G503" i="1"/>
  <c r="J503" i="1" s="1"/>
  <c r="G502" i="1"/>
  <c r="J502" i="1" s="1"/>
  <c r="G501" i="1"/>
  <c r="J501" i="1" s="1"/>
  <c r="G500" i="1"/>
  <c r="J500" i="1" s="1"/>
  <c r="I499" i="1"/>
  <c r="I510" i="1" s="1"/>
  <c r="H499" i="1"/>
  <c r="H510" i="1" s="1"/>
  <c r="E499" i="1"/>
  <c r="E510" i="1" s="1"/>
  <c r="C76" i="15" s="1"/>
  <c r="G498" i="1"/>
  <c r="J498" i="1" s="1"/>
  <c r="G497" i="1"/>
  <c r="J497" i="1" s="1"/>
  <c r="G496" i="1"/>
  <c r="J496" i="1" s="1"/>
  <c r="G495" i="1"/>
  <c r="I493" i="1"/>
  <c r="H493" i="1"/>
  <c r="E493" i="1"/>
  <c r="G492" i="1"/>
  <c r="J492" i="1" s="1"/>
  <c r="G491" i="1"/>
  <c r="J491" i="1" s="1"/>
  <c r="G490" i="1"/>
  <c r="I489" i="1"/>
  <c r="H489" i="1"/>
  <c r="F489" i="1"/>
  <c r="F494" i="1" s="1"/>
  <c r="F511" i="1" s="1"/>
  <c r="F574" i="1" s="1"/>
  <c r="E489" i="1"/>
  <c r="G488" i="1"/>
  <c r="G487" i="1"/>
  <c r="J487" i="1" s="1"/>
  <c r="G486" i="1"/>
  <c r="G489" i="1" s="1"/>
  <c r="J489" i="1" s="1"/>
  <c r="I485" i="1"/>
  <c r="H485" i="1"/>
  <c r="E485" i="1"/>
  <c r="G484" i="1"/>
  <c r="J484" i="1" s="1"/>
  <c r="G483" i="1"/>
  <c r="J483" i="1" s="1"/>
  <c r="G482" i="1"/>
  <c r="J482" i="1" s="1"/>
  <c r="G481" i="1"/>
  <c r="J481" i="1" s="1"/>
  <c r="G480" i="1"/>
  <c r="J480" i="1" s="1"/>
  <c r="G479" i="1"/>
  <c r="J479" i="1" s="1"/>
  <c r="G478" i="1"/>
  <c r="I477" i="1"/>
  <c r="H477" i="1"/>
  <c r="E477" i="1"/>
  <c r="G476" i="1"/>
  <c r="J476" i="1" s="1"/>
  <c r="G475" i="1"/>
  <c r="J475" i="1" s="1"/>
  <c r="G474" i="1"/>
  <c r="J474" i="1" s="1"/>
  <c r="G473" i="1"/>
  <c r="J473" i="1" s="1"/>
  <c r="G472" i="1"/>
  <c r="J472" i="1" s="1"/>
  <c r="G471" i="1"/>
  <c r="J471" i="1" s="1"/>
  <c r="G470" i="1"/>
  <c r="I469" i="1"/>
  <c r="H469" i="1"/>
  <c r="E469" i="1"/>
  <c r="G468" i="1"/>
  <c r="J468" i="1" s="1"/>
  <c r="G467" i="1"/>
  <c r="J467" i="1" s="1"/>
  <c r="G466" i="1"/>
  <c r="J466" i="1" s="1"/>
  <c r="G465" i="1"/>
  <c r="E494" i="1" l="1"/>
  <c r="E511" i="1" s="1"/>
  <c r="I531" i="1"/>
  <c r="E568" i="1"/>
  <c r="E324" i="17"/>
  <c r="N1765" i="1"/>
  <c r="O1765" i="1"/>
  <c r="I871" i="16"/>
  <c r="F965" i="16"/>
  <c r="M2233" i="1"/>
  <c r="K1882" i="1"/>
  <c r="L1999" i="1"/>
  <c r="G1888" i="13"/>
  <c r="J1888" i="13" s="1"/>
  <c r="D280" i="17"/>
  <c r="F288" i="17"/>
  <c r="I288" i="17" s="1"/>
  <c r="P288" i="17"/>
  <c r="P289" i="17" s="1"/>
  <c r="S233" i="14"/>
  <c r="T239" i="14"/>
  <c r="T228" i="14"/>
  <c r="S236" i="14"/>
  <c r="S237" i="14"/>
  <c r="T234" i="14"/>
  <c r="S227" i="14"/>
  <c r="T227" i="14" s="1"/>
  <c r="S224" i="14"/>
  <c r="T224" i="14" s="1"/>
  <c r="F536" i="13"/>
  <c r="F541" i="13"/>
  <c r="F548" i="13"/>
  <c r="F561" i="13"/>
  <c r="F573" i="13"/>
  <c r="G535" i="1"/>
  <c r="J535" i="1" s="1"/>
  <c r="G542" i="1"/>
  <c r="J542" i="1" s="1"/>
  <c r="F549" i="13"/>
  <c r="F495" i="13"/>
  <c r="I529" i="13"/>
  <c r="I539" i="13"/>
  <c r="I550" i="13"/>
  <c r="I666" i="13"/>
  <c r="I667" i="13" s="1"/>
  <c r="G477" i="1"/>
  <c r="J477" i="1" s="1"/>
  <c r="G485" i="1"/>
  <c r="J485" i="1" s="1"/>
  <c r="G493" i="1"/>
  <c r="J493" i="1" s="1"/>
  <c r="E531" i="1"/>
  <c r="E545" i="1" s="1"/>
  <c r="E546" i="1" s="1"/>
  <c r="C79" i="15" s="1"/>
  <c r="C81" i="15" s="1"/>
  <c r="I543" i="1"/>
  <c r="E564" i="1"/>
  <c r="F556" i="13"/>
  <c r="F505" i="13"/>
  <c r="F515" i="13"/>
  <c r="C75" i="15"/>
  <c r="C78" i="15" s="1"/>
  <c r="G469" i="1"/>
  <c r="J469" i="1" s="1"/>
  <c r="J470" i="1"/>
  <c r="J532" i="1"/>
  <c r="T236" i="14"/>
  <c r="T237" i="14"/>
  <c r="H491" i="16"/>
  <c r="H517" i="16"/>
  <c r="H454" i="16"/>
  <c r="H447" i="16"/>
  <c r="F694" i="13"/>
  <c r="T233" i="14"/>
  <c r="Q232" i="14"/>
  <c r="R232" i="14"/>
  <c r="P232" i="14"/>
  <c r="S231" i="14"/>
  <c r="T231" i="14" s="1"/>
  <c r="F387" i="17"/>
  <c r="I387" i="17" s="1"/>
  <c r="I386" i="17"/>
  <c r="F569" i="13"/>
  <c r="I570" i="13"/>
  <c r="I632" i="13"/>
  <c r="G626" i="1"/>
  <c r="J609" i="1"/>
  <c r="J637" i="1"/>
  <c r="G646" i="1"/>
  <c r="G687" i="1"/>
  <c r="J665" i="1"/>
  <c r="H280" i="17"/>
  <c r="G280" i="17"/>
  <c r="I494" i="1"/>
  <c r="I511" i="1" s="1"/>
  <c r="J486" i="1"/>
  <c r="F564" i="13"/>
  <c r="F528" i="13"/>
  <c r="F537" i="13" s="1"/>
  <c r="N251" i="14"/>
  <c r="R251" i="14" s="1"/>
  <c r="N252" i="14"/>
  <c r="R252" i="14" s="1"/>
  <c r="N253" i="14"/>
  <c r="P253" i="14" s="1"/>
  <c r="N254" i="14"/>
  <c r="R254" i="14" s="1"/>
  <c r="N255" i="14"/>
  <c r="R255" i="14" s="1"/>
  <c r="N256" i="14"/>
  <c r="R256" i="14" s="1"/>
  <c r="N257" i="14"/>
  <c r="P257" i="14" s="1"/>
  <c r="N258" i="14"/>
  <c r="R258" i="14" s="1"/>
  <c r="N260" i="14"/>
  <c r="R260" i="14" s="1"/>
  <c r="N261" i="14"/>
  <c r="R261" i="14" s="1"/>
  <c r="N262" i="14"/>
  <c r="R262" i="14" s="1"/>
  <c r="O247" i="14"/>
  <c r="N247" i="14" s="1"/>
  <c r="M247" i="14"/>
  <c r="O249" i="14"/>
  <c r="N249" i="14" s="1"/>
  <c r="M249" i="14"/>
  <c r="M251" i="14"/>
  <c r="M252" i="14"/>
  <c r="M253" i="14"/>
  <c r="M254" i="14"/>
  <c r="M255" i="14"/>
  <c r="M256" i="14"/>
  <c r="M257" i="14"/>
  <c r="M258" i="14"/>
  <c r="O259" i="14"/>
  <c r="N259" i="14" s="1"/>
  <c r="M259" i="14"/>
  <c r="O248" i="14"/>
  <c r="N248" i="14" s="1"/>
  <c r="M248" i="14"/>
  <c r="L250" i="14"/>
  <c r="K250" i="14" s="1"/>
  <c r="C250" i="14"/>
  <c r="M260" i="14"/>
  <c r="M261" i="14"/>
  <c r="M262" i="14"/>
  <c r="H459" i="16"/>
  <c r="E461" i="16"/>
  <c r="E520" i="16" s="1"/>
  <c r="P322" i="17"/>
  <c r="P323" i="17" s="1"/>
  <c r="P279" i="17"/>
  <c r="F271" i="17"/>
  <c r="F289" i="17"/>
  <c r="I289" i="17" s="1"/>
  <c r="G324" i="17"/>
  <c r="P271" i="17"/>
  <c r="F279" i="17"/>
  <c r="I279" i="17" s="1"/>
  <c r="D324" i="17"/>
  <c r="F322" i="17"/>
  <c r="H324" i="17"/>
  <c r="F499" i="13"/>
  <c r="F491" i="13"/>
  <c r="F483" i="13"/>
  <c r="F475" i="13"/>
  <c r="I530" i="13"/>
  <c r="I536" i="13" s="1"/>
  <c r="I538" i="13"/>
  <c r="I541" i="13" s="1"/>
  <c r="I553" i="13"/>
  <c r="I556" i="13" s="1"/>
  <c r="I571" i="13"/>
  <c r="I573" i="13" s="1"/>
  <c r="I471" i="13"/>
  <c r="I475" i="13" s="1"/>
  <c r="I476" i="13"/>
  <c r="I483" i="13" s="1"/>
  <c r="I484" i="13"/>
  <c r="I491" i="13" s="1"/>
  <c r="I492" i="13"/>
  <c r="I495" i="13" s="1"/>
  <c r="I496" i="13"/>
  <c r="I499" i="13" s="1"/>
  <c r="I501" i="13"/>
  <c r="I505" i="13" s="1"/>
  <c r="I506" i="13"/>
  <c r="I515" i="13" s="1"/>
  <c r="I518" i="13"/>
  <c r="I528" i="13" s="1"/>
  <c r="I542" i="13"/>
  <c r="I548" i="13" s="1"/>
  <c r="I557" i="13"/>
  <c r="I561" i="13" s="1"/>
  <c r="I562" i="13"/>
  <c r="I564" i="13" s="1"/>
  <c r="I565" i="13"/>
  <c r="I569" i="13" s="1"/>
  <c r="H572" i="1"/>
  <c r="H573" i="1" s="1"/>
  <c r="H545" i="1"/>
  <c r="H546" i="1" s="1"/>
  <c r="H494" i="1"/>
  <c r="H511" i="1" s="1"/>
  <c r="J478" i="1"/>
  <c r="J490" i="1"/>
  <c r="G499" i="1"/>
  <c r="J495" i="1"/>
  <c r="I545" i="1"/>
  <c r="I546" i="1" s="1"/>
  <c r="G509" i="1"/>
  <c r="G522" i="1"/>
  <c r="G530" i="1"/>
  <c r="J530" i="1" s="1"/>
  <c r="E572" i="1"/>
  <c r="E573" i="1" s="1"/>
  <c r="G555" i="1"/>
  <c r="J555" i="1" s="1"/>
  <c r="G564" i="1"/>
  <c r="J564" i="1" s="1"/>
  <c r="J559" i="1"/>
  <c r="G571" i="1"/>
  <c r="J571" i="1" s="1"/>
  <c r="J536" i="1"/>
  <c r="G550" i="1"/>
  <c r="I572" i="1"/>
  <c r="I573" i="1" s="1"/>
  <c r="G558" i="1"/>
  <c r="J558" i="1" s="1"/>
  <c r="G568" i="1"/>
  <c r="J568" i="1" s="1"/>
  <c r="H574" i="1" l="1"/>
  <c r="L2116" i="1"/>
  <c r="G2005" i="13"/>
  <c r="J2005" i="13" s="1"/>
  <c r="K1999" i="1"/>
  <c r="I965" i="16"/>
  <c r="F1059" i="16"/>
  <c r="N1882" i="1"/>
  <c r="O1882" i="1"/>
  <c r="P280" i="17"/>
  <c r="P262" i="14"/>
  <c r="R257" i="14"/>
  <c r="Q253" i="14"/>
  <c r="R253" i="14"/>
  <c r="Q257" i="14"/>
  <c r="P251" i="14"/>
  <c r="F551" i="13"/>
  <c r="F552" i="13" s="1"/>
  <c r="F516" i="13"/>
  <c r="G543" i="1"/>
  <c r="J543" i="1" s="1"/>
  <c r="I694" i="13"/>
  <c r="F577" i="13"/>
  <c r="F578" i="13" s="1"/>
  <c r="G494" i="1"/>
  <c r="J494" i="1" s="1"/>
  <c r="E574" i="1"/>
  <c r="C82" i="15"/>
  <c r="C84" i="15" s="1"/>
  <c r="C85" i="15" s="1"/>
  <c r="H461" i="16"/>
  <c r="S232" i="14"/>
  <c r="T232" i="14" s="1"/>
  <c r="Q262" i="14"/>
  <c r="S262" i="14" s="1"/>
  <c r="T262" i="14" s="1"/>
  <c r="P255" i="14"/>
  <c r="Q251" i="14"/>
  <c r="S251" i="14" s="1"/>
  <c r="G660" i="1"/>
  <c r="J646" i="1"/>
  <c r="J626" i="1"/>
  <c r="G688" i="1"/>
  <c r="J687" i="1"/>
  <c r="J688" i="1" s="1"/>
  <c r="Q255" i="14"/>
  <c r="S255" i="14" s="1"/>
  <c r="P324" i="17"/>
  <c r="F500" i="13"/>
  <c r="F517" i="13" s="1"/>
  <c r="P260" i="14"/>
  <c r="Q260" i="14"/>
  <c r="S260" i="14" s="1"/>
  <c r="P261" i="14"/>
  <c r="P258" i="14"/>
  <c r="P256" i="14"/>
  <c r="P254" i="14"/>
  <c r="P252" i="14"/>
  <c r="Q261" i="14"/>
  <c r="S261" i="14" s="1"/>
  <c r="Q258" i="14"/>
  <c r="S258" i="14" s="1"/>
  <c r="Q256" i="14"/>
  <c r="S256" i="14" s="1"/>
  <c r="Q254" i="14"/>
  <c r="S254" i="14" s="1"/>
  <c r="Q252" i="14"/>
  <c r="S252" i="14" s="1"/>
  <c r="O250" i="14"/>
  <c r="N250" i="14" s="1"/>
  <c r="M250" i="14"/>
  <c r="Q248" i="14"/>
  <c r="P248" i="14"/>
  <c r="R248" i="14"/>
  <c r="R259" i="14"/>
  <c r="P259" i="14"/>
  <c r="Q259" i="14"/>
  <c r="Q249" i="14"/>
  <c r="R249" i="14"/>
  <c r="P249" i="14"/>
  <c r="Q247" i="14"/>
  <c r="R247" i="14"/>
  <c r="P247" i="14"/>
  <c r="I271" i="17"/>
  <c r="F280" i="17"/>
  <c r="I280" i="17" s="1"/>
  <c r="F323" i="17"/>
  <c r="I322" i="17"/>
  <c r="I537" i="13"/>
  <c r="I516" i="13"/>
  <c r="I549" i="13"/>
  <c r="I500" i="13"/>
  <c r="I577" i="13"/>
  <c r="I578" i="13" s="1"/>
  <c r="I574" i="1"/>
  <c r="J522" i="1"/>
  <c r="G531" i="1"/>
  <c r="G510" i="1"/>
  <c r="J499" i="1"/>
  <c r="G572" i="1"/>
  <c r="J550" i="1"/>
  <c r="D272" i="14"/>
  <c r="N1999" i="1" l="1"/>
  <c r="O1999" i="1"/>
  <c r="F1153" i="16"/>
  <c r="I1059" i="16"/>
  <c r="K2116" i="1"/>
  <c r="L2233" i="1"/>
  <c r="G2122" i="13"/>
  <c r="J2122" i="13" s="1"/>
  <c r="S257" i="14"/>
  <c r="T257" i="14" s="1"/>
  <c r="T255" i="14"/>
  <c r="T261" i="14"/>
  <c r="S253" i="14"/>
  <c r="T253" i="14" s="1"/>
  <c r="S259" i="14"/>
  <c r="T259" i="14" s="1"/>
  <c r="T251" i="14"/>
  <c r="T252" i="14"/>
  <c r="G511" i="1"/>
  <c r="J511" i="1" s="1"/>
  <c r="F579" i="13"/>
  <c r="I517" i="13"/>
  <c r="T260" i="14"/>
  <c r="G661" i="1"/>
  <c r="G689" i="1" s="1"/>
  <c r="J689" i="1" s="1"/>
  <c r="J660" i="1"/>
  <c r="J661" i="1" s="1"/>
  <c r="T256" i="14"/>
  <c r="I551" i="13"/>
  <c r="I552" i="13" s="1"/>
  <c r="T254" i="14"/>
  <c r="T258" i="14"/>
  <c r="S249" i="14"/>
  <c r="T249" i="14" s="1"/>
  <c r="S247" i="14"/>
  <c r="T247" i="14" s="1"/>
  <c r="S248" i="14"/>
  <c r="T248" i="14" s="1"/>
  <c r="R250" i="14"/>
  <c r="P250" i="14"/>
  <c r="Q250" i="14"/>
  <c r="F324" i="17"/>
  <c r="I324" i="17" s="1"/>
  <c r="I323" i="17"/>
  <c r="G573" i="1"/>
  <c r="J572" i="1"/>
  <c r="J573" i="1" s="1"/>
  <c r="J509" i="1"/>
  <c r="J510" i="1"/>
  <c r="G545" i="1"/>
  <c r="J531" i="1"/>
  <c r="E422" i="1"/>
  <c r="E429" i="1"/>
  <c r="E458" i="1"/>
  <c r="E454" i="1"/>
  <c r="E448" i="1"/>
  <c r="E446" i="1"/>
  <c r="E453" i="1"/>
  <c r="I1153" i="16" l="1"/>
  <c r="F1247" i="16"/>
  <c r="G2239" i="13"/>
  <c r="J2239" i="13" s="1"/>
  <c r="K2233" i="1"/>
  <c r="N2116" i="1"/>
  <c r="O2116" i="1"/>
  <c r="S250" i="14"/>
  <c r="T250" i="14" s="1"/>
  <c r="I579" i="13"/>
  <c r="G546" i="1"/>
  <c r="G574" i="1" s="1"/>
  <c r="J545" i="1"/>
  <c r="J546" i="1" s="1"/>
  <c r="L284" i="14"/>
  <c r="K284" i="14" s="1"/>
  <c r="O284" i="14" s="1"/>
  <c r="G284" i="14"/>
  <c r="C284" i="14"/>
  <c r="L283" i="14"/>
  <c r="K283" i="14" s="1"/>
  <c r="O283" i="14" s="1"/>
  <c r="G283" i="14"/>
  <c r="C283" i="14"/>
  <c r="L282" i="14"/>
  <c r="K282" i="14" s="1"/>
  <c r="O282" i="14" s="1"/>
  <c r="G282" i="14"/>
  <c r="C282" i="14"/>
  <c r="L281" i="14"/>
  <c r="K281" i="14" s="1"/>
  <c r="O281" i="14" s="1"/>
  <c r="G281" i="14"/>
  <c r="C281" i="14"/>
  <c r="L280" i="14"/>
  <c r="K280" i="14" s="1"/>
  <c r="O280" i="14" s="1"/>
  <c r="G280" i="14"/>
  <c r="C280" i="14"/>
  <c r="L279" i="14"/>
  <c r="K279" i="14" s="1"/>
  <c r="G279" i="14"/>
  <c r="C279" i="14"/>
  <c r="L278" i="14"/>
  <c r="K278" i="14" s="1"/>
  <c r="M278" i="14" s="1"/>
  <c r="G278" i="14"/>
  <c r="C278" i="14"/>
  <c r="L277" i="14"/>
  <c r="K277" i="14" s="1"/>
  <c r="G277" i="14"/>
  <c r="C277" i="14"/>
  <c r="L276" i="14"/>
  <c r="K276" i="14" s="1"/>
  <c r="M276" i="14" s="1"/>
  <c r="G276" i="14"/>
  <c r="C276" i="14"/>
  <c r="L275" i="14"/>
  <c r="K275" i="14" s="1"/>
  <c r="G275" i="14"/>
  <c r="C275" i="14"/>
  <c r="L274" i="14"/>
  <c r="K274" i="14" s="1"/>
  <c r="M274" i="14" s="1"/>
  <c r="G274" i="14"/>
  <c r="C274" i="14"/>
  <c r="L273" i="14"/>
  <c r="K273" i="14" s="1"/>
  <c r="G273" i="14"/>
  <c r="C273" i="14"/>
  <c r="L272" i="14"/>
  <c r="K272" i="14" s="1"/>
  <c r="M272" i="14" s="1"/>
  <c r="G272" i="14"/>
  <c r="C272" i="14"/>
  <c r="L271" i="14"/>
  <c r="K271" i="14" s="1"/>
  <c r="G271" i="14"/>
  <c r="C271" i="14"/>
  <c r="L270" i="14"/>
  <c r="K270" i="14" s="1"/>
  <c r="M270" i="14" s="1"/>
  <c r="G270" i="14"/>
  <c r="C270" i="14"/>
  <c r="L269" i="14"/>
  <c r="K269" i="14" s="1"/>
  <c r="M269" i="14" s="1"/>
  <c r="G269" i="14"/>
  <c r="C269" i="14"/>
  <c r="E68" i="15"/>
  <c r="E65" i="15"/>
  <c r="E62" i="15"/>
  <c r="H425" i="16"/>
  <c r="F425" i="16"/>
  <c r="I425" i="16" s="1"/>
  <c r="I426" i="16" s="1"/>
  <c r="E424" i="16"/>
  <c r="H423" i="16"/>
  <c r="H422" i="16"/>
  <c r="H421" i="16"/>
  <c r="I421" i="16" s="1"/>
  <c r="H420" i="16"/>
  <c r="H419" i="16"/>
  <c r="H418" i="16"/>
  <c r="H417" i="16"/>
  <c r="H416" i="16"/>
  <c r="H415" i="16"/>
  <c r="H414" i="16"/>
  <c r="H413" i="16"/>
  <c r="H412" i="16"/>
  <c r="H411" i="16"/>
  <c r="H410" i="16"/>
  <c r="H409" i="16"/>
  <c r="H408" i="16"/>
  <c r="H407" i="16"/>
  <c r="H406" i="16"/>
  <c r="H405" i="16"/>
  <c r="H404" i="16"/>
  <c r="H403" i="16"/>
  <c r="H402" i="16"/>
  <c r="H401" i="16"/>
  <c r="H400" i="16"/>
  <c r="H399" i="16"/>
  <c r="E398" i="16"/>
  <c r="H397" i="16"/>
  <c r="H396" i="16"/>
  <c r="H395" i="16"/>
  <c r="H394" i="16"/>
  <c r="H393" i="16"/>
  <c r="H392" i="16"/>
  <c r="H391" i="16"/>
  <c r="H390" i="16"/>
  <c r="H389" i="16"/>
  <c r="H388" i="16"/>
  <c r="H387" i="16"/>
  <c r="H386" i="16"/>
  <c r="H385" i="16"/>
  <c r="H384" i="16"/>
  <c r="H383" i="16"/>
  <c r="H382" i="16"/>
  <c r="H381" i="16"/>
  <c r="H380" i="16"/>
  <c r="H379" i="16"/>
  <c r="H378" i="16"/>
  <c r="H377" i="16"/>
  <c r="H376" i="16"/>
  <c r="H375" i="16"/>
  <c r="H374" i="16"/>
  <c r="H373" i="16"/>
  <c r="H372" i="16"/>
  <c r="H371" i="16"/>
  <c r="H370" i="16"/>
  <c r="H369" i="16"/>
  <c r="I367" i="16"/>
  <c r="E366" i="16"/>
  <c r="H365" i="16"/>
  <c r="H364" i="16"/>
  <c r="H363" i="16"/>
  <c r="H362" i="16"/>
  <c r="E361" i="16"/>
  <c r="H360" i="16"/>
  <c r="H359" i="16"/>
  <c r="H358" i="16"/>
  <c r="H357" i="16"/>
  <c r="H356" i="16"/>
  <c r="H355" i="16"/>
  <c r="E354" i="16"/>
  <c r="H353" i="16"/>
  <c r="H352" i="16"/>
  <c r="H351" i="16"/>
  <c r="H350" i="16"/>
  <c r="H349" i="16"/>
  <c r="H348" i="16"/>
  <c r="H347" i="16"/>
  <c r="H346" i="16"/>
  <c r="H345" i="16"/>
  <c r="H344" i="16"/>
  <c r="H343" i="16"/>
  <c r="H342" i="16"/>
  <c r="H341" i="16"/>
  <c r="H340" i="16"/>
  <c r="H339" i="16"/>
  <c r="E260" i="17"/>
  <c r="H259" i="17"/>
  <c r="H260" i="17" s="1"/>
  <c r="G259" i="17"/>
  <c r="G260" i="17" s="1"/>
  <c r="D259" i="17"/>
  <c r="D260" i="17" s="1"/>
  <c r="P258" i="17"/>
  <c r="F258" i="17"/>
  <c r="I258" i="17" s="1"/>
  <c r="P257" i="17"/>
  <c r="F257" i="17"/>
  <c r="I257" i="17" s="1"/>
  <c r="P256" i="17"/>
  <c r="F256" i="17"/>
  <c r="I256" i="17" s="1"/>
  <c r="P255" i="17"/>
  <c r="F255" i="17"/>
  <c r="I255" i="17" s="1"/>
  <c r="P254" i="17"/>
  <c r="I254" i="17"/>
  <c r="F254" i="17"/>
  <c r="P253" i="17"/>
  <c r="F253" i="17"/>
  <c r="I253" i="17" s="1"/>
  <c r="P252" i="17"/>
  <c r="F252" i="17"/>
  <c r="I252" i="17" s="1"/>
  <c r="P251" i="17"/>
  <c r="F251" i="17"/>
  <c r="I251" i="17" s="1"/>
  <c r="P250" i="17"/>
  <c r="F250" i="17"/>
  <c r="I250" i="17" s="1"/>
  <c r="P249" i="17"/>
  <c r="F249" i="17"/>
  <c r="I249" i="17" s="1"/>
  <c r="P248" i="17"/>
  <c r="F248" i="17"/>
  <c r="I248" i="17" s="1"/>
  <c r="P247" i="17"/>
  <c r="F247" i="17"/>
  <c r="I247" i="17" s="1"/>
  <c r="P246" i="17"/>
  <c r="F246" i="17"/>
  <c r="I246" i="17" s="1"/>
  <c r="P245" i="17"/>
  <c r="F245" i="17"/>
  <c r="I245" i="17" s="1"/>
  <c r="P244" i="17"/>
  <c r="F244" i="17"/>
  <c r="I244" i="17" s="1"/>
  <c r="P243" i="17"/>
  <c r="F243" i="17"/>
  <c r="I243" i="17" s="1"/>
  <c r="P242" i="17"/>
  <c r="F242" i="17"/>
  <c r="I242" i="17" s="1"/>
  <c r="P241" i="17"/>
  <c r="F241" i="17"/>
  <c r="I241" i="17" s="1"/>
  <c r="P240" i="17"/>
  <c r="F240" i="17"/>
  <c r="I240" i="17" s="1"/>
  <c r="P239" i="17"/>
  <c r="F239" i="17"/>
  <c r="I239" i="17" s="1"/>
  <c r="P238" i="17"/>
  <c r="F238" i="17"/>
  <c r="I238" i="17" s="1"/>
  <c r="P237" i="17"/>
  <c r="F237" i="17"/>
  <c r="I237" i="17" s="1"/>
  <c r="P236" i="17"/>
  <c r="F236" i="17"/>
  <c r="I236" i="17" s="1"/>
  <c r="P235" i="17"/>
  <c r="F235" i="17"/>
  <c r="I235" i="17" s="1"/>
  <c r="P234" i="17"/>
  <c r="F234" i="17"/>
  <c r="I234" i="17" s="1"/>
  <c r="P233" i="17"/>
  <c r="F233" i="17"/>
  <c r="P232" i="17"/>
  <c r="F232" i="17"/>
  <c r="I232" i="17" s="1"/>
  <c r="P231" i="17"/>
  <c r="F231" i="17"/>
  <c r="I231" i="17" s="1"/>
  <c r="P230" i="17"/>
  <c r="F230" i="17"/>
  <c r="I230" i="17" s="1"/>
  <c r="P229" i="17"/>
  <c r="F229" i="17"/>
  <c r="I229" i="17" s="1"/>
  <c r="P228" i="17"/>
  <c r="F228" i="17"/>
  <c r="I228" i="17" s="1"/>
  <c r="P227" i="17"/>
  <c r="I227" i="17"/>
  <c r="F227" i="17"/>
  <c r="H226" i="17"/>
  <c r="E226" i="17"/>
  <c r="D226" i="17"/>
  <c r="H225" i="17"/>
  <c r="G225" i="17"/>
  <c r="G226" i="17" s="1"/>
  <c r="P224" i="17"/>
  <c r="F224" i="17"/>
  <c r="I224" i="17" s="1"/>
  <c r="P223" i="17"/>
  <c r="F223" i="17"/>
  <c r="I223" i="17" s="1"/>
  <c r="P222" i="17"/>
  <c r="F222" i="17"/>
  <c r="I222" i="17" s="1"/>
  <c r="P221" i="17"/>
  <c r="F221" i="17"/>
  <c r="I221" i="17" s="1"/>
  <c r="P220" i="17"/>
  <c r="F220" i="17"/>
  <c r="I220" i="17" s="1"/>
  <c r="P219" i="17"/>
  <c r="F219" i="17"/>
  <c r="I219" i="17" s="1"/>
  <c r="P218" i="17"/>
  <c r="F218" i="17"/>
  <c r="I218" i="17" s="1"/>
  <c r="E217" i="17"/>
  <c r="H216" i="17"/>
  <c r="G216" i="17"/>
  <c r="D216" i="17"/>
  <c r="P215" i="17"/>
  <c r="F215" i="17"/>
  <c r="I215" i="17" s="1"/>
  <c r="P214" i="17"/>
  <c r="F214" i="17"/>
  <c r="I214" i="17" s="1"/>
  <c r="P213" i="17"/>
  <c r="F213" i="17"/>
  <c r="I213" i="17" s="1"/>
  <c r="P212" i="17"/>
  <c r="F212" i="17"/>
  <c r="I212" i="17" s="1"/>
  <c r="P211" i="17"/>
  <c r="F211" i="17"/>
  <c r="I211" i="17" s="1"/>
  <c r="P210" i="17"/>
  <c r="F210" i="17"/>
  <c r="I210" i="17" s="1"/>
  <c r="P209" i="17"/>
  <c r="F209" i="17"/>
  <c r="I209" i="17" s="1"/>
  <c r="H208" i="17"/>
  <c r="G208" i="17"/>
  <c r="G217" i="17" s="1"/>
  <c r="D208" i="17"/>
  <c r="P207" i="17"/>
  <c r="F207" i="17"/>
  <c r="I207" i="17" s="1"/>
  <c r="P206" i="17"/>
  <c r="F206" i="17"/>
  <c r="I206" i="17" s="1"/>
  <c r="P205" i="17"/>
  <c r="F205" i="17"/>
  <c r="I205" i="17" s="1"/>
  <c r="P204" i="17"/>
  <c r="F204" i="17"/>
  <c r="I204" i="17" s="1"/>
  <c r="P203" i="17"/>
  <c r="F203" i="17"/>
  <c r="I203" i="17" s="1"/>
  <c r="F461" i="13"/>
  <c r="F460" i="13"/>
  <c r="F458" i="13"/>
  <c r="I458" i="13" s="1"/>
  <c r="F457" i="13"/>
  <c r="I457" i="13" s="1"/>
  <c r="F456" i="13"/>
  <c r="F454" i="13"/>
  <c r="I454" i="13" s="1"/>
  <c r="F453" i="13"/>
  <c r="I453" i="13" s="1"/>
  <c r="F452" i="13"/>
  <c r="I452" i="13" s="1"/>
  <c r="F451" i="13"/>
  <c r="F449" i="13"/>
  <c r="I449" i="13" s="1"/>
  <c r="F448" i="13"/>
  <c r="F446" i="13"/>
  <c r="I446" i="13" s="1"/>
  <c r="F445" i="13"/>
  <c r="I445" i="13" s="1"/>
  <c r="F444" i="13"/>
  <c r="I444" i="13" s="1"/>
  <c r="F443" i="13"/>
  <c r="F441" i="13"/>
  <c r="I441" i="13" s="1"/>
  <c r="F440" i="13"/>
  <c r="F439" i="13"/>
  <c r="F436" i="13"/>
  <c r="I436" i="13" s="1"/>
  <c r="F433" i="13"/>
  <c r="I433" i="13" s="1"/>
  <c r="F432" i="13"/>
  <c r="I432" i="13" s="1"/>
  <c r="F431" i="13"/>
  <c r="I431" i="13" s="1"/>
  <c r="F430" i="13"/>
  <c r="I430" i="13" s="1"/>
  <c r="F429" i="13"/>
  <c r="I429" i="13" s="1"/>
  <c r="F428" i="13"/>
  <c r="F426" i="13"/>
  <c r="F425" i="13"/>
  <c r="F424" i="13"/>
  <c r="I424" i="13" s="1"/>
  <c r="F421" i="13"/>
  <c r="I421" i="13" s="1"/>
  <c r="F420" i="13"/>
  <c r="F419" i="13"/>
  <c r="I419" i="13" s="1"/>
  <c r="F418" i="13"/>
  <c r="I418" i="13" s="1"/>
  <c r="F417" i="13"/>
  <c r="I417" i="13" s="1"/>
  <c r="F416" i="13"/>
  <c r="F415" i="13"/>
  <c r="F413" i="13"/>
  <c r="I413" i="13" s="1"/>
  <c r="F412" i="13"/>
  <c r="I412" i="13" s="1"/>
  <c r="F411" i="13"/>
  <c r="I411" i="13" s="1"/>
  <c r="F410" i="13"/>
  <c r="I410" i="13" s="1"/>
  <c r="F409" i="13"/>
  <c r="I409" i="13" s="1"/>
  <c r="F408" i="13"/>
  <c r="I408" i="13" s="1"/>
  <c r="F407" i="13"/>
  <c r="I407" i="13" s="1"/>
  <c r="F406" i="13"/>
  <c r="I406" i="13" s="1"/>
  <c r="F405" i="13"/>
  <c r="I405" i="13" s="1"/>
  <c r="F404" i="13"/>
  <c r="F400" i="13"/>
  <c r="I400" i="13" s="1"/>
  <c r="F399" i="13"/>
  <c r="F398" i="13"/>
  <c r="I398" i="13" s="1"/>
  <c r="F397" i="13"/>
  <c r="I397" i="13" s="1"/>
  <c r="F396" i="13"/>
  <c r="I396" i="13" s="1"/>
  <c r="F395" i="13"/>
  <c r="I395" i="13" s="1"/>
  <c r="F394" i="13"/>
  <c r="I394" i="13" s="1"/>
  <c r="F393" i="13"/>
  <c r="I393" i="13" s="1"/>
  <c r="F392" i="13"/>
  <c r="F390" i="13"/>
  <c r="I390" i="13" s="1"/>
  <c r="F389" i="13"/>
  <c r="I389" i="13" s="1"/>
  <c r="F388" i="13"/>
  <c r="I388" i="13" s="1"/>
  <c r="F387" i="13"/>
  <c r="F384" i="13"/>
  <c r="I384" i="13" s="1"/>
  <c r="F383" i="13"/>
  <c r="I383" i="13" s="1"/>
  <c r="F382" i="13"/>
  <c r="F380" i="13"/>
  <c r="F379" i="13"/>
  <c r="I379" i="13" s="1"/>
  <c r="F378" i="13"/>
  <c r="F376" i="13"/>
  <c r="I376" i="13" s="1"/>
  <c r="F375" i="13"/>
  <c r="I375" i="13" s="1"/>
  <c r="F374" i="13"/>
  <c r="I374" i="13" s="1"/>
  <c r="F373" i="13"/>
  <c r="I373" i="13" s="1"/>
  <c r="F372" i="13"/>
  <c r="I372" i="13" s="1"/>
  <c r="F371" i="13"/>
  <c r="I371" i="13" s="1"/>
  <c r="F370" i="13"/>
  <c r="F368" i="13"/>
  <c r="I368" i="13" s="1"/>
  <c r="F367" i="13"/>
  <c r="I367" i="13" s="1"/>
  <c r="F366" i="13"/>
  <c r="I366" i="13" s="1"/>
  <c r="F365" i="13"/>
  <c r="I365" i="13" s="1"/>
  <c r="F364" i="13"/>
  <c r="I364" i="13" s="1"/>
  <c r="F363" i="13"/>
  <c r="I363" i="13" s="1"/>
  <c r="F362" i="13"/>
  <c r="F360" i="13"/>
  <c r="I360" i="13" s="1"/>
  <c r="F359" i="13"/>
  <c r="I359" i="13" s="1"/>
  <c r="F358" i="13"/>
  <c r="I358" i="13" s="1"/>
  <c r="F357" i="13"/>
  <c r="J462" i="13"/>
  <c r="I462" i="13"/>
  <c r="I426" i="13"/>
  <c r="I420" i="13"/>
  <c r="I416" i="13"/>
  <c r="I380" i="13"/>
  <c r="F459" i="1"/>
  <c r="F460" i="1" s="1"/>
  <c r="I458" i="1"/>
  <c r="H458" i="1"/>
  <c r="G457" i="1"/>
  <c r="J457" i="1" s="1"/>
  <c r="G456" i="1"/>
  <c r="J456" i="1" s="1"/>
  <c r="I455" i="1"/>
  <c r="H455" i="1"/>
  <c r="E455" i="1"/>
  <c r="G454" i="1"/>
  <c r="J454" i="1" s="1"/>
  <c r="G453" i="1"/>
  <c r="J453" i="1" s="1"/>
  <c r="G452" i="1"/>
  <c r="J452" i="1" s="1"/>
  <c r="I451" i="1"/>
  <c r="H451" i="1"/>
  <c r="E451" i="1"/>
  <c r="G450" i="1"/>
  <c r="J450" i="1" s="1"/>
  <c r="G449" i="1"/>
  <c r="J449" i="1" s="1"/>
  <c r="G448" i="1"/>
  <c r="J448" i="1" s="1"/>
  <c r="G447" i="1"/>
  <c r="J447" i="1" s="1"/>
  <c r="G446" i="1"/>
  <c r="J446" i="1" s="1"/>
  <c r="I445" i="1"/>
  <c r="H445" i="1"/>
  <c r="E445" i="1"/>
  <c r="G444" i="1"/>
  <c r="J444" i="1" s="1"/>
  <c r="G443" i="1"/>
  <c r="I442" i="1"/>
  <c r="H442" i="1"/>
  <c r="E442" i="1"/>
  <c r="G441" i="1"/>
  <c r="J441" i="1" s="1"/>
  <c r="G440" i="1"/>
  <c r="J440" i="1" s="1"/>
  <c r="G439" i="1"/>
  <c r="J439" i="1" s="1"/>
  <c r="G438" i="1"/>
  <c r="I437" i="1"/>
  <c r="H437" i="1"/>
  <c r="E437" i="1"/>
  <c r="G436" i="1"/>
  <c r="J436" i="1" s="1"/>
  <c r="G435" i="1"/>
  <c r="J435" i="1" s="1"/>
  <c r="G434" i="1"/>
  <c r="J434" i="1" s="1"/>
  <c r="F432" i="1"/>
  <c r="F433" i="1" s="1"/>
  <c r="G431" i="1"/>
  <c r="J431" i="1" s="1"/>
  <c r="I429" i="1"/>
  <c r="H429" i="1"/>
  <c r="E430" i="1"/>
  <c r="G428" i="1"/>
  <c r="J428" i="1" s="1"/>
  <c r="J427" i="1"/>
  <c r="G426" i="1"/>
  <c r="J426" i="1" s="1"/>
  <c r="J425" i="1"/>
  <c r="G424" i="1"/>
  <c r="J424" i="1" s="1"/>
  <c r="G423" i="1"/>
  <c r="J423" i="1" s="1"/>
  <c r="I422" i="1"/>
  <c r="H422" i="1"/>
  <c r="G421" i="1"/>
  <c r="J421" i="1" s="1"/>
  <c r="G420" i="1"/>
  <c r="J420" i="1" s="1"/>
  <c r="G419" i="1"/>
  <c r="J419" i="1" s="1"/>
  <c r="I417" i="1"/>
  <c r="H417" i="1"/>
  <c r="E417" i="1"/>
  <c r="G416" i="1"/>
  <c r="J416" i="1" s="1"/>
  <c r="J415" i="1"/>
  <c r="G414" i="1"/>
  <c r="J414" i="1" s="1"/>
  <c r="G413" i="1"/>
  <c r="J413" i="1" s="1"/>
  <c r="G412" i="1"/>
  <c r="J412" i="1" s="1"/>
  <c r="G411" i="1"/>
  <c r="J411" i="1" s="1"/>
  <c r="G410" i="1"/>
  <c r="J410" i="1" s="1"/>
  <c r="I409" i="1"/>
  <c r="H409" i="1"/>
  <c r="H418" i="1" s="1"/>
  <c r="E409" i="1"/>
  <c r="G408" i="1"/>
  <c r="J408" i="1" s="1"/>
  <c r="G407" i="1"/>
  <c r="J407" i="1" s="1"/>
  <c r="G406" i="1"/>
  <c r="J406" i="1" s="1"/>
  <c r="G405" i="1"/>
  <c r="J405" i="1" s="1"/>
  <c r="G404" i="1"/>
  <c r="J404" i="1" s="1"/>
  <c r="G403" i="1"/>
  <c r="J403" i="1" s="1"/>
  <c r="G402" i="1"/>
  <c r="J402" i="1" s="1"/>
  <c r="G401" i="1"/>
  <c r="J401" i="1" s="1"/>
  <c r="G400" i="1"/>
  <c r="J400" i="1" s="1"/>
  <c r="G399" i="1"/>
  <c r="J399" i="1" s="1"/>
  <c r="F397" i="1"/>
  <c r="I396" i="1"/>
  <c r="M396" i="1" s="1"/>
  <c r="H396" i="1"/>
  <c r="L396" i="1" s="1"/>
  <c r="E396" i="1"/>
  <c r="G395" i="1"/>
  <c r="J395" i="1" s="1"/>
  <c r="G394" i="1"/>
  <c r="J394" i="1" s="1"/>
  <c r="G393" i="1"/>
  <c r="J393" i="1" s="1"/>
  <c r="G392" i="1"/>
  <c r="J392" i="1" s="1"/>
  <c r="G391" i="1"/>
  <c r="J391" i="1" s="1"/>
  <c r="G390" i="1"/>
  <c r="J390" i="1" s="1"/>
  <c r="G389" i="1"/>
  <c r="J389" i="1" s="1"/>
  <c r="G388" i="1"/>
  <c r="J388" i="1" s="1"/>
  <c r="G387" i="1"/>
  <c r="J387" i="1" s="1"/>
  <c r="I386" i="1"/>
  <c r="H386" i="1"/>
  <c r="H397" i="1" s="1"/>
  <c r="E386" i="1"/>
  <c r="G385" i="1"/>
  <c r="J385" i="1" s="1"/>
  <c r="G384" i="1"/>
  <c r="J384" i="1" s="1"/>
  <c r="G383" i="1"/>
  <c r="J383" i="1" s="1"/>
  <c r="G382" i="1"/>
  <c r="J382" i="1" s="1"/>
  <c r="I380" i="1"/>
  <c r="H380" i="1"/>
  <c r="E380" i="1"/>
  <c r="G379" i="1"/>
  <c r="J379" i="1" s="1"/>
  <c r="G378" i="1"/>
  <c r="J378" i="1" s="1"/>
  <c r="G377" i="1"/>
  <c r="J377" i="1" s="1"/>
  <c r="I376" i="1"/>
  <c r="H376" i="1"/>
  <c r="F376" i="1"/>
  <c r="F381" i="1" s="1"/>
  <c r="F398" i="1" s="1"/>
  <c r="F461" i="1" s="1"/>
  <c r="E376" i="1"/>
  <c r="G375" i="1"/>
  <c r="G374" i="1"/>
  <c r="J374" i="1" s="1"/>
  <c r="G373" i="1"/>
  <c r="J373" i="1" s="1"/>
  <c r="I372" i="1"/>
  <c r="H372" i="1"/>
  <c r="E372" i="1"/>
  <c r="G371" i="1"/>
  <c r="J371" i="1" s="1"/>
  <c r="G370" i="1"/>
  <c r="J370" i="1" s="1"/>
  <c r="G369" i="1"/>
  <c r="J369" i="1" s="1"/>
  <c r="G368" i="1"/>
  <c r="J368" i="1" s="1"/>
  <c r="G367" i="1"/>
  <c r="J367" i="1" s="1"/>
  <c r="G366" i="1"/>
  <c r="J366" i="1" s="1"/>
  <c r="G365" i="1"/>
  <c r="J365" i="1" s="1"/>
  <c r="I364" i="1"/>
  <c r="H364" i="1"/>
  <c r="E364" i="1"/>
  <c r="G363" i="1"/>
  <c r="J363" i="1" s="1"/>
  <c r="G362" i="1"/>
  <c r="J362" i="1" s="1"/>
  <c r="G361" i="1"/>
  <c r="J361" i="1" s="1"/>
  <c r="G360" i="1"/>
  <c r="J360" i="1" s="1"/>
  <c r="G359" i="1"/>
  <c r="J359" i="1" s="1"/>
  <c r="G358" i="1"/>
  <c r="J358" i="1" s="1"/>
  <c r="G357" i="1"/>
  <c r="J357" i="1" s="1"/>
  <c r="I356" i="1"/>
  <c r="H356" i="1"/>
  <c r="E356" i="1"/>
  <c r="G355" i="1"/>
  <c r="J355" i="1" s="1"/>
  <c r="G354" i="1"/>
  <c r="J354" i="1" s="1"/>
  <c r="G353" i="1"/>
  <c r="J353" i="1" s="1"/>
  <c r="G352" i="1"/>
  <c r="N2233" i="1" l="1"/>
  <c r="O2233" i="1"/>
  <c r="E397" i="1"/>
  <c r="C61" i="15" s="1"/>
  <c r="E261" i="17"/>
  <c r="I430" i="1"/>
  <c r="H217" i="17"/>
  <c r="I1247" i="16"/>
  <c r="F1341" i="16"/>
  <c r="D217" i="17"/>
  <c r="F225" i="17"/>
  <c r="F226" i="17" s="1"/>
  <c r="I226" i="17" s="1"/>
  <c r="F377" i="13"/>
  <c r="F385" i="13"/>
  <c r="F427" i="13"/>
  <c r="F434" i="13"/>
  <c r="G356" i="1"/>
  <c r="F361" i="13"/>
  <c r="F442" i="13"/>
  <c r="I397" i="1"/>
  <c r="F369" i="13"/>
  <c r="F381" i="13"/>
  <c r="F391" i="13"/>
  <c r="F401" i="13"/>
  <c r="F447" i="13"/>
  <c r="F450" i="13"/>
  <c r="G437" i="1"/>
  <c r="J437" i="1" s="1"/>
  <c r="F414" i="13"/>
  <c r="F422" i="13"/>
  <c r="I439" i="13"/>
  <c r="F455" i="13"/>
  <c r="J574" i="1"/>
  <c r="H459" i="1"/>
  <c r="H460" i="1" s="1"/>
  <c r="P225" i="17"/>
  <c r="P226" i="17" s="1"/>
  <c r="H430" i="1"/>
  <c r="H432" i="1" s="1"/>
  <c r="H433" i="1" s="1"/>
  <c r="I418" i="1"/>
  <c r="I432" i="1" s="1"/>
  <c r="I433" i="1" s="1"/>
  <c r="G364" i="1"/>
  <c r="J364" i="1" s="1"/>
  <c r="E418" i="1"/>
  <c r="E432" i="1" s="1"/>
  <c r="E433" i="1" s="1"/>
  <c r="C64" i="15" s="1"/>
  <c r="C66" i="15" s="1"/>
  <c r="O269" i="14"/>
  <c r="N269" i="14" s="1"/>
  <c r="R269" i="14" s="1"/>
  <c r="N280" i="14"/>
  <c r="R280" i="14" s="1"/>
  <c r="N281" i="14"/>
  <c r="R281" i="14" s="1"/>
  <c r="N282" i="14"/>
  <c r="R282" i="14" s="1"/>
  <c r="N283" i="14"/>
  <c r="R283" i="14" s="1"/>
  <c r="N284" i="14"/>
  <c r="R284" i="14" s="1"/>
  <c r="M273" i="14"/>
  <c r="O273" i="14"/>
  <c r="N273" i="14" s="1"/>
  <c r="P273" i="14" s="1"/>
  <c r="M277" i="14"/>
  <c r="O277" i="14"/>
  <c r="N277" i="14" s="1"/>
  <c r="P277" i="14" s="1"/>
  <c r="M271" i="14"/>
  <c r="O271" i="14"/>
  <c r="N271" i="14" s="1"/>
  <c r="P271" i="14" s="1"/>
  <c r="M275" i="14"/>
  <c r="O275" i="14"/>
  <c r="N275" i="14" s="1"/>
  <c r="P275" i="14" s="1"/>
  <c r="M279" i="14"/>
  <c r="O279" i="14"/>
  <c r="N279" i="14" s="1"/>
  <c r="P279" i="14" s="1"/>
  <c r="O270" i="14"/>
  <c r="N270" i="14" s="1"/>
  <c r="R270" i="14" s="1"/>
  <c r="O272" i="14"/>
  <c r="N272" i="14" s="1"/>
  <c r="P272" i="14" s="1"/>
  <c r="O274" i="14"/>
  <c r="N274" i="14" s="1"/>
  <c r="P274" i="14" s="1"/>
  <c r="O276" i="14"/>
  <c r="N276" i="14" s="1"/>
  <c r="P276" i="14" s="1"/>
  <c r="O278" i="14"/>
  <c r="N278" i="14" s="1"/>
  <c r="R278" i="14" s="1"/>
  <c r="R273" i="14"/>
  <c r="R274" i="14"/>
  <c r="M280" i="14"/>
  <c r="M281" i="14"/>
  <c r="M282" i="14"/>
  <c r="M283" i="14"/>
  <c r="M284" i="14"/>
  <c r="E368" i="16"/>
  <c r="E427" i="16" s="1"/>
  <c r="H354" i="16"/>
  <c r="H398" i="16"/>
  <c r="H361" i="16"/>
  <c r="H424" i="16"/>
  <c r="H366" i="16"/>
  <c r="P259" i="17"/>
  <c r="P260" i="17" s="1"/>
  <c r="P216" i="17"/>
  <c r="F208" i="17"/>
  <c r="G261" i="17"/>
  <c r="P208" i="17"/>
  <c r="P217" i="17" s="1"/>
  <c r="F216" i="17"/>
  <c r="I216" i="17" s="1"/>
  <c r="D261" i="17"/>
  <c r="F259" i="17"/>
  <c r="H261" i="17"/>
  <c r="I392" i="13"/>
  <c r="I399" i="13"/>
  <c r="I404" i="13"/>
  <c r="I414" i="13" s="1"/>
  <c r="I415" i="13"/>
  <c r="I422" i="13" s="1"/>
  <c r="I425" i="13"/>
  <c r="I427" i="13" s="1"/>
  <c r="I428" i="13"/>
  <c r="I434" i="13" s="1"/>
  <c r="I440" i="13"/>
  <c r="I443" i="13"/>
  <c r="I447" i="13" s="1"/>
  <c r="I448" i="13"/>
  <c r="I450" i="13" s="1"/>
  <c r="I451" i="13"/>
  <c r="I455" i="13" s="1"/>
  <c r="F459" i="13"/>
  <c r="I357" i="13"/>
  <c r="I361" i="13" s="1"/>
  <c r="I362" i="13"/>
  <c r="I369" i="13" s="1"/>
  <c r="I370" i="13"/>
  <c r="I377" i="13" s="1"/>
  <c r="I378" i="13"/>
  <c r="I381" i="13" s="1"/>
  <c r="I382" i="13"/>
  <c r="I385" i="13" s="1"/>
  <c r="I387" i="13"/>
  <c r="I391" i="13" s="1"/>
  <c r="I456" i="13"/>
  <c r="I459" i="13" s="1"/>
  <c r="I381" i="1"/>
  <c r="I398" i="1" s="1"/>
  <c r="J356" i="1"/>
  <c r="E381" i="1"/>
  <c r="H381" i="1"/>
  <c r="H398" i="1" s="1"/>
  <c r="G372" i="1"/>
  <c r="J372" i="1" s="1"/>
  <c r="G376" i="1"/>
  <c r="J376" i="1" s="1"/>
  <c r="G380" i="1"/>
  <c r="J380" i="1" s="1"/>
  <c r="G386" i="1"/>
  <c r="G396" i="1"/>
  <c r="G409" i="1"/>
  <c r="G417" i="1"/>
  <c r="J417" i="1" s="1"/>
  <c r="G422" i="1"/>
  <c r="J422" i="1" s="1"/>
  <c r="G429" i="1"/>
  <c r="J429" i="1" s="1"/>
  <c r="G458" i="1"/>
  <c r="J458" i="1" s="1"/>
  <c r="E459" i="1"/>
  <c r="E460" i="1" s="1"/>
  <c r="C67" i="15" s="1"/>
  <c r="C69" i="15" s="1"/>
  <c r="I459" i="1"/>
  <c r="I460" i="1" s="1"/>
  <c r="G442" i="1"/>
  <c r="J442" i="1" s="1"/>
  <c r="J438" i="1"/>
  <c r="G445" i="1"/>
  <c r="J445" i="1" s="1"/>
  <c r="J443" i="1"/>
  <c r="G451" i="1"/>
  <c r="J451" i="1" s="1"/>
  <c r="G455" i="1"/>
  <c r="J455" i="1" s="1"/>
  <c r="L305" i="14"/>
  <c r="K305" i="14" s="1"/>
  <c r="O305" i="14" s="1"/>
  <c r="G305" i="14"/>
  <c r="C305" i="14"/>
  <c r="L304" i="14"/>
  <c r="K304" i="14" s="1"/>
  <c r="O304" i="14" s="1"/>
  <c r="G304" i="14"/>
  <c r="C304" i="14"/>
  <c r="L303" i="14"/>
  <c r="K303" i="14" s="1"/>
  <c r="O303" i="14" s="1"/>
  <c r="G303" i="14"/>
  <c r="C303" i="14"/>
  <c r="L302" i="14"/>
  <c r="K302" i="14" s="1"/>
  <c r="G302" i="14"/>
  <c r="C302" i="14"/>
  <c r="L301" i="14"/>
  <c r="K301" i="14" s="1"/>
  <c r="O301" i="14" s="1"/>
  <c r="G301" i="14"/>
  <c r="C301" i="14"/>
  <c r="L300" i="14"/>
  <c r="K300" i="14" s="1"/>
  <c r="O300" i="14" s="1"/>
  <c r="G300" i="14"/>
  <c r="C300" i="14"/>
  <c r="L299" i="14"/>
  <c r="K299" i="14" s="1"/>
  <c r="O299" i="14" s="1"/>
  <c r="G299" i="14"/>
  <c r="C299" i="14"/>
  <c r="L298" i="14"/>
  <c r="K298" i="14" s="1"/>
  <c r="O298" i="14" s="1"/>
  <c r="G298" i="14"/>
  <c r="C298" i="14"/>
  <c r="L297" i="14"/>
  <c r="K297" i="14" s="1"/>
  <c r="O297" i="14" s="1"/>
  <c r="G297" i="14"/>
  <c r="C297" i="14"/>
  <c r="L296" i="14"/>
  <c r="K296" i="14" s="1"/>
  <c r="O296" i="14" s="1"/>
  <c r="G296" i="14"/>
  <c r="C296" i="14"/>
  <c r="L295" i="14"/>
  <c r="K295" i="14" s="1"/>
  <c r="O295" i="14" s="1"/>
  <c r="G295" i="14"/>
  <c r="C295" i="14"/>
  <c r="L294" i="14"/>
  <c r="K294" i="14" s="1"/>
  <c r="O294" i="14" s="1"/>
  <c r="G294" i="14"/>
  <c r="C294" i="14"/>
  <c r="G293" i="14"/>
  <c r="L292" i="14"/>
  <c r="K292" i="14" s="1"/>
  <c r="G292" i="14"/>
  <c r="C292" i="14"/>
  <c r="L291" i="14"/>
  <c r="K291" i="14" s="1"/>
  <c r="G291" i="14"/>
  <c r="C291" i="14"/>
  <c r="L290" i="14"/>
  <c r="K290" i="14" s="1"/>
  <c r="G290" i="14"/>
  <c r="C290" i="14"/>
  <c r="E53" i="15"/>
  <c r="E50" i="15"/>
  <c r="E47" i="15"/>
  <c r="H332" i="16"/>
  <c r="F332" i="16"/>
  <c r="I332" i="16" s="1"/>
  <c r="I333" i="16" s="1"/>
  <c r="E331" i="16"/>
  <c r="H330" i="16"/>
  <c r="H329" i="16"/>
  <c r="H328" i="16"/>
  <c r="I328" i="16" s="1"/>
  <c r="H327" i="16"/>
  <c r="H326" i="16"/>
  <c r="H325" i="16"/>
  <c r="H324" i="16"/>
  <c r="H323" i="16"/>
  <c r="H322" i="16"/>
  <c r="H321" i="16"/>
  <c r="H320" i="16"/>
  <c r="H319" i="16"/>
  <c r="H318" i="16"/>
  <c r="H317" i="16"/>
  <c r="H316" i="16"/>
  <c r="H315" i="16"/>
  <c r="H314" i="16"/>
  <c r="H313" i="16"/>
  <c r="H312" i="16"/>
  <c r="H311" i="16"/>
  <c r="H310" i="16"/>
  <c r="H309" i="16"/>
  <c r="H308" i="16"/>
  <c r="H307" i="16"/>
  <c r="H306" i="16"/>
  <c r="E305" i="16"/>
  <c r="H304" i="16"/>
  <c r="H303" i="16"/>
  <c r="H302" i="16"/>
  <c r="H301" i="16"/>
  <c r="H300" i="16"/>
  <c r="H299" i="16"/>
  <c r="H298" i="16"/>
  <c r="H297" i="16"/>
  <c r="H296" i="16"/>
  <c r="H295" i="16"/>
  <c r="H294" i="16"/>
  <c r="H293" i="16"/>
  <c r="H292" i="16"/>
  <c r="H291" i="16"/>
  <c r="H290" i="16"/>
  <c r="H289" i="16"/>
  <c r="H288" i="16"/>
  <c r="H287" i="16"/>
  <c r="H286" i="16"/>
  <c r="H285" i="16"/>
  <c r="H284" i="16"/>
  <c r="H283" i="16"/>
  <c r="H282" i="16"/>
  <c r="H281" i="16"/>
  <c r="H280" i="16"/>
  <c r="H279" i="16"/>
  <c r="H278" i="16"/>
  <c r="H277" i="16"/>
  <c r="H276" i="16"/>
  <c r="H275" i="16"/>
  <c r="H274" i="16"/>
  <c r="H273" i="16"/>
  <c r="I271" i="16"/>
  <c r="E270" i="16"/>
  <c r="H269" i="16"/>
  <c r="H268" i="16"/>
  <c r="H267" i="16"/>
  <c r="H266" i="16"/>
  <c r="H265" i="16"/>
  <c r="H264" i="16"/>
  <c r="H263" i="16"/>
  <c r="E262" i="16"/>
  <c r="H261" i="16"/>
  <c r="H260" i="16"/>
  <c r="H259" i="16"/>
  <c r="H258" i="16"/>
  <c r="H257" i="16"/>
  <c r="H256" i="16"/>
  <c r="H255" i="16"/>
  <c r="H254" i="16"/>
  <c r="H253" i="16"/>
  <c r="H252" i="16"/>
  <c r="H251" i="16"/>
  <c r="H250" i="16"/>
  <c r="H249" i="16"/>
  <c r="H248" i="16"/>
  <c r="E247" i="16"/>
  <c r="H246" i="16"/>
  <c r="H245" i="16"/>
  <c r="H244" i="16"/>
  <c r="H243" i="16"/>
  <c r="H242" i="16"/>
  <c r="H241" i="16"/>
  <c r="H240" i="16"/>
  <c r="H239" i="16"/>
  <c r="H238" i="16"/>
  <c r="H237" i="16"/>
  <c r="H236" i="16"/>
  <c r="H235" i="16"/>
  <c r="H234" i="16"/>
  <c r="H233" i="16"/>
  <c r="H232" i="16"/>
  <c r="H231" i="16"/>
  <c r="E197" i="17"/>
  <c r="H196" i="17"/>
  <c r="H197" i="17" s="1"/>
  <c r="G196" i="17"/>
  <c r="G197" i="17" s="1"/>
  <c r="D196" i="17"/>
  <c r="D197" i="17" s="1"/>
  <c r="P195" i="17"/>
  <c r="F195" i="17"/>
  <c r="I195" i="17" s="1"/>
  <c r="P194" i="17"/>
  <c r="F194" i="17"/>
  <c r="I194" i="17" s="1"/>
  <c r="P193" i="17"/>
  <c r="F193" i="17"/>
  <c r="I193" i="17" s="1"/>
  <c r="P192" i="17"/>
  <c r="F192" i="17"/>
  <c r="I192" i="17" s="1"/>
  <c r="P191" i="17"/>
  <c r="F191" i="17"/>
  <c r="I191" i="17" s="1"/>
  <c r="P190" i="17"/>
  <c r="F190" i="17"/>
  <c r="I190" i="17" s="1"/>
  <c r="P189" i="17"/>
  <c r="F189" i="17"/>
  <c r="I189" i="17" s="1"/>
  <c r="P188" i="17"/>
  <c r="F188" i="17"/>
  <c r="I188" i="17" s="1"/>
  <c r="P187" i="17"/>
  <c r="F187" i="17"/>
  <c r="I187" i="17" s="1"/>
  <c r="P186" i="17"/>
  <c r="F186" i="17"/>
  <c r="I186" i="17" s="1"/>
  <c r="P185" i="17"/>
  <c r="F185" i="17"/>
  <c r="I185" i="17" s="1"/>
  <c r="P184" i="17"/>
  <c r="F184" i="17"/>
  <c r="I184" i="17" s="1"/>
  <c r="P183" i="17"/>
  <c r="F183" i="17"/>
  <c r="I183" i="17" s="1"/>
  <c r="P182" i="17"/>
  <c r="F182" i="17"/>
  <c r="I182" i="17" s="1"/>
  <c r="P181" i="17"/>
  <c r="F181" i="17"/>
  <c r="I181" i="17" s="1"/>
  <c r="P180" i="17"/>
  <c r="F180" i="17"/>
  <c r="I180" i="17" s="1"/>
  <c r="P179" i="17"/>
  <c r="F179" i="17"/>
  <c r="I179" i="17" s="1"/>
  <c r="P178" i="17"/>
  <c r="F178" i="17"/>
  <c r="I178" i="17" s="1"/>
  <c r="P177" i="17"/>
  <c r="F177" i="17"/>
  <c r="I177" i="17" s="1"/>
  <c r="P176" i="17"/>
  <c r="F176" i="17"/>
  <c r="I176" i="17" s="1"/>
  <c r="P175" i="17"/>
  <c r="F175" i="17"/>
  <c r="I175" i="17" s="1"/>
  <c r="P174" i="17"/>
  <c r="F174" i="17"/>
  <c r="I174" i="17" s="1"/>
  <c r="P173" i="17"/>
  <c r="F173" i="17"/>
  <c r="I173" i="17" s="1"/>
  <c r="P172" i="17"/>
  <c r="F172" i="17"/>
  <c r="I172" i="17" s="1"/>
  <c r="P171" i="17"/>
  <c r="F171" i="17"/>
  <c r="I171" i="17" s="1"/>
  <c r="P170" i="17"/>
  <c r="F170" i="17"/>
  <c r="P169" i="17"/>
  <c r="F169" i="17"/>
  <c r="I169" i="17" s="1"/>
  <c r="P168" i="17"/>
  <c r="F168" i="17"/>
  <c r="I168" i="17" s="1"/>
  <c r="P167" i="17"/>
  <c r="F167" i="17"/>
  <c r="I167" i="17" s="1"/>
  <c r="P166" i="17"/>
  <c r="F166" i="17"/>
  <c r="I166" i="17" s="1"/>
  <c r="P165" i="17"/>
  <c r="F165" i="17"/>
  <c r="I165" i="17" s="1"/>
  <c r="P164" i="17"/>
  <c r="I164" i="17"/>
  <c r="F164" i="17"/>
  <c r="E163" i="17"/>
  <c r="D163" i="17"/>
  <c r="H162" i="17"/>
  <c r="H163" i="17" s="1"/>
  <c r="G162" i="17"/>
  <c r="G163" i="17" s="1"/>
  <c r="P161" i="17"/>
  <c r="F161" i="17"/>
  <c r="I161" i="17" s="1"/>
  <c r="P160" i="17"/>
  <c r="F160" i="17"/>
  <c r="I160" i="17" s="1"/>
  <c r="P159" i="17"/>
  <c r="F159" i="17"/>
  <c r="I159" i="17" s="1"/>
  <c r="P158" i="17"/>
  <c r="F158" i="17"/>
  <c r="I158" i="17" s="1"/>
  <c r="P157" i="17"/>
  <c r="F157" i="17"/>
  <c r="I157" i="17" s="1"/>
  <c r="P156" i="17"/>
  <c r="F156" i="17"/>
  <c r="I156" i="17" s="1"/>
  <c r="P155" i="17"/>
  <c r="F155" i="17"/>
  <c r="I155" i="17" s="1"/>
  <c r="E154" i="17"/>
  <c r="H153" i="17"/>
  <c r="G153" i="17"/>
  <c r="D153" i="17"/>
  <c r="P152" i="17"/>
  <c r="F152" i="17"/>
  <c r="I152" i="17" s="1"/>
  <c r="P151" i="17"/>
  <c r="F151" i="17"/>
  <c r="I151" i="17" s="1"/>
  <c r="P150" i="17"/>
  <c r="F150" i="17"/>
  <c r="I150" i="17" s="1"/>
  <c r="P149" i="17"/>
  <c r="F149" i="17"/>
  <c r="I149" i="17" s="1"/>
  <c r="P148" i="17"/>
  <c r="F148" i="17"/>
  <c r="I148" i="17" s="1"/>
  <c r="P147" i="17"/>
  <c r="F147" i="17"/>
  <c r="I147" i="17" s="1"/>
  <c r="P146" i="17"/>
  <c r="F146" i="17"/>
  <c r="I146" i="17" s="1"/>
  <c r="H145" i="17"/>
  <c r="G145" i="17"/>
  <c r="G154" i="17" s="1"/>
  <c r="D145" i="17"/>
  <c r="P144" i="17"/>
  <c r="F144" i="17"/>
  <c r="I144" i="17" s="1"/>
  <c r="P143" i="17"/>
  <c r="F143" i="17"/>
  <c r="I143" i="17" s="1"/>
  <c r="P142" i="17"/>
  <c r="F142" i="17"/>
  <c r="I142" i="17" s="1"/>
  <c r="P141" i="17"/>
  <c r="F141" i="17"/>
  <c r="I141" i="17" s="1"/>
  <c r="P140" i="17"/>
  <c r="F140" i="17"/>
  <c r="I140" i="17" s="1"/>
  <c r="F347" i="13"/>
  <c r="F346" i="13"/>
  <c r="F344" i="13"/>
  <c r="I344" i="13" s="1"/>
  <c r="F343" i="13"/>
  <c r="F342" i="13"/>
  <c r="I342" i="13" s="1"/>
  <c r="F340" i="13"/>
  <c r="I340" i="13" s="1"/>
  <c r="F339" i="13"/>
  <c r="F338" i="13"/>
  <c r="I338" i="13" s="1"/>
  <c r="F337" i="13"/>
  <c r="F335" i="13"/>
  <c r="I335" i="13" s="1"/>
  <c r="F334" i="13"/>
  <c r="F332" i="13"/>
  <c r="I332" i="13" s="1"/>
  <c r="F331" i="13"/>
  <c r="I331" i="13" s="1"/>
  <c r="F330" i="13"/>
  <c r="I330" i="13" s="1"/>
  <c r="F329" i="13"/>
  <c r="F327" i="13"/>
  <c r="I327" i="13" s="1"/>
  <c r="F326" i="13"/>
  <c r="I326" i="13" s="1"/>
  <c r="F325" i="13"/>
  <c r="F322" i="13"/>
  <c r="I322" i="13" s="1"/>
  <c r="F319" i="13"/>
  <c r="F318" i="13"/>
  <c r="I318" i="13" s="1"/>
  <c r="F317" i="13"/>
  <c r="I317" i="13" s="1"/>
  <c r="F316" i="13"/>
  <c r="I316" i="13" s="1"/>
  <c r="F315" i="13"/>
  <c r="F314" i="13"/>
  <c r="F312" i="13"/>
  <c r="I312" i="13" s="1"/>
  <c r="F311" i="13"/>
  <c r="F310" i="13"/>
  <c r="F307" i="13"/>
  <c r="I307" i="13" s="1"/>
  <c r="F306" i="13"/>
  <c r="I306" i="13" s="1"/>
  <c r="F305" i="13"/>
  <c r="I305" i="13" s="1"/>
  <c r="F304" i="13"/>
  <c r="I304" i="13" s="1"/>
  <c r="F303" i="13"/>
  <c r="I303" i="13" s="1"/>
  <c r="F302" i="13"/>
  <c r="F301" i="13"/>
  <c r="I301" i="13" s="1"/>
  <c r="F299" i="13"/>
  <c r="I299" i="13" s="1"/>
  <c r="F298" i="13"/>
  <c r="I298" i="13" s="1"/>
  <c r="F297" i="13"/>
  <c r="I297" i="13" s="1"/>
  <c r="F296" i="13"/>
  <c r="I296" i="13" s="1"/>
  <c r="F295" i="13"/>
  <c r="I295" i="13" s="1"/>
  <c r="F294" i="13"/>
  <c r="I294" i="13" s="1"/>
  <c r="F293" i="13"/>
  <c r="I293" i="13" s="1"/>
  <c r="F292" i="13"/>
  <c r="I292" i="13" s="1"/>
  <c r="F291" i="13"/>
  <c r="I291" i="13" s="1"/>
  <c r="F290" i="13"/>
  <c r="F286" i="13"/>
  <c r="I286" i="13" s="1"/>
  <c r="F285" i="13"/>
  <c r="I285" i="13" s="1"/>
  <c r="F284" i="13"/>
  <c r="I284" i="13" s="1"/>
  <c r="F283" i="13"/>
  <c r="I283" i="13" s="1"/>
  <c r="F282" i="13"/>
  <c r="I282" i="13" s="1"/>
  <c r="F281" i="13"/>
  <c r="I281" i="13" s="1"/>
  <c r="F280" i="13"/>
  <c r="I280" i="13" s="1"/>
  <c r="F279" i="13"/>
  <c r="I279" i="13" s="1"/>
  <c r="F278" i="13"/>
  <c r="F276" i="13"/>
  <c r="I276" i="13" s="1"/>
  <c r="F275" i="13"/>
  <c r="I275" i="13" s="1"/>
  <c r="F274" i="13"/>
  <c r="F273" i="13"/>
  <c r="F270" i="13"/>
  <c r="I270" i="13" s="1"/>
  <c r="F269" i="13"/>
  <c r="I269" i="13" s="1"/>
  <c r="F268" i="13"/>
  <c r="F266" i="13"/>
  <c r="I266" i="13" s="1"/>
  <c r="F265" i="13"/>
  <c r="I265" i="13" s="1"/>
  <c r="F264" i="13"/>
  <c r="F262" i="13"/>
  <c r="I262" i="13" s="1"/>
  <c r="F261" i="13"/>
  <c r="I261" i="13" s="1"/>
  <c r="F260" i="13"/>
  <c r="I260" i="13" s="1"/>
  <c r="F259" i="13"/>
  <c r="F258" i="13"/>
  <c r="I258" i="13" s="1"/>
  <c r="F257" i="13"/>
  <c r="I257" i="13" s="1"/>
  <c r="F256" i="13"/>
  <c r="F254" i="13"/>
  <c r="I254" i="13" s="1"/>
  <c r="F253" i="13"/>
  <c r="I253" i="13" s="1"/>
  <c r="F252" i="13"/>
  <c r="I252" i="13" s="1"/>
  <c r="F251" i="13"/>
  <c r="I251" i="13" s="1"/>
  <c r="F250" i="13"/>
  <c r="F249" i="13"/>
  <c r="I249" i="13" s="1"/>
  <c r="F248" i="13"/>
  <c r="F246" i="13"/>
  <c r="I246" i="13" s="1"/>
  <c r="F245" i="13"/>
  <c r="I245" i="13" s="1"/>
  <c r="F244" i="13"/>
  <c r="I244" i="13" s="1"/>
  <c r="F243" i="13"/>
  <c r="J348" i="13"/>
  <c r="I348" i="13"/>
  <c r="I339" i="13"/>
  <c r="I319" i="13"/>
  <c r="I315" i="13"/>
  <c r="I259" i="13"/>
  <c r="I250" i="13"/>
  <c r="F346" i="1"/>
  <c r="F347" i="1" s="1"/>
  <c r="I345" i="1"/>
  <c r="H345" i="1"/>
  <c r="G344" i="1"/>
  <c r="J344" i="1" s="1"/>
  <c r="G343" i="1"/>
  <c r="J343" i="1" s="1"/>
  <c r="I342" i="1"/>
  <c r="H342" i="1"/>
  <c r="E342" i="1"/>
  <c r="G341" i="1"/>
  <c r="J341" i="1" s="1"/>
  <c r="G340" i="1"/>
  <c r="J340" i="1" s="1"/>
  <c r="G339" i="1"/>
  <c r="J339" i="1" s="1"/>
  <c r="I338" i="1"/>
  <c r="H338" i="1"/>
  <c r="E338" i="1"/>
  <c r="G337" i="1"/>
  <c r="J337" i="1" s="1"/>
  <c r="G336" i="1"/>
  <c r="J336" i="1" s="1"/>
  <c r="G335" i="1"/>
  <c r="J335" i="1" s="1"/>
  <c r="G334" i="1"/>
  <c r="J334" i="1" s="1"/>
  <c r="G333" i="1"/>
  <c r="J333" i="1" s="1"/>
  <c r="I332" i="1"/>
  <c r="H332" i="1"/>
  <c r="E332" i="1"/>
  <c r="G331" i="1"/>
  <c r="J331" i="1" s="1"/>
  <c r="G330" i="1"/>
  <c r="I329" i="1"/>
  <c r="H329" i="1"/>
  <c r="E329" i="1"/>
  <c r="G328" i="1"/>
  <c r="J328" i="1" s="1"/>
  <c r="G327" i="1"/>
  <c r="J327" i="1" s="1"/>
  <c r="G326" i="1"/>
  <c r="J326" i="1" s="1"/>
  <c r="G325" i="1"/>
  <c r="I324" i="1"/>
  <c r="H324" i="1"/>
  <c r="E324" i="1"/>
  <c r="E346" i="1" s="1"/>
  <c r="E347" i="1" s="1"/>
  <c r="C52" i="15" s="1"/>
  <c r="C54" i="15" s="1"/>
  <c r="G323" i="1"/>
  <c r="J323" i="1" s="1"/>
  <c r="G322" i="1"/>
  <c r="J322" i="1" s="1"/>
  <c r="G321" i="1"/>
  <c r="J321" i="1" s="1"/>
  <c r="F319" i="1"/>
  <c r="F320" i="1" s="1"/>
  <c r="G318" i="1"/>
  <c r="J318" i="1" s="1"/>
  <c r="I316" i="1"/>
  <c r="H316" i="1"/>
  <c r="E316" i="1"/>
  <c r="E317" i="1" s="1"/>
  <c r="G315" i="1"/>
  <c r="J315" i="1" s="1"/>
  <c r="J314" i="1"/>
  <c r="G313" i="1"/>
  <c r="J313" i="1" s="1"/>
  <c r="J312" i="1"/>
  <c r="G311" i="1"/>
  <c r="J311" i="1" s="1"/>
  <c r="G310" i="1"/>
  <c r="I309" i="1"/>
  <c r="I317" i="1" s="1"/>
  <c r="H309" i="1"/>
  <c r="H317" i="1" s="1"/>
  <c r="G308" i="1"/>
  <c r="J308" i="1" s="1"/>
  <c r="G307" i="1"/>
  <c r="J307" i="1" s="1"/>
  <c r="G306" i="1"/>
  <c r="I304" i="1"/>
  <c r="H304" i="1"/>
  <c r="E304" i="1"/>
  <c r="G303" i="1"/>
  <c r="J303" i="1" s="1"/>
  <c r="J302" i="1"/>
  <c r="G301" i="1"/>
  <c r="J301" i="1" s="1"/>
  <c r="G300" i="1"/>
  <c r="J300" i="1" s="1"/>
  <c r="G299" i="1"/>
  <c r="J299" i="1" s="1"/>
  <c r="G298" i="1"/>
  <c r="J298" i="1" s="1"/>
  <c r="G297" i="1"/>
  <c r="I296" i="1"/>
  <c r="H296" i="1"/>
  <c r="E296" i="1"/>
  <c r="G295" i="1"/>
  <c r="J295" i="1" s="1"/>
  <c r="G294" i="1"/>
  <c r="J294" i="1" s="1"/>
  <c r="G293" i="1"/>
  <c r="J293" i="1" s="1"/>
  <c r="G292" i="1"/>
  <c r="J292" i="1" s="1"/>
  <c r="G291" i="1"/>
  <c r="J291" i="1" s="1"/>
  <c r="G290" i="1"/>
  <c r="J290" i="1" s="1"/>
  <c r="G289" i="1"/>
  <c r="J289" i="1" s="1"/>
  <c r="G288" i="1"/>
  <c r="J288" i="1" s="1"/>
  <c r="G287" i="1"/>
  <c r="J287" i="1" s="1"/>
  <c r="G286" i="1"/>
  <c r="F284" i="1"/>
  <c r="I283" i="1"/>
  <c r="M283" i="1" s="1"/>
  <c r="H283" i="1"/>
  <c r="L283" i="1" s="1"/>
  <c r="E283" i="1"/>
  <c r="G282" i="1"/>
  <c r="J282" i="1" s="1"/>
  <c r="G281" i="1"/>
  <c r="J281" i="1" s="1"/>
  <c r="G280" i="1"/>
  <c r="J280" i="1" s="1"/>
  <c r="G279" i="1"/>
  <c r="J279" i="1" s="1"/>
  <c r="G278" i="1"/>
  <c r="J278" i="1" s="1"/>
  <c r="G277" i="1"/>
  <c r="J277" i="1" s="1"/>
  <c r="G276" i="1"/>
  <c r="J276" i="1" s="1"/>
  <c r="G275" i="1"/>
  <c r="J275" i="1" s="1"/>
  <c r="G274" i="1"/>
  <c r="I273" i="1"/>
  <c r="H273" i="1"/>
  <c r="H284" i="1" s="1"/>
  <c r="E273" i="1"/>
  <c r="G272" i="1"/>
  <c r="J272" i="1" s="1"/>
  <c r="G271" i="1"/>
  <c r="J271" i="1" s="1"/>
  <c r="G270" i="1"/>
  <c r="G269" i="1"/>
  <c r="J269" i="1" s="1"/>
  <c r="I267" i="1"/>
  <c r="H267" i="1"/>
  <c r="E267" i="1"/>
  <c r="G266" i="1"/>
  <c r="J266" i="1" s="1"/>
  <c r="G265" i="1"/>
  <c r="J265" i="1" s="1"/>
  <c r="G264" i="1"/>
  <c r="J264" i="1" s="1"/>
  <c r="I263" i="1"/>
  <c r="H263" i="1"/>
  <c r="F263" i="1"/>
  <c r="F268" i="1" s="1"/>
  <c r="F285" i="1" s="1"/>
  <c r="F348" i="1" s="1"/>
  <c r="E263" i="1"/>
  <c r="G262" i="1"/>
  <c r="G261" i="1"/>
  <c r="J261" i="1" s="1"/>
  <c r="G260" i="1"/>
  <c r="G263" i="1" s="1"/>
  <c r="J263" i="1" s="1"/>
  <c r="I259" i="1"/>
  <c r="H259" i="1"/>
  <c r="E259" i="1"/>
  <c r="G258" i="1"/>
  <c r="J258" i="1" s="1"/>
  <c r="G257" i="1"/>
  <c r="J257" i="1" s="1"/>
  <c r="G256" i="1"/>
  <c r="J256" i="1" s="1"/>
  <c r="G255" i="1"/>
  <c r="J255" i="1" s="1"/>
  <c r="G254" i="1"/>
  <c r="J254" i="1" s="1"/>
  <c r="G253" i="1"/>
  <c r="J253" i="1" s="1"/>
  <c r="G252" i="1"/>
  <c r="I251" i="1"/>
  <c r="H251" i="1"/>
  <c r="E251" i="1"/>
  <c r="G250" i="1"/>
  <c r="J250" i="1" s="1"/>
  <c r="G249" i="1"/>
  <c r="J249" i="1" s="1"/>
  <c r="G248" i="1"/>
  <c r="J248" i="1" s="1"/>
  <c r="G247" i="1"/>
  <c r="J247" i="1" s="1"/>
  <c r="G246" i="1"/>
  <c r="J246" i="1" s="1"/>
  <c r="G245" i="1"/>
  <c r="J245" i="1" s="1"/>
  <c r="G244" i="1"/>
  <c r="I243" i="1"/>
  <c r="H243" i="1"/>
  <c r="H268" i="1" s="1"/>
  <c r="H285" i="1" s="1"/>
  <c r="E243" i="1"/>
  <c r="G242" i="1"/>
  <c r="J242" i="1" s="1"/>
  <c r="G241" i="1"/>
  <c r="J241" i="1" s="1"/>
  <c r="G240" i="1"/>
  <c r="J240" i="1" s="1"/>
  <c r="G239" i="1"/>
  <c r="H368" i="16" l="1"/>
  <c r="I1341" i="16"/>
  <c r="F1435" i="16"/>
  <c r="E198" i="17"/>
  <c r="I225" i="17"/>
  <c r="D154" i="17"/>
  <c r="P261" i="17"/>
  <c r="F162" i="17"/>
  <c r="F163" i="17" s="1"/>
  <c r="I163" i="17" s="1"/>
  <c r="P282" i="14"/>
  <c r="R276" i="14"/>
  <c r="P280" i="14"/>
  <c r="Q276" i="14"/>
  <c r="S276" i="14" s="1"/>
  <c r="T276" i="14" s="1"/>
  <c r="Q269" i="14"/>
  <c r="S269" i="14" s="1"/>
  <c r="T269" i="14" s="1"/>
  <c r="P283" i="14"/>
  <c r="P269" i="14"/>
  <c r="R279" i="14"/>
  <c r="R271" i="14"/>
  <c r="F435" i="13"/>
  <c r="F271" i="13"/>
  <c r="F300" i="13"/>
  <c r="G251" i="1"/>
  <c r="J251" i="1" s="1"/>
  <c r="F328" i="13"/>
  <c r="I401" i="13"/>
  <c r="F423" i="13"/>
  <c r="F437" i="13" s="1"/>
  <c r="F438" i="13" s="1"/>
  <c r="F402" i="13"/>
  <c r="F386" i="13"/>
  <c r="G283" i="1"/>
  <c r="F263" i="13"/>
  <c r="F277" i="13"/>
  <c r="F287" i="13"/>
  <c r="F313" i="13"/>
  <c r="F320" i="13"/>
  <c r="F333" i="13"/>
  <c r="F341" i="13"/>
  <c r="G259" i="1"/>
  <c r="J259" i="1" s="1"/>
  <c r="G316" i="1"/>
  <c r="J316" i="1" s="1"/>
  <c r="I274" i="13"/>
  <c r="I311" i="13"/>
  <c r="F345" i="13"/>
  <c r="E268" i="1"/>
  <c r="G267" i="1"/>
  <c r="J267" i="1" s="1"/>
  <c r="E284" i="1"/>
  <c r="C46" i="15" s="1"/>
  <c r="I284" i="1"/>
  <c r="J274" i="1"/>
  <c r="G309" i="1"/>
  <c r="G324" i="1"/>
  <c r="F267" i="13"/>
  <c r="G273" i="1"/>
  <c r="G381" i="1"/>
  <c r="J381" i="1" s="1"/>
  <c r="J252" i="1"/>
  <c r="G296" i="1"/>
  <c r="J296" i="1" s="1"/>
  <c r="N300" i="14"/>
  <c r="Q300" i="14" s="1"/>
  <c r="N301" i="14"/>
  <c r="R301" i="14" s="1"/>
  <c r="N305" i="14"/>
  <c r="P305" i="14" s="1"/>
  <c r="Q274" i="14"/>
  <c r="S274" i="14" s="1"/>
  <c r="T274" i="14" s="1"/>
  <c r="Q283" i="14"/>
  <c r="S283" i="14" s="1"/>
  <c r="T283" i="14" s="1"/>
  <c r="P281" i="14"/>
  <c r="T281" i="14" s="1"/>
  <c r="P270" i="14"/>
  <c r="G342" i="13"/>
  <c r="I442" i="13"/>
  <c r="I463" i="13" s="1"/>
  <c r="I464" i="13" s="1"/>
  <c r="Q281" i="14"/>
  <c r="S281" i="14" s="1"/>
  <c r="P284" i="14"/>
  <c r="Q278" i="14"/>
  <c r="S278" i="14" s="1"/>
  <c r="P278" i="14"/>
  <c r="H305" i="1"/>
  <c r="H319" i="1" s="1"/>
  <c r="H320" i="1" s="1"/>
  <c r="H461" i="1"/>
  <c r="F462" i="13" s="1"/>
  <c r="F463" i="13" s="1"/>
  <c r="F464" i="13" s="1"/>
  <c r="Q270" i="14"/>
  <c r="S270" i="14" s="1"/>
  <c r="T270" i="14" s="1"/>
  <c r="Q272" i="14"/>
  <c r="E398" i="1"/>
  <c r="E461" i="1" s="1"/>
  <c r="C60" i="15"/>
  <c r="Q284" i="14"/>
  <c r="S284" i="14" s="1"/>
  <c r="Q282" i="14"/>
  <c r="S282" i="14" s="1"/>
  <c r="T282" i="14" s="1"/>
  <c r="Q280" i="14"/>
  <c r="S280" i="14" s="1"/>
  <c r="R277" i="14"/>
  <c r="R275" i="14"/>
  <c r="R272" i="14"/>
  <c r="Q279" i="14"/>
  <c r="Q277" i="14"/>
  <c r="S277" i="14" s="1"/>
  <c r="T277" i="14" s="1"/>
  <c r="Q275" i="14"/>
  <c r="S275" i="14" s="1"/>
  <c r="T275" i="14" s="1"/>
  <c r="Q273" i="14"/>
  <c r="S273" i="14" s="1"/>
  <c r="T273" i="14" s="1"/>
  <c r="Q271" i="14"/>
  <c r="H331" i="16"/>
  <c r="H262" i="16"/>
  <c r="H247" i="16"/>
  <c r="E272" i="16"/>
  <c r="H305" i="16"/>
  <c r="I208" i="17"/>
  <c r="F217" i="17"/>
  <c r="I217" i="17" s="1"/>
  <c r="F260" i="17"/>
  <c r="I259" i="17"/>
  <c r="I402" i="13"/>
  <c r="I435" i="13"/>
  <c r="I386" i="13"/>
  <c r="I423" i="13"/>
  <c r="I461" i="1"/>
  <c r="G459" i="1"/>
  <c r="G430" i="1"/>
  <c r="J430" i="1" s="1"/>
  <c r="J409" i="1"/>
  <c r="G418" i="1"/>
  <c r="J386" i="1"/>
  <c r="G397" i="1"/>
  <c r="G398" i="1" s="1"/>
  <c r="H154" i="17"/>
  <c r="P153" i="17"/>
  <c r="G243" i="1"/>
  <c r="J243" i="1" s="1"/>
  <c r="P162" i="17"/>
  <c r="P163" i="17" s="1"/>
  <c r="I305" i="1"/>
  <c r="I319" i="1" s="1"/>
  <c r="I320" i="1" s="1"/>
  <c r="G304" i="1"/>
  <c r="J304" i="1" s="1"/>
  <c r="I346" i="1"/>
  <c r="I347" i="1" s="1"/>
  <c r="H346" i="1"/>
  <c r="H347" i="1" s="1"/>
  <c r="F348" i="13" s="1"/>
  <c r="F336" i="13"/>
  <c r="N303" i="14"/>
  <c r="R303" i="14" s="1"/>
  <c r="N304" i="14"/>
  <c r="P304" i="14" s="1"/>
  <c r="N294" i="14"/>
  <c r="P294" i="14" s="1"/>
  <c r="N295" i="14"/>
  <c r="R295" i="14" s="1"/>
  <c r="N296" i="14"/>
  <c r="P296" i="14" s="1"/>
  <c r="N297" i="14"/>
  <c r="P297" i="14" s="1"/>
  <c r="N298" i="14"/>
  <c r="P298" i="14" s="1"/>
  <c r="N299" i="14"/>
  <c r="R299" i="14" s="1"/>
  <c r="O290" i="14"/>
  <c r="N290" i="14" s="1"/>
  <c r="M290" i="14"/>
  <c r="O292" i="14"/>
  <c r="N292" i="14" s="1"/>
  <c r="M292" i="14"/>
  <c r="M294" i="14"/>
  <c r="M295" i="14"/>
  <c r="M296" i="14"/>
  <c r="M297" i="14"/>
  <c r="M298" i="14"/>
  <c r="M299" i="14"/>
  <c r="M300" i="14"/>
  <c r="M301" i="14"/>
  <c r="O302" i="14"/>
  <c r="N302" i="14" s="1"/>
  <c r="M302" i="14"/>
  <c r="R305" i="14"/>
  <c r="Q305" i="14"/>
  <c r="O291" i="14"/>
  <c r="N291" i="14" s="1"/>
  <c r="M291" i="14"/>
  <c r="L293" i="14"/>
  <c r="K293" i="14" s="1"/>
  <c r="C293" i="14"/>
  <c r="M303" i="14"/>
  <c r="M304" i="14"/>
  <c r="M305" i="14"/>
  <c r="H270" i="16"/>
  <c r="E334" i="16"/>
  <c r="P196" i="17"/>
  <c r="P197" i="17" s="1"/>
  <c r="F145" i="17"/>
  <c r="G198" i="17"/>
  <c r="P145" i="17"/>
  <c r="F153" i="17"/>
  <c r="I153" i="17" s="1"/>
  <c r="D198" i="17"/>
  <c r="F196" i="17"/>
  <c r="H198" i="17"/>
  <c r="F308" i="13"/>
  <c r="F309" i="13" s="1"/>
  <c r="F247" i="13"/>
  <c r="F255" i="13"/>
  <c r="I302" i="13"/>
  <c r="I308" i="13" s="1"/>
  <c r="I310" i="13"/>
  <c r="I313" i="13" s="1"/>
  <c r="I325" i="13"/>
  <c r="I328" i="13" s="1"/>
  <c r="I343" i="13"/>
  <c r="I345" i="13" s="1"/>
  <c r="I243" i="13"/>
  <c r="I247" i="13" s="1"/>
  <c r="I248" i="13"/>
  <c r="I255" i="13" s="1"/>
  <c r="I256" i="13"/>
  <c r="I263" i="13" s="1"/>
  <c r="I264" i="13"/>
  <c r="I267" i="13" s="1"/>
  <c r="I268" i="13"/>
  <c r="I271" i="13" s="1"/>
  <c r="I273" i="13"/>
  <c r="I278" i="13"/>
  <c r="I287" i="13" s="1"/>
  <c r="I290" i="13"/>
  <c r="I300" i="13" s="1"/>
  <c r="I314" i="13"/>
  <c r="I320" i="13" s="1"/>
  <c r="I329" i="13"/>
  <c r="I333" i="13" s="1"/>
  <c r="I334" i="13"/>
  <c r="I336" i="13" s="1"/>
  <c r="I337" i="13"/>
  <c r="I341" i="13" s="1"/>
  <c r="J342" i="13"/>
  <c r="I268" i="1"/>
  <c r="J273" i="1"/>
  <c r="J244" i="1"/>
  <c r="J260" i="1"/>
  <c r="J270" i="1"/>
  <c r="J286" i="1"/>
  <c r="E305" i="1"/>
  <c r="E319" i="1" s="1"/>
  <c r="E320" i="1" s="1"/>
  <c r="J297" i="1"/>
  <c r="J306" i="1"/>
  <c r="J310" i="1"/>
  <c r="J324" i="1"/>
  <c r="G345" i="1"/>
  <c r="J345" i="1" s="1"/>
  <c r="G329" i="1"/>
  <c r="J329" i="1" s="1"/>
  <c r="J325" i="1"/>
  <c r="G332" i="1"/>
  <c r="J332" i="1" s="1"/>
  <c r="J330" i="1"/>
  <c r="G338" i="1"/>
  <c r="J338" i="1" s="1"/>
  <c r="G342" i="1"/>
  <c r="J342" i="1" s="1"/>
  <c r="D314" i="14"/>
  <c r="I1435" i="16" l="1"/>
  <c r="F1529" i="16"/>
  <c r="I437" i="13"/>
  <c r="I438" i="13" s="1"/>
  <c r="P154" i="17"/>
  <c r="P198" i="17" s="1"/>
  <c r="I162" i="17"/>
  <c r="T280" i="14"/>
  <c r="P300" i="14"/>
  <c r="R297" i="14"/>
  <c r="S271" i="14"/>
  <c r="T271" i="14" s="1"/>
  <c r="R294" i="14"/>
  <c r="P301" i="14"/>
  <c r="Q303" i="14"/>
  <c r="S303" i="14" s="1"/>
  <c r="R300" i="14"/>
  <c r="S300" i="14" s="1"/>
  <c r="Q296" i="14"/>
  <c r="T284" i="14"/>
  <c r="S305" i="14"/>
  <c r="T305" i="14" s="1"/>
  <c r="P303" i="14"/>
  <c r="Q298" i="14"/>
  <c r="R296" i="14"/>
  <c r="R298" i="14"/>
  <c r="Q294" i="14"/>
  <c r="S279" i="14"/>
  <c r="T279" i="14" s="1"/>
  <c r="G284" i="1"/>
  <c r="F321" i="13"/>
  <c r="F403" i="13"/>
  <c r="F465" i="13" s="1"/>
  <c r="G317" i="1"/>
  <c r="J317" i="1" s="1"/>
  <c r="F323" i="13"/>
  <c r="F324" i="13" s="1"/>
  <c r="F288" i="13"/>
  <c r="J309" i="1"/>
  <c r="I277" i="13"/>
  <c r="I288" i="13" s="1"/>
  <c r="C49" i="15"/>
  <c r="C51" i="15" s="1"/>
  <c r="G268" i="1"/>
  <c r="G285" i="1" s="1"/>
  <c r="I285" i="1"/>
  <c r="E285" i="1"/>
  <c r="E348" i="1" s="1"/>
  <c r="C45" i="15"/>
  <c r="C48" i="15" s="1"/>
  <c r="C55" i="15" s="1"/>
  <c r="R304" i="14"/>
  <c r="Q301" i="14"/>
  <c r="S301" i="14" s="1"/>
  <c r="P299" i="14"/>
  <c r="P295" i="14"/>
  <c r="T278" i="14"/>
  <c r="F349" i="13"/>
  <c r="F350" i="13" s="1"/>
  <c r="S272" i="14"/>
  <c r="T272" i="14" s="1"/>
  <c r="C63" i="15"/>
  <c r="H272" i="16"/>
  <c r="F261" i="17"/>
  <c r="I260" i="17"/>
  <c r="I403" i="13"/>
  <c r="I465" i="13" s="1"/>
  <c r="J397" i="1"/>
  <c r="J396" i="1"/>
  <c r="J418" i="1"/>
  <c r="G432" i="1"/>
  <c r="G460" i="1"/>
  <c r="J459" i="1"/>
  <c r="J460" i="1" s="1"/>
  <c r="J398" i="1"/>
  <c r="Q297" i="14"/>
  <c r="S297" i="14" s="1"/>
  <c r="T297" i="14" s="1"/>
  <c r="G305" i="1"/>
  <c r="J305" i="1" s="1"/>
  <c r="Q304" i="14"/>
  <c r="S304" i="14" s="1"/>
  <c r="T304" i="14" s="1"/>
  <c r="I348" i="1"/>
  <c r="H348" i="1"/>
  <c r="Q299" i="14"/>
  <c r="S299" i="14" s="1"/>
  <c r="Q295" i="14"/>
  <c r="S295" i="14" s="1"/>
  <c r="O293" i="14"/>
  <c r="N293" i="14" s="1"/>
  <c r="M293" i="14"/>
  <c r="Q291" i="14"/>
  <c r="P291" i="14"/>
  <c r="R291" i="14"/>
  <c r="R302" i="14"/>
  <c r="P302" i="14"/>
  <c r="Q302" i="14"/>
  <c r="Q292" i="14"/>
  <c r="R292" i="14"/>
  <c r="P292" i="14"/>
  <c r="Q290" i="14"/>
  <c r="R290" i="14"/>
  <c r="P290" i="14"/>
  <c r="I145" i="17"/>
  <c r="F154" i="17"/>
  <c r="I154" i="17" s="1"/>
  <c r="F197" i="17"/>
  <c r="I196" i="17"/>
  <c r="I309" i="13"/>
  <c r="F272" i="13"/>
  <c r="I321" i="13"/>
  <c r="I272" i="13"/>
  <c r="I349" i="13"/>
  <c r="I350" i="13" s="1"/>
  <c r="G346" i="1"/>
  <c r="J268" i="1"/>
  <c r="J283" i="1"/>
  <c r="J284" i="1"/>
  <c r="L326" i="14"/>
  <c r="K326" i="14" s="1"/>
  <c r="O326" i="14" s="1"/>
  <c r="G326" i="14"/>
  <c r="C326" i="14"/>
  <c r="L325" i="14"/>
  <c r="K325" i="14" s="1"/>
  <c r="O325" i="14" s="1"/>
  <c r="G325" i="14"/>
  <c r="C325" i="14"/>
  <c r="L324" i="14"/>
  <c r="K324" i="14" s="1"/>
  <c r="O324" i="14" s="1"/>
  <c r="G324" i="14"/>
  <c r="C324" i="14"/>
  <c r="L323" i="14"/>
  <c r="K323" i="14" s="1"/>
  <c r="G323" i="14"/>
  <c r="C323" i="14"/>
  <c r="L322" i="14"/>
  <c r="K322" i="14" s="1"/>
  <c r="G322" i="14"/>
  <c r="C322" i="14"/>
  <c r="L321" i="14"/>
  <c r="K321" i="14" s="1"/>
  <c r="G321" i="14"/>
  <c r="C321" i="14"/>
  <c r="L320" i="14"/>
  <c r="K320" i="14" s="1"/>
  <c r="M320" i="14" s="1"/>
  <c r="G320" i="14"/>
  <c r="C320" i="14"/>
  <c r="G319" i="14"/>
  <c r="L318" i="14"/>
  <c r="K318" i="14" s="1"/>
  <c r="G318" i="14"/>
  <c r="C318" i="14"/>
  <c r="L317" i="14"/>
  <c r="K317" i="14" s="1"/>
  <c r="O317" i="14" s="1"/>
  <c r="G317" i="14"/>
  <c r="C317" i="14"/>
  <c r="L316" i="14"/>
  <c r="K316" i="14" s="1"/>
  <c r="O316" i="14" s="1"/>
  <c r="G316" i="14"/>
  <c r="C316" i="14"/>
  <c r="L315" i="14"/>
  <c r="K315" i="14" s="1"/>
  <c r="O315" i="14" s="1"/>
  <c r="G315" i="14"/>
  <c r="C315" i="14"/>
  <c r="G314" i="14"/>
  <c r="L313" i="14"/>
  <c r="K313" i="14" s="1"/>
  <c r="G313" i="14"/>
  <c r="C313" i="14"/>
  <c r="L312" i="14"/>
  <c r="K312" i="14" s="1"/>
  <c r="G312" i="14"/>
  <c r="C312" i="14"/>
  <c r="L311" i="14"/>
  <c r="K311" i="14" s="1"/>
  <c r="G311" i="14"/>
  <c r="C311" i="14"/>
  <c r="E38" i="15"/>
  <c r="E35" i="15"/>
  <c r="E32" i="15"/>
  <c r="H224" i="16"/>
  <c r="F224" i="16"/>
  <c r="I224" i="16" s="1"/>
  <c r="I225" i="16" s="1"/>
  <c r="E223" i="16"/>
  <c r="H222" i="16"/>
  <c r="H221" i="16"/>
  <c r="H220" i="16"/>
  <c r="I220" i="16" s="1"/>
  <c r="H219" i="16"/>
  <c r="H218" i="16"/>
  <c r="H217" i="16"/>
  <c r="H216" i="16"/>
  <c r="H215" i="16"/>
  <c r="H214" i="16"/>
  <c r="H213" i="16"/>
  <c r="H212" i="16"/>
  <c r="H211" i="16"/>
  <c r="H210" i="16"/>
  <c r="H209" i="16"/>
  <c r="H208" i="16"/>
  <c r="H207" i="16"/>
  <c r="H206" i="16"/>
  <c r="H205" i="16"/>
  <c r="H204" i="16"/>
  <c r="H203" i="16"/>
  <c r="H202" i="16"/>
  <c r="H201" i="16"/>
  <c r="H200" i="16"/>
  <c r="H199" i="16"/>
  <c r="H198" i="16"/>
  <c r="E197" i="16"/>
  <c r="H196" i="16"/>
  <c r="H195" i="16"/>
  <c r="H194" i="16"/>
  <c r="H193" i="16"/>
  <c r="H192" i="16"/>
  <c r="H191" i="16"/>
  <c r="H190" i="16"/>
  <c r="H189" i="16"/>
  <c r="H188" i="16"/>
  <c r="H187" i="16"/>
  <c r="H186" i="16"/>
  <c r="H185" i="16"/>
  <c r="H184" i="16"/>
  <c r="H183" i="16"/>
  <c r="H182" i="16"/>
  <c r="H181" i="16"/>
  <c r="H180" i="16"/>
  <c r="H179" i="16"/>
  <c r="H178" i="16"/>
  <c r="H177" i="16"/>
  <c r="H176" i="16"/>
  <c r="H175" i="16"/>
  <c r="H174" i="16"/>
  <c r="H173" i="16"/>
  <c r="H172" i="16"/>
  <c r="H171" i="16"/>
  <c r="H170" i="16"/>
  <c r="H169" i="16"/>
  <c r="H168" i="16"/>
  <c r="H167" i="16"/>
  <c r="H166" i="16"/>
  <c r="H165" i="16"/>
  <c r="I163" i="16"/>
  <c r="E162" i="16"/>
  <c r="H161" i="16"/>
  <c r="H160" i="16"/>
  <c r="H159" i="16"/>
  <c r="H158" i="16"/>
  <c r="H157" i="16"/>
  <c r="H156" i="16"/>
  <c r="H155" i="16"/>
  <c r="E154" i="16"/>
  <c r="H153" i="16"/>
  <c r="H152" i="16"/>
  <c r="H151" i="16"/>
  <c r="H150" i="16"/>
  <c r="H149" i="16"/>
  <c r="H148" i="16"/>
  <c r="H147" i="16"/>
  <c r="H146" i="16"/>
  <c r="H145" i="16"/>
  <c r="H144" i="16"/>
  <c r="H143" i="16"/>
  <c r="H142" i="16"/>
  <c r="H141" i="16"/>
  <c r="H140" i="16"/>
  <c r="E139" i="16"/>
  <c r="H138" i="16"/>
  <c r="H137" i="16"/>
  <c r="H136" i="16"/>
  <c r="H135" i="16"/>
  <c r="H134" i="16"/>
  <c r="H133" i="16"/>
  <c r="H132" i="16"/>
  <c r="H131" i="16"/>
  <c r="H130" i="16"/>
  <c r="H129" i="16"/>
  <c r="H128" i="16"/>
  <c r="H127" i="16"/>
  <c r="H126" i="16"/>
  <c r="H125" i="16"/>
  <c r="H124" i="16"/>
  <c r="H123" i="16"/>
  <c r="E134" i="17"/>
  <c r="H133" i="17"/>
  <c r="H134" i="17" s="1"/>
  <c r="G133" i="17"/>
  <c r="G134" i="17" s="1"/>
  <c r="D133" i="17"/>
  <c r="D134" i="17" s="1"/>
  <c r="P132" i="17"/>
  <c r="F132" i="17"/>
  <c r="I132" i="17" s="1"/>
  <c r="P131" i="17"/>
  <c r="F131" i="17"/>
  <c r="I131" i="17" s="1"/>
  <c r="P130" i="17"/>
  <c r="F130" i="17"/>
  <c r="I130" i="17" s="1"/>
  <c r="P129" i="17"/>
  <c r="F129" i="17"/>
  <c r="I129" i="17" s="1"/>
  <c r="P128" i="17"/>
  <c r="F128" i="17"/>
  <c r="I128" i="17" s="1"/>
  <c r="P127" i="17"/>
  <c r="F127" i="17"/>
  <c r="I127" i="17" s="1"/>
  <c r="P126" i="17"/>
  <c r="F126" i="17"/>
  <c r="I126" i="17" s="1"/>
  <c r="P125" i="17"/>
  <c r="F125" i="17"/>
  <c r="I125" i="17" s="1"/>
  <c r="P124" i="17"/>
  <c r="F124" i="17"/>
  <c r="I124" i="17" s="1"/>
  <c r="P123" i="17"/>
  <c r="F123" i="17"/>
  <c r="I123" i="17" s="1"/>
  <c r="P122" i="17"/>
  <c r="F122" i="17"/>
  <c r="I122" i="17" s="1"/>
  <c r="P121" i="17"/>
  <c r="F121" i="17"/>
  <c r="I121" i="17" s="1"/>
  <c r="P120" i="17"/>
  <c r="F120" i="17"/>
  <c r="I120" i="17" s="1"/>
  <c r="P119" i="17"/>
  <c r="F119" i="17"/>
  <c r="I119" i="17" s="1"/>
  <c r="P118" i="17"/>
  <c r="F118" i="17"/>
  <c r="I118" i="17" s="1"/>
  <c r="P117" i="17"/>
  <c r="F117" i="17"/>
  <c r="I117" i="17" s="1"/>
  <c r="P116" i="17"/>
  <c r="F116" i="17"/>
  <c r="I116" i="17" s="1"/>
  <c r="P115" i="17"/>
  <c r="F115" i="17"/>
  <c r="I115" i="17" s="1"/>
  <c r="P114" i="17"/>
  <c r="F114" i="17"/>
  <c r="I114" i="17" s="1"/>
  <c r="P113" i="17"/>
  <c r="F113" i="17"/>
  <c r="I113" i="17" s="1"/>
  <c r="P112" i="17"/>
  <c r="F112" i="17"/>
  <c r="I112" i="17" s="1"/>
  <c r="P111" i="17"/>
  <c r="F111" i="17"/>
  <c r="I111" i="17" s="1"/>
  <c r="P110" i="17"/>
  <c r="F110" i="17"/>
  <c r="I110" i="17" s="1"/>
  <c r="P109" i="17"/>
  <c r="F109" i="17"/>
  <c r="I109" i="17" s="1"/>
  <c r="P108" i="17"/>
  <c r="F108" i="17"/>
  <c r="I108" i="17" s="1"/>
  <c r="P107" i="17"/>
  <c r="F107" i="17"/>
  <c r="P106" i="17"/>
  <c r="F106" i="17"/>
  <c r="I106" i="17" s="1"/>
  <c r="P105" i="17"/>
  <c r="F105" i="17"/>
  <c r="I105" i="17" s="1"/>
  <c r="P104" i="17"/>
  <c r="F104" i="17"/>
  <c r="I104" i="17" s="1"/>
  <c r="P103" i="17"/>
  <c r="F103" i="17"/>
  <c r="I103" i="17" s="1"/>
  <c r="P102" i="17"/>
  <c r="F102" i="17"/>
  <c r="I102" i="17" s="1"/>
  <c r="P101" i="17"/>
  <c r="I101" i="17"/>
  <c r="F101" i="17"/>
  <c r="E100" i="17"/>
  <c r="D100" i="17"/>
  <c r="H99" i="17"/>
  <c r="H100" i="17" s="1"/>
  <c r="G99" i="17"/>
  <c r="G100" i="17" s="1"/>
  <c r="P98" i="17"/>
  <c r="F98" i="17"/>
  <c r="I98" i="17" s="1"/>
  <c r="P97" i="17"/>
  <c r="F97" i="17"/>
  <c r="I97" i="17" s="1"/>
  <c r="P96" i="17"/>
  <c r="F96" i="17"/>
  <c r="I96" i="17" s="1"/>
  <c r="P95" i="17"/>
  <c r="F95" i="17"/>
  <c r="I95" i="17" s="1"/>
  <c r="P94" i="17"/>
  <c r="F94" i="17"/>
  <c r="I94" i="17" s="1"/>
  <c r="P93" i="17"/>
  <c r="F93" i="17"/>
  <c r="I93" i="17" s="1"/>
  <c r="P92" i="17"/>
  <c r="F92" i="17"/>
  <c r="E91" i="17"/>
  <c r="H90" i="17"/>
  <c r="G90" i="17"/>
  <c r="D90" i="17"/>
  <c r="P89" i="17"/>
  <c r="F89" i="17"/>
  <c r="I89" i="17" s="1"/>
  <c r="P88" i="17"/>
  <c r="F88" i="17"/>
  <c r="I88" i="17" s="1"/>
  <c r="P87" i="17"/>
  <c r="F87" i="17"/>
  <c r="I87" i="17" s="1"/>
  <c r="P86" i="17"/>
  <c r="F86" i="17"/>
  <c r="I86" i="17" s="1"/>
  <c r="P85" i="17"/>
  <c r="F85" i="17"/>
  <c r="I85" i="17" s="1"/>
  <c r="P84" i="17"/>
  <c r="F84" i="17"/>
  <c r="I84" i="17" s="1"/>
  <c r="P83" i="17"/>
  <c r="F83" i="17"/>
  <c r="I83" i="17" s="1"/>
  <c r="H82" i="17"/>
  <c r="G82" i="17"/>
  <c r="D82" i="17"/>
  <c r="P81" i="17"/>
  <c r="F81" i="17"/>
  <c r="I81" i="17" s="1"/>
  <c r="P80" i="17"/>
  <c r="F80" i="17"/>
  <c r="I80" i="17" s="1"/>
  <c r="P79" i="17"/>
  <c r="F79" i="17"/>
  <c r="I79" i="17" s="1"/>
  <c r="P78" i="17"/>
  <c r="F78" i="17"/>
  <c r="I78" i="17" s="1"/>
  <c r="P77" i="17"/>
  <c r="F77" i="17"/>
  <c r="I77" i="17" s="1"/>
  <c r="F233" i="13"/>
  <c r="F232" i="13"/>
  <c r="F230" i="13"/>
  <c r="F229" i="13"/>
  <c r="F228" i="13"/>
  <c r="F226" i="13"/>
  <c r="F225" i="13"/>
  <c r="F224" i="13"/>
  <c r="F223" i="13"/>
  <c r="F221" i="13"/>
  <c r="F220" i="13"/>
  <c r="F218" i="13"/>
  <c r="I218" i="13" s="1"/>
  <c r="F217" i="13"/>
  <c r="F216" i="13"/>
  <c r="F215" i="13"/>
  <c r="F213" i="13"/>
  <c r="I213" i="13" s="1"/>
  <c r="F212" i="13"/>
  <c r="I212" i="13" s="1"/>
  <c r="F211" i="13"/>
  <c r="F208" i="13"/>
  <c r="I208" i="13" s="1"/>
  <c r="F205" i="13"/>
  <c r="I205" i="13" s="1"/>
  <c r="F204" i="13"/>
  <c r="I204" i="13" s="1"/>
  <c r="F203" i="13"/>
  <c r="I203" i="13" s="1"/>
  <c r="F202" i="13"/>
  <c r="I202" i="13" s="1"/>
  <c r="F201" i="13"/>
  <c r="I201" i="13" s="1"/>
  <c r="F200" i="13"/>
  <c r="F198" i="13"/>
  <c r="I198" i="13" s="1"/>
  <c r="F197" i="13"/>
  <c r="I197" i="13" s="1"/>
  <c r="F196" i="13"/>
  <c r="F193" i="13"/>
  <c r="I193" i="13" s="1"/>
  <c r="F192" i="13"/>
  <c r="I192" i="13" s="1"/>
  <c r="F191" i="13"/>
  <c r="I191" i="13" s="1"/>
  <c r="F190" i="13"/>
  <c r="I190" i="13" s="1"/>
  <c r="F189" i="13"/>
  <c r="I189" i="13" s="1"/>
  <c r="F188" i="13"/>
  <c r="F187" i="13"/>
  <c r="I187" i="13" s="1"/>
  <c r="F185" i="13"/>
  <c r="I185" i="13" s="1"/>
  <c r="F184" i="13"/>
  <c r="I184" i="13" s="1"/>
  <c r="F183" i="13"/>
  <c r="I183" i="13" s="1"/>
  <c r="F182" i="13"/>
  <c r="I182" i="13" s="1"/>
  <c r="F181" i="13"/>
  <c r="I181" i="13" s="1"/>
  <c r="F180" i="13"/>
  <c r="F179" i="13"/>
  <c r="I179" i="13" s="1"/>
  <c r="F178" i="13"/>
  <c r="I178" i="13" s="1"/>
  <c r="F177" i="13"/>
  <c r="F176" i="13"/>
  <c r="F172" i="13"/>
  <c r="I172" i="13" s="1"/>
  <c r="F171" i="13"/>
  <c r="I171" i="13" s="1"/>
  <c r="F170" i="13"/>
  <c r="I170" i="13" s="1"/>
  <c r="F169" i="13"/>
  <c r="I169" i="13" s="1"/>
  <c r="F168" i="13"/>
  <c r="I168" i="13" s="1"/>
  <c r="F167" i="13"/>
  <c r="I167" i="13" s="1"/>
  <c r="F166" i="13"/>
  <c r="I166" i="13" s="1"/>
  <c r="F165" i="13"/>
  <c r="I165" i="13" s="1"/>
  <c r="F164" i="13"/>
  <c r="F162" i="13"/>
  <c r="I162" i="13" s="1"/>
  <c r="F161" i="13"/>
  <c r="I161" i="13" s="1"/>
  <c r="F160" i="13"/>
  <c r="I160" i="13" s="1"/>
  <c r="F159" i="13"/>
  <c r="F156" i="13"/>
  <c r="I156" i="13" s="1"/>
  <c r="F155" i="13"/>
  <c r="I155" i="13" s="1"/>
  <c r="F154" i="13"/>
  <c r="F152" i="13"/>
  <c r="I152" i="13" s="1"/>
  <c r="F151" i="13"/>
  <c r="I151" i="13" s="1"/>
  <c r="F150" i="13"/>
  <c r="F148" i="13"/>
  <c r="I148" i="13" s="1"/>
  <c r="F147" i="13"/>
  <c r="I147" i="13" s="1"/>
  <c r="F146" i="13"/>
  <c r="I146" i="13" s="1"/>
  <c r="F145" i="13"/>
  <c r="I145" i="13" s="1"/>
  <c r="F144" i="13"/>
  <c r="I144" i="13" s="1"/>
  <c r="F143" i="13"/>
  <c r="I143" i="13" s="1"/>
  <c r="F142" i="13"/>
  <c r="F140" i="13"/>
  <c r="I140" i="13" s="1"/>
  <c r="F139" i="13"/>
  <c r="I139" i="13" s="1"/>
  <c r="F138" i="13"/>
  <c r="I138" i="13" s="1"/>
  <c r="F137" i="13"/>
  <c r="I137" i="13" s="1"/>
  <c r="F136" i="13"/>
  <c r="I136" i="13" s="1"/>
  <c r="F135" i="13"/>
  <c r="I135" i="13" s="1"/>
  <c r="F134" i="13"/>
  <c r="F132" i="13"/>
  <c r="I132" i="13" s="1"/>
  <c r="F131" i="13"/>
  <c r="I131" i="13" s="1"/>
  <c r="F130" i="13"/>
  <c r="I130" i="13" s="1"/>
  <c r="F129" i="13"/>
  <c r="J234" i="13"/>
  <c r="I234" i="13"/>
  <c r="I230" i="13"/>
  <c r="I226" i="13"/>
  <c r="I225" i="13"/>
  <c r="I224" i="13"/>
  <c r="I217" i="13"/>
  <c r="I180" i="13"/>
  <c r="L13" i="1"/>
  <c r="L126" i="1" s="1"/>
  <c r="M13" i="1"/>
  <c r="M126" i="1" s="1"/>
  <c r="L14" i="1"/>
  <c r="L127" i="1" s="1"/>
  <c r="M14" i="1"/>
  <c r="M127" i="1" s="1"/>
  <c r="M240" i="1" s="1"/>
  <c r="L15" i="1"/>
  <c r="L128" i="1" s="1"/>
  <c r="M15" i="1"/>
  <c r="M128" i="1" s="1"/>
  <c r="M241" i="1" s="1"/>
  <c r="M354" i="1" s="1"/>
  <c r="L16" i="1"/>
  <c r="L129" i="1" s="1"/>
  <c r="M16" i="1"/>
  <c r="M129" i="1" s="1"/>
  <c r="M242" i="1" s="1"/>
  <c r="L18" i="1"/>
  <c r="L131" i="1" s="1"/>
  <c r="M18" i="1"/>
  <c r="M131" i="1" s="1"/>
  <c r="M244" i="1" s="1"/>
  <c r="L19" i="1"/>
  <c r="L132" i="1" s="1"/>
  <c r="M19" i="1"/>
  <c r="M132" i="1" s="1"/>
  <c r="M245" i="1" s="1"/>
  <c r="L20" i="1"/>
  <c r="L133" i="1" s="1"/>
  <c r="M20" i="1"/>
  <c r="M133" i="1" s="1"/>
  <c r="M246" i="1" s="1"/>
  <c r="L21" i="1"/>
  <c r="L134" i="1" s="1"/>
  <c r="M21" i="1"/>
  <c r="M134" i="1" s="1"/>
  <c r="M247" i="1" s="1"/>
  <c r="L22" i="1"/>
  <c r="L135" i="1" s="1"/>
  <c r="M22" i="1"/>
  <c r="M135" i="1" s="1"/>
  <c r="M248" i="1" s="1"/>
  <c r="L23" i="1"/>
  <c r="L136" i="1" s="1"/>
  <c r="M23" i="1"/>
  <c r="M136" i="1" s="1"/>
  <c r="M249" i="1" s="1"/>
  <c r="L24" i="1"/>
  <c r="L137" i="1" s="1"/>
  <c r="M24" i="1"/>
  <c r="M137" i="1" s="1"/>
  <c r="M250" i="1" s="1"/>
  <c r="L26" i="1"/>
  <c r="L139" i="1" s="1"/>
  <c r="M26" i="1"/>
  <c r="M139" i="1" s="1"/>
  <c r="M252" i="1" s="1"/>
  <c r="L27" i="1"/>
  <c r="L140" i="1" s="1"/>
  <c r="M27" i="1"/>
  <c r="M140" i="1" s="1"/>
  <c r="M253" i="1" s="1"/>
  <c r="L28" i="1"/>
  <c r="L141" i="1" s="1"/>
  <c r="M28" i="1"/>
  <c r="M141" i="1" s="1"/>
  <c r="M254" i="1" s="1"/>
  <c r="L29" i="1"/>
  <c r="L142" i="1" s="1"/>
  <c r="M29" i="1"/>
  <c r="M142" i="1" s="1"/>
  <c r="M255" i="1" s="1"/>
  <c r="L30" i="1"/>
  <c r="L143" i="1" s="1"/>
  <c r="M30" i="1"/>
  <c r="M143" i="1" s="1"/>
  <c r="M256" i="1" s="1"/>
  <c r="L31" i="1"/>
  <c r="L144" i="1" s="1"/>
  <c r="M31" i="1"/>
  <c r="M144" i="1" s="1"/>
  <c r="M257" i="1" s="1"/>
  <c r="L32" i="1"/>
  <c r="L145" i="1" s="1"/>
  <c r="M32" i="1"/>
  <c r="M145" i="1" s="1"/>
  <c r="M258" i="1" s="1"/>
  <c r="L34" i="1"/>
  <c r="L147" i="1" s="1"/>
  <c r="M34" i="1"/>
  <c r="M147" i="1" s="1"/>
  <c r="L35" i="1"/>
  <c r="L148" i="1" s="1"/>
  <c r="L261" i="1" s="1"/>
  <c r="M35" i="1"/>
  <c r="M148" i="1" s="1"/>
  <c r="M261" i="1" s="1"/>
  <c r="M374" i="1" s="1"/>
  <c r="L36" i="1"/>
  <c r="L149" i="1" s="1"/>
  <c r="M36" i="1"/>
  <c r="M149" i="1" s="1"/>
  <c r="M262" i="1" s="1"/>
  <c r="L38" i="1"/>
  <c r="L151" i="1" s="1"/>
  <c r="M38" i="1"/>
  <c r="M151" i="1" s="1"/>
  <c r="L39" i="1"/>
  <c r="L152" i="1" s="1"/>
  <c r="M39" i="1"/>
  <c r="M152" i="1" s="1"/>
  <c r="M265" i="1" s="1"/>
  <c r="L40" i="1"/>
  <c r="L153" i="1" s="1"/>
  <c r="M40" i="1"/>
  <c r="M153" i="1" s="1"/>
  <c r="M266" i="1" s="1"/>
  <c r="L43" i="1"/>
  <c r="L156" i="1" s="1"/>
  <c r="M43" i="1"/>
  <c r="M156" i="1" s="1"/>
  <c r="M269" i="1" s="1"/>
  <c r="L44" i="1"/>
  <c r="L157" i="1" s="1"/>
  <c r="M44" i="1"/>
  <c r="M157" i="1" s="1"/>
  <c r="M270" i="1" s="1"/>
  <c r="L45" i="1"/>
  <c r="L158" i="1" s="1"/>
  <c r="M45" i="1"/>
  <c r="M158" i="1" s="1"/>
  <c r="M271" i="1" s="1"/>
  <c r="L46" i="1"/>
  <c r="L159" i="1" s="1"/>
  <c r="M46" i="1"/>
  <c r="M159" i="1" s="1"/>
  <c r="M272" i="1" s="1"/>
  <c r="L48" i="1"/>
  <c r="L161" i="1" s="1"/>
  <c r="M48" i="1"/>
  <c r="M161" i="1" s="1"/>
  <c r="M274" i="1" s="1"/>
  <c r="L49" i="1"/>
  <c r="L162" i="1" s="1"/>
  <c r="M49" i="1"/>
  <c r="M162" i="1" s="1"/>
  <c r="M275" i="1" s="1"/>
  <c r="L50" i="1"/>
  <c r="L163" i="1" s="1"/>
  <c r="M50" i="1"/>
  <c r="M163" i="1" s="1"/>
  <c r="M276" i="1" s="1"/>
  <c r="L51" i="1"/>
  <c r="L164" i="1" s="1"/>
  <c r="M51" i="1"/>
  <c r="M164" i="1" s="1"/>
  <c r="M277" i="1" s="1"/>
  <c r="L52" i="1"/>
  <c r="L165" i="1" s="1"/>
  <c r="M52" i="1"/>
  <c r="M165" i="1" s="1"/>
  <c r="M278" i="1" s="1"/>
  <c r="L53" i="1"/>
  <c r="L166" i="1" s="1"/>
  <c r="M53" i="1"/>
  <c r="M166" i="1" s="1"/>
  <c r="M279" i="1" s="1"/>
  <c r="L54" i="1"/>
  <c r="L167" i="1" s="1"/>
  <c r="M54" i="1"/>
  <c r="M167" i="1" s="1"/>
  <c r="M280" i="1" s="1"/>
  <c r="L55" i="1"/>
  <c r="L168" i="1" s="1"/>
  <c r="M55" i="1"/>
  <c r="M168" i="1" s="1"/>
  <c r="M281" i="1" s="1"/>
  <c r="M394" i="1" s="1"/>
  <c r="M507" i="1" s="1"/>
  <c r="M622" i="1" s="1"/>
  <c r="M737" i="1" s="1"/>
  <c r="M852" i="1" s="1"/>
  <c r="M968" i="1" s="1"/>
  <c r="M1085" i="1" s="1"/>
  <c r="M1202" i="1" s="1"/>
  <c r="L56" i="1"/>
  <c r="L169" i="1" s="1"/>
  <c r="M56" i="1"/>
  <c r="M169" i="1" s="1"/>
  <c r="M282" i="1" s="1"/>
  <c r="F233" i="1"/>
  <c r="F234" i="1" s="1"/>
  <c r="I232" i="1"/>
  <c r="H232" i="1"/>
  <c r="G231" i="1"/>
  <c r="J231" i="1" s="1"/>
  <c r="G230" i="1"/>
  <c r="J230" i="1" s="1"/>
  <c r="I229" i="1"/>
  <c r="H229" i="1"/>
  <c r="E229" i="1"/>
  <c r="G228" i="1"/>
  <c r="J228" i="1" s="1"/>
  <c r="G227" i="1"/>
  <c r="J227" i="1" s="1"/>
  <c r="G226" i="1"/>
  <c r="J226" i="1" s="1"/>
  <c r="I225" i="1"/>
  <c r="H225" i="1"/>
  <c r="E225" i="1"/>
  <c r="G224" i="1"/>
  <c r="J224" i="1" s="1"/>
  <c r="G223" i="1"/>
  <c r="J223" i="1" s="1"/>
  <c r="G222" i="1"/>
  <c r="J222" i="1" s="1"/>
  <c r="G221" i="1"/>
  <c r="J221" i="1" s="1"/>
  <c r="G220" i="1"/>
  <c r="J220" i="1" s="1"/>
  <c r="I219" i="1"/>
  <c r="H219" i="1"/>
  <c r="E219" i="1"/>
  <c r="G218" i="1"/>
  <c r="J218" i="1" s="1"/>
  <c r="G217" i="1"/>
  <c r="I216" i="1"/>
  <c r="H216" i="1"/>
  <c r="E216" i="1"/>
  <c r="G215" i="1"/>
  <c r="J215" i="1" s="1"/>
  <c r="G214" i="1"/>
  <c r="J214" i="1" s="1"/>
  <c r="G213" i="1"/>
  <c r="J213" i="1" s="1"/>
  <c r="G212" i="1"/>
  <c r="I211" i="1"/>
  <c r="H211" i="1"/>
  <c r="E211" i="1"/>
  <c r="G210" i="1"/>
  <c r="J210" i="1" s="1"/>
  <c r="G209" i="1"/>
  <c r="J209" i="1" s="1"/>
  <c r="G208" i="1"/>
  <c r="F206" i="1"/>
  <c r="F207" i="1" s="1"/>
  <c r="G205" i="1"/>
  <c r="J205" i="1" s="1"/>
  <c r="I203" i="1"/>
  <c r="H203" i="1"/>
  <c r="E203" i="1"/>
  <c r="E204" i="1" s="1"/>
  <c r="G202" i="1"/>
  <c r="J202" i="1" s="1"/>
  <c r="J201" i="1"/>
  <c r="G200" i="1"/>
  <c r="J200" i="1" s="1"/>
  <c r="J199" i="1"/>
  <c r="G198" i="1"/>
  <c r="J198" i="1" s="1"/>
  <c r="G197" i="1"/>
  <c r="J197" i="1" s="1"/>
  <c r="I196" i="1"/>
  <c r="H196" i="1"/>
  <c r="H204" i="1" s="1"/>
  <c r="G195" i="1"/>
  <c r="J195" i="1" s="1"/>
  <c r="G194" i="1"/>
  <c r="J194" i="1" s="1"/>
  <c r="G193" i="1"/>
  <c r="J193" i="1" s="1"/>
  <c r="I191" i="1"/>
  <c r="H191" i="1"/>
  <c r="E191" i="1"/>
  <c r="G190" i="1"/>
  <c r="J190" i="1" s="1"/>
  <c r="J189" i="1"/>
  <c r="G188" i="1"/>
  <c r="J188" i="1" s="1"/>
  <c r="G187" i="1"/>
  <c r="J187" i="1" s="1"/>
  <c r="G186" i="1"/>
  <c r="J186" i="1" s="1"/>
  <c r="G185" i="1"/>
  <c r="J185" i="1" s="1"/>
  <c r="G184" i="1"/>
  <c r="J184" i="1" s="1"/>
  <c r="I183" i="1"/>
  <c r="H183" i="1"/>
  <c r="E183" i="1"/>
  <c r="G182" i="1"/>
  <c r="J182" i="1" s="1"/>
  <c r="G181" i="1"/>
  <c r="J181" i="1" s="1"/>
  <c r="G180" i="1"/>
  <c r="J180" i="1" s="1"/>
  <c r="G179" i="1"/>
  <c r="J179" i="1" s="1"/>
  <c r="G178" i="1"/>
  <c r="J178" i="1" s="1"/>
  <c r="G177" i="1"/>
  <c r="J177" i="1" s="1"/>
  <c r="G176" i="1"/>
  <c r="J176" i="1" s="1"/>
  <c r="G175" i="1"/>
  <c r="J175" i="1" s="1"/>
  <c r="G174" i="1"/>
  <c r="J174" i="1" s="1"/>
  <c r="G173" i="1"/>
  <c r="J173" i="1" s="1"/>
  <c r="F171" i="1"/>
  <c r="I170" i="1"/>
  <c r="M170" i="1" s="1"/>
  <c r="H170" i="1"/>
  <c r="L170" i="1" s="1"/>
  <c r="E170" i="1"/>
  <c r="G169" i="1"/>
  <c r="J169" i="1" s="1"/>
  <c r="G168" i="1"/>
  <c r="J168" i="1" s="1"/>
  <c r="G167" i="1"/>
  <c r="J167" i="1" s="1"/>
  <c r="G166" i="1"/>
  <c r="J166" i="1" s="1"/>
  <c r="G165" i="1"/>
  <c r="J165" i="1" s="1"/>
  <c r="G164" i="1"/>
  <c r="J164" i="1" s="1"/>
  <c r="G163" i="1"/>
  <c r="J163" i="1" s="1"/>
  <c r="G162" i="1"/>
  <c r="J162" i="1" s="1"/>
  <c r="G161" i="1"/>
  <c r="I160" i="1"/>
  <c r="I171" i="1" s="1"/>
  <c r="H160" i="1"/>
  <c r="H171" i="1" s="1"/>
  <c r="E160" i="1"/>
  <c r="G159" i="1"/>
  <c r="J159" i="1" s="1"/>
  <c r="G158" i="1"/>
  <c r="J158" i="1" s="1"/>
  <c r="G157" i="1"/>
  <c r="J157" i="1" s="1"/>
  <c r="G156" i="1"/>
  <c r="J156" i="1" s="1"/>
  <c r="I154" i="1"/>
  <c r="H154" i="1"/>
  <c r="E154" i="1"/>
  <c r="G153" i="1"/>
  <c r="J153" i="1" s="1"/>
  <c r="G152" i="1"/>
  <c r="J152" i="1" s="1"/>
  <c r="G151" i="1"/>
  <c r="I150" i="1"/>
  <c r="H150" i="1"/>
  <c r="F150" i="1"/>
  <c r="F155" i="1" s="1"/>
  <c r="F172" i="1" s="1"/>
  <c r="F235" i="1" s="1"/>
  <c r="E150" i="1"/>
  <c r="G149" i="1"/>
  <c r="G148" i="1"/>
  <c r="J148" i="1" s="1"/>
  <c r="G147" i="1"/>
  <c r="G150" i="1" s="1"/>
  <c r="J150" i="1" s="1"/>
  <c r="I146" i="1"/>
  <c r="H146" i="1"/>
  <c r="E146" i="1"/>
  <c r="G145" i="1"/>
  <c r="J145" i="1" s="1"/>
  <c r="G144" i="1"/>
  <c r="J144" i="1" s="1"/>
  <c r="G143" i="1"/>
  <c r="J143" i="1" s="1"/>
  <c r="G142" i="1"/>
  <c r="J142" i="1" s="1"/>
  <c r="G141" i="1"/>
  <c r="J141" i="1" s="1"/>
  <c r="G140" i="1"/>
  <c r="J140" i="1" s="1"/>
  <c r="G139" i="1"/>
  <c r="J139" i="1" s="1"/>
  <c r="I138" i="1"/>
  <c r="H138" i="1"/>
  <c r="E138" i="1"/>
  <c r="G137" i="1"/>
  <c r="J137" i="1" s="1"/>
  <c r="G136" i="1"/>
  <c r="J136" i="1" s="1"/>
  <c r="G135" i="1"/>
  <c r="J135" i="1" s="1"/>
  <c r="G134" i="1"/>
  <c r="J134" i="1" s="1"/>
  <c r="G133" i="1"/>
  <c r="J133" i="1" s="1"/>
  <c r="G132" i="1"/>
  <c r="J132" i="1" s="1"/>
  <c r="G131" i="1"/>
  <c r="I130" i="1"/>
  <c r="H130" i="1"/>
  <c r="E130" i="1"/>
  <c r="G129" i="1"/>
  <c r="J129" i="1" s="1"/>
  <c r="G128" i="1"/>
  <c r="J128" i="1" s="1"/>
  <c r="G127" i="1"/>
  <c r="J127" i="1" s="1"/>
  <c r="G126" i="1"/>
  <c r="I192" i="1" l="1"/>
  <c r="M1319" i="1"/>
  <c r="F1623" i="16"/>
  <c r="I1529" i="16"/>
  <c r="P90" i="17"/>
  <c r="G91" i="17"/>
  <c r="F99" i="17"/>
  <c r="I99" i="17" s="1"/>
  <c r="S296" i="14"/>
  <c r="T296" i="14" s="1"/>
  <c r="S294" i="14"/>
  <c r="T294" i="14" s="1"/>
  <c r="T300" i="14"/>
  <c r="T299" i="14"/>
  <c r="T301" i="14"/>
  <c r="T303" i="14"/>
  <c r="T295" i="14"/>
  <c r="S298" i="14"/>
  <c r="T298" i="14" s="1"/>
  <c r="S302" i="14"/>
  <c r="T302" i="14" s="1"/>
  <c r="F214" i="13"/>
  <c r="F219" i="13"/>
  <c r="F222" i="13"/>
  <c r="F227" i="13"/>
  <c r="J147" i="1"/>
  <c r="G170" i="1"/>
  <c r="G211" i="1"/>
  <c r="J211" i="1" s="1"/>
  <c r="I216" i="13"/>
  <c r="F289" i="13"/>
  <c r="I221" i="13"/>
  <c r="F149" i="13"/>
  <c r="F157" i="13"/>
  <c r="F206" i="13"/>
  <c r="I323" i="13"/>
  <c r="I324" i="13" s="1"/>
  <c r="G138" i="1"/>
  <c r="J138" i="1" s="1"/>
  <c r="G154" i="1"/>
  <c r="J154" i="1" s="1"/>
  <c r="I204" i="1"/>
  <c r="I206" i="1" s="1"/>
  <c r="I207" i="1" s="1"/>
  <c r="M264" i="1"/>
  <c r="M267" i="1" s="1"/>
  <c r="M154" i="1"/>
  <c r="M260" i="1"/>
  <c r="M373" i="1" s="1"/>
  <c r="M150" i="1"/>
  <c r="M239" i="1"/>
  <c r="M130" i="1"/>
  <c r="L239" i="1"/>
  <c r="G129" i="13"/>
  <c r="J129" i="13" s="1"/>
  <c r="G130" i="1"/>
  <c r="J130" i="1" s="1"/>
  <c r="E155" i="1"/>
  <c r="C30" i="15" s="1"/>
  <c r="E171" i="1"/>
  <c r="C31" i="15" s="1"/>
  <c r="H192" i="1"/>
  <c r="E192" i="1"/>
  <c r="E206" i="1" s="1"/>
  <c r="E207" i="1" s="1"/>
  <c r="C34" i="15" s="1"/>
  <c r="C36" i="15" s="1"/>
  <c r="F163" i="13"/>
  <c r="F173" i="13"/>
  <c r="F199" i="13"/>
  <c r="F207" i="13" s="1"/>
  <c r="F231" i="13"/>
  <c r="I289" i="13"/>
  <c r="L282" i="1"/>
  <c r="G172" i="13"/>
  <c r="J172" i="13" s="1"/>
  <c r="K169" i="1"/>
  <c r="N169" i="1" s="1"/>
  <c r="K168" i="1"/>
  <c r="L281" i="1"/>
  <c r="G171" i="13"/>
  <c r="J171" i="13" s="1"/>
  <c r="K167" i="1"/>
  <c r="N167" i="1" s="1"/>
  <c r="L280" i="1"/>
  <c r="G170" i="13"/>
  <c r="J170" i="13" s="1"/>
  <c r="K166" i="1"/>
  <c r="N166" i="1" s="1"/>
  <c r="L279" i="1"/>
  <c r="G169" i="13"/>
  <c r="J169" i="13" s="1"/>
  <c r="K165" i="1"/>
  <c r="N165" i="1" s="1"/>
  <c r="L278" i="1"/>
  <c r="G168" i="13"/>
  <c r="J168" i="13" s="1"/>
  <c r="K164" i="1"/>
  <c r="N164" i="1" s="1"/>
  <c r="L277" i="1"/>
  <c r="G167" i="13"/>
  <c r="J167" i="13" s="1"/>
  <c r="K163" i="1"/>
  <c r="N163" i="1" s="1"/>
  <c r="L276" i="1"/>
  <c r="G166" i="13"/>
  <c r="J166" i="13" s="1"/>
  <c r="K162" i="1"/>
  <c r="N162" i="1" s="1"/>
  <c r="L275" i="1"/>
  <c r="G165" i="13"/>
  <c r="J165" i="13" s="1"/>
  <c r="K161" i="1"/>
  <c r="N161" i="1" s="1"/>
  <c r="L274" i="1"/>
  <c r="G164" i="13"/>
  <c r="J164" i="13" s="1"/>
  <c r="L272" i="1"/>
  <c r="G162" i="13"/>
  <c r="J162" i="13" s="1"/>
  <c r="K159" i="1"/>
  <c r="N159" i="1" s="1"/>
  <c r="K158" i="1"/>
  <c r="N158" i="1" s="1"/>
  <c r="L271" i="1"/>
  <c r="G161" i="13"/>
  <c r="J161" i="13" s="1"/>
  <c r="K157" i="1"/>
  <c r="O157" i="1" s="1"/>
  <c r="L270" i="1"/>
  <c r="G160" i="13"/>
  <c r="J160" i="13" s="1"/>
  <c r="L269" i="1"/>
  <c r="G159" i="13"/>
  <c r="L266" i="1"/>
  <c r="G156" i="13"/>
  <c r="J156" i="13" s="1"/>
  <c r="K153" i="1"/>
  <c r="N153" i="1" s="1"/>
  <c r="L265" i="1"/>
  <c r="G155" i="13"/>
  <c r="J155" i="13" s="1"/>
  <c r="K152" i="1"/>
  <c r="N152" i="1" s="1"/>
  <c r="K151" i="1"/>
  <c r="O151" i="1" s="1"/>
  <c r="L264" i="1"/>
  <c r="G154" i="13"/>
  <c r="J154" i="13" s="1"/>
  <c r="L154" i="1"/>
  <c r="L262" i="1"/>
  <c r="G152" i="13"/>
  <c r="J152" i="13" s="1"/>
  <c r="K149" i="1"/>
  <c r="N149" i="1" s="1"/>
  <c r="L374" i="1"/>
  <c r="K261" i="1"/>
  <c r="N261" i="1" s="1"/>
  <c r="G265" i="13"/>
  <c r="J265" i="13" s="1"/>
  <c r="L260" i="1"/>
  <c r="K147" i="1"/>
  <c r="N147" i="1" s="1"/>
  <c r="G150" i="13"/>
  <c r="J150" i="13" s="1"/>
  <c r="K145" i="1"/>
  <c r="O145" i="1" s="1"/>
  <c r="L258" i="1"/>
  <c r="G148" i="13"/>
  <c r="J148" i="13" s="1"/>
  <c r="L257" i="1"/>
  <c r="G147" i="13"/>
  <c r="J147" i="13" s="1"/>
  <c r="K144" i="1"/>
  <c r="N144" i="1" s="1"/>
  <c r="L256" i="1"/>
  <c r="K143" i="1"/>
  <c r="N143" i="1" s="1"/>
  <c r="G146" i="13"/>
  <c r="J146" i="13" s="1"/>
  <c r="K142" i="1"/>
  <c r="O142" i="1" s="1"/>
  <c r="L255" i="1"/>
  <c r="G145" i="13"/>
  <c r="J145" i="13" s="1"/>
  <c r="K141" i="1"/>
  <c r="O141" i="1" s="1"/>
  <c r="L254" i="1"/>
  <c r="G144" i="13"/>
  <c r="J144" i="13" s="1"/>
  <c r="L253" i="1"/>
  <c r="G143" i="13"/>
  <c r="J143" i="13" s="1"/>
  <c r="K140" i="1"/>
  <c r="N140" i="1" s="1"/>
  <c r="K139" i="1"/>
  <c r="N139" i="1" s="1"/>
  <c r="L252" i="1"/>
  <c r="G142" i="13"/>
  <c r="L146" i="1"/>
  <c r="K137" i="1"/>
  <c r="N137" i="1" s="1"/>
  <c r="L250" i="1"/>
  <c r="G140" i="13"/>
  <c r="J140" i="13" s="1"/>
  <c r="K136" i="1"/>
  <c r="N136" i="1" s="1"/>
  <c r="L249" i="1"/>
  <c r="G139" i="13"/>
  <c r="J139" i="13" s="1"/>
  <c r="K135" i="1"/>
  <c r="N135" i="1" s="1"/>
  <c r="L248" i="1"/>
  <c r="G138" i="13"/>
  <c r="J138" i="13" s="1"/>
  <c r="K134" i="1"/>
  <c r="N134" i="1" s="1"/>
  <c r="L247" i="1"/>
  <c r="G137" i="13"/>
  <c r="J137" i="13" s="1"/>
  <c r="G136" i="13"/>
  <c r="J136" i="13" s="1"/>
  <c r="L246" i="1"/>
  <c r="K132" i="1"/>
  <c r="N132" i="1" s="1"/>
  <c r="L245" i="1"/>
  <c r="G135" i="13"/>
  <c r="J135" i="13" s="1"/>
  <c r="K131" i="1"/>
  <c r="O131" i="1" s="1"/>
  <c r="L244" i="1"/>
  <c r="G134" i="13"/>
  <c r="J134" i="13" s="1"/>
  <c r="L242" i="1"/>
  <c r="G132" i="13"/>
  <c r="J132" i="13" s="1"/>
  <c r="K129" i="1"/>
  <c r="N129" i="1" s="1"/>
  <c r="K128" i="1"/>
  <c r="N128" i="1" s="1"/>
  <c r="L241" i="1"/>
  <c r="G131" i="13"/>
  <c r="J131" i="13" s="1"/>
  <c r="K127" i="1"/>
  <c r="N127" i="1" s="1"/>
  <c r="L240" i="1"/>
  <c r="G130" i="13"/>
  <c r="J130" i="13" s="1"/>
  <c r="G232" i="1"/>
  <c r="J232" i="1" s="1"/>
  <c r="M353" i="1"/>
  <c r="M243" i="1"/>
  <c r="M467" i="1"/>
  <c r="M355" i="1"/>
  <c r="M251" i="1"/>
  <c r="M357" i="1"/>
  <c r="M358" i="1"/>
  <c r="M359" i="1"/>
  <c r="M360" i="1"/>
  <c r="M361" i="1"/>
  <c r="M362" i="1"/>
  <c r="M363" i="1"/>
  <c r="M259" i="1"/>
  <c r="M365" i="1"/>
  <c r="M366" i="1"/>
  <c r="M367" i="1"/>
  <c r="M368" i="1"/>
  <c r="M369" i="1"/>
  <c r="M370" i="1"/>
  <c r="M371" i="1"/>
  <c r="M487" i="1"/>
  <c r="M375" i="1"/>
  <c r="M378" i="1"/>
  <c r="M379" i="1"/>
  <c r="M273" i="1"/>
  <c r="M284" i="1" s="1"/>
  <c r="M382" i="1"/>
  <c r="M383" i="1"/>
  <c r="M384" i="1"/>
  <c r="M385" i="1"/>
  <c r="M387" i="1"/>
  <c r="M388" i="1"/>
  <c r="M389" i="1"/>
  <c r="M390" i="1"/>
  <c r="M391" i="1"/>
  <c r="M392" i="1"/>
  <c r="M393" i="1"/>
  <c r="M395" i="1"/>
  <c r="J131" i="1"/>
  <c r="M146" i="1"/>
  <c r="M160" i="1"/>
  <c r="M171" i="1" s="1"/>
  <c r="J161" i="1"/>
  <c r="J208" i="1"/>
  <c r="F351" i="13"/>
  <c r="G319" i="1"/>
  <c r="G320" i="1" s="1"/>
  <c r="C70" i="15"/>
  <c r="H223" i="16"/>
  <c r="H139" i="16"/>
  <c r="H154" i="16"/>
  <c r="H197" i="16"/>
  <c r="I261" i="17"/>
  <c r="G433" i="1"/>
  <c r="G461" i="1" s="1"/>
  <c r="J461" i="1" s="1"/>
  <c r="J432" i="1"/>
  <c r="J433" i="1" s="1"/>
  <c r="S292" i="14"/>
  <c r="T292" i="14" s="1"/>
  <c r="S290" i="14"/>
  <c r="T290" i="14" s="1"/>
  <c r="S291" i="14"/>
  <c r="T291" i="14" s="1"/>
  <c r="R293" i="14"/>
  <c r="P293" i="14"/>
  <c r="Q293" i="14"/>
  <c r="F198" i="17"/>
  <c r="I198" i="17" s="1"/>
  <c r="I197" i="17"/>
  <c r="D91" i="17"/>
  <c r="E135" i="17"/>
  <c r="H91" i="17"/>
  <c r="I92" i="17"/>
  <c r="P133" i="17"/>
  <c r="P134" i="17" s="1"/>
  <c r="F186" i="13"/>
  <c r="I177" i="13"/>
  <c r="I228" i="13"/>
  <c r="F153" i="13"/>
  <c r="F194" i="13"/>
  <c r="J285" i="1"/>
  <c r="G347" i="1"/>
  <c r="J346" i="1"/>
  <c r="J347" i="1" s="1"/>
  <c r="E164" i="16"/>
  <c r="F141" i="13"/>
  <c r="K148" i="1"/>
  <c r="N148" i="1" s="1"/>
  <c r="G151" i="13"/>
  <c r="M321" i="14"/>
  <c r="O321" i="14"/>
  <c r="N321" i="14" s="1"/>
  <c r="R321" i="14" s="1"/>
  <c r="M322" i="14"/>
  <c r="O322" i="14"/>
  <c r="N322" i="14" s="1"/>
  <c r="R322" i="14" s="1"/>
  <c r="O320" i="14"/>
  <c r="N320" i="14" s="1"/>
  <c r="R320" i="14" s="1"/>
  <c r="M323" i="14"/>
  <c r="O323" i="14"/>
  <c r="N323" i="14" s="1"/>
  <c r="R323" i="14" s="1"/>
  <c r="N324" i="14"/>
  <c r="P324" i="14" s="1"/>
  <c r="N325" i="14"/>
  <c r="P325" i="14" s="1"/>
  <c r="N326" i="14"/>
  <c r="P326" i="14" s="1"/>
  <c r="N315" i="14"/>
  <c r="R315" i="14" s="1"/>
  <c r="N316" i="14"/>
  <c r="R316" i="14" s="1"/>
  <c r="N317" i="14"/>
  <c r="R317" i="14" s="1"/>
  <c r="O311" i="14"/>
  <c r="N311" i="14" s="1"/>
  <c r="M311" i="14"/>
  <c r="O313" i="14"/>
  <c r="N313" i="14" s="1"/>
  <c r="M313" i="14"/>
  <c r="M315" i="14"/>
  <c r="M316" i="14"/>
  <c r="M317" i="14"/>
  <c r="L319" i="14"/>
  <c r="K319" i="14" s="1"/>
  <c r="C319" i="14"/>
  <c r="O312" i="14"/>
  <c r="N312" i="14" s="1"/>
  <c r="M312" i="14"/>
  <c r="L314" i="14"/>
  <c r="K314" i="14" s="1"/>
  <c r="C314" i="14"/>
  <c r="O318" i="14"/>
  <c r="N318" i="14" s="1"/>
  <c r="M318" i="14"/>
  <c r="M324" i="14"/>
  <c r="M325" i="14"/>
  <c r="M326" i="14"/>
  <c r="H162" i="16"/>
  <c r="E226" i="16"/>
  <c r="P99" i="17"/>
  <c r="P100" i="17" s="1"/>
  <c r="F82" i="17"/>
  <c r="F100" i="17"/>
  <c r="I100" i="17" s="1"/>
  <c r="G135" i="17"/>
  <c r="P82" i="17"/>
  <c r="P91" i="17" s="1"/>
  <c r="F90" i="17"/>
  <c r="I90" i="17" s="1"/>
  <c r="D135" i="17"/>
  <c r="F133" i="17"/>
  <c r="H135" i="17"/>
  <c r="F133" i="13"/>
  <c r="I188" i="13"/>
  <c r="I194" i="13" s="1"/>
  <c r="I196" i="13"/>
  <c r="I199" i="13" s="1"/>
  <c r="I211" i="13"/>
  <c r="I214" i="13" s="1"/>
  <c r="I229" i="13"/>
  <c r="I129" i="13"/>
  <c r="I133" i="13" s="1"/>
  <c r="I134" i="13"/>
  <c r="I141" i="13" s="1"/>
  <c r="I142" i="13"/>
  <c r="I149" i="13" s="1"/>
  <c r="I150" i="13"/>
  <c r="I153" i="13" s="1"/>
  <c r="I154" i="13"/>
  <c r="I157" i="13" s="1"/>
  <c r="I159" i="13"/>
  <c r="I163" i="13" s="1"/>
  <c r="I164" i="13"/>
  <c r="I173" i="13" s="1"/>
  <c r="I176" i="13"/>
  <c r="I200" i="13"/>
  <c r="I206" i="13" s="1"/>
  <c r="I215" i="13"/>
  <c r="I220" i="13"/>
  <c r="I223" i="13"/>
  <c r="I227" i="13" s="1"/>
  <c r="H233" i="1"/>
  <c r="O169" i="1"/>
  <c r="O134" i="1"/>
  <c r="L130" i="1"/>
  <c r="M138" i="1"/>
  <c r="K133" i="1"/>
  <c r="N133" i="1" s="1"/>
  <c r="I155" i="1"/>
  <c r="I172" i="1" s="1"/>
  <c r="L138" i="1"/>
  <c r="G146" i="1"/>
  <c r="J146" i="1" s="1"/>
  <c r="L150" i="1"/>
  <c r="G160" i="1"/>
  <c r="G183" i="1"/>
  <c r="K126" i="1"/>
  <c r="H155" i="1"/>
  <c r="H172" i="1" s="1"/>
  <c r="J151" i="1"/>
  <c r="L160" i="1"/>
  <c r="L171" i="1" s="1"/>
  <c r="K156" i="1"/>
  <c r="H206" i="1"/>
  <c r="H207" i="1" s="1"/>
  <c r="G191" i="1"/>
  <c r="J191" i="1" s="1"/>
  <c r="G196" i="1"/>
  <c r="G203" i="1"/>
  <c r="J203" i="1" s="1"/>
  <c r="E233" i="1"/>
  <c r="E234" i="1" s="1"/>
  <c r="C37" i="15" s="1"/>
  <c r="C39" i="15" s="1"/>
  <c r="I233" i="1"/>
  <c r="I234" i="1" s="1"/>
  <c r="G216" i="1"/>
  <c r="J216" i="1" s="1"/>
  <c r="J212" i="1"/>
  <c r="G219" i="1"/>
  <c r="J219" i="1" s="1"/>
  <c r="J217" i="1"/>
  <c r="G225" i="1"/>
  <c r="J225" i="1" s="1"/>
  <c r="G229" i="1"/>
  <c r="J229" i="1" s="1"/>
  <c r="D338" i="14"/>
  <c r="D339" i="14"/>
  <c r="D334" i="14"/>
  <c r="I1623" i="16" l="1"/>
  <c r="F1717" i="16"/>
  <c r="M1436" i="1"/>
  <c r="O133" i="1"/>
  <c r="Q321" i="14"/>
  <c r="S321" i="14" s="1"/>
  <c r="T321" i="14" s="1"/>
  <c r="R326" i="14"/>
  <c r="P321" i="14"/>
  <c r="R324" i="14"/>
  <c r="Q326" i="14"/>
  <c r="Q322" i="14"/>
  <c r="P322" i="14"/>
  <c r="P316" i="14"/>
  <c r="Q324" i="14"/>
  <c r="S293" i="14"/>
  <c r="T293" i="14" s="1"/>
  <c r="P323" i="14"/>
  <c r="P315" i="14"/>
  <c r="Q325" i="14"/>
  <c r="P317" i="14"/>
  <c r="N141" i="1"/>
  <c r="O162" i="1"/>
  <c r="F195" i="13"/>
  <c r="F209" i="13" s="1"/>
  <c r="F210" i="13" s="1"/>
  <c r="I222" i="13"/>
  <c r="O163" i="1"/>
  <c r="O128" i="1"/>
  <c r="O140" i="1"/>
  <c r="O148" i="1"/>
  <c r="O261" i="1"/>
  <c r="M377" i="1"/>
  <c r="M380" i="1" s="1"/>
  <c r="O167" i="1"/>
  <c r="O153" i="1"/>
  <c r="N131" i="1"/>
  <c r="O136" i="1"/>
  <c r="O144" i="1"/>
  <c r="N142" i="1"/>
  <c r="O149" i="1"/>
  <c r="O158" i="1"/>
  <c r="M263" i="1"/>
  <c r="O165" i="1"/>
  <c r="O161" i="1"/>
  <c r="N151" i="1"/>
  <c r="O143" i="1"/>
  <c r="I219" i="13"/>
  <c r="J133" i="13"/>
  <c r="J141" i="13"/>
  <c r="G149" i="13"/>
  <c r="G163" i="13"/>
  <c r="I351" i="13"/>
  <c r="F174" i="13"/>
  <c r="C33" i="15"/>
  <c r="C40" i="15" s="1"/>
  <c r="G204" i="1"/>
  <c r="J204" i="1" s="1"/>
  <c r="O147" i="1"/>
  <c r="K154" i="1"/>
  <c r="N154" i="1" s="1"/>
  <c r="K146" i="1"/>
  <c r="N146" i="1" s="1"/>
  <c r="O139" i="1"/>
  <c r="O127" i="1"/>
  <c r="K150" i="1"/>
  <c r="N150" i="1" s="1"/>
  <c r="K138" i="1"/>
  <c r="N138" i="1" s="1"/>
  <c r="N157" i="1"/>
  <c r="O166" i="1"/>
  <c r="G141" i="13"/>
  <c r="O137" i="1"/>
  <c r="E172" i="1"/>
  <c r="O129" i="1"/>
  <c r="O132" i="1"/>
  <c r="N145" i="1"/>
  <c r="O159" i="1"/>
  <c r="O164" i="1"/>
  <c r="J159" i="13"/>
  <c r="J163" i="13" s="1"/>
  <c r="G133" i="13"/>
  <c r="L352" i="1"/>
  <c r="G243" i="13"/>
  <c r="J243" i="13" s="1"/>
  <c r="K239" i="1"/>
  <c r="N239" i="1" s="1"/>
  <c r="M352" i="1"/>
  <c r="O239" i="1"/>
  <c r="M508" i="1"/>
  <c r="M506" i="1"/>
  <c r="M504" i="1"/>
  <c r="M502" i="1"/>
  <c r="M497" i="1"/>
  <c r="M600" i="1"/>
  <c r="M484" i="1"/>
  <c r="M483" i="1"/>
  <c r="M482" i="1"/>
  <c r="M481" i="1"/>
  <c r="M480" i="1"/>
  <c r="M479" i="1"/>
  <c r="M372" i="1"/>
  <c r="M478" i="1"/>
  <c r="M476" i="1"/>
  <c r="M474" i="1"/>
  <c r="M580" i="1"/>
  <c r="M466" i="1"/>
  <c r="M356" i="1"/>
  <c r="G245" i="13"/>
  <c r="J245" i="13" s="1"/>
  <c r="L354" i="1"/>
  <c r="K241" i="1"/>
  <c r="K242" i="1"/>
  <c r="L355" i="1"/>
  <c r="G246" i="13"/>
  <c r="J246" i="13" s="1"/>
  <c r="L357" i="1"/>
  <c r="K244" i="1"/>
  <c r="G248" i="13"/>
  <c r="L251" i="1"/>
  <c r="K247" i="1"/>
  <c r="L360" i="1"/>
  <c r="G251" i="13"/>
  <c r="J251" i="13" s="1"/>
  <c r="K249" i="1"/>
  <c r="L362" i="1"/>
  <c r="G253" i="13"/>
  <c r="J253" i="13" s="1"/>
  <c r="L368" i="1"/>
  <c r="G259" i="13"/>
  <c r="J259" i="13" s="1"/>
  <c r="K255" i="1"/>
  <c r="K256" i="1"/>
  <c r="L369" i="1"/>
  <c r="G260" i="13"/>
  <c r="J260" i="13" s="1"/>
  <c r="L487" i="1"/>
  <c r="G379" i="13"/>
  <c r="J379" i="13" s="1"/>
  <c r="K374" i="1"/>
  <c r="L267" i="1"/>
  <c r="L377" i="1"/>
  <c r="G268" i="13"/>
  <c r="K264" i="1"/>
  <c r="L378" i="1"/>
  <c r="G269" i="13"/>
  <c r="J269" i="13" s="1"/>
  <c r="K265" i="1"/>
  <c r="K271" i="1"/>
  <c r="L384" i="1"/>
  <c r="G275" i="13"/>
  <c r="J275" i="13" s="1"/>
  <c r="L385" i="1"/>
  <c r="K272" i="1"/>
  <c r="G276" i="13"/>
  <c r="J276" i="13" s="1"/>
  <c r="K274" i="1"/>
  <c r="L387" i="1"/>
  <c r="G278" i="13"/>
  <c r="K276" i="1"/>
  <c r="L389" i="1"/>
  <c r="G280" i="13"/>
  <c r="J280" i="13" s="1"/>
  <c r="K278" i="1"/>
  <c r="L391" i="1"/>
  <c r="G282" i="13"/>
  <c r="J282" i="13" s="1"/>
  <c r="K280" i="1"/>
  <c r="L393" i="1"/>
  <c r="G284" i="13"/>
  <c r="J284" i="13" s="1"/>
  <c r="O152" i="1"/>
  <c r="O135" i="1"/>
  <c r="G155" i="1"/>
  <c r="J155" i="1" s="1"/>
  <c r="M155" i="1"/>
  <c r="M172" i="1" s="1"/>
  <c r="I231" i="13"/>
  <c r="J173" i="13"/>
  <c r="J157" i="13"/>
  <c r="J142" i="13"/>
  <c r="J149" i="13" s="1"/>
  <c r="M505" i="1"/>
  <c r="M503" i="1"/>
  <c r="M501" i="1"/>
  <c r="M500" i="1"/>
  <c r="M498" i="1"/>
  <c r="M386" i="1"/>
  <c r="M496" i="1"/>
  <c r="M495" i="1"/>
  <c r="M492" i="1"/>
  <c r="M491" i="1"/>
  <c r="M490" i="1"/>
  <c r="M488" i="1"/>
  <c r="M601" i="1" s="1"/>
  <c r="M376" i="1"/>
  <c r="M486" i="1"/>
  <c r="M475" i="1"/>
  <c r="M473" i="1"/>
  <c r="M472" i="1"/>
  <c r="M471" i="1"/>
  <c r="M470" i="1"/>
  <c r="M364" i="1"/>
  <c r="M468" i="1"/>
  <c r="M268" i="1"/>
  <c r="M285" i="1" s="1"/>
  <c r="L243" i="1"/>
  <c r="L353" i="1"/>
  <c r="G244" i="13"/>
  <c r="K240" i="1"/>
  <c r="K245" i="1"/>
  <c r="L358" i="1"/>
  <c r="G249" i="13"/>
  <c r="J249" i="13" s="1"/>
  <c r="K246" i="1"/>
  <c r="L359" i="1"/>
  <c r="G250" i="13"/>
  <c r="J250" i="13" s="1"/>
  <c r="L361" i="1"/>
  <c r="G252" i="13"/>
  <c r="J252" i="13" s="1"/>
  <c r="K248" i="1"/>
  <c r="L363" i="1"/>
  <c r="G254" i="13"/>
  <c r="J254" i="13" s="1"/>
  <c r="K250" i="1"/>
  <c r="L259" i="1"/>
  <c r="L365" i="1"/>
  <c r="G256" i="13"/>
  <c r="K252" i="1"/>
  <c r="L366" i="1"/>
  <c r="G257" i="13"/>
  <c r="J257" i="13" s="1"/>
  <c r="K253" i="1"/>
  <c r="K254" i="1"/>
  <c r="L367" i="1"/>
  <c r="G258" i="13"/>
  <c r="J258" i="13" s="1"/>
  <c r="L370" i="1"/>
  <c r="G261" i="13"/>
  <c r="J261" i="13" s="1"/>
  <c r="K257" i="1"/>
  <c r="K258" i="1"/>
  <c r="L371" i="1"/>
  <c r="G262" i="13"/>
  <c r="J262" i="13" s="1"/>
  <c r="L373" i="1"/>
  <c r="G264" i="13"/>
  <c r="K260" i="1"/>
  <c r="L263" i="1"/>
  <c r="K262" i="1"/>
  <c r="L375" i="1"/>
  <c r="G266" i="13"/>
  <c r="J266" i="13" s="1"/>
  <c r="G157" i="13"/>
  <c r="K266" i="1"/>
  <c r="L379" i="1"/>
  <c r="G270" i="13"/>
  <c r="J270" i="13" s="1"/>
  <c r="L273" i="1"/>
  <c r="L284" i="1" s="1"/>
  <c r="L382" i="1"/>
  <c r="G273" i="13"/>
  <c r="K269" i="1"/>
  <c r="L383" i="1"/>
  <c r="K270" i="1"/>
  <c r="G274" i="13"/>
  <c r="J274" i="13" s="1"/>
  <c r="G173" i="13"/>
  <c r="K170" i="1"/>
  <c r="L388" i="1"/>
  <c r="G279" i="13"/>
  <c r="J279" i="13" s="1"/>
  <c r="K275" i="1"/>
  <c r="L390" i="1"/>
  <c r="G281" i="13"/>
  <c r="J281" i="13" s="1"/>
  <c r="K277" i="1"/>
  <c r="L392" i="1"/>
  <c r="G283" i="13"/>
  <c r="J283" i="13" s="1"/>
  <c r="K279" i="1"/>
  <c r="L394" i="1"/>
  <c r="G285" i="13"/>
  <c r="J285" i="13" s="1"/>
  <c r="K281" i="1"/>
  <c r="K282" i="1"/>
  <c r="L395" i="1"/>
  <c r="G286" i="13"/>
  <c r="J286" i="13" s="1"/>
  <c r="S322" i="14"/>
  <c r="T322" i="14" s="1"/>
  <c r="Q320" i="14"/>
  <c r="S320" i="14" s="1"/>
  <c r="R325" i="14"/>
  <c r="P320" i="14"/>
  <c r="Q317" i="14"/>
  <c r="S317" i="14" s="1"/>
  <c r="Q315" i="14"/>
  <c r="S315" i="14" s="1"/>
  <c r="J319" i="1"/>
  <c r="J320" i="1" s="1"/>
  <c r="H164" i="16"/>
  <c r="P135" i="17"/>
  <c r="F158" i="13"/>
  <c r="I186" i="13"/>
  <c r="I195" i="13" s="1"/>
  <c r="G348" i="1"/>
  <c r="J348" i="1" s="1"/>
  <c r="J151" i="13"/>
  <c r="J153" i="13" s="1"/>
  <c r="G153" i="13"/>
  <c r="Q323" i="14"/>
  <c r="S323" i="14" s="1"/>
  <c r="T323" i="14" s="1"/>
  <c r="H234" i="1"/>
  <c r="H235" i="1" s="1"/>
  <c r="F234" i="13"/>
  <c r="F235" i="13" s="1"/>
  <c r="F236" i="13" s="1"/>
  <c r="Q316" i="14"/>
  <c r="S316" i="14" s="1"/>
  <c r="Q318" i="14"/>
  <c r="P318" i="14"/>
  <c r="R318" i="14"/>
  <c r="O314" i="14"/>
  <c r="N314" i="14" s="1"/>
  <c r="M314" i="14"/>
  <c r="Q312" i="14"/>
  <c r="P312" i="14"/>
  <c r="R312" i="14"/>
  <c r="Q313" i="14"/>
  <c r="R313" i="14"/>
  <c r="P313" i="14"/>
  <c r="Q311" i="14"/>
  <c r="R311" i="14"/>
  <c r="P311" i="14"/>
  <c r="M319" i="14"/>
  <c r="O319" i="14"/>
  <c r="N319" i="14" s="1"/>
  <c r="I82" i="17"/>
  <c r="F91" i="17"/>
  <c r="I91" i="17" s="1"/>
  <c r="F134" i="17"/>
  <c r="I133" i="17"/>
  <c r="I174" i="13"/>
  <c r="I207" i="13"/>
  <c r="I158" i="13"/>
  <c r="I235" i="1"/>
  <c r="L155" i="1"/>
  <c r="L172" i="1" s="1"/>
  <c r="K160" i="1"/>
  <c r="N156" i="1"/>
  <c r="K130" i="1"/>
  <c r="N126" i="1"/>
  <c r="J183" i="1"/>
  <c r="G192" i="1"/>
  <c r="J160" i="1"/>
  <c r="G171" i="1"/>
  <c r="J196" i="1"/>
  <c r="G233" i="1"/>
  <c r="O156" i="1"/>
  <c r="E235" i="1"/>
  <c r="O126" i="1"/>
  <c r="F116" i="16"/>
  <c r="F114" i="16"/>
  <c r="F222" i="16" s="1"/>
  <c r="F113" i="16"/>
  <c r="F221" i="16" s="1"/>
  <c r="F112" i="16"/>
  <c r="F220" i="16" s="1"/>
  <c r="F328" i="16" s="1"/>
  <c r="F421" i="16" s="1"/>
  <c r="F514" i="16" s="1"/>
  <c r="F608" i="16" s="1"/>
  <c r="F702" i="16" s="1"/>
  <c r="F796" i="16" s="1"/>
  <c r="F890" i="16" s="1"/>
  <c r="F984" i="16" s="1"/>
  <c r="F1078" i="16" s="1"/>
  <c r="F1172" i="16" s="1"/>
  <c r="F1266" i="16" s="1"/>
  <c r="F1360" i="16" s="1"/>
  <c r="F1454" i="16" s="1"/>
  <c r="F1548" i="16" s="1"/>
  <c r="F1642" i="16" s="1"/>
  <c r="F1736" i="16" s="1"/>
  <c r="F1830" i="16" s="1"/>
  <c r="F1927" i="16" s="1"/>
  <c r="F111" i="16"/>
  <c r="F219" i="16" s="1"/>
  <c r="F110" i="16"/>
  <c r="F218" i="16" s="1"/>
  <c r="F109" i="16"/>
  <c r="F217" i="16" s="1"/>
  <c r="F108" i="16"/>
  <c r="F216" i="16" s="1"/>
  <c r="F107" i="16"/>
  <c r="F215" i="16" s="1"/>
  <c r="F106" i="16"/>
  <c r="F214" i="16" s="1"/>
  <c r="F105" i="16"/>
  <c r="F213" i="16" s="1"/>
  <c r="F104" i="16"/>
  <c r="F212" i="16" s="1"/>
  <c r="F103" i="16"/>
  <c r="F211" i="16" s="1"/>
  <c r="F102" i="16"/>
  <c r="F210" i="16" s="1"/>
  <c r="F101" i="16"/>
  <c r="F209" i="16" s="1"/>
  <c r="F100" i="16"/>
  <c r="F208" i="16" s="1"/>
  <c r="F99" i="16"/>
  <c r="F207" i="16" s="1"/>
  <c r="F98" i="16"/>
  <c r="F206" i="16" s="1"/>
  <c r="F97" i="16"/>
  <c r="F205" i="16" s="1"/>
  <c r="F96" i="16"/>
  <c r="F204" i="16" s="1"/>
  <c r="F95" i="16"/>
  <c r="F203" i="16" s="1"/>
  <c r="F94" i="16"/>
  <c r="F202" i="16" s="1"/>
  <c r="F93" i="16"/>
  <c r="F201" i="16" s="1"/>
  <c r="F92" i="16"/>
  <c r="F200" i="16" s="1"/>
  <c r="F91" i="16"/>
  <c r="F199" i="16" s="1"/>
  <c r="F90" i="16"/>
  <c r="F198" i="16" s="1"/>
  <c r="F88" i="16"/>
  <c r="F196" i="16" s="1"/>
  <c r="F87" i="16"/>
  <c r="F195" i="16" s="1"/>
  <c r="F86" i="16"/>
  <c r="F194" i="16" s="1"/>
  <c r="F85" i="16"/>
  <c r="F193" i="16" s="1"/>
  <c r="F84" i="16"/>
  <c r="F192" i="16" s="1"/>
  <c r="F83" i="16"/>
  <c r="F191" i="16" s="1"/>
  <c r="F82" i="16"/>
  <c r="F190" i="16" s="1"/>
  <c r="F81" i="16"/>
  <c r="F189" i="16" s="1"/>
  <c r="F80" i="16"/>
  <c r="F188" i="16" s="1"/>
  <c r="F79" i="16"/>
  <c r="F187" i="16" s="1"/>
  <c r="F78" i="16"/>
  <c r="F186" i="16" s="1"/>
  <c r="F77" i="16"/>
  <c r="F185" i="16" s="1"/>
  <c r="F76" i="16"/>
  <c r="F184" i="16" s="1"/>
  <c r="F75" i="16"/>
  <c r="F183" i="16" s="1"/>
  <c r="F74" i="16"/>
  <c r="F182" i="16" s="1"/>
  <c r="F73" i="16"/>
  <c r="F181" i="16" s="1"/>
  <c r="F72" i="16"/>
  <c r="F180" i="16" s="1"/>
  <c r="F71" i="16"/>
  <c r="F179" i="16" s="1"/>
  <c r="F70" i="16"/>
  <c r="F178" i="16" s="1"/>
  <c r="F69" i="16"/>
  <c r="F177" i="16" s="1"/>
  <c r="F68" i="16"/>
  <c r="F176" i="16" s="1"/>
  <c r="F67" i="16"/>
  <c r="F175" i="16" s="1"/>
  <c r="F66" i="16"/>
  <c r="F174" i="16" s="1"/>
  <c r="F65" i="16"/>
  <c r="F173" i="16" s="1"/>
  <c r="F64" i="16"/>
  <c r="F172" i="16" s="1"/>
  <c r="F63" i="16"/>
  <c r="F171" i="16" s="1"/>
  <c r="F62" i="16"/>
  <c r="F170" i="16" s="1"/>
  <c r="F61" i="16"/>
  <c r="F169" i="16" s="1"/>
  <c r="F60" i="16"/>
  <c r="F168" i="16" s="1"/>
  <c r="F59" i="16"/>
  <c r="F167" i="16" s="1"/>
  <c r="F58" i="16"/>
  <c r="F166" i="16" s="1"/>
  <c r="F57" i="16"/>
  <c r="F165" i="16" s="1"/>
  <c r="F53" i="16"/>
  <c r="F161" i="16" s="1"/>
  <c r="F52" i="16"/>
  <c r="F160" i="16" s="1"/>
  <c r="F51" i="16"/>
  <c r="F159" i="16" s="1"/>
  <c r="F50" i="16"/>
  <c r="F158" i="16" s="1"/>
  <c r="F49" i="16"/>
  <c r="F157" i="16" s="1"/>
  <c r="F48" i="16"/>
  <c r="F156" i="16" s="1"/>
  <c r="F47" i="16"/>
  <c r="F155" i="16" s="1"/>
  <c r="F45" i="16"/>
  <c r="F153" i="16" s="1"/>
  <c r="F44" i="16"/>
  <c r="F152" i="16" s="1"/>
  <c r="F43" i="16"/>
  <c r="F151" i="16" s="1"/>
  <c r="F42" i="16"/>
  <c r="F150" i="16" s="1"/>
  <c r="F41" i="16"/>
  <c r="F149" i="16" s="1"/>
  <c r="F40" i="16"/>
  <c r="F148" i="16" s="1"/>
  <c r="F39" i="16"/>
  <c r="F147" i="16" s="1"/>
  <c r="F38" i="16"/>
  <c r="F146" i="16" s="1"/>
  <c r="F37" i="16"/>
  <c r="F145" i="16" s="1"/>
  <c r="F36" i="16"/>
  <c r="F144" i="16" s="1"/>
  <c r="F35" i="16"/>
  <c r="F143" i="16" s="1"/>
  <c r="F34" i="16"/>
  <c r="F142" i="16" s="1"/>
  <c r="F33" i="16"/>
  <c r="F141" i="16" s="1"/>
  <c r="F32" i="16"/>
  <c r="F140" i="16" s="1"/>
  <c r="F30" i="16"/>
  <c r="F138" i="16" s="1"/>
  <c r="F29" i="16"/>
  <c r="F137" i="16" s="1"/>
  <c r="F28" i="16"/>
  <c r="F136" i="16" s="1"/>
  <c r="F27" i="16"/>
  <c r="F135" i="16" s="1"/>
  <c r="F26" i="16"/>
  <c r="F134" i="16" s="1"/>
  <c r="F25" i="16"/>
  <c r="F133" i="16" s="1"/>
  <c r="F24" i="16"/>
  <c r="F132" i="16" s="1"/>
  <c r="F23" i="16"/>
  <c r="F131" i="16" s="1"/>
  <c r="F239" i="16" s="1"/>
  <c r="F22" i="16"/>
  <c r="F130" i="16" s="1"/>
  <c r="F21" i="16"/>
  <c r="F129" i="16" s="1"/>
  <c r="F20" i="16"/>
  <c r="F128" i="16" s="1"/>
  <c r="F19" i="16"/>
  <c r="F127" i="16" s="1"/>
  <c r="F18" i="16"/>
  <c r="F126" i="16" s="1"/>
  <c r="F17" i="16"/>
  <c r="F125" i="16" s="1"/>
  <c r="F16" i="16"/>
  <c r="F124" i="16" s="1"/>
  <c r="F15" i="16"/>
  <c r="F123" i="16" s="1"/>
  <c r="L69" i="17"/>
  <c r="L132" i="17" s="1"/>
  <c r="L195" i="17" s="1"/>
  <c r="K69" i="17"/>
  <c r="K132" i="17" s="1"/>
  <c r="L68" i="17"/>
  <c r="L131" i="17" s="1"/>
  <c r="K68" i="17"/>
  <c r="K131" i="17" s="1"/>
  <c r="L67" i="17"/>
  <c r="L130" i="17" s="1"/>
  <c r="L193" i="17" s="1"/>
  <c r="K67" i="17"/>
  <c r="K130" i="17" s="1"/>
  <c r="L66" i="17"/>
  <c r="L129" i="17" s="1"/>
  <c r="K66" i="17"/>
  <c r="K129" i="17" s="1"/>
  <c r="L65" i="17"/>
  <c r="L128" i="17" s="1"/>
  <c r="L191" i="17" s="1"/>
  <c r="K65" i="17"/>
  <c r="K128" i="17" s="1"/>
  <c r="L64" i="17"/>
  <c r="L127" i="17" s="1"/>
  <c r="K64" i="17"/>
  <c r="K127" i="17" s="1"/>
  <c r="L63" i="17"/>
  <c r="L126" i="17" s="1"/>
  <c r="L189" i="17" s="1"/>
  <c r="K63" i="17"/>
  <c r="K126" i="17" s="1"/>
  <c r="L62" i="17"/>
  <c r="L125" i="17" s="1"/>
  <c r="K62" i="17"/>
  <c r="K125" i="17" s="1"/>
  <c r="L61" i="17"/>
  <c r="L124" i="17" s="1"/>
  <c r="L187" i="17" s="1"/>
  <c r="K61" i="17"/>
  <c r="K124" i="17" s="1"/>
  <c r="L60" i="17"/>
  <c r="L123" i="17" s="1"/>
  <c r="K60" i="17"/>
  <c r="K123" i="17" s="1"/>
  <c r="L59" i="17"/>
  <c r="L122" i="17" s="1"/>
  <c r="K59" i="17"/>
  <c r="K122" i="17" s="1"/>
  <c r="L58" i="17"/>
  <c r="L121" i="17" s="1"/>
  <c r="K58" i="17"/>
  <c r="K121" i="17" s="1"/>
  <c r="L57" i="17"/>
  <c r="L120" i="17" s="1"/>
  <c r="L183" i="17" s="1"/>
  <c r="K57" i="17"/>
  <c r="K120" i="17" s="1"/>
  <c r="L56" i="17"/>
  <c r="L119" i="17" s="1"/>
  <c r="K56" i="17"/>
  <c r="K119" i="17" s="1"/>
  <c r="L55" i="17"/>
  <c r="L118" i="17" s="1"/>
  <c r="L181" i="17" s="1"/>
  <c r="K55" i="17"/>
  <c r="K118" i="17" s="1"/>
  <c r="L54" i="17"/>
  <c r="L117" i="17" s="1"/>
  <c r="L180" i="17" s="1"/>
  <c r="K54" i="17"/>
  <c r="K117" i="17" s="1"/>
  <c r="L53" i="17"/>
  <c r="L116" i="17" s="1"/>
  <c r="L179" i="17" s="1"/>
  <c r="K53" i="17"/>
  <c r="K116" i="17" s="1"/>
  <c r="L52" i="17"/>
  <c r="L115" i="17" s="1"/>
  <c r="K52" i="17"/>
  <c r="K115" i="17" s="1"/>
  <c r="L51" i="17"/>
  <c r="L114" i="17" s="1"/>
  <c r="L177" i="17" s="1"/>
  <c r="K51" i="17"/>
  <c r="K114" i="17" s="1"/>
  <c r="L50" i="17"/>
  <c r="L113" i="17" s="1"/>
  <c r="L176" i="17" s="1"/>
  <c r="K50" i="17"/>
  <c r="K113" i="17" s="1"/>
  <c r="L49" i="17"/>
  <c r="L112" i="17" s="1"/>
  <c r="L175" i="17" s="1"/>
  <c r="K49" i="17"/>
  <c r="K112" i="17" s="1"/>
  <c r="L48" i="17"/>
  <c r="L111" i="17" s="1"/>
  <c r="K48" i="17"/>
  <c r="K111" i="17" s="1"/>
  <c r="L47" i="17"/>
  <c r="L110" i="17" s="1"/>
  <c r="L173" i="17" s="1"/>
  <c r="K47" i="17"/>
  <c r="K110" i="17" s="1"/>
  <c r="L46" i="17"/>
  <c r="L109" i="17" s="1"/>
  <c r="L172" i="17" s="1"/>
  <c r="K46" i="17"/>
  <c r="K109" i="17" s="1"/>
  <c r="L45" i="17"/>
  <c r="L108" i="17" s="1"/>
  <c r="L171" i="17" s="1"/>
  <c r="K45" i="17"/>
  <c r="K108" i="17" s="1"/>
  <c r="L44" i="17"/>
  <c r="L107" i="17" s="1"/>
  <c r="L170" i="17" s="1"/>
  <c r="L233" i="17" s="1"/>
  <c r="L296" i="17" s="1"/>
  <c r="L359" i="17" s="1"/>
  <c r="K44" i="17"/>
  <c r="K107" i="17" s="1"/>
  <c r="L43" i="17"/>
  <c r="L106" i="17" s="1"/>
  <c r="L169" i="17" s="1"/>
  <c r="K43" i="17"/>
  <c r="K106" i="17" s="1"/>
  <c r="L42" i="17"/>
  <c r="L105" i="17" s="1"/>
  <c r="L168" i="17" s="1"/>
  <c r="L231" i="17" s="1"/>
  <c r="L294" i="17" s="1"/>
  <c r="L357" i="17" s="1"/>
  <c r="L420" i="17" s="1"/>
  <c r="L483" i="17" s="1"/>
  <c r="L546" i="17" s="1"/>
  <c r="K42" i="17"/>
  <c r="K105" i="17" s="1"/>
  <c r="L41" i="17"/>
  <c r="L104" i="17" s="1"/>
  <c r="K41" i="17"/>
  <c r="K104" i="17" s="1"/>
  <c r="L40" i="17"/>
  <c r="L103" i="17" s="1"/>
  <c r="L166" i="17" s="1"/>
  <c r="K40" i="17"/>
  <c r="K103" i="17" s="1"/>
  <c r="L39" i="17"/>
  <c r="L102" i="17" s="1"/>
  <c r="K39" i="17"/>
  <c r="K102" i="17" s="1"/>
  <c r="L38" i="17"/>
  <c r="L101" i="17" s="1"/>
  <c r="K38" i="17"/>
  <c r="K101" i="17" s="1"/>
  <c r="L35" i="17"/>
  <c r="L98" i="17" s="1"/>
  <c r="K35" i="17"/>
  <c r="K98" i="17" s="1"/>
  <c r="L34" i="17"/>
  <c r="L97" i="17" s="1"/>
  <c r="L160" i="17" s="1"/>
  <c r="K34" i="17"/>
  <c r="K97" i="17" s="1"/>
  <c r="L33" i="17"/>
  <c r="L96" i="17" s="1"/>
  <c r="K33" i="17"/>
  <c r="K96" i="17" s="1"/>
  <c r="L32" i="17"/>
  <c r="L95" i="17" s="1"/>
  <c r="K32" i="17"/>
  <c r="K95" i="17" s="1"/>
  <c r="L31" i="17"/>
  <c r="L94" i="17" s="1"/>
  <c r="L157" i="17" s="1"/>
  <c r="K31" i="17"/>
  <c r="K94" i="17" s="1"/>
  <c r="L30" i="17"/>
  <c r="L93" i="17" s="1"/>
  <c r="K30" i="17"/>
  <c r="K93" i="17" s="1"/>
  <c r="L29" i="17"/>
  <c r="L92" i="17" s="1"/>
  <c r="K29" i="17"/>
  <c r="K92" i="17" s="1"/>
  <c r="L26" i="17"/>
  <c r="L89" i="17" s="1"/>
  <c r="L152" i="17" s="1"/>
  <c r="K26" i="17"/>
  <c r="K89" i="17" s="1"/>
  <c r="L25" i="17"/>
  <c r="L88" i="17" s="1"/>
  <c r="K25" i="17"/>
  <c r="K88" i="17" s="1"/>
  <c r="L24" i="17"/>
  <c r="L87" i="17" s="1"/>
  <c r="L150" i="17" s="1"/>
  <c r="K24" i="17"/>
  <c r="K87" i="17" s="1"/>
  <c r="L23" i="17"/>
  <c r="L86" i="17" s="1"/>
  <c r="K23" i="17"/>
  <c r="K86" i="17" s="1"/>
  <c r="L22" i="17"/>
  <c r="L85" i="17" s="1"/>
  <c r="L148" i="17" s="1"/>
  <c r="K22" i="17"/>
  <c r="K85" i="17" s="1"/>
  <c r="L21" i="17"/>
  <c r="L84" i="17" s="1"/>
  <c r="K21" i="17"/>
  <c r="K84" i="17" s="1"/>
  <c r="L20" i="17"/>
  <c r="L83" i="17" s="1"/>
  <c r="K20" i="17"/>
  <c r="K83" i="17" s="1"/>
  <c r="L18" i="17"/>
  <c r="L81" i="17" s="1"/>
  <c r="L144" i="17" s="1"/>
  <c r="K18" i="17"/>
  <c r="K81" i="17" s="1"/>
  <c r="L17" i="17"/>
  <c r="L80" i="17" s="1"/>
  <c r="L143" i="17" s="1"/>
  <c r="K17" i="17"/>
  <c r="K80" i="17" s="1"/>
  <c r="L16" i="17"/>
  <c r="L79" i="17" s="1"/>
  <c r="K16" i="17"/>
  <c r="K79" i="17" s="1"/>
  <c r="L15" i="17"/>
  <c r="L78" i="17" s="1"/>
  <c r="K15" i="17"/>
  <c r="K78" i="17" s="1"/>
  <c r="K141" i="17" s="1"/>
  <c r="L14" i="17"/>
  <c r="L77" i="17" s="1"/>
  <c r="K14" i="17"/>
  <c r="K77" i="17" s="1"/>
  <c r="L47" i="1"/>
  <c r="L33" i="1"/>
  <c r="M17" i="1"/>
  <c r="L17" i="1"/>
  <c r="M118" i="1"/>
  <c r="M231" i="1" s="1"/>
  <c r="L118" i="1"/>
  <c r="L231" i="1" s="1"/>
  <c r="M117" i="1"/>
  <c r="M230" i="1" s="1"/>
  <c r="L117" i="1"/>
  <c r="L230" i="1" s="1"/>
  <c r="M115" i="1"/>
  <c r="M228" i="1" s="1"/>
  <c r="L115" i="1"/>
  <c r="L228" i="1" s="1"/>
  <c r="M114" i="1"/>
  <c r="M227" i="1" s="1"/>
  <c r="L114" i="1"/>
  <c r="L227" i="1" s="1"/>
  <c r="M113" i="1"/>
  <c r="M226" i="1" s="1"/>
  <c r="L113" i="1"/>
  <c r="L226" i="1" s="1"/>
  <c r="M111" i="1"/>
  <c r="M224" i="1" s="1"/>
  <c r="L111" i="1"/>
  <c r="L224" i="1" s="1"/>
  <c r="M110" i="1"/>
  <c r="M223" i="1" s="1"/>
  <c r="L110" i="1"/>
  <c r="L223" i="1" s="1"/>
  <c r="M109" i="1"/>
  <c r="M222" i="1" s="1"/>
  <c r="L109" i="1"/>
  <c r="L222" i="1" s="1"/>
  <c r="M108" i="1"/>
  <c r="M221" i="1" s="1"/>
  <c r="L108" i="1"/>
  <c r="L221" i="1" s="1"/>
  <c r="M107" i="1"/>
  <c r="M220" i="1" s="1"/>
  <c r="L107" i="1"/>
  <c r="L220" i="1" s="1"/>
  <c r="M105" i="1"/>
  <c r="M218" i="1" s="1"/>
  <c r="L105" i="1"/>
  <c r="L218" i="1" s="1"/>
  <c r="M104" i="1"/>
  <c r="M217" i="1" s="1"/>
  <c r="L104" i="1"/>
  <c r="L217" i="1" s="1"/>
  <c r="M102" i="1"/>
  <c r="M215" i="1" s="1"/>
  <c r="L102" i="1"/>
  <c r="L215" i="1" s="1"/>
  <c r="M101" i="1"/>
  <c r="M214" i="1" s="1"/>
  <c r="L101" i="1"/>
  <c r="L214" i="1" s="1"/>
  <c r="M100" i="1"/>
  <c r="M213" i="1" s="1"/>
  <c r="L100" i="1"/>
  <c r="L213" i="1" s="1"/>
  <c r="M99" i="1"/>
  <c r="M212" i="1" s="1"/>
  <c r="L99" i="1"/>
  <c r="L212" i="1" s="1"/>
  <c r="M97" i="1"/>
  <c r="M210" i="1" s="1"/>
  <c r="L97" i="1"/>
  <c r="L210" i="1" s="1"/>
  <c r="M96" i="1"/>
  <c r="M209" i="1" s="1"/>
  <c r="L96" i="1"/>
  <c r="L209" i="1" s="1"/>
  <c r="M95" i="1"/>
  <c r="M208" i="1" s="1"/>
  <c r="L95" i="1"/>
  <c r="L208" i="1" s="1"/>
  <c r="M92" i="1"/>
  <c r="M205" i="1" s="1"/>
  <c r="L92" i="1"/>
  <c r="L205" i="1" s="1"/>
  <c r="M89" i="1"/>
  <c r="M202" i="1" s="1"/>
  <c r="L89" i="1"/>
  <c r="L202" i="1" s="1"/>
  <c r="M88" i="1"/>
  <c r="M201" i="1" s="1"/>
  <c r="L88" i="1"/>
  <c r="L201" i="1" s="1"/>
  <c r="M87" i="1"/>
  <c r="M200" i="1" s="1"/>
  <c r="L87" i="1"/>
  <c r="L200" i="1" s="1"/>
  <c r="M86" i="1"/>
  <c r="M199" i="1" s="1"/>
  <c r="L86" i="1"/>
  <c r="L199" i="1" s="1"/>
  <c r="M85" i="1"/>
  <c r="M198" i="1" s="1"/>
  <c r="L85" i="1"/>
  <c r="L198" i="1" s="1"/>
  <c r="M84" i="1"/>
  <c r="M197" i="1" s="1"/>
  <c r="L84" i="1"/>
  <c r="L197" i="1" s="1"/>
  <c r="M82" i="1"/>
  <c r="M195" i="1" s="1"/>
  <c r="L82" i="1"/>
  <c r="L195" i="1" s="1"/>
  <c r="M81" i="1"/>
  <c r="M194" i="1" s="1"/>
  <c r="L81" i="1"/>
  <c r="L194" i="1" s="1"/>
  <c r="M80" i="1"/>
  <c r="M193" i="1" s="1"/>
  <c r="L80" i="1"/>
  <c r="L193" i="1" s="1"/>
  <c r="M77" i="1"/>
  <c r="M190" i="1" s="1"/>
  <c r="L77" i="1"/>
  <c r="L190" i="1" s="1"/>
  <c r="M76" i="1"/>
  <c r="M189" i="1" s="1"/>
  <c r="M302" i="1" s="1"/>
  <c r="M415" i="1" s="1"/>
  <c r="M528" i="1" s="1"/>
  <c r="M643" i="1" s="1"/>
  <c r="M758" i="1" s="1"/>
  <c r="M873" i="1" s="1"/>
  <c r="M989" i="1" s="1"/>
  <c r="M1106" i="1" s="1"/>
  <c r="M1223" i="1" s="1"/>
  <c r="L76" i="1"/>
  <c r="L189" i="1" s="1"/>
  <c r="M75" i="1"/>
  <c r="M188" i="1" s="1"/>
  <c r="L75" i="1"/>
  <c r="L188" i="1" s="1"/>
  <c r="M74" i="1"/>
  <c r="M187" i="1" s="1"/>
  <c r="M300" i="1" s="1"/>
  <c r="M413" i="1" s="1"/>
  <c r="M526" i="1" s="1"/>
  <c r="M641" i="1" s="1"/>
  <c r="M756" i="1" s="1"/>
  <c r="M871" i="1" s="1"/>
  <c r="M987" i="1" s="1"/>
  <c r="M1104" i="1" s="1"/>
  <c r="M1221" i="1" s="1"/>
  <c r="L74" i="1"/>
  <c r="L187" i="1" s="1"/>
  <c r="M73" i="1"/>
  <c r="M186" i="1" s="1"/>
  <c r="L73" i="1"/>
  <c r="L186" i="1" s="1"/>
  <c r="M72" i="1"/>
  <c r="M185" i="1" s="1"/>
  <c r="L72" i="1"/>
  <c r="L185" i="1" s="1"/>
  <c r="M71" i="1"/>
  <c r="M184" i="1" s="1"/>
  <c r="M297" i="1" s="1"/>
  <c r="L71" i="1"/>
  <c r="L184" i="1" s="1"/>
  <c r="M69" i="1"/>
  <c r="M182" i="1" s="1"/>
  <c r="L69" i="1"/>
  <c r="L182" i="1" s="1"/>
  <c r="M68" i="1"/>
  <c r="M181" i="1" s="1"/>
  <c r="L68" i="1"/>
  <c r="L181" i="1" s="1"/>
  <c r="M67" i="1"/>
  <c r="M180" i="1" s="1"/>
  <c r="L67" i="1"/>
  <c r="L180" i="1" s="1"/>
  <c r="M66" i="1"/>
  <c r="M179" i="1" s="1"/>
  <c r="L66" i="1"/>
  <c r="L179" i="1" s="1"/>
  <c r="M65" i="1"/>
  <c r="M178" i="1" s="1"/>
  <c r="L65" i="1"/>
  <c r="L178" i="1" s="1"/>
  <c r="M64" i="1"/>
  <c r="M177" i="1" s="1"/>
  <c r="L64" i="1"/>
  <c r="L177" i="1" s="1"/>
  <c r="M63" i="1"/>
  <c r="M176" i="1" s="1"/>
  <c r="L63" i="1"/>
  <c r="L176" i="1" s="1"/>
  <c r="M62" i="1"/>
  <c r="M175" i="1" s="1"/>
  <c r="L62" i="1"/>
  <c r="L175" i="1" s="1"/>
  <c r="M61" i="1"/>
  <c r="M174" i="1" s="1"/>
  <c r="L61" i="1"/>
  <c r="L174" i="1" s="1"/>
  <c r="M60" i="1"/>
  <c r="M173" i="1" s="1"/>
  <c r="L60" i="1"/>
  <c r="L173" i="1" s="1"/>
  <c r="L25" i="1"/>
  <c r="J86" i="1"/>
  <c r="J88" i="1"/>
  <c r="J76" i="1"/>
  <c r="M1553" i="1" l="1"/>
  <c r="I1717" i="16"/>
  <c r="F1811" i="16"/>
  <c r="M1338" i="1"/>
  <c r="M1340" i="1"/>
  <c r="S324" i="14"/>
  <c r="T324" i="14" s="1"/>
  <c r="L140" i="17"/>
  <c r="K140" i="17"/>
  <c r="Q77" i="17"/>
  <c r="J77" i="17"/>
  <c r="M77" i="17" s="1"/>
  <c r="L82" i="17"/>
  <c r="L141" i="17"/>
  <c r="L142" i="17"/>
  <c r="L206" i="17"/>
  <c r="L207" i="17"/>
  <c r="L146" i="17"/>
  <c r="L90" i="17"/>
  <c r="L147" i="17"/>
  <c r="L211" i="17"/>
  <c r="L149" i="17"/>
  <c r="L213" i="17"/>
  <c r="L151" i="17"/>
  <c r="L215" i="17"/>
  <c r="L155" i="17"/>
  <c r="L99" i="17"/>
  <c r="L100" i="17" s="1"/>
  <c r="L156" i="17"/>
  <c r="L220" i="17"/>
  <c r="L158" i="17"/>
  <c r="L159" i="17"/>
  <c r="L223" i="17"/>
  <c r="L161" i="17"/>
  <c r="L164" i="17"/>
  <c r="L133" i="17"/>
  <c r="L134" i="17" s="1"/>
  <c r="L165" i="17"/>
  <c r="L229" i="17"/>
  <c r="L167" i="17"/>
  <c r="L609" i="17"/>
  <c r="L232" i="17"/>
  <c r="L422" i="17"/>
  <c r="L485" i="17" s="1"/>
  <c r="L548" i="17" s="1"/>
  <c r="L234" i="17"/>
  <c r="L235" i="17"/>
  <c r="L236" i="17"/>
  <c r="L174" i="17"/>
  <c r="L238" i="17"/>
  <c r="L239" i="17"/>
  <c r="L240" i="17"/>
  <c r="L178" i="17"/>
  <c r="L242" i="17"/>
  <c r="L243" i="17"/>
  <c r="L244" i="17"/>
  <c r="L182" i="17"/>
  <c r="L246" i="17"/>
  <c r="L184" i="17"/>
  <c r="L185" i="17"/>
  <c r="L186" i="17"/>
  <c r="L250" i="17"/>
  <c r="L188" i="17"/>
  <c r="L252" i="17"/>
  <c r="L190" i="17"/>
  <c r="L254" i="17"/>
  <c r="L192" i="17"/>
  <c r="L256" i="17"/>
  <c r="L194" i="17"/>
  <c r="L258" i="17"/>
  <c r="K204" i="17"/>
  <c r="Q141" i="17"/>
  <c r="Q79" i="17"/>
  <c r="K142" i="17"/>
  <c r="J79" i="17"/>
  <c r="M79" i="17" s="1"/>
  <c r="K143" i="17"/>
  <c r="J80" i="17"/>
  <c r="M80" i="17" s="1"/>
  <c r="Q80" i="17"/>
  <c r="Q81" i="17"/>
  <c r="K144" i="17"/>
  <c r="J81" i="17"/>
  <c r="M81" i="17" s="1"/>
  <c r="K146" i="17"/>
  <c r="Q83" i="17"/>
  <c r="K90" i="17"/>
  <c r="G31" i="15" s="1"/>
  <c r="J83" i="17"/>
  <c r="J84" i="17"/>
  <c r="M84" i="17" s="1"/>
  <c r="K147" i="17"/>
  <c r="Q84" i="17"/>
  <c r="K148" i="17"/>
  <c r="Q85" i="17"/>
  <c r="J85" i="17"/>
  <c r="M85" i="17" s="1"/>
  <c r="J86" i="17"/>
  <c r="M86" i="17" s="1"/>
  <c r="K149" i="17"/>
  <c r="Q86" i="17"/>
  <c r="K150" i="17"/>
  <c r="J87" i="17"/>
  <c r="M87" i="17" s="1"/>
  <c r="Q87" i="17"/>
  <c r="J88" i="17"/>
  <c r="M88" i="17" s="1"/>
  <c r="K151" i="17"/>
  <c r="Q88" i="17"/>
  <c r="K152" i="17"/>
  <c r="Q89" i="17"/>
  <c r="J89" i="17"/>
  <c r="M89" i="17" s="1"/>
  <c r="Q92" i="17"/>
  <c r="K155" i="17"/>
  <c r="J92" i="17"/>
  <c r="K99" i="17"/>
  <c r="K100" i="17" s="1"/>
  <c r="G34" i="15" s="1"/>
  <c r="G36" i="15" s="1"/>
  <c r="Q93" i="17"/>
  <c r="K156" i="17"/>
  <c r="J93" i="17"/>
  <c r="M93" i="17" s="1"/>
  <c r="K157" i="17"/>
  <c r="Q94" i="17"/>
  <c r="J94" i="17"/>
  <c r="M94" i="17" s="1"/>
  <c r="J95" i="17"/>
  <c r="M95" i="17" s="1"/>
  <c r="K158" i="17"/>
  <c r="Q95" i="17"/>
  <c r="J96" i="17"/>
  <c r="N96" i="17" s="1"/>
  <c r="K159" i="17"/>
  <c r="Q96" i="17"/>
  <c r="Q97" i="17"/>
  <c r="K160" i="17"/>
  <c r="J97" i="17"/>
  <c r="M97" i="17" s="1"/>
  <c r="Q98" i="17"/>
  <c r="K161" i="17"/>
  <c r="J98" i="17"/>
  <c r="M98" i="17" s="1"/>
  <c r="K164" i="17"/>
  <c r="K133" i="17"/>
  <c r="K134" i="17" s="1"/>
  <c r="G37" i="15" s="1"/>
  <c r="G39" i="15" s="1"/>
  <c r="J101" i="17"/>
  <c r="N101" i="17" s="1"/>
  <c r="Q101" i="17"/>
  <c r="J102" i="17"/>
  <c r="M102" i="17" s="1"/>
  <c r="K165" i="17"/>
  <c r="Q102" i="17"/>
  <c r="Q103" i="17"/>
  <c r="K166" i="17"/>
  <c r="J103" i="17"/>
  <c r="M103" i="17" s="1"/>
  <c r="Q104" i="17"/>
  <c r="K167" i="17"/>
  <c r="J104" i="17"/>
  <c r="M104" i="17" s="1"/>
  <c r="Q105" i="17"/>
  <c r="K168" i="17"/>
  <c r="J105" i="17"/>
  <c r="K169" i="17"/>
  <c r="J106" i="17"/>
  <c r="M106" i="17" s="1"/>
  <c r="Q106" i="17"/>
  <c r="J107" i="17"/>
  <c r="N107" i="17" s="1"/>
  <c r="K170" i="17"/>
  <c r="Q107" i="17"/>
  <c r="K171" i="17"/>
  <c r="J108" i="17"/>
  <c r="M108" i="17" s="1"/>
  <c r="Q108" i="17"/>
  <c r="Q109" i="17"/>
  <c r="K172" i="17"/>
  <c r="J109" i="17"/>
  <c r="M109" i="17" s="1"/>
  <c r="K173" i="17"/>
  <c r="J110" i="17"/>
  <c r="M110" i="17" s="1"/>
  <c r="Q110" i="17"/>
  <c r="Q111" i="17"/>
  <c r="K174" i="17"/>
  <c r="J111" i="17"/>
  <c r="M111" i="17" s="1"/>
  <c r="K175" i="17"/>
  <c r="J112" i="17"/>
  <c r="M112" i="17" s="1"/>
  <c r="Q112" i="17"/>
  <c r="Q113" i="17"/>
  <c r="K176" i="17"/>
  <c r="J113" i="17"/>
  <c r="M113" i="17" s="1"/>
  <c r="K177" i="17"/>
  <c r="J114" i="17"/>
  <c r="M114" i="17" s="1"/>
  <c r="Q114" i="17"/>
  <c r="Q115" i="17"/>
  <c r="K178" i="17"/>
  <c r="J115" i="17"/>
  <c r="M115" i="17" s="1"/>
  <c r="K179" i="17"/>
  <c r="J116" i="17"/>
  <c r="M116" i="17" s="1"/>
  <c r="Q116" i="17"/>
  <c r="Q117" i="17"/>
  <c r="K180" i="17"/>
  <c r="J117" i="17"/>
  <c r="M117" i="17" s="1"/>
  <c r="K181" i="17"/>
  <c r="J118" i="17"/>
  <c r="M118" i="17" s="1"/>
  <c r="Q118" i="17"/>
  <c r="Q119" i="17"/>
  <c r="K182" i="17"/>
  <c r="J119" i="17"/>
  <c r="M119" i="17" s="1"/>
  <c r="K183" i="17"/>
  <c r="J120" i="17"/>
  <c r="M120" i="17" s="1"/>
  <c r="Q120" i="17"/>
  <c r="Q121" i="17"/>
  <c r="K184" i="17"/>
  <c r="J121" i="17"/>
  <c r="M121" i="17" s="1"/>
  <c r="K185" i="17"/>
  <c r="J122" i="17"/>
  <c r="M122" i="17" s="1"/>
  <c r="Q122" i="17"/>
  <c r="Q123" i="17"/>
  <c r="K186" i="17"/>
  <c r="J123" i="17"/>
  <c r="M123" i="17" s="1"/>
  <c r="K187" i="17"/>
  <c r="Q124" i="17"/>
  <c r="J124" i="17"/>
  <c r="M124" i="17" s="1"/>
  <c r="Q125" i="17"/>
  <c r="K188" i="17"/>
  <c r="J125" i="17"/>
  <c r="M125" i="17" s="1"/>
  <c r="K189" i="17"/>
  <c r="J126" i="17"/>
  <c r="M126" i="17" s="1"/>
  <c r="Q126" i="17"/>
  <c r="Q127" i="17"/>
  <c r="K190" i="17"/>
  <c r="J127" i="17"/>
  <c r="M127" i="17" s="1"/>
  <c r="K191" i="17"/>
  <c r="Q128" i="17"/>
  <c r="J128" i="17"/>
  <c r="M128" i="17" s="1"/>
  <c r="Q129" i="17"/>
  <c r="K192" i="17"/>
  <c r="J129" i="17"/>
  <c r="M129" i="17" s="1"/>
  <c r="K193" i="17"/>
  <c r="J130" i="17"/>
  <c r="M130" i="17" s="1"/>
  <c r="Q130" i="17"/>
  <c r="Q131" i="17"/>
  <c r="K194" i="17"/>
  <c r="J131" i="17"/>
  <c r="M131" i="17" s="1"/>
  <c r="K195" i="17"/>
  <c r="Q132" i="17"/>
  <c r="J132" i="17"/>
  <c r="M132" i="17" s="1"/>
  <c r="N94" i="17"/>
  <c r="N89" i="17"/>
  <c r="S311" i="14"/>
  <c r="T311" i="14" s="1"/>
  <c r="T316" i="14"/>
  <c r="T315" i="14"/>
  <c r="S326" i="14"/>
  <c r="T326" i="14" s="1"/>
  <c r="T320" i="14"/>
  <c r="T317" i="14"/>
  <c r="S325" i="14"/>
  <c r="T325" i="14" s="1"/>
  <c r="M716" i="1"/>
  <c r="I235" i="13"/>
  <c r="I236" i="13" s="1"/>
  <c r="O154" i="1"/>
  <c r="G172" i="1"/>
  <c r="J172" i="1" s="1"/>
  <c r="O150" i="1"/>
  <c r="G158" i="13"/>
  <c r="F30" i="15" s="1"/>
  <c r="F175" i="13"/>
  <c r="G174" i="13"/>
  <c r="F31" i="15" s="1"/>
  <c r="J174" i="13"/>
  <c r="I31" i="15" s="1"/>
  <c r="O138" i="1"/>
  <c r="O146" i="1"/>
  <c r="M318" i="1"/>
  <c r="L465" i="1"/>
  <c r="G357" i="13"/>
  <c r="J357" i="13" s="1"/>
  <c r="K352" i="1"/>
  <c r="N352" i="1" s="1"/>
  <c r="L318" i="1"/>
  <c r="G208" i="13"/>
  <c r="J208" i="13" s="1"/>
  <c r="K205" i="1"/>
  <c r="N205" i="1" s="1"/>
  <c r="M465" i="1"/>
  <c r="K173" i="1"/>
  <c r="O173" i="1" s="1"/>
  <c r="L286" i="1"/>
  <c r="G176" i="13"/>
  <c r="L183" i="1"/>
  <c r="L287" i="1"/>
  <c r="G177" i="13"/>
  <c r="J177" i="13" s="1"/>
  <c r="K174" i="1"/>
  <c r="N174" i="1" s="1"/>
  <c r="K175" i="1"/>
  <c r="O175" i="1" s="1"/>
  <c r="L288" i="1"/>
  <c r="G178" i="13"/>
  <c r="J178" i="13" s="1"/>
  <c r="K176" i="1"/>
  <c r="O176" i="1" s="1"/>
  <c r="L289" i="1"/>
  <c r="G179" i="13"/>
  <c r="J179" i="13" s="1"/>
  <c r="K177" i="1"/>
  <c r="O177" i="1" s="1"/>
  <c r="L290" i="1"/>
  <c r="G180" i="13"/>
  <c r="J180" i="13" s="1"/>
  <c r="K178" i="1"/>
  <c r="O178" i="1" s="1"/>
  <c r="L291" i="1"/>
  <c r="G181" i="13"/>
  <c r="J181" i="13" s="1"/>
  <c r="K179" i="1"/>
  <c r="O179" i="1" s="1"/>
  <c r="L292" i="1"/>
  <c r="G182" i="13"/>
  <c r="J182" i="13" s="1"/>
  <c r="K180" i="1"/>
  <c r="O180" i="1" s="1"/>
  <c r="L293" i="1"/>
  <c r="G183" i="13"/>
  <c r="J183" i="13" s="1"/>
  <c r="K181" i="1"/>
  <c r="O181" i="1" s="1"/>
  <c r="L294" i="1"/>
  <c r="G184" i="13"/>
  <c r="J184" i="13" s="1"/>
  <c r="K182" i="1"/>
  <c r="N182" i="1" s="1"/>
  <c r="L295" i="1"/>
  <c r="G185" i="13"/>
  <c r="J185" i="13" s="1"/>
  <c r="L297" i="1"/>
  <c r="G187" i="13"/>
  <c r="K184" i="1"/>
  <c r="L191" i="1"/>
  <c r="G188" i="13"/>
  <c r="J188" i="13" s="1"/>
  <c r="L298" i="1"/>
  <c r="K185" i="1"/>
  <c r="N185" i="1" s="1"/>
  <c r="K186" i="1"/>
  <c r="N186" i="1" s="1"/>
  <c r="L299" i="1"/>
  <c r="G189" i="13"/>
  <c r="J189" i="13" s="1"/>
  <c r="K187" i="1"/>
  <c r="L300" i="1"/>
  <c r="G190" i="13"/>
  <c r="J190" i="13" s="1"/>
  <c r="K188" i="1"/>
  <c r="N188" i="1" s="1"/>
  <c r="L301" i="1"/>
  <c r="G191" i="13"/>
  <c r="J191" i="13" s="1"/>
  <c r="L302" i="1"/>
  <c r="G192" i="13"/>
  <c r="J192" i="13" s="1"/>
  <c r="K189" i="1"/>
  <c r="L303" i="1"/>
  <c r="G193" i="13"/>
  <c r="J193" i="13" s="1"/>
  <c r="K190" i="1"/>
  <c r="N190" i="1" s="1"/>
  <c r="L306" i="1"/>
  <c r="G196" i="13"/>
  <c r="L196" i="1"/>
  <c r="K193" i="1"/>
  <c r="L307" i="1"/>
  <c r="G197" i="13"/>
  <c r="J197" i="13" s="1"/>
  <c r="K194" i="1"/>
  <c r="N194" i="1" s="1"/>
  <c r="L308" i="1"/>
  <c r="G198" i="13"/>
  <c r="J198" i="13" s="1"/>
  <c r="K195" i="1"/>
  <c r="N195" i="1" s="1"/>
  <c r="L310" i="1"/>
  <c r="G200" i="13"/>
  <c r="L203" i="1"/>
  <c r="K197" i="1"/>
  <c r="K198" i="1"/>
  <c r="N198" i="1" s="1"/>
  <c r="L311" i="1"/>
  <c r="G201" i="13"/>
  <c r="J201" i="13" s="1"/>
  <c r="K199" i="1"/>
  <c r="N199" i="1" s="1"/>
  <c r="L312" i="1"/>
  <c r="G202" i="13"/>
  <c r="J202" i="13" s="1"/>
  <c r="K200" i="1"/>
  <c r="N200" i="1" s="1"/>
  <c r="L313" i="1"/>
  <c r="G203" i="13"/>
  <c r="J203" i="13" s="1"/>
  <c r="K201" i="1"/>
  <c r="N201" i="1" s="1"/>
  <c r="L314" i="1"/>
  <c r="G204" i="13"/>
  <c r="J204" i="13" s="1"/>
  <c r="K202" i="1"/>
  <c r="N202" i="1" s="1"/>
  <c r="L315" i="1"/>
  <c r="G205" i="13"/>
  <c r="J205" i="13" s="1"/>
  <c r="L321" i="1"/>
  <c r="G211" i="13"/>
  <c r="K208" i="1"/>
  <c r="L211" i="1"/>
  <c r="L322" i="1"/>
  <c r="G212" i="13"/>
  <c r="J212" i="13" s="1"/>
  <c r="K209" i="1"/>
  <c r="N209" i="1" s="1"/>
  <c r="K210" i="1"/>
  <c r="N210" i="1" s="1"/>
  <c r="L323" i="1"/>
  <c r="G213" i="13"/>
  <c r="J213" i="13" s="1"/>
  <c r="L325" i="1"/>
  <c r="K212" i="1"/>
  <c r="G215" i="13"/>
  <c r="L216" i="1"/>
  <c r="L326" i="1"/>
  <c r="G216" i="13"/>
  <c r="J216" i="13" s="1"/>
  <c r="K213" i="1"/>
  <c r="N213" i="1" s="1"/>
  <c r="L327" i="1"/>
  <c r="K214" i="1"/>
  <c r="N214" i="1" s="1"/>
  <c r="G217" i="13"/>
  <c r="J217" i="13" s="1"/>
  <c r="K215" i="1"/>
  <c r="N215" i="1" s="1"/>
  <c r="L328" i="1"/>
  <c r="G218" i="13"/>
  <c r="J218" i="13" s="1"/>
  <c r="L330" i="1"/>
  <c r="G220" i="13"/>
  <c r="K217" i="1"/>
  <c r="L219" i="1"/>
  <c r="L331" i="1"/>
  <c r="G221" i="13"/>
  <c r="J221" i="13" s="1"/>
  <c r="K218" i="1"/>
  <c r="N218" i="1" s="1"/>
  <c r="L333" i="1"/>
  <c r="G223" i="13"/>
  <c r="K220" i="1"/>
  <c r="O220" i="1" s="1"/>
  <c r="L225" i="1"/>
  <c r="L334" i="1"/>
  <c r="G224" i="13"/>
  <c r="J224" i="13" s="1"/>
  <c r="K221" i="1"/>
  <c r="N221" i="1" s="1"/>
  <c r="L335" i="1"/>
  <c r="G225" i="13"/>
  <c r="J225" i="13" s="1"/>
  <c r="K222" i="1"/>
  <c r="N222" i="1" s="1"/>
  <c r="K223" i="1"/>
  <c r="N223" i="1" s="1"/>
  <c r="L336" i="1"/>
  <c r="G226" i="13"/>
  <c r="J226" i="13" s="1"/>
  <c r="K224" i="1"/>
  <c r="N224" i="1" s="1"/>
  <c r="L337" i="1"/>
  <c r="L229" i="1"/>
  <c r="L339" i="1"/>
  <c r="G228" i="13"/>
  <c r="K226" i="1"/>
  <c r="L340" i="1"/>
  <c r="K227" i="1"/>
  <c r="N227" i="1" s="1"/>
  <c r="G229" i="13"/>
  <c r="J229" i="13" s="1"/>
  <c r="L341" i="1"/>
  <c r="G230" i="13"/>
  <c r="J230" i="13" s="1"/>
  <c r="K228" i="1"/>
  <c r="N228" i="1" s="1"/>
  <c r="L232" i="1"/>
  <c r="L343" i="1"/>
  <c r="K230" i="1"/>
  <c r="O230" i="1" s="1"/>
  <c r="G232" i="13"/>
  <c r="K231" i="1"/>
  <c r="N231" i="1" s="1"/>
  <c r="L344" i="1"/>
  <c r="G233" i="13"/>
  <c r="N282" i="1"/>
  <c r="O282" i="1"/>
  <c r="N279" i="1"/>
  <c r="O279" i="1"/>
  <c r="L505" i="1"/>
  <c r="K392" i="1"/>
  <c r="G397" i="13"/>
  <c r="J397" i="13" s="1"/>
  <c r="N275" i="1"/>
  <c r="O275" i="1"/>
  <c r="L501" i="1"/>
  <c r="K388" i="1"/>
  <c r="G393" i="13"/>
  <c r="J393" i="13" s="1"/>
  <c r="N270" i="1"/>
  <c r="O270" i="1"/>
  <c r="K273" i="1"/>
  <c r="N269" i="1"/>
  <c r="O269" i="1"/>
  <c r="L495" i="1"/>
  <c r="G387" i="13"/>
  <c r="K382" i="1"/>
  <c r="L386" i="1"/>
  <c r="L397" i="1" s="1"/>
  <c r="N266" i="1"/>
  <c r="O266" i="1"/>
  <c r="N262" i="1"/>
  <c r="O262" i="1"/>
  <c r="K263" i="1"/>
  <c r="N260" i="1"/>
  <c r="O260" i="1"/>
  <c r="L486" i="1"/>
  <c r="G378" i="13"/>
  <c r="K373" i="1"/>
  <c r="L376" i="1"/>
  <c r="K371" i="1"/>
  <c r="L484" i="1"/>
  <c r="G376" i="13"/>
  <c r="J376" i="13" s="1"/>
  <c r="N257" i="1"/>
  <c r="O257" i="1"/>
  <c r="L483" i="1"/>
  <c r="G375" i="13"/>
  <c r="J375" i="13" s="1"/>
  <c r="K370" i="1"/>
  <c r="K367" i="1"/>
  <c r="L480" i="1"/>
  <c r="G372" i="13"/>
  <c r="J372" i="13" s="1"/>
  <c r="N253" i="1"/>
  <c r="O253" i="1"/>
  <c r="L479" i="1"/>
  <c r="G371" i="13"/>
  <c r="J371" i="13" s="1"/>
  <c r="K366" i="1"/>
  <c r="G263" i="13"/>
  <c r="J256" i="13"/>
  <c r="J263" i="13" s="1"/>
  <c r="N248" i="1"/>
  <c r="O248" i="1"/>
  <c r="K361" i="1"/>
  <c r="L474" i="1"/>
  <c r="G366" i="13"/>
  <c r="J366" i="13" s="1"/>
  <c r="G364" i="13"/>
  <c r="J364" i="13" s="1"/>
  <c r="L472" i="1"/>
  <c r="K359" i="1"/>
  <c r="N245" i="1"/>
  <c r="O245" i="1"/>
  <c r="J244" i="13"/>
  <c r="J247" i="13" s="1"/>
  <c r="G247" i="13"/>
  <c r="M581" i="1"/>
  <c r="M477" i="1"/>
  <c r="M583" i="1"/>
  <c r="M584" i="1"/>
  <c r="M585" i="1"/>
  <c r="M489" i="1"/>
  <c r="M599" i="1"/>
  <c r="M606" i="1"/>
  <c r="M607" i="1"/>
  <c r="M397" i="1"/>
  <c r="M616" i="1"/>
  <c r="M618" i="1"/>
  <c r="M620" i="1"/>
  <c r="N280" i="1"/>
  <c r="O280" i="1"/>
  <c r="K391" i="1"/>
  <c r="L504" i="1"/>
  <c r="G396" i="13"/>
  <c r="J396" i="13" s="1"/>
  <c r="N276" i="1"/>
  <c r="O276" i="1"/>
  <c r="K387" i="1"/>
  <c r="L500" i="1"/>
  <c r="G392" i="13"/>
  <c r="L498" i="1"/>
  <c r="G390" i="13"/>
  <c r="J390" i="13" s="1"/>
  <c r="K385" i="1"/>
  <c r="K384" i="1"/>
  <c r="L497" i="1"/>
  <c r="G389" i="13"/>
  <c r="J389" i="13" s="1"/>
  <c r="O264" i="1"/>
  <c r="K267" i="1"/>
  <c r="N264" i="1"/>
  <c r="L380" i="1"/>
  <c r="L490" i="1"/>
  <c r="G382" i="13"/>
  <c r="K377" i="1"/>
  <c r="N374" i="1"/>
  <c r="O374" i="1"/>
  <c r="L600" i="1"/>
  <c r="G493" i="13"/>
  <c r="J493" i="13" s="1"/>
  <c r="K487" i="1"/>
  <c r="N256" i="1"/>
  <c r="O256" i="1"/>
  <c r="N249" i="1"/>
  <c r="O249" i="1"/>
  <c r="L473" i="1"/>
  <c r="G365" i="13"/>
  <c r="J365" i="13" s="1"/>
  <c r="K360" i="1"/>
  <c r="L268" i="1"/>
  <c r="L285" i="1" s="1"/>
  <c r="N244" i="1"/>
  <c r="K251" i="1"/>
  <c r="O244" i="1"/>
  <c r="N242" i="1"/>
  <c r="O242" i="1"/>
  <c r="K354" i="1"/>
  <c r="L467" i="1"/>
  <c r="G359" i="13"/>
  <c r="J359" i="13" s="1"/>
  <c r="M579" i="1"/>
  <c r="M469" i="1"/>
  <c r="M695" i="1"/>
  <c r="M810" i="1" s="1"/>
  <c r="M592" i="1"/>
  <c r="M594" i="1"/>
  <c r="M596" i="1"/>
  <c r="M715" i="1"/>
  <c r="M830" i="1" s="1"/>
  <c r="M612" i="1"/>
  <c r="M623" i="1"/>
  <c r="M286" i="1"/>
  <c r="M183" i="1"/>
  <c r="M287" i="1"/>
  <c r="M288" i="1"/>
  <c r="M289" i="1"/>
  <c r="M290" i="1"/>
  <c r="M291" i="1"/>
  <c r="M292" i="1"/>
  <c r="M293" i="1"/>
  <c r="M294" i="1"/>
  <c r="M295" i="1"/>
  <c r="M410" i="1"/>
  <c r="M523" i="1" s="1"/>
  <c r="M191" i="1"/>
  <c r="M298" i="1"/>
  <c r="M299" i="1"/>
  <c r="M301" i="1"/>
  <c r="M303" i="1"/>
  <c r="M306" i="1"/>
  <c r="M196" i="1"/>
  <c r="M307" i="1"/>
  <c r="M308" i="1"/>
  <c r="M310" i="1"/>
  <c r="M203" i="1"/>
  <c r="M311" i="1"/>
  <c r="M312" i="1"/>
  <c r="M313" i="1"/>
  <c r="M314" i="1"/>
  <c r="M315" i="1"/>
  <c r="M321" i="1"/>
  <c r="M211" i="1"/>
  <c r="M322" i="1"/>
  <c r="M323" i="1"/>
  <c r="M325" i="1"/>
  <c r="M216" i="1"/>
  <c r="M326" i="1"/>
  <c r="M327" i="1"/>
  <c r="M328" i="1"/>
  <c r="M330" i="1"/>
  <c r="M219" i="1"/>
  <c r="M331" i="1"/>
  <c r="M333" i="1"/>
  <c r="M225" i="1"/>
  <c r="M334" i="1"/>
  <c r="M335" i="1"/>
  <c r="M336" i="1"/>
  <c r="M337" i="1"/>
  <c r="M339" i="1"/>
  <c r="M229" i="1"/>
  <c r="M340" i="1"/>
  <c r="M341" i="1"/>
  <c r="M343" i="1"/>
  <c r="M232" i="1"/>
  <c r="M344" i="1"/>
  <c r="J158" i="13"/>
  <c r="J175" i="13" s="1"/>
  <c r="K395" i="1"/>
  <c r="L508" i="1"/>
  <c r="G400" i="13"/>
  <c r="J400" i="13" s="1"/>
  <c r="L507" i="1"/>
  <c r="G399" i="13"/>
  <c r="J399" i="13" s="1"/>
  <c r="K394" i="1"/>
  <c r="N277" i="1"/>
  <c r="O277" i="1"/>
  <c r="L503" i="1"/>
  <c r="G395" i="13"/>
  <c r="J395" i="13" s="1"/>
  <c r="K390" i="1"/>
  <c r="N170" i="1"/>
  <c r="O170" i="1"/>
  <c r="L496" i="1"/>
  <c r="G388" i="13"/>
  <c r="J388" i="13" s="1"/>
  <c r="K383" i="1"/>
  <c r="G277" i="13"/>
  <c r="J273" i="13"/>
  <c r="J277" i="13" s="1"/>
  <c r="K379" i="1"/>
  <c r="L492" i="1"/>
  <c r="G384" i="13"/>
  <c r="J384" i="13" s="1"/>
  <c r="K375" i="1"/>
  <c r="L488" i="1"/>
  <c r="L601" i="1" s="1"/>
  <c r="G380" i="13"/>
  <c r="J380" i="13" s="1"/>
  <c r="J264" i="13"/>
  <c r="J267" i="13" s="1"/>
  <c r="G267" i="13"/>
  <c r="N258" i="1"/>
  <c r="O258" i="1"/>
  <c r="N254" i="1"/>
  <c r="O254" i="1"/>
  <c r="N252" i="1"/>
  <c r="K259" i="1"/>
  <c r="O252" i="1"/>
  <c r="K365" i="1"/>
  <c r="L478" i="1"/>
  <c r="G370" i="13"/>
  <c r="L372" i="1"/>
  <c r="N250" i="1"/>
  <c r="O250" i="1"/>
  <c r="K363" i="1"/>
  <c r="L476" i="1"/>
  <c r="G368" i="13"/>
  <c r="J368" i="13" s="1"/>
  <c r="N246" i="1"/>
  <c r="O246" i="1"/>
  <c r="G363" i="13"/>
  <c r="J363" i="13" s="1"/>
  <c r="L471" i="1"/>
  <c r="K358" i="1"/>
  <c r="N240" i="1"/>
  <c r="K243" i="1"/>
  <c r="O240" i="1"/>
  <c r="L466" i="1"/>
  <c r="G358" i="13"/>
  <c r="L356" i="1"/>
  <c r="K353" i="1"/>
  <c r="M586" i="1"/>
  <c r="M588" i="1"/>
  <c r="M603" i="1"/>
  <c r="M493" i="1"/>
  <c r="M605" i="1"/>
  <c r="M499" i="1"/>
  <c r="M610" i="1"/>
  <c r="M611" i="1"/>
  <c r="M613" i="1"/>
  <c r="M615" i="1"/>
  <c r="K393" i="1"/>
  <c r="L506" i="1"/>
  <c r="G398" i="13"/>
  <c r="J398" i="13" s="1"/>
  <c r="N278" i="1"/>
  <c r="O278" i="1"/>
  <c r="K389" i="1"/>
  <c r="L502" i="1"/>
  <c r="G394" i="13"/>
  <c r="J394" i="13" s="1"/>
  <c r="G287" i="13"/>
  <c r="J278" i="13"/>
  <c r="J287" i="13" s="1"/>
  <c r="N274" i="1"/>
  <c r="K283" i="1"/>
  <c r="O274" i="1"/>
  <c r="N272" i="1"/>
  <c r="O272" i="1"/>
  <c r="N271" i="1"/>
  <c r="O271" i="1"/>
  <c r="N265" i="1"/>
  <c r="O265" i="1"/>
  <c r="L491" i="1"/>
  <c r="K378" i="1"/>
  <c r="G383" i="13"/>
  <c r="J383" i="13" s="1"/>
  <c r="G271" i="13"/>
  <c r="J268" i="13"/>
  <c r="J271" i="13" s="1"/>
  <c r="K369" i="1"/>
  <c r="L482" i="1"/>
  <c r="G374" i="13"/>
  <c r="J374" i="13" s="1"/>
  <c r="N255" i="1"/>
  <c r="O255" i="1"/>
  <c r="L481" i="1"/>
  <c r="G373" i="13"/>
  <c r="J373" i="13" s="1"/>
  <c r="K368" i="1"/>
  <c r="L475" i="1"/>
  <c r="G367" i="13"/>
  <c r="J367" i="13" s="1"/>
  <c r="K362" i="1"/>
  <c r="N247" i="1"/>
  <c r="O247" i="1"/>
  <c r="J248" i="13"/>
  <c r="J255" i="13" s="1"/>
  <c r="G255" i="13"/>
  <c r="L470" i="1"/>
  <c r="G362" i="13"/>
  <c r="L364" i="1"/>
  <c r="K357" i="1"/>
  <c r="L468" i="1"/>
  <c r="G360" i="13"/>
  <c r="J360" i="13" s="1"/>
  <c r="K355" i="1"/>
  <c r="N241" i="1"/>
  <c r="O241" i="1"/>
  <c r="M381" i="1"/>
  <c r="M587" i="1"/>
  <c r="M589" i="1"/>
  <c r="M485" i="1"/>
  <c r="M591" i="1"/>
  <c r="M593" i="1"/>
  <c r="M595" i="1"/>
  <c r="M597" i="1"/>
  <c r="M617" i="1"/>
  <c r="M619" i="1"/>
  <c r="M621" i="1"/>
  <c r="F237" i="13"/>
  <c r="F231" i="16"/>
  <c r="I123" i="16"/>
  <c r="I125" i="16"/>
  <c r="F233" i="16"/>
  <c r="I127" i="16"/>
  <c r="F235" i="16"/>
  <c r="I129" i="16"/>
  <c r="F237" i="16"/>
  <c r="I239" i="16"/>
  <c r="F346" i="16"/>
  <c r="I133" i="16"/>
  <c r="F241" i="16"/>
  <c r="I135" i="16"/>
  <c r="F243" i="16"/>
  <c r="I137" i="16"/>
  <c r="F245" i="16"/>
  <c r="F248" i="16"/>
  <c r="I140" i="16"/>
  <c r="F154" i="16"/>
  <c r="F250" i="16"/>
  <c r="I142" i="16"/>
  <c r="F252" i="16"/>
  <c r="I144" i="16"/>
  <c r="F254" i="16"/>
  <c r="I146" i="16"/>
  <c r="F256" i="16"/>
  <c r="I148" i="16"/>
  <c r="F258" i="16"/>
  <c r="I150" i="16"/>
  <c r="F260" i="16"/>
  <c r="I152" i="16"/>
  <c r="F263" i="16"/>
  <c r="F162" i="16"/>
  <c r="I155" i="16"/>
  <c r="F265" i="16"/>
  <c r="I157" i="16"/>
  <c r="F267" i="16"/>
  <c r="I159" i="16"/>
  <c r="F269" i="16"/>
  <c r="I161" i="16"/>
  <c r="F274" i="16"/>
  <c r="I166" i="16"/>
  <c r="F276" i="16"/>
  <c r="I168" i="16"/>
  <c r="F278" i="16"/>
  <c r="I170" i="16"/>
  <c r="F280" i="16"/>
  <c r="I172" i="16"/>
  <c r="F282" i="16"/>
  <c r="I174" i="16"/>
  <c r="F284" i="16"/>
  <c r="I176" i="16"/>
  <c r="F286" i="16"/>
  <c r="I178" i="16"/>
  <c r="F288" i="16"/>
  <c r="I180" i="16"/>
  <c r="F290" i="16"/>
  <c r="I182" i="16"/>
  <c r="F292" i="16"/>
  <c r="I184" i="16"/>
  <c r="F294" i="16"/>
  <c r="I186" i="16"/>
  <c r="F296" i="16"/>
  <c r="I188" i="16"/>
  <c r="F298" i="16"/>
  <c r="I190" i="16"/>
  <c r="F300" i="16"/>
  <c r="I192" i="16"/>
  <c r="F302" i="16"/>
  <c r="I194" i="16"/>
  <c r="F304" i="16"/>
  <c r="I196" i="16"/>
  <c r="I199" i="16"/>
  <c r="F307" i="16"/>
  <c r="I201" i="16"/>
  <c r="F309" i="16"/>
  <c r="I203" i="16"/>
  <c r="F311" i="16"/>
  <c r="I205" i="16"/>
  <c r="F313" i="16"/>
  <c r="I207" i="16"/>
  <c r="F315" i="16"/>
  <c r="I209" i="16"/>
  <c r="F317" i="16"/>
  <c r="I211" i="16"/>
  <c r="F319" i="16"/>
  <c r="I213" i="16"/>
  <c r="F321" i="16"/>
  <c r="I215" i="16"/>
  <c r="F323" i="16"/>
  <c r="I217" i="16"/>
  <c r="F325" i="16"/>
  <c r="I219" i="16"/>
  <c r="F327" i="16"/>
  <c r="I221" i="16"/>
  <c r="F329" i="16"/>
  <c r="F232" i="16"/>
  <c r="I124" i="16"/>
  <c r="F234" i="16"/>
  <c r="I126" i="16"/>
  <c r="F236" i="16"/>
  <c r="I128" i="16"/>
  <c r="F238" i="16"/>
  <c r="I238" i="16" s="1"/>
  <c r="I130" i="16"/>
  <c r="F240" i="16"/>
  <c r="I132" i="16"/>
  <c r="F242" i="16"/>
  <c r="I134" i="16"/>
  <c r="F244" i="16"/>
  <c r="I136" i="16"/>
  <c r="F246" i="16"/>
  <c r="I138" i="16"/>
  <c r="F249" i="16"/>
  <c r="I141" i="16"/>
  <c r="F251" i="16"/>
  <c r="I143" i="16"/>
  <c r="F253" i="16"/>
  <c r="I145" i="16"/>
  <c r="F255" i="16"/>
  <c r="I147" i="16"/>
  <c r="F257" i="16"/>
  <c r="I149" i="16"/>
  <c r="F259" i="16"/>
  <c r="I151" i="16"/>
  <c r="F261" i="16"/>
  <c r="I153" i="16"/>
  <c r="F264" i="16"/>
  <c r="I156" i="16"/>
  <c r="F266" i="16"/>
  <c r="I158" i="16"/>
  <c r="F268" i="16"/>
  <c r="I160" i="16"/>
  <c r="F273" i="16"/>
  <c r="F197" i="16"/>
  <c r="I165" i="16"/>
  <c r="F275" i="16"/>
  <c r="I167" i="16"/>
  <c r="F277" i="16"/>
  <c r="I169" i="16"/>
  <c r="F279" i="16"/>
  <c r="I171" i="16"/>
  <c r="F281" i="16"/>
  <c r="I173" i="16"/>
  <c r="F283" i="16"/>
  <c r="I175" i="16"/>
  <c r="F285" i="16"/>
  <c r="I177" i="16"/>
  <c r="F287" i="16"/>
  <c r="I179" i="16"/>
  <c r="F289" i="16"/>
  <c r="I181" i="16"/>
  <c r="F291" i="16"/>
  <c r="I183" i="16"/>
  <c r="F293" i="16"/>
  <c r="I185" i="16"/>
  <c r="F295" i="16"/>
  <c r="I187" i="16"/>
  <c r="F297" i="16"/>
  <c r="I189" i="16"/>
  <c r="F299" i="16"/>
  <c r="I191" i="16"/>
  <c r="F301" i="16"/>
  <c r="I193" i="16"/>
  <c r="F303" i="16"/>
  <c r="I195" i="16"/>
  <c r="F306" i="16"/>
  <c r="F223" i="16"/>
  <c r="I198" i="16"/>
  <c r="F308" i="16"/>
  <c r="I200" i="16"/>
  <c r="F310" i="16"/>
  <c r="I202" i="16"/>
  <c r="F312" i="16"/>
  <c r="I204" i="16"/>
  <c r="F314" i="16"/>
  <c r="I206" i="16"/>
  <c r="F316" i="16"/>
  <c r="I208" i="16"/>
  <c r="F318" i="16"/>
  <c r="I210" i="16"/>
  <c r="F320" i="16"/>
  <c r="I212" i="16"/>
  <c r="F322" i="16"/>
  <c r="I214" i="16"/>
  <c r="F324" i="16"/>
  <c r="I216" i="16"/>
  <c r="F326" i="16"/>
  <c r="I218" i="16"/>
  <c r="F330" i="16"/>
  <c r="I222" i="16"/>
  <c r="I175" i="13"/>
  <c r="I131" i="16"/>
  <c r="F139" i="16"/>
  <c r="F164" i="16" s="1"/>
  <c r="K82" i="17"/>
  <c r="J78" i="17"/>
  <c r="Q78" i="17"/>
  <c r="I209" i="13"/>
  <c r="I210" i="13" s="1"/>
  <c r="S312" i="14"/>
  <c r="T312" i="14" s="1"/>
  <c r="R314" i="14"/>
  <c r="P314" i="14"/>
  <c r="Q314" i="14"/>
  <c r="R319" i="14"/>
  <c r="P319" i="14"/>
  <c r="Q319" i="14"/>
  <c r="S313" i="14"/>
  <c r="T313" i="14" s="1"/>
  <c r="S318" i="14"/>
  <c r="T318" i="14" s="1"/>
  <c r="F135" i="17"/>
  <c r="I135" i="17" s="1"/>
  <c r="I134" i="17"/>
  <c r="G234" i="1"/>
  <c r="J233" i="1"/>
  <c r="J234" i="1" s="1"/>
  <c r="J171" i="1"/>
  <c r="J170" i="1"/>
  <c r="J192" i="1"/>
  <c r="G206" i="1"/>
  <c r="N130" i="1"/>
  <c r="K155" i="1"/>
  <c r="D30" i="15" s="1"/>
  <c r="O130" i="1"/>
  <c r="N160" i="1"/>
  <c r="K171" i="1"/>
  <c r="D31" i="15" s="1"/>
  <c r="E31" i="15" s="1"/>
  <c r="O160" i="1"/>
  <c r="H27" i="16"/>
  <c r="I27" i="16"/>
  <c r="H112" i="16"/>
  <c r="I112" i="16" s="1"/>
  <c r="H101" i="16"/>
  <c r="I101" i="16"/>
  <c r="H62" i="16"/>
  <c r="H63" i="16"/>
  <c r="H64" i="16"/>
  <c r="I62" i="16"/>
  <c r="H61" i="16"/>
  <c r="H60" i="16"/>
  <c r="I64" i="16"/>
  <c r="H79" i="16"/>
  <c r="I79" i="16"/>
  <c r="H78" i="16"/>
  <c r="I78" i="16"/>
  <c r="H77" i="16"/>
  <c r="I77" i="16"/>
  <c r="H74" i="16"/>
  <c r="H75" i="16"/>
  <c r="H76" i="16"/>
  <c r="I75" i="16"/>
  <c r="I76" i="16"/>
  <c r="I74" i="16"/>
  <c r="F76" i="13"/>
  <c r="I76" i="13" s="1"/>
  <c r="G76" i="13"/>
  <c r="J76" i="13" s="1"/>
  <c r="G74" i="1"/>
  <c r="J74" i="1" s="1"/>
  <c r="F67" i="13"/>
  <c r="F63" i="13"/>
  <c r="F64" i="13"/>
  <c r="F65" i="13"/>
  <c r="F66" i="13"/>
  <c r="F68" i="13"/>
  <c r="F69" i="13"/>
  <c r="F70" i="13"/>
  <c r="F71" i="13"/>
  <c r="G85" i="1"/>
  <c r="J85" i="1" s="1"/>
  <c r="F90" i="13"/>
  <c r="I90" i="13" s="1"/>
  <c r="G90" i="13"/>
  <c r="J90" i="13" s="1"/>
  <c r="F78" i="13"/>
  <c r="I78" i="13" s="1"/>
  <c r="G78" i="13"/>
  <c r="J78" i="13" s="1"/>
  <c r="F1908" i="16" l="1"/>
  <c r="I1908" i="16" s="1"/>
  <c r="I1811" i="16"/>
  <c r="M1457" i="1"/>
  <c r="M1670" i="1"/>
  <c r="O352" i="1"/>
  <c r="M1455" i="1"/>
  <c r="F226" i="16"/>
  <c r="N113" i="17"/>
  <c r="N126" i="17"/>
  <c r="N124" i="17"/>
  <c r="N87" i="17"/>
  <c r="N95" i="17"/>
  <c r="N88" i="17"/>
  <c r="N84" i="17"/>
  <c r="N77" i="17"/>
  <c r="N120" i="17"/>
  <c r="N132" i="17"/>
  <c r="N93" i="17"/>
  <c r="N86" i="17"/>
  <c r="K203" i="17"/>
  <c r="J140" i="17"/>
  <c r="M140" i="17" s="1"/>
  <c r="Q140" i="17"/>
  <c r="L203" i="17"/>
  <c r="K230" i="17"/>
  <c r="Q167" i="17"/>
  <c r="J167" i="17"/>
  <c r="M167" i="17" s="1"/>
  <c r="Q165" i="17"/>
  <c r="K228" i="17"/>
  <c r="J165" i="17"/>
  <c r="M165" i="17" s="1"/>
  <c r="Q133" i="17"/>
  <c r="Q134" i="17" s="1"/>
  <c r="H37" i="15" s="1"/>
  <c r="H39" i="15" s="1"/>
  <c r="Q160" i="17"/>
  <c r="K223" i="17"/>
  <c r="J160" i="17"/>
  <c r="Q158" i="17"/>
  <c r="K221" i="17"/>
  <c r="J158" i="17"/>
  <c r="M158" i="17" s="1"/>
  <c r="Q157" i="17"/>
  <c r="K220" i="17"/>
  <c r="J157" i="17"/>
  <c r="K219" i="17"/>
  <c r="Q156" i="17"/>
  <c r="J156" i="17"/>
  <c r="M156" i="17" s="1"/>
  <c r="Q155" i="17"/>
  <c r="K218" i="17"/>
  <c r="K162" i="17"/>
  <c r="K163" i="17" s="1"/>
  <c r="G49" i="15" s="1"/>
  <c r="G51" i="15" s="1"/>
  <c r="J155" i="17"/>
  <c r="K215" i="17"/>
  <c r="J152" i="17"/>
  <c r="Q152" i="17"/>
  <c r="K214" i="17"/>
  <c r="Q151" i="17"/>
  <c r="J151" i="17"/>
  <c r="M151" i="17" s="1"/>
  <c r="K213" i="17"/>
  <c r="J150" i="17"/>
  <c r="Q150" i="17"/>
  <c r="K212" i="17"/>
  <c r="Q149" i="17"/>
  <c r="J149" i="17"/>
  <c r="M149" i="17" s="1"/>
  <c r="K211" i="17"/>
  <c r="J148" i="17"/>
  <c r="Q148" i="17"/>
  <c r="K210" i="17"/>
  <c r="Q147" i="17"/>
  <c r="J147" i="17"/>
  <c r="M147" i="17" s="1"/>
  <c r="N83" i="17"/>
  <c r="J90" i="17"/>
  <c r="M83" i="17"/>
  <c r="Q90" i="17"/>
  <c r="H31" i="15" s="1"/>
  <c r="K267" i="17"/>
  <c r="Q204" i="17"/>
  <c r="N117" i="17"/>
  <c r="N106" i="17"/>
  <c r="N118" i="17"/>
  <c r="N112" i="17"/>
  <c r="L321" i="17"/>
  <c r="L257" i="17"/>
  <c r="L319" i="17"/>
  <c r="L255" i="17"/>
  <c r="L317" i="17"/>
  <c r="L253" i="17"/>
  <c r="L315" i="17"/>
  <c r="L251" i="17"/>
  <c r="L313" i="17"/>
  <c r="L249" i="17"/>
  <c r="L248" i="17"/>
  <c r="L247" i="17"/>
  <c r="L309" i="17"/>
  <c r="L245" i="17"/>
  <c r="L307" i="17"/>
  <c r="L306" i="17"/>
  <c r="L305" i="17"/>
  <c r="L241" i="17"/>
  <c r="L303" i="17"/>
  <c r="L301" i="17"/>
  <c r="L237" i="17"/>
  <c r="L299" i="17"/>
  <c r="L297" i="17"/>
  <c r="L611" i="17"/>
  <c r="L295" i="17"/>
  <c r="L672" i="17"/>
  <c r="L230" i="17"/>
  <c r="L292" i="17"/>
  <c r="L228" i="17"/>
  <c r="N98" i="17"/>
  <c r="N79" i="17"/>
  <c r="L204" i="17"/>
  <c r="L145" i="17"/>
  <c r="Q82" i="17"/>
  <c r="H30" i="15" s="1"/>
  <c r="N114" i="17"/>
  <c r="N109" i="17"/>
  <c r="N81" i="17"/>
  <c r="N108" i="17"/>
  <c r="N110" i="17"/>
  <c r="N103" i="17"/>
  <c r="K258" i="17"/>
  <c r="J195" i="17"/>
  <c r="Q195" i="17"/>
  <c r="K257" i="17"/>
  <c r="Q194" i="17"/>
  <c r="J194" i="17"/>
  <c r="M194" i="17" s="1"/>
  <c r="K256" i="17"/>
  <c r="J193" i="17"/>
  <c r="Q193" i="17"/>
  <c r="K255" i="17"/>
  <c r="Q192" i="17"/>
  <c r="J192" i="17"/>
  <c r="M192" i="17" s="1"/>
  <c r="K254" i="17"/>
  <c r="Q191" i="17"/>
  <c r="J191" i="17"/>
  <c r="K253" i="17"/>
  <c r="J190" i="17"/>
  <c r="M190" i="17" s="1"/>
  <c r="Q190" i="17"/>
  <c r="K252" i="17"/>
  <c r="J189" i="17"/>
  <c r="Q189" i="17"/>
  <c r="K251" i="17"/>
  <c r="Q188" i="17"/>
  <c r="J188" i="17"/>
  <c r="M188" i="17" s="1"/>
  <c r="K250" i="17"/>
  <c r="Q187" i="17"/>
  <c r="J187" i="17"/>
  <c r="Q186" i="17"/>
  <c r="K249" i="17"/>
  <c r="J186" i="17"/>
  <c r="M186" i="17" s="1"/>
  <c r="K248" i="17"/>
  <c r="J185" i="17"/>
  <c r="M185" i="17" s="1"/>
  <c r="Q185" i="17"/>
  <c r="Q184" i="17"/>
  <c r="K247" i="17"/>
  <c r="J184" i="17"/>
  <c r="M184" i="17" s="1"/>
  <c r="K246" i="17"/>
  <c r="J183" i="17"/>
  <c r="Q183" i="17"/>
  <c r="J182" i="17"/>
  <c r="M182" i="17" s="1"/>
  <c r="K245" i="17"/>
  <c r="Q182" i="17"/>
  <c r="K244" i="17"/>
  <c r="J181" i="17"/>
  <c r="Q181" i="17"/>
  <c r="K243" i="17"/>
  <c r="Q180" i="17"/>
  <c r="J180" i="17"/>
  <c r="K242" i="17"/>
  <c r="J179" i="17"/>
  <c r="Q179" i="17"/>
  <c r="Q178" i="17"/>
  <c r="K241" i="17"/>
  <c r="J178" i="17"/>
  <c r="M178" i="17" s="1"/>
  <c r="K240" i="17"/>
  <c r="J177" i="17"/>
  <c r="Q177" i="17"/>
  <c r="K239" i="17"/>
  <c r="Q176" i="17"/>
  <c r="J176" i="17"/>
  <c r="K238" i="17"/>
  <c r="J175" i="17"/>
  <c r="Q175" i="17"/>
  <c r="K237" i="17"/>
  <c r="J174" i="17"/>
  <c r="M174" i="17" s="1"/>
  <c r="Q174" i="17"/>
  <c r="K236" i="17"/>
  <c r="J173" i="17"/>
  <c r="Q173" i="17"/>
  <c r="K235" i="17"/>
  <c r="Q172" i="17"/>
  <c r="J172" i="17"/>
  <c r="K234" i="17"/>
  <c r="J171" i="17"/>
  <c r="Q171" i="17"/>
  <c r="J170" i="17"/>
  <c r="N170" i="17" s="1"/>
  <c r="K233" i="17"/>
  <c r="Q170" i="17"/>
  <c r="K232" i="17"/>
  <c r="J169" i="17"/>
  <c r="Q169" i="17"/>
  <c r="K231" i="17"/>
  <c r="Q168" i="17"/>
  <c r="J168" i="17"/>
  <c r="Q166" i="17"/>
  <c r="K229" i="17"/>
  <c r="J166" i="17"/>
  <c r="M101" i="17"/>
  <c r="J133" i="17"/>
  <c r="K227" i="17"/>
  <c r="J164" i="17"/>
  <c r="N164" i="17" s="1"/>
  <c r="K196" i="17"/>
  <c r="K197" i="17" s="1"/>
  <c r="Q164" i="17"/>
  <c r="K224" i="17"/>
  <c r="Q161" i="17"/>
  <c r="J161" i="17"/>
  <c r="M161" i="17" s="1"/>
  <c r="J159" i="17"/>
  <c r="N159" i="17" s="1"/>
  <c r="K222" i="17"/>
  <c r="Q159" i="17"/>
  <c r="N92" i="17"/>
  <c r="M92" i="17"/>
  <c r="J99" i="17"/>
  <c r="Q99" i="17"/>
  <c r="Q100" i="17" s="1"/>
  <c r="H34" i="15" s="1"/>
  <c r="H36" i="15" s="1"/>
  <c r="K209" i="17"/>
  <c r="Q146" i="17"/>
  <c r="K153" i="17"/>
  <c r="G46" i="15" s="1"/>
  <c r="J146" i="17"/>
  <c r="N146" i="17" s="1"/>
  <c r="K207" i="17"/>
  <c r="Q144" i="17"/>
  <c r="J144" i="17"/>
  <c r="K206" i="17"/>
  <c r="J143" i="17"/>
  <c r="Q143" i="17"/>
  <c r="Q142" i="17"/>
  <c r="K205" i="17"/>
  <c r="J142" i="17"/>
  <c r="M142" i="17" s="1"/>
  <c r="J141" i="17"/>
  <c r="N141" i="17" s="1"/>
  <c r="K145" i="17"/>
  <c r="N130" i="17"/>
  <c r="N80" i="17"/>
  <c r="N116" i="17"/>
  <c r="N97" i="17"/>
  <c r="N128" i="17"/>
  <c r="N85" i="17"/>
  <c r="N131" i="17"/>
  <c r="N129" i="17"/>
  <c r="N127" i="17"/>
  <c r="N125" i="17"/>
  <c r="N123" i="17"/>
  <c r="N122" i="17"/>
  <c r="N121" i="17"/>
  <c r="N119" i="17"/>
  <c r="N115" i="17"/>
  <c r="L302" i="17"/>
  <c r="N111" i="17"/>
  <c r="L298" i="17"/>
  <c r="N104" i="17"/>
  <c r="N102" i="17"/>
  <c r="L227" i="17"/>
  <c r="L196" i="17"/>
  <c r="L197" i="17" s="1"/>
  <c r="L224" i="17"/>
  <c r="L286" i="17"/>
  <c r="L222" i="17"/>
  <c r="L221" i="17"/>
  <c r="L283" i="17"/>
  <c r="N156" i="17"/>
  <c r="L219" i="17"/>
  <c r="L162" i="17"/>
  <c r="L218" i="17"/>
  <c r="N155" i="17"/>
  <c r="L278" i="17"/>
  <c r="L214" i="17"/>
  <c r="L276" i="17"/>
  <c r="L212" i="17"/>
  <c r="L274" i="17"/>
  <c r="L210" i="17"/>
  <c r="L153" i="17"/>
  <c r="L209" i="17"/>
  <c r="L270" i="17"/>
  <c r="L269" i="17"/>
  <c r="L205" i="17"/>
  <c r="L91" i="17"/>
  <c r="L135" i="17" s="1"/>
  <c r="S319" i="14"/>
  <c r="S314" i="14"/>
  <c r="M604" i="1"/>
  <c r="G175" i="13"/>
  <c r="L716" i="1"/>
  <c r="G607" i="13"/>
  <c r="J607" i="13" s="1"/>
  <c r="K601" i="1"/>
  <c r="O195" i="1"/>
  <c r="M945" i="1"/>
  <c r="M1061" i="1" s="1"/>
  <c r="M1178" i="1" s="1"/>
  <c r="M925" i="1"/>
  <c r="M1041" i="1" s="1"/>
  <c r="M1158" i="1" s="1"/>
  <c r="M831" i="1"/>
  <c r="F33" i="15"/>
  <c r="O215" i="1"/>
  <c r="O214" i="1"/>
  <c r="O213" i="1"/>
  <c r="O223" i="1"/>
  <c r="O201" i="1"/>
  <c r="O182" i="1"/>
  <c r="O174" i="1"/>
  <c r="I30" i="15"/>
  <c r="I33" i="15" s="1"/>
  <c r="O228" i="1"/>
  <c r="O227" i="1"/>
  <c r="O221" i="1"/>
  <c r="O209" i="1"/>
  <c r="O199" i="1"/>
  <c r="O190" i="1"/>
  <c r="O188" i="1"/>
  <c r="O186" i="1"/>
  <c r="L431" i="1"/>
  <c r="G322" i="13"/>
  <c r="J322" i="13" s="1"/>
  <c r="K318" i="1"/>
  <c r="N318" i="1" s="1"/>
  <c r="O205" i="1"/>
  <c r="I237" i="13"/>
  <c r="J288" i="13"/>
  <c r="I46" i="15" s="1"/>
  <c r="O231" i="1"/>
  <c r="M578" i="1"/>
  <c r="M693" i="1" s="1"/>
  <c r="M808" i="1" s="1"/>
  <c r="L578" i="1"/>
  <c r="G471" i="13"/>
  <c r="J471" i="13" s="1"/>
  <c r="K465" i="1"/>
  <c r="N465" i="1" s="1"/>
  <c r="O318" i="1"/>
  <c r="M431" i="1"/>
  <c r="M598" i="1"/>
  <c r="M706" i="1"/>
  <c r="M821" i="1" s="1"/>
  <c r="M704" i="1"/>
  <c r="M819" i="1" s="1"/>
  <c r="M702" i="1"/>
  <c r="M817" i="1" s="1"/>
  <c r="N355" i="1"/>
  <c r="O355" i="1"/>
  <c r="L581" i="1"/>
  <c r="G474" i="13"/>
  <c r="J474" i="13" s="1"/>
  <c r="K468" i="1"/>
  <c r="L477" i="1"/>
  <c r="L583" i="1"/>
  <c r="G476" i="13"/>
  <c r="K470" i="1"/>
  <c r="N368" i="1"/>
  <c r="O368" i="1"/>
  <c r="K481" i="1"/>
  <c r="L594" i="1"/>
  <c r="G487" i="13"/>
  <c r="J487" i="13" s="1"/>
  <c r="L595" i="1"/>
  <c r="G488" i="13"/>
  <c r="J488" i="13" s="1"/>
  <c r="K482" i="1"/>
  <c r="N378" i="1"/>
  <c r="O378" i="1"/>
  <c r="L617" i="1"/>
  <c r="G508" i="13"/>
  <c r="J508" i="13" s="1"/>
  <c r="K502" i="1"/>
  <c r="N393" i="1"/>
  <c r="O393" i="1"/>
  <c r="M728" i="1"/>
  <c r="M843" i="1" s="1"/>
  <c r="M726" i="1"/>
  <c r="M841" i="1" s="1"/>
  <c r="M614" i="1"/>
  <c r="M725" i="1"/>
  <c r="M840" i="1" s="1"/>
  <c r="M718" i="1"/>
  <c r="M833" i="1" s="1"/>
  <c r="N353" i="1"/>
  <c r="K356" i="1"/>
  <c r="O353" i="1"/>
  <c r="J358" i="13"/>
  <c r="J361" i="13" s="1"/>
  <c r="G361" i="13"/>
  <c r="L584" i="1"/>
  <c r="K471" i="1"/>
  <c r="G477" i="13"/>
  <c r="J477" i="13" s="1"/>
  <c r="N363" i="1"/>
  <c r="O363" i="1"/>
  <c r="G377" i="13"/>
  <c r="J370" i="13"/>
  <c r="J377" i="13" s="1"/>
  <c r="K372" i="1"/>
  <c r="N365" i="1"/>
  <c r="O365" i="1"/>
  <c r="O259" i="1"/>
  <c r="N259" i="1"/>
  <c r="G272" i="13"/>
  <c r="N375" i="1"/>
  <c r="O375" i="1"/>
  <c r="L607" i="1"/>
  <c r="G498" i="13"/>
  <c r="J498" i="13" s="1"/>
  <c r="K492" i="1"/>
  <c r="N383" i="1"/>
  <c r="O383" i="1"/>
  <c r="K496" i="1"/>
  <c r="L611" i="1"/>
  <c r="G502" i="13"/>
  <c r="J502" i="13" s="1"/>
  <c r="K507" i="1"/>
  <c r="L622" i="1"/>
  <c r="G513" i="13"/>
  <c r="J513" i="13" s="1"/>
  <c r="L623" i="1"/>
  <c r="G514" i="13"/>
  <c r="J514" i="13" s="1"/>
  <c r="K508" i="1"/>
  <c r="M456" i="1"/>
  <c r="M345" i="1"/>
  <c r="M454" i="1"/>
  <c r="M453" i="1"/>
  <c r="M342" i="1"/>
  <c r="M452" i="1"/>
  <c r="M450" i="1"/>
  <c r="M449" i="1"/>
  <c r="M448" i="1"/>
  <c r="M447" i="1"/>
  <c r="M338" i="1"/>
  <c r="M446" i="1"/>
  <c r="M444" i="1"/>
  <c r="M329" i="1"/>
  <c r="M438" i="1"/>
  <c r="M436" i="1"/>
  <c r="M435" i="1"/>
  <c r="M324" i="1"/>
  <c r="M434" i="1"/>
  <c r="M428" i="1"/>
  <c r="M427" i="1"/>
  <c r="M426" i="1"/>
  <c r="M425" i="1"/>
  <c r="M424" i="1"/>
  <c r="M423" i="1"/>
  <c r="M316" i="1"/>
  <c r="M421" i="1"/>
  <c r="M420" i="1"/>
  <c r="M419" i="1"/>
  <c r="M309" i="1"/>
  <c r="M416" i="1"/>
  <c r="M414" i="1"/>
  <c r="M412" i="1"/>
  <c r="M411" i="1"/>
  <c r="M638" i="1"/>
  <c r="M408" i="1"/>
  <c r="M407" i="1"/>
  <c r="M406" i="1"/>
  <c r="M405" i="1"/>
  <c r="M404" i="1"/>
  <c r="M403" i="1"/>
  <c r="M402" i="1"/>
  <c r="M401" i="1"/>
  <c r="M400" i="1"/>
  <c r="M727" i="1"/>
  <c r="M842" i="1" s="1"/>
  <c r="M494" i="1"/>
  <c r="N354" i="1"/>
  <c r="O354" i="1"/>
  <c r="N251" i="1"/>
  <c r="O251" i="1"/>
  <c r="N487" i="1"/>
  <c r="O487" i="1"/>
  <c r="L715" i="1"/>
  <c r="L830" i="1" s="1"/>
  <c r="K600" i="1"/>
  <c r="G606" i="13"/>
  <c r="J606" i="13" s="1"/>
  <c r="G385" i="13"/>
  <c r="J382" i="13"/>
  <c r="J385" i="13" s="1"/>
  <c r="N267" i="1"/>
  <c r="O267" i="1"/>
  <c r="N384" i="1"/>
  <c r="O384" i="1"/>
  <c r="G401" i="13"/>
  <c r="J392" i="13"/>
  <c r="J401" i="13" s="1"/>
  <c r="N387" i="1"/>
  <c r="K396" i="1"/>
  <c r="O387" i="1"/>
  <c r="L619" i="1"/>
  <c r="G510" i="13"/>
  <c r="J510" i="13" s="1"/>
  <c r="K504" i="1"/>
  <c r="M722" i="1"/>
  <c r="M837" i="1" s="1"/>
  <c r="M721" i="1"/>
  <c r="M836" i="1" s="1"/>
  <c r="M700" i="1"/>
  <c r="M815" i="1" s="1"/>
  <c r="M699" i="1"/>
  <c r="M814" i="1" s="1"/>
  <c r="M590" i="1"/>
  <c r="M698" i="1"/>
  <c r="M813" i="1" s="1"/>
  <c r="M696" i="1"/>
  <c r="M811" i="1" s="1"/>
  <c r="N359" i="1"/>
  <c r="O359" i="1"/>
  <c r="K474" i="1"/>
  <c r="L587" i="1"/>
  <c r="G480" i="13"/>
  <c r="J480" i="13" s="1"/>
  <c r="N366" i="1"/>
  <c r="O366" i="1"/>
  <c r="K479" i="1"/>
  <c r="L592" i="1"/>
  <c r="G485" i="13"/>
  <c r="J485" i="13" s="1"/>
  <c r="L593" i="1"/>
  <c r="G486" i="13"/>
  <c r="J486" i="13" s="1"/>
  <c r="K480" i="1"/>
  <c r="N370" i="1"/>
  <c r="O370" i="1"/>
  <c r="K483" i="1"/>
  <c r="L596" i="1"/>
  <c r="G489" i="13"/>
  <c r="J489" i="13" s="1"/>
  <c r="L597" i="1"/>
  <c r="G490" i="13"/>
  <c r="J490" i="13" s="1"/>
  <c r="K484" i="1"/>
  <c r="L381" i="1"/>
  <c r="L398" i="1" s="1"/>
  <c r="J378" i="13"/>
  <c r="J381" i="13" s="1"/>
  <c r="G381" i="13"/>
  <c r="N263" i="1"/>
  <c r="O263" i="1"/>
  <c r="K386" i="1"/>
  <c r="N382" i="1"/>
  <c r="O382" i="1"/>
  <c r="L610" i="1"/>
  <c r="K495" i="1"/>
  <c r="G501" i="13"/>
  <c r="L499" i="1"/>
  <c r="L510" i="1" s="1"/>
  <c r="K501" i="1"/>
  <c r="L616" i="1"/>
  <c r="G507" i="13"/>
  <c r="J507" i="13" s="1"/>
  <c r="N392" i="1"/>
  <c r="O392" i="1"/>
  <c r="N230" i="1"/>
  <c r="K232" i="1"/>
  <c r="N232" i="1" s="1"/>
  <c r="L453" i="1"/>
  <c r="G343" i="13"/>
  <c r="K340" i="1"/>
  <c r="N340" i="1" s="1"/>
  <c r="G231" i="13"/>
  <c r="J228" i="13"/>
  <c r="J231" i="13" s="1"/>
  <c r="K336" i="1"/>
  <c r="N336" i="1" s="1"/>
  <c r="L449" i="1"/>
  <c r="G340" i="13"/>
  <c r="J340" i="13" s="1"/>
  <c r="L448" i="1"/>
  <c r="G339" i="13"/>
  <c r="J339" i="13" s="1"/>
  <c r="K335" i="1"/>
  <c r="N335" i="1" s="1"/>
  <c r="G227" i="13"/>
  <c r="J223" i="13"/>
  <c r="J227" i="13" s="1"/>
  <c r="K331" i="1"/>
  <c r="N331" i="1" s="1"/>
  <c r="L444" i="1"/>
  <c r="G335" i="13"/>
  <c r="J335" i="13" s="1"/>
  <c r="N217" i="1"/>
  <c r="K219" i="1"/>
  <c r="N219" i="1" s="1"/>
  <c r="L443" i="1"/>
  <c r="G334" i="13"/>
  <c r="K330" i="1"/>
  <c r="O330" i="1" s="1"/>
  <c r="L332" i="1"/>
  <c r="K328" i="1"/>
  <c r="N328" i="1" s="1"/>
  <c r="L441" i="1"/>
  <c r="G332" i="13"/>
  <c r="J332" i="13" s="1"/>
  <c r="L440" i="1"/>
  <c r="K327" i="1"/>
  <c r="N327" i="1" s="1"/>
  <c r="G331" i="13"/>
  <c r="J331" i="13" s="1"/>
  <c r="N212" i="1"/>
  <c r="K216" i="1"/>
  <c r="N216" i="1" s="1"/>
  <c r="L233" i="1"/>
  <c r="J211" i="13"/>
  <c r="J214" i="13" s="1"/>
  <c r="G214" i="13"/>
  <c r="L427" i="1"/>
  <c r="G318" i="13"/>
  <c r="J318" i="13" s="1"/>
  <c r="K314" i="1"/>
  <c r="N314" i="1" s="1"/>
  <c r="K312" i="1"/>
  <c r="N312" i="1" s="1"/>
  <c r="L425" i="1"/>
  <c r="G316" i="13"/>
  <c r="J316" i="13" s="1"/>
  <c r="L316" i="1"/>
  <c r="L423" i="1"/>
  <c r="G314" i="13"/>
  <c r="K310" i="1"/>
  <c r="O310" i="1" s="1"/>
  <c r="K307" i="1"/>
  <c r="N307" i="1" s="1"/>
  <c r="L420" i="1"/>
  <c r="G311" i="13"/>
  <c r="J311" i="13" s="1"/>
  <c r="L204" i="1"/>
  <c r="L309" i="1"/>
  <c r="L317" i="1" s="1"/>
  <c r="L419" i="1"/>
  <c r="G310" i="13"/>
  <c r="K306" i="1"/>
  <c r="L415" i="1"/>
  <c r="G306" i="13"/>
  <c r="J306" i="13" s="1"/>
  <c r="K302" i="1"/>
  <c r="K301" i="1"/>
  <c r="N301" i="1" s="1"/>
  <c r="L414" i="1"/>
  <c r="G305" i="13"/>
  <c r="J305" i="13" s="1"/>
  <c r="G303" i="13"/>
  <c r="J303" i="13" s="1"/>
  <c r="K299" i="1"/>
  <c r="N299" i="1" s="1"/>
  <c r="L412" i="1"/>
  <c r="K191" i="1"/>
  <c r="N184" i="1"/>
  <c r="O184" i="1"/>
  <c r="L304" i="1"/>
  <c r="L410" i="1"/>
  <c r="G301" i="13"/>
  <c r="K297" i="1"/>
  <c r="L408" i="1"/>
  <c r="G299" i="13"/>
  <c r="J299" i="13" s="1"/>
  <c r="K295" i="1"/>
  <c r="N295" i="1" s="1"/>
  <c r="L406" i="1"/>
  <c r="G297" i="13"/>
  <c r="J297" i="13" s="1"/>
  <c r="K293" i="1"/>
  <c r="O293" i="1" s="1"/>
  <c r="L404" i="1"/>
  <c r="G295" i="13"/>
  <c r="J295" i="13" s="1"/>
  <c r="K291" i="1"/>
  <c r="O291" i="1" s="1"/>
  <c r="L402" i="1"/>
  <c r="G293" i="13"/>
  <c r="J293" i="13" s="1"/>
  <c r="K289" i="1"/>
  <c r="O289" i="1" s="1"/>
  <c r="L296" i="1"/>
  <c r="L399" i="1"/>
  <c r="G290" i="13"/>
  <c r="J290" i="13" s="1"/>
  <c r="K286" i="1"/>
  <c r="M736" i="1"/>
  <c r="M851" i="1" s="1"/>
  <c r="M734" i="1"/>
  <c r="M849" i="1" s="1"/>
  <c r="M732" i="1"/>
  <c r="M847" i="1" s="1"/>
  <c r="M712" i="1"/>
  <c r="M827" i="1" s="1"/>
  <c r="M710" i="1"/>
  <c r="M825" i="1" s="1"/>
  <c r="M708" i="1"/>
  <c r="M823" i="1" s="1"/>
  <c r="M398" i="1"/>
  <c r="N357" i="1"/>
  <c r="K364" i="1"/>
  <c r="O357" i="1"/>
  <c r="G369" i="13"/>
  <c r="J362" i="13"/>
  <c r="J369" i="13" s="1"/>
  <c r="N362" i="1"/>
  <c r="O362" i="1"/>
  <c r="L588" i="1"/>
  <c r="G481" i="13"/>
  <c r="J481" i="13" s="1"/>
  <c r="K475" i="1"/>
  <c r="N369" i="1"/>
  <c r="O369" i="1"/>
  <c r="K491" i="1"/>
  <c r="L606" i="1"/>
  <c r="G497" i="13"/>
  <c r="J497" i="13" s="1"/>
  <c r="N283" i="1"/>
  <c r="O283" i="1"/>
  <c r="N389" i="1"/>
  <c r="O389" i="1"/>
  <c r="L621" i="1"/>
  <c r="G512" i="13"/>
  <c r="J512" i="13" s="1"/>
  <c r="K506" i="1"/>
  <c r="M730" i="1"/>
  <c r="M845" i="1" s="1"/>
  <c r="M510" i="1"/>
  <c r="M608" i="1"/>
  <c r="M720" i="1"/>
  <c r="M835" i="1" s="1"/>
  <c r="M703" i="1"/>
  <c r="M818" i="1" s="1"/>
  <c r="M701" i="1"/>
  <c r="M816" i="1" s="1"/>
  <c r="L579" i="1"/>
  <c r="G472" i="13"/>
  <c r="L469" i="1"/>
  <c r="K466" i="1"/>
  <c r="O243" i="1"/>
  <c r="N243" i="1"/>
  <c r="K268" i="1"/>
  <c r="N358" i="1"/>
  <c r="O358" i="1"/>
  <c r="K476" i="1"/>
  <c r="L589" i="1"/>
  <c r="G482" i="13"/>
  <c r="J482" i="13" s="1"/>
  <c r="L485" i="1"/>
  <c r="L591" i="1"/>
  <c r="G484" i="13"/>
  <c r="K478" i="1"/>
  <c r="J272" i="13"/>
  <c r="L603" i="1"/>
  <c r="G494" i="13"/>
  <c r="J494" i="13" s="1"/>
  <c r="K488" i="1"/>
  <c r="N379" i="1"/>
  <c r="O379" i="1"/>
  <c r="G288" i="13"/>
  <c r="F46" i="15" s="1"/>
  <c r="N390" i="1"/>
  <c r="O390" i="1"/>
  <c r="K503" i="1"/>
  <c r="L618" i="1"/>
  <c r="G509" i="13"/>
  <c r="J509" i="13" s="1"/>
  <c r="N395" i="1"/>
  <c r="O395" i="1"/>
  <c r="M457" i="1"/>
  <c r="O224" i="1"/>
  <c r="O222" i="1"/>
  <c r="O218" i="1"/>
  <c r="O217" i="1"/>
  <c r="M332" i="1"/>
  <c r="M443" i="1"/>
  <c r="M441" i="1"/>
  <c r="M440" i="1"/>
  <c r="M439" i="1"/>
  <c r="O212" i="1"/>
  <c r="O210" i="1"/>
  <c r="M233" i="1"/>
  <c r="O202" i="1"/>
  <c r="O200" i="1"/>
  <c r="O198" i="1"/>
  <c r="O194" i="1"/>
  <c r="M204" i="1"/>
  <c r="O185" i="1"/>
  <c r="M304" i="1"/>
  <c r="M192" i="1"/>
  <c r="M399" i="1"/>
  <c r="M296" i="1"/>
  <c r="M738" i="1"/>
  <c r="M853" i="1" s="1"/>
  <c r="M711" i="1"/>
  <c r="M826" i="1" s="1"/>
  <c r="M709" i="1"/>
  <c r="M824" i="1" s="1"/>
  <c r="M707" i="1"/>
  <c r="M822" i="1" s="1"/>
  <c r="M694" i="1"/>
  <c r="M809" i="1" s="1"/>
  <c r="K467" i="1"/>
  <c r="L580" i="1"/>
  <c r="G473" i="13"/>
  <c r="J473" i="13" s="1"/>
  <c r="N360" i="1"/>
  <c r="O360" i="1"/>
  <c r="L586" i="1"/>
  <c r="G479" i="13"/>
  <c r="J479" i="13" s="1"/>
  <c r="K473" i="1"/>
  <c r="K380" i="1"/>
  <c r="N377" i="1"/>
  <c r="O377" i="1"/>
  <c r="L493" i="1"/>
  <c r="L605" i="1"/>
  <c r="G496" i="13"/>
  <c r="K490" i="1"/>
  <c r="L612" i="1"/>
  <c r="K497" i="1"/>
  <c r="G503" i="13"/>
  <c r="J503" i="13" s="1"/>
  <c r="N385" i="1"/>
  <c r="O385" i="1"/>
  <c r="K498" i="1"/>
  <c r="L613" i="1"/>
  <c r="G504" i="13"/>
  <c r="J504" i="13" s="1"/>
  <c r="L615" i="1"/>
  <c r="G506" i="13"/>
  <c r="K500" i="1"/>
  <c r="N391" i="1"/>
  <c r="O391" i="1"/>
  <c r="M735" i="1"/>
  <c r="M850" i="1" s="1"/>
  <c r="M733" i="1"/>
  <c r="M848" i="1" s="1"/>
  <c r="M731" i="1"/>
  <c r="M846" i="1" s="1"/>
  <c r="M714" i="1"/>
  <c r="G478" i="13"/>
  <c r="J478" i="13" s="1"/>
  <c r="L585" i="1"/>
  <c r="K472" i="1"/>
  <c r="N361" i="1"/>
  <c r="O361" i="1"/>
  <c r="N367" i="1"/>
  <c r="O367" i="1"/>
  <c r="N371" i="1"/>
  <c r="O371" i="1"/>
  <c r="N373" i="1"/>
  <c r="K376" i="1"/>
  <c r="O373" i="1"/>
  <c r="L489" i="1"/>
  <c r="L599" i="1"/>
  <c r="G492" i="13"/>
  <c r="K486" i="1"/>
  <c r="G391" i="13"/>
  <c r="J387" i="13"/>
  <c r="J391" i="13" s="1"/>
  <c r="K284" i="1"/>
  <c r="N273" i="1"/>
  <c r="O273" i="1"/>
  <c r="N388" i="1"/>
  <c r="O388" i="1"/>
  <c r="K505" i="1"/>
  <c r="L620" i="1"/>
  <c r="G511" i="13"/>
  <c r="J511" i="13" s="1"/>
  <c r="K344" i="1"/>
  <c r="N344" i="1" s="1"/>
  <c r="L457" i="1"/>
  <c r="G347" i="13"/>
  <c r="L345" i="1"/>
  <c r="L456" i="1"/>
  <c r="G346" i="13"/>
  <c r="K343" i="1"/>
  <c r="K341" i="1"/>
  <c r="N341" i="1" s="1"/>
  <c r="L454" i="1"/>
  <c r="G344" i="13"/>
  <c r="J344" i="13" s="1"/>
  <c r="K229" i="1"/>
  <c r="N229" i="1" s="1"/>
  <c r="N226" i="1"/>
  <c r="O226" i="1"/>
  <c r="K339" i="1"/>
  <c r="L452" i="1"/>
  <c r="L342" i="1"/>
  <c r="L450" i="1"/>
  <c r="K337" i="1"/>
  <c r="N337" i="1" s="1"/>
  <c r="K334" i="1"/>
  <c r="N334" i="1" s="1"/>
  <c r="L447" i="1"/>
  <c r="G338" i="13"/>
  <c r="J338" i="13" s="1"/>
  <c r="N220" i="1"/>
  <c r="K225" i="1"/>
  <c r="N225" i="1" s="1"/>
  <c r="L338" i="1"/>
  <c r="L446" i="1"/>
  <c r="K333" i="1"/>
  <c r="G337" i="13"/>
  <c r="G222" i="13"/>
  <c r="J220" i="13"/>
  <c r="J222" i="13" s="1"/>
  <c r="K326" i="1"/>
  <c r="N326" i="1" s="1"/>
  <c r="L439" i="1"/>
  <c r="G330" i="13"/>
  <c r="J330" i="13" s="1"/>
  <c r="G219" i="13"/>
  <c r="J215" i="13"/>
  <c r="J219" i="13" s="1"/>
  <c r="L438" i="1"/>
  <c r="K325" i="1"/>
  <c r="G329" i="13"/>
  <c r="L329" i="1"/>
  <c r="K323" i="1"/>
  <c r="N323" i="1" s="1"/>
  <c r="L436" i="1"/>
  <c r="G327" i="13"/>
  <c r="J327" i="13" s="1"/>
  <c r="G326" i="13"/>
  <c r="J326" i="13" s="1"/>
  <c r="L435" i="1"/>
  <c r="K322" i="1"/>
  <c r="N322" i="1" s="1"/>
  <c r="O208" i="1"/>
  <c r="K211" i="1"/>
  <c r="N208" i="1"/>
  <c r="K321" i="1"/>
  <c r="L434" i="1"/>
  <c r="G325" i="13"/>
  <c r="L324" i="1"/>
  <c r="K315" i="1"/>
  <c r="N315" i="1" s="1"/>
  <c r="L428" i="1"/>
  <c r="G319" i="13"/>
  <c r="J319" i="13" s="1"/>
  <c r="L426" i="1"/>
  <c r="G317" i="13"/>
  <c r="J317" i="13" s="1"/>
  <c r="K313" i="1"/>
  <c r="N313" i="1" s="1"/>
  <c r="K311" i="1"/>
  <c r="N311" i="1" s="1"/>
  <c r="L424" i="1"/>
  <c r="G315" i="13"/>
  <c r="J315" i="13" s="1"/>
  <c r="N197" i="1"/>
  <c r="K203" i="1"/>
  <c r="O197" i="1"/>
  <c r="G206" i="13"/>
  <c r="J200" i="13"/>
  <c r="J206" i="13" s="1"/>
  <c r="L421" i="1"/>
  <c r="G312" i="13"/>
  <c r="J312" i="13" s="1"/>
  <c r="K308" i="1"/>
  <c r="N308" i="1" s="1"/>
  <c r="O193" i="1"/>
  <c r="K196" i="1"/>
  <c r="N193" i="1"/>
  <c r="G199" i="13"/>
  <c r="G207" i="13" s="1"/>
  <c r="J196" i="13"/>
  <c r="J199" i="13" s="1"/>
  <c r="J207" i="13" s="1"/>
  <c r="K303" i="1"/>
  <c r="N303" i="1" s="1"/>
  <c r="L416" i="1"/>
  <c r="G307" i="13"/>
  <c r="J307" i="13" s="1"/>
  <c r="L413" i="1"/>
  <c r="G304" i="13"/>
  <c r="J304" i="13" s="1"/>
  <c r="K300" i="1"/>
  <c r="L411" i="1"/>
  <c r="K298" i="1"/>
  <c r="N298" i="1" s="1"/>
  <c r="G302" i="13"/>
  <c r="J302" i="13" s="1"/>
  <c r="L192" i="1"/>
  <c r="G194" i="13"/>
  <c r="J187" i="13"/>
  <c r="J194" i="13" s="1"/>
  <c r="L407" i="1"/>
  <c r="G298" i="13"/>
  <c r="J298" i="13" s="1"/>
  <c r="K294" i="1"/>
  <c r="O294" i="1" s="1"/>
  <c r="L405" i="1"/>
  <c r="G296" i="13"/>
  <c r="J296" i="13" s="1"/>
  <c r="K292" i="1"/>
  <c r="O292" i="1" s="1"/>
  <c r="L403" i="1"/>
  <c r="G294" i="13"/>
  <c r="J294" i="13" s="1"/>
  <c r="K290" i="1"/>
  <c r="O290" i="1" s="1"/>
  <c r="K288" i="1"/>
  <c r="O288" i="1" s="1"/>
  <c r="G292" i="13"/>
  <c r="L401" i="1"/>
  <c r="L400" i="1"/>
  <c r="G291" i="13"/>
  <c r="J291" i="13" s="1"/>
  <c r="K287" i="1"/>
  <c r="N287" i="1" s="1"/>
  <c r="J176" i="13"/>
  <c r="J186" i="13" s="1"/>
  <c r="J195" i="13" s="1"/>
  <c r="J209" i="13" s="1"/>
  <c r="J210" i="13" s="1"/>
  <c r="I34" i="15" s="1"/>
  <c r="I36" i="15" s="1"/>
  <c r="G186" i="13"/>
  <c r="N173" i="1"/>
  <c r="K183" i="1"/>
  <c r="I346" i="16"/>
  <c r="F439" i="16"/>
  <c r="I139" i="16"/>
  <c r="J30" i="15" s="1"/>
  <c r="I223" i="16"/>
  <c r="J37" i="15" s="1"/>
  <c r="J39" i="15" s="1"/>
  <c r="F331" i="16"/>
  <c r="F399" i="16"/>
  <c r="F492" i="16" s="1"/>
  <c r="I306" i="16"/>
  <c r="I303" i="16"/>
  <c r="F396" i="16"/>
  <c r="I301" i="16"/>
  <c r="F394" i="16"/>
  <c r="I299" i="16"/>
  <c r="F392" i="16"/>
  <c r="I297" i="16"/>
  <c r="F390" i="16"/>
  <c r="I295" i="16"/>
  <c r="F388" i="16"/>
  <c r="I293" i="16"/>
  <c r="F386" i="16"/>
  <c r="I291" i="16"/>
  <c r="F384" i="16"/>
  <c r="I289" i="16"/>
  <c r="F382" i="16"/>
  <c r="I287" i="16"/>
  <c r="F380" i="16"/>
  <c r="I285" i="16"/>
  <c r="F379" i="16"/>
  <c r="I283" i="16"/>
  <c r="F377" i="16"/>
  <c r="I281" i="16"/>
  <c r="F375" i="16"/>
  <c r="I279" i="16"/>
  <c r="F373" i="16"/>
  <c r="I277" i="16"/>
  <c r="F372" i="16"/>
  <c r="I275" i="16"/>
  <c r="F371" i="16"/>
  <c r="I329" i="16"/>
  <c r="F422" i="16"/>
  <c r="I327" i="16"/>
  <c r="F420" i="16"/>
  <c r="I325" i="16"/>
  <c r="F418" i="16"/>
  <c r="I323" i="16"/>
  <c r="F416" i="16"/>
  <c r="I321" i="16"/>
  <c r="F414" i="16"/>
  <c r="I319" i="16"/>
  <c r="F412" i="16"/>
  <c r="I317" i="16"/>
  <c r="F410" i="16"/>
  <c r="I315" i="16"/>
  <c r="F408" i="16"/>
  <c r="I313" i="16"/>
  <c r="F406" i="16"/>
  <c r="I311" i="16"/>
  <c r="F404" i="16"/>
  <c r="I309" i="16"/>
  <c r="F402" i="16"/>
  <c r="I307" i="16"/>
  <c r="F400" i="16"/>
  <c r="I162" i="16"/>
  <c r="J32" i="15" s="1"/>
  <c r="F270" i="16"/>
  <c r="I263" i="16"/>
  <c r="I260" i="16"/>
  <c r="I258" i="16"/>
  <c r="I256" i="16"/>
  <c r="I254" i="16"/>
  <c r="F359" i="16"/>
  <c r="I252" i="16"/>
  <c r="F357" i="16"/>
  <c r="I250" i="16"/>
  <c r="I154" i="16"/>
  <c r="J31" i="15" s="1"/>
  <c r="I245" i="16"/>
  <c r="F352" i="16"/>
  <c r="I243" i="16"/>
  <c r="F350" i="16"/>
  <c r="I241" i="16"/>
  <c r="F348" i="16"/>
  <c r="I237" i="16"/>
  <c r="F345" i="16"/>
  <c r="I235" i="16"/>
  <c r="F343" i="16"/>
  <c r="I233" i="16"/>
  <c r="F341" i="16"/>
  <c r="I330" i="16"/>
  <c r="F423" i="16"/>
  <c r="I326" i="16"/>
  <c r="F419" i="16"/>
  <c r="I324" i="16"/>
  <c r="F417" i="16"/>
  <c r="I322" i="16"/>
  <c r="F415" i="16"/>
  <c r="I320" i="16"/>
  <c r="F413" i="16"/>
  <c r="I318" i="16"/>
  <c r="F411" i="16"/>
  <c r="I316" i="16"/>
  <c r="F409" i="16"/>
  <c r="I314" i="16"/>
  <c r="F407" i="16"/>
  <c r="I312" i="16"/>
  <c r="F405" i="16"/>
  <c r="I310" i="16"/>
  <c r="F403" i="16"/>
  <c r="I308" i="16"/>
  <c r="F401" i="16"/>
  <c r="I197" i="16"/>
  <c r="J34" i="15" s="1"/>
  <c r="J36" i="15" s="1"/>
  <c r="F305" i="16"/>
  <c r="F369" i="16"/>
  <c r="F462" i="16" s="1"/>
  <c r="I273" i="16"/>
  <c r="I268" i="16"/>
  <c r="F364" i="16"/>
  <c r="I266" i="16"/>
  <c r="F362" i="16"/>
  <c r="I264" i="16"/>
  <c r="I261" i="16"/>
  <c r="I259" i="16"/>
  <c r="I257" i="16"/>
  <c r="I255" i="16"/>
  <c r="F360" i="16"/>
  <c r="I253" i="16"/>
  <c r="F358" i="16"/>
  <c r="I251" i="16"/>
  <c r="F356" i="16"/>
  <c r="I249" i="16"/>
  <c r="I246" i="16"/>
  <c r="F353" i="16"/>
  <c r="I244" i="16"/>
  <c r="F351" i="16"/>
  <c r="I242" i="16"/>
  <c r="F349" i="16"/>
  <c r="I240" i="16"/>
  <c r="F347" i="16"/>
  <c r="I236" i="16"/>
  <c r="F344" i="16"/>
  <c r="I234" i="16"/>
  <c r="F342" i="16"/>
  <c r="I232" i="16"/>
  <c r="F340" i="16"/>
  <c r="I304" i="16"/>
  <c r="F397" i="16"/>
  <c r="I302" i="16"/>
  <c r="F395" i="16"/>
  <c r="I300" i="16"/>
  <c r="F393" i="16"/>
  <c r="I298" i="16"/>
  <c r="F391" i="16"/>
  <c r="I296" i="16"/>
  <c r="F389" i="16"/>
  <c r="I294" i="16"/>
  <c r="F387" i="16"/>
  <c r="I292" i="16"/>
  <c r="F385" i="16"/>
  <c r="I290" i="16"/>
  <c r="F383" i="16"/>
  <c r="I288" i="16"/>
  <c r="F381" i="16"/>
  <c r="I286" i="16"/>
  <c r="I284" i="16"/>
  <c r="F378" i="16"/>
  <c r="I282" i="16"/>
  <c r="F376" i="16"/>
  <c r="I280" i="16"/>
  <c r="F374" i="16"/>
  <c r="I278" i="16"/>
  <c r="I276" i="16"/>
  <c r="I274" i="16"/>
  <c r="F370" i="16"/>
  <c r="I269" i="16"/>
  <c r="F365" i="16"/>
  <c r="I267" i="16"/>
  <c r="F363" i="16"/>
  <c r="I265" i="16"/>
  <c r="F355" i="16"/>
  <c r="F448" i="16" s="1"/>
  <c r="F262" i="16"/>
  <c r="I248" i="16"/>
  <c r="F339" i="16"/>
  <c r="F432" i="16" s="1"/>
  <c r="F247" i="16"/>
  <c r="I231" i="16"/>
  <c r="T314" i="14"/>
  <c r="T319" i="14"/>
  <c r="G30" i="15"/>
  <c r="G33" i="15" s="1"/>
  <c r="G40" i="15" s="1"/>
  <c r="K91" i="17"/>
  <c r="K135" i="17" s="1"/>
  <c r="M78" i="17"/>
  <c r="N78" i="17"/>
  <c r="J82" i="17"/>
  <c r="D33" i="15"/>
  <c r="E33" i="15" s="1"/>
  <c r="E30" i="15"/>
  <c r="N171" i="1"/>
  <c r="O171" i="1"/>
  <c r="K172" i="1"/>
  <c r="N155" i="1"/>
  <c r="O155" i="1"/>
  <c r="G207" i="1"/>
  <c r="G235" i="1" s="1"/>
  <c r="J235" i="1" s="1"/>
  <c r="J206" i="1"/>
  <c r="J207" i="1" s="1"/>
  <c r="K88" i="1"/>
  <c r="N88" i="1" s="1"/>
  <c r="K76" i="1"/>
  <c r="K74" i="1"/>
  <c r="N140" i="17" l="1"/>
  <c r="M1574" i="1"/>
  <c r="M1572" i="1"/>
  <c r="L206" i="1"/>
  <c r="L207" i="1" s="1"/>
  <c r="M1275" i="1"/>
  <c r="M1787" i="1"/>
  <c r="G195" i="13"/>
  <c r="G209" i="13" s="1"/>
  <c r="G210" i="13" s="1"/>
  <c r="F34" i="15" s="1"/>
  <c r="F36" i="15" s="1"/>
  <c r="M582" i="1"/>
  <c r="M609" i="1" s="1"/>
  <c r="M1295" i="1"/>
  <c r="N161" i="17"/>
  <c r="Q153" i="17"/>
  <c r="H46" i="15" s="1"/>
  <c r="H48" i="15" s="1"/>
  <c r="N165" i="17"/>
  <c r="N147" i="17"/>
  <c r="Q91" i="17"/>
  <c r="Q135" i="17" s="1"/>
  <c r="N149" i="17"/>
  <c r="Q145" i="17"/>
  <c r="H33" i="15"/>
  <c r="Q203" i="17"/>
  <c r="K266" i="17"/>
  <c r="J203" i="17"/>
  <c r="M203" i="17" s="1"/>
  <c r="H40" i="15"/>
  <c r="L266" i="17"/>
  <c r="N203" i="17"/>
  <c r="H45" i="15"/>
  <c r="L268" i="17"/>
  <c r="L332" i="17"/>
  <c r="L333" i="17"/>
  <c r="L272" i="17"/>
  <c r="L216" i="17"/>
  <c r="L277" i="17"/>
  <c r="L163" i="17"/>
  <c r="L346" i="17"/>
  <c r="L284" i="17"/>
  <c r="L285" i="17"/>
  <c r="L349" i="17"/>
  <c r="L361" i="17"/>
  <c r="L365" i="17"/>
  <c r="G45" i="15"/>
  <c r="G48" i="15" s="1"/>
  <c r="K154" i="17"/>
  <c r="K198" i="17" s="1"/>
  <c r="M143" i="17"/>
  <c r="N143" i="17"/>
  <c r="M144" i="17"/>
  <c r="N144" i="17"/>
  <c r="K270" i="17"/>
  <c r="J207" i="17"/>
  <c r="Q207" i="17"/>
  <c r="K272" i="17"/>
  <c r="J209" i="17"/>
  <c r="Q209" i="17"/>
  <c r="K216" i="17"/>
  <c r="G61" i="15" s="1"/>
  <c r="M99" i="17"/>
  <c r="J100" i="17"/>
  <c r="J222" i="17"/>
  <c r="K285" i="17"/>
  <c r="Q222" i="17"/>
  <c r="K287" i="17"/>
  <c r="Q224" i="17"/>
  <c r="J224" i="17"/>
  <c r="M224" i="17" s="1"/>
  <c r="G52" i="15"/>
  <c r="G54" i="15" s="1"/>
  <c r="K290" i="17"/>
  <c r="K259" i="17"/>
  <c r="K260" i="17" s="1"/>
  <c r="J227" i="17"/>
  <c r="Q227" i="17"/>
  <c r="Q229" i="17"/>
  <c r="K292" i="17"/>
  <c r="J229" i="17"/>
  <c r="K294" i="17"/>
  <c r="Q231" i="17"/>
  <c r="J231" i="17"/>
  <c r="M169" i="17"/>
  <c r="N169" i="17"/>
  <c r="M171" i="17"/>
  <c r="N171" i="17"/>
  <c r="M172" i="17"/>
  <c r="N172" i="17"/>
  <c r="K298" i="17"/>
  <c r="Q235" i="17"/>
  <c r="J235" i="17"/>
  <c r="M173" i="17"/>
  <c r="N173" i="17"/>
  <c r="K300" i="17"/>
  <c r="Q237" i="17"/>
  <c r="J237" i="17"/>
  <c r="M237" i="17" s="1"/>
  <c r="M175" i="17"/>
  <c r="N175" i="17"/>
  <c r="M176" i="17"/>
  <c r="N176" i="17"/>
  <c r="K302" i="17"/>
  <c r="Q239" i="17"/>
  <c r="J239" i="17"/>
  <c r="M177" i="17"/>
  <c r="N177" i="17"/>
  <c r="M179" i="17"/>
  <c r="N179" i="17"/>
  <c r="M180" i="17"/>
  <c r="N180" i="17"/>
  <c r="K306" i="17"/>
  <c r="Q243" i="17"/>
  <c r="J243" i="17"/>
  <c r="M181" i="17"/>
  <c r="N181" i="17"/>
  <c r="M183" i="17"/>
  <c r="N183" i="17"/>
  <c r="Q251" i="17"/>
  <c r="K314" i="17"/>
  <c r="J251" i="17"/>
  <c r="M251" i="17" s="1"/>
  <c r="M189" i="17"/>
  <c r="N189" i="17"/>
  <c r="K316" i="17"/>
  <c r="J253" i="17"/>
  <c r="M253" i="17" s="1"/>
  <c r="Q253" i="17"/>
  <c r="K318" i="17"/>
  <c r="Q255" i="17"/>
  <c r="J255" i="17"/>
  <c r="M255" i="17" s="1"/>
  <c r="M193" i="17"/>
  <c r="N193" i="17"/>
  <c r="K320" i="17"/>
  <c r="Q257" i="17"/>
  <c r="J257" i="17"/>
  <c r="M257" i="17" s="1"/>
  <c r="M195" i="17"/>
  <c r="N195" i="17"/>
  <c r="L267" i="17"/>
  <c r="J267" i="17" s="1"/>
  <c r="L208" i="17"/>
  <c r="L291" i="17"/>
  <c r="L355" i="17"/>
  <c r="L293" i="17"/>
  <c r="L736" i="17"/>
  <c r="L358" i="17"/>
  <c r="L674" i="17"/>
  <c r="L360" i="17"/>
  <c r="L362" i="17"/>
  <c r="L300" i="17"/>
  <c r="L364" i="17"/>
  <c r="L366" i="17"/>
  <c r="L304" i="17"/>
  <c r="L368" i="17"/>
  <c r="L370" i="17"/>
  <c r="L308" i="17"/>
  <c r="L372" i="17"/>
  <c r="L310" i="17"/>
  <c r="L311" i="17"/>
  <c r="N186" i="17"/>
  <c r="L376" i="17"/>
  <c r="L314" i="17"/>
  <c r="L378" i="17"/>
  <c r="L316" i="17"/>
  <c r="L380" i="17"/>
  <c r="N192" i="17"/>
  <c r="L382" i="17"/>
  <c r="L320" i="17"/>
  <c r="L384" i="17"/>
  <c r="J204" i="17"/>
  <c r="K330" i="17"/>
  <c r="Q267" i="17"/>
  <c r="M90" i="17"/>
  <c r="N90" i="17"/>
  <c r="Q210" i="17"/>
  <c r="K273" i="17"/>
  <c r="J210" i="17"/>
  <c r="M210" i="17" s="1"/>
  <c r="M148" i="17"/>
  <c r="N148" i="17"/>
  <c r="Q212" i="17"/>
  <c r="K275" i="17"/>
  <c r="J212" i="17"/>
  <c r="M212" i="17" s="1"/>
  <c r="M150" i="17"/>
  <c r="N150" i="17"/>
  <c r="K277" i="17"/>
  <c r="Q214" i="17"/>
  <c r="J214" i="17"/>
  <c r="M214" i="17" s="1"/>
  <c r="M152" i="17"/>
  <c r="N152" i="17"/>
  <c r="J162" i="17"/>
  <c r="M162" i="17" s="1"/>
  <c r="M155" i="17"/>
  <c r="Q218" i="17"/>
  <c r="K281" i="17"/>
  <c r="K225" i="17"/>
  <c r="K226" i="17" s="1"/>
  <c r="G64" i="15" s="1"/>
  <c r="G66" i="15" s="1"/>
  <c r="J218" i="17"/>
  <c r="K282" i="17"/>
  <c r="Q219" i="17"/>
  <c r="J219" i="17"/>
  <c r="M219" i="17" s="1"/>
  <c r="Q220" i="17"/>
  <c r="K283" i="17"/>
  <c r="J220" i="17"/>
  <c r="Q223" i="17"/>
  <c r="K286" i="17"/>
  <c r="J223" i="17"/>
  <c r="K291" i="17"/>
  <c r="Q228" i="17"/>
  <c r="J228" i="17"/>
  <c r="M228" i="17" s="1"/>
  <c r="Q230" i="17"/>
  <c r="K293" i="17"/>
  <c r="J230" i="17"/>
  <c r="M230" i="17" s="1"/>
  <c r="N142" i="17"/>
  <c r="L273" i="17"/>
  <c r="N210" i="17"/>
  <c r="L337" i="17"/>
  <c r="L275" i="17"/>
  <c r="L339" i="17"/>
  <c r="N151" i="17"/>
  <c r="L341" i="17"/>
  <c r="L225" i="17"/>
  <c r="L281" i="17"/>
  <c r="N218" i="17"/>
  <c r="L282" i="17"/>
  <c r="N158" i="17"/>
  <c r="L287" i="17"/>
  <c r="L290" i="17"/>
  <c r="N227" i="17"/>
  <c r="L259" i="17"/>
  <c r="L260" i="17" s="1"/>
  <c r="M141" i="17"/>
  <c r="J145" i="17"/>
  <c r="K268" i="17"/>
  <c r="Q205" i="17"/>
  <c r="J205" i="17"/>
  <c r="M205" i="17" s="1"/>
  <c r="K269" i="17"/>
  <c r="Q206" i="17"/>
  <c r="J206" i="17"/>
  <c r="M146" i="17"/>
  <c r="J153" i="17"/>
  <c r="M153" i="17" s="1"/>
  <c r="Q162" i="17"/>
  <c r="Q163" i="17" s="1"/>
  <c r="H49" i="15" s="1"/>
  <c r="H51" i="15" s="1"/>
  <c r="Q196" i="17"/>
  <c r="Q197" i="17" s="1"/>
  <c r="J196" i="17"/>
  <c r="M164" i="17"/>
  <c r="N133" i="17"/>
  <c r="J134" i="17"/>
  <c r="M133" i="17"/>
  <c r="M166" i="17"/>
  <c r="N166" i="17"/>
  <c r="K295" i="17"/>
  <c r="J232" i="17"/>
  <c r="Q232" i="17"/>
  <c r="J233" i="17"/>
  <c r="N233" i="17" s="1"/>
  <c r="K296" i="17"/>
  <c r="Q233" i="17"/>
  <c r="K297" i="17"/>
  <c r="J234" i="17"/>
  <c r="Q234" i="17"/>
  <c r="K299" i="17"/>
  <c r="J236" i="17"/>
  <c r="Q236" i="17"/>
  <c r="K301" i="17"/>
  <c r="J238" i="17"/>
  <c r="Q238" i="17"/>
  <c r="K303" i="17"/>
  <c r="J240" i="17"/>
  <c r="Q240" i="17"/>
  <c r="K304" i="17"/>
  <c r="J241" i="17"/>
  <c r="M241" i="17" s="1"/>
  <c r="Q241" i="17"/>
  <c r="K305" i="17"/>
  <c r="Q242" i="17"/>
  <c r="J242" i="17"/>
  <c r="K307" i="17"/>
  <c r="J244" i="17"/>
  <c r="Q244" i="17"/>
  <c r="K308" i="17"/>
  <c r="J245" i="17"/>
  <c r="M245" i="17" s="1"/>
  <c r="Q245" i="17"/>
  <c r="K309" i="17"/>
  <c r="Q246" i="17"/>
  <c r="J246" i="17"/>
  <c r="Q247" i="17"/>
  <c r="K310" i="17"/>
  <c r="J247" i="17"/>
  <c r="M247" i="17" s="1"/>
  <c r="K311" i="17"/>
  <c r="J248" i="17"/>
  <c r="M248" i="17" s="1"/>
  <c r="Q248" i="17"/>
  <c r="Q249" i="17"/>
  <c r="K312" i="17"/>
  <c r="J249" i="17"/>
  <c r="M249" i="17" s="1"/>
  <c r="M187" i="17"/>
  <c r="N187" i="17"/>
  <c r="K313" i="17"/>
  <c r="J250" i="17"/>
  <c r="Q250" i="17"/>
  <c r="K315" i="17"/>
  <c r="J252" i="17"/>
  <c r="Q252" i="17"/>
  <c r="M191" i="17"/>
  <c r="N191" i="17"/>
  <c r="K317" i="17"/>
  <c r="J254" i="17"/>
  <c r="Q254" i="17"/>
  <c r="K319" i="17"/>
  <c r="J256" i="17"/>
  <c r="Q256" i="17"/>
  <c r="K321" i="17"/>
  <c r="Q258" i="17"/>
  <c r="J258" i="17"/>
  <c r="N99" i="17"/>
  <c r="L154" i="17"/>
  <c r="N167" i="17"/>
  <c r="N174" i="17"/>
  <c r="N178" i="17"/>
  <c r="L369" i="17"/>
  <c r="N182" i="17"/>
  <c r="N184" i="17"/>
  <c r="N185" i="17"/>
  <c r="L312" i="17"/>
  <c r="N188" i="17"/>
  <c r="N190" i="17"/>
  <c r="L318" i="17"/>
  <c r="N194" i="17"/>
  <c r="K208" i="17"/>
  <c r="K274" i="17"/>
  <c r="Q211" i="17"/>
  <c r="J211" i="17"/>
  <c r="K276" i="17"/>
  <c r="Q213" i="17"/>
  <c r="J213" i="17"/>
  <c r="K278" i="17"/>
  <c r="Q215" i="17"/>
  <c r="J215" i="17"/>
  <c r="M157" i="17"/>
  <c r="N157" i="17"/>
  <c r="Q221" i="17"/>
  <c r="K284" i="17"/>
  <c r="J221" i="17"/>
  <c r="M221" i="17" s="1"/>
  <c r="M160" i="17"/>
  <c r="N160" i="17"/>
  <c r="M966" i="1"/>
  <c r="M1083" i="1" s="1"/>
  <c r="M1200" i="1" s="1"/>
  <c r="M939" i="1"/>
  <c r="M1055" i="1" s="1"/>
  <c r="M1172" i="1" s="1"/>
  <c r="M838" i="1"/>
  <c r="M951" i="1"/>
  <c r="M1068" i="1" s="1"/>
  <c r="M1185" i="1" s="1"/>
  <c r="M940" i="1"/>
  <c r="M1056" i="1" s="1"/>
  <c r="M1173" i="1" s="1"/>
  <c r="M967" i="1"/>
  <c r="M1084" i="1" s="1"/>
  <c r="M1201" i="1" s="1"/>
  <c r="M926" i="1"/>
  <c r="M1042" i="1" s="1"/>
  <c r="M1159" i="1" s="1"/>
  <c r="M930" i="1"/>
  <c r="M1046" i="1" s="1"/>
  <c r="M1163" i="1" s="1"/>
  <c r="M953" i="1"/>
  <c r="M1070" i="1" s="1"/>
  <c r="M1187" i="1" s="1"/>
  <c r="M949" i="1"/>
  <c r="M1066" i="1" s="1"/>
  <c r="M1183" i="1" s="1"/>
  <c r="M959" i="1"/>
  <c r="M1076" i="1" s="1"/>
  <c r="M1193" i="1" s="1"/>
  <c r="L604" i="1"/>
  <c r="M829" i="1"/>
  <c r="M719" i="1"/>
  <c r="M964" i="1"/>
  <c r="M1081" i="1" s="1"/>
  <c r="M1198" i="1" s="1"/>
  <c r="M937" i="1"/>
  <c r="M1053" i="1" s="1"/>
  <c r="M1170" i="1" s="1"/>
  <c r="M941" i="1"/>
  <c r="M1057" i="1" s="1"/>
  <c r="M1174" i="1" s="1"/>
  <c r="M933" i="1"/>
  <c r="M1049" i="1" s="1"/>
  <c r="M1166" i="1" s="1"/>
  <c r="M961" i="1"/>
  <c r="M1078" i="1" s="1"/>
  <c r="M1195" i="1" s="1"/>
  <c r="M938" i="1"/>
  <c r="M1054" i="1" s="1"/>
  <c r="M1171" i="1" s="1"/>
  <c r="M942" i="1"/>
  <c r="M1058" i="1" s="1"/>
  <c r="M1175" i="1" s="1"/>
  <c r="M965" i="1"/>
  <c r="M1082" i="1" s="1"/>
  <c r="M1199" i="1" s="1"/>
  <c r="M820" i="1"/>
  <c r="M928" i="1"/>
  <c r="M1044" i="1" s="1"/>
  <c r="M1161" i="1" s="1"/>
  <c r="M929" i="1"/>
  <c r="M1045" i="1" s="1"/>
  <c r="M1162" i="1" s="1"/>
  <c r="M952" i="1"/>
  <c r="M1069" i="1" s="1"/>
  <c r="M1186" i="1" s="1"/>
  <c r="K830" i="1"/>
  <c r="L945" i="1"/>
  <c r="L1061" i="1" s="1"/>
  <c r="L1178" i="1" s="1"/>
  <c r="G836" i="13"/>
  <c r="J836" i="13" s="1"/>
  <c r="M958" i="1"/>
  <c r="M1075" i="1" s="1"/>
  <c r="M1192" i="1" s="1"/>
  <c r="M844" i="1"/>
  <c r="M956" i="1"/>
  <c r="M1073" i="1" s="1"/>
  <c r="M957" i="1"/>
  <c r="M1074" i="1" s="1"/>
  <c r="M1191" i="1" s="1"/>
  <c r="M932" i="1"/>
  <c r="M1048" i="1" s="1"/>
  <c r="M1165" i="1" s="1"/>
  <c r="M828" i="1"/>
  <c r="M936" i="1"/>
  <c r="M1052" i="1" s="1"/>
  <c r="M1169" i="1" s="1"/>
  <c r="M962" i="1"/>
  <c r="M1079" i="1" s="1"/>
  <c r="M1196" i="1" s="1"/>
  <c r="M924" i="1"/>
  <c r="M1040" i="1" s="1"/>
  <c r="M1157" i="1" s="1"/>
  <c r="M969" i="1"/>
  <c r="M1086" i="1" s="1"/>
  <c r="M1203" i="1" s="1"/>
  <c r="M931" i="1"/>
  <c r="M1047" i="1" s="1"/>
  <c r="M1164" i="1" s="1"/>
  <c r="M963" i="1"/>
  <c r="M1080" i="1" s="1"/>
  <c r="M1197" i="1" s="1"/>
  <c r="M934" i="1"/>
  <c r="M1050" i="1" s="1"/>
  <c r="M1167" i="1" s="1"/>
  <c r="M812" i="1"/>
  <c r="M923" i="1"/>
  <c r="M1039" i="1" s="1"/>
  <c r="M1156" i="1" s="1"/>
  <c r="M946" i="1"/>
  <c r="M1062" i="1" s="1"/>
  <c r="M1179" i="1" s="1"/>
  <c r="N601" i="1"/>
  <c r="O601" i="1"/>
  <c r="L831" i="1"/>
  <c r="K716" i="1"/>
  <c r="G722" i="13"/>
  <c r="J722" i="13" s="1"/>
  <c r="M305" i="1"/>
  <c r="O301" i="1"/>
  <c r="J402" i="13"/>
  <c r="I61" i="15" s="1"/>
  <c r="O328" i="1"/>
  <c r="O229" i="1"/>
  <c r="J235" i="13"/>
  <c r="J236" i="13" s="1"/>
  <c r="I37" i="15" s="1"/>
  <c r="I39" i="15" s="1"/>
  <c r="I40" i="15" s="1"/>
  <c r="O313" i="1"/>
  <c r="O323" i="1"/>
  <c r="O331" i="1"/>
  <c r="M544" i="1"/>
  <c r="L693" i="1"/>
  <c r="L808" i="1" s="1"/>
  <c r="G584" i="13"/>
  <c r="J584" i="13" s="1"/>
  <c r="K578" i="1"/>
  <c r="O88" i="1"/>
  <c r="O232" i="1"/>
  <c r="O219" i="1"/>
  <c r="O465" i="1"/>
  <c r="K431" i="1"/>
  <c r="N431" i="1" s="1"/>
  <c r="L544" i="1"/>
  <c r="G436" i="13"/>
  <c r="J436" i="13" s="1"/>
  <c r="N183" i="1"/>
  <c r="K192" i="1"/>
  <c r="L513" i="1"/>
  <c r="G405" i="13"/>
  <c r="J405" i="13" s="1"/>
  <c r="K400" i="1"/>
  <c r="N400" i="1" s="1"/>
  <c r="G300" i="13"/>
  <c r="J292" i="13"/>
  <c r="J300" i="13" s="1"/>
  <c r="L516" i="1"/>
  <c r="G408" i="13"/>
  <c r="J408" i="13" s="1"/>
  <c r="K403" i="1"/>
  <c r="N403" i="1" s="1"/>
  <c r="L520" i="1"/>
  <c r="G412" i="13"/>
  <c r="J412" i="13" s="1"/>
  <c r="K407" i="1"/>
  <c r="N407" i="1" s="1"/>
  <c r="L524" i="1"/>
  <c r="K411" i="1"/>
  <c r="N411" i="1" s="1"/>
  <c r="G416" i="13"/>
  <c r="J416" i="13" s="1"/>
  <c r="K204" i="1"/>
  <c r="N196" i="1"/>
  <c r="O196" i="1"/>
  <c r="K421" i="1"/>
  <c r="N421" i="1" s="1"/>
  <c r="L534" i="1"/>
  <c r="G426" i="13"/>
  <c r="J426" i="13" s="1"/>
  <c r="N203" i="1"/>
  <c r="O203" i="1"/>
  <c r="J325" i="13"/>
  <c r="J328" i="13" s="1"/>
  <c r="G328" i="13"/>
  <c r="K324" i="1"/>
  <c r="N321" i="1"/>
  <c r="O211" i="1"/>
  <c r="K233" i="1"/>
  <c r="O233" i="1" s="1"/>
  <c r="O234" i="1" s="1"/>
  <c r="N211" i="1"/>
  <c r="K436" i="1"/>
  <c r="N436" i="1" s="1"/>
  <c r="L549" i="1"/>
  <c r="G441" i="13"/>
  <c r="J441" i="13" s="1"/>
  <c r="K329" i="1"/>
  <c r="N329" i="1" s="1"/>
  <c r="N325" i="1"/>
  <c r="N333" i="1"/>
  <c r="K338" i="1"/>
  <c r="N338" i="1" s="1"/>
  <c r="K447" i="1"/>
  <c r="N447" i="1" s="1"/>
  <c r="L560" i="1"/>
  <c r="G452" i="13"/>
  <c r="J452" i="13" s="1"/>
  <c r="K342" i="1"/>
  <c r="N342" i="1" s="1"/>
  <c r="N339" i="1"/>
  <c r="K457" i="1"/>
  <c r="N457" i="1" s="1"/>
  <c r="L570" i="1"/>
  <c r="G461" i="13"/>
  <c r="N505" i="1"/>
  <c r="O505" i="1"/>
  <c r="K489" i="1"/>
  <c r="N486" i="1"/>
  <c r="O486" i="1"/>
  <c r="L714" i="1"/>
  <c r="G605" i="13"/>
  <c r="K599" i="1"/>
  <c r="L700" i="1"/>
  <c r="L815" i="1" s="1"/>
  <c r="K585" i="1"/>
  <c r="G591" i="13"/>
  <c r="J591" i="13" s="1"/>
  <c r="G515" i="13"/>
  <c r="J506" i="13"/>
  <c r="J515" i="13" s="1"/>
  <c r="N498" i="1"/>
  <c r="O498" i="1"/>
  <c r="N497" i="1"/>
  <c r="O497" i="1"/>
  <c r="K493" i="1"/>
  <c r="N490" i="1"/>
  <c r="O490" i="1"/>
  <c r="L608" i="1"/>
  <c r="L720" i="1"/>
  <c r="L835" i="1" s="1"/>
  <c r="G611" i="13"/>
  <c r="K605" i="1"/>
  <c r="N380" i="1"/>
  <c r="O380" i="1"/>
  <c r="N467" i="1"/>
  <c r="O467" i="1"/>
  <c r="O183" i="1"/>
  <c r="O326" i="1"/>
  <c r="M553" i="1"/>
  <c r="M570" i="1"/>
  <c r="N503" i="1"/>
  <c r="O503" i="1"/>
  <c r="N488" i="1"/>
  <c r="O488" i="1"/>
  <c r="L718" i="1"/>
  <c r="L833" i="1" s="1"/>
  <c r="G609" i="13"/>
  <c r="J609" i="13" s="1"/>
  <c r="K603" i="1"/>
  <c r="K485" i="1"/>
  <c r="N478" i="1"/>
  <c r="O478" i="1"/>
  <c r="L598" i="1"/>
  <c r="L706" i="1"/>
  <c r="L821" i="1" s="1"/>
  <c r="K591" i="1"/>
  <c r="G597" i="13"/>
  <c r="N476" i="1"/>
  <c r="O476" i="1"/>
  <c r="N466" i="1"/>
  <c r="K469" i="1"/>
  <c r="O466" i="1"/>
  <c r="J472" i="13"/>
  <c r="J475" i="13" s="1"/>
  <c r="G475" i="13"/>
  <c r="N491" i="1"/>
  <c r="O491" i="1"/>
  <c r="K296" i="1"/>
  <c r="N286" i="1"/>
  <c r="L512" i="1"/>
  <c r="K399" i="1"/>
  <c r="O399" i="1" s="1"/>
  <c r="G404" i="13"/>
  <c r="L409" i="1"/>
  <c r="L517" i="1"/>
  <c r="G409" i="13"/>
  <c r="J409" i="13" s="1"/>
  <c r="K404" i="1"/>
  <c r="N404" i="1" s="1"/>
  <c r="L521" i="1"/>
  <c r="G413" i="13"/>
  <c r="J413" i="13" s="1"/>
  <c r="K408" i="1"/>
  <c r="N408" i="1" s="1"/>
  <c r="G308" i="13"/>
  <c r="J301" i="13"/>
  <c r="J308" i="13" s="1"/>
  <c r="L525" i="1"/>
  <c r="G417" i="13"/>
  <c r="J417" i="13" s="1"/>
  <c r="K412" i="1"/>
  <c r="N412" i="1" s="1"/>
  <c r="K414" i="1"/>
  <c r="N414" i="1" s="1"/>
  <c r="L527" i="1"/>
  <c r="G419" i="13"/>
  <c r="J419" i="13" s="1"/>
  <c r="K415" i="1"/>
  <c r="L528" i="1"/>
  <c r="G420" i="13"/>
  <c r="J420" i="13" s="1"/>
  <c r="G313" i="13"/>
  <c r="J310" i="13"/>
  <c r="J313" i="13" s="1"/>
  <c r="G320" i="13"/>
  <c r="J314" i="13"/>
  <c r="J320" i="13" s="1"/>
  <c r="L538" i="1"/>
  <c r="G430" i="13"/>
  <c r="J430" i="13" s="1"/>
  <c r="K425" i="1"/>
  <c r="N425" i="1" s="1"/>
  <c r="K427" i="1"/>
  <c r="N427" i="1" s="1"/>
  <c r="L540" i="1"/>
  <c r="G432" i="13"/>
  <c r="J432" i="13" s="1"/>
  <c r="N330" i="1"/>
  <c r="K332" i="1"/>
  <c r="N332" i="1" s="1"/>
  <c r="L556" i="1"/>
  <c r="G448" i="13"/>
  <c r="K443" i="1"/>
  <c r="O443" i="1" s="1"/>
  <c r="L445" i="1"/>
  <c r="K444" i="1"/>
  <c r="N444" i="1" s="1"/>
  <c r="L557" i="1"/>
  <c r="G449" i="13"/>
  <c r="J449" i="13" s="1"/>
  <c r="G453" i="13"/>
  <c r="J453" i="13" s="1"/>
  <c r="L561" i="1"/>
  <c r="K448" i="1"/>
  <c r="N448" i="1" s="1"/>
  <c r="K449" i="1"/>
  <c r="N449" i="1" s="1"/>
  <c r="L562" i="1"/>
  <c r="G454" i="13"/>
  <c r="J454" i="13" s="1"/>
  <c r="L566" i="1"/>
  <c r="K453" i="1"/>
  <c r="N453" i="1" s="1"/>
  <c r="G457" i="13"/>
  <c r="J457" i="13" s="1"/>
  <c r="K616" i="1"/>
  <c r="L731" i="1"/>
  <c r="L846" i="1" s="1"/>
  <c r="G622" i="13"/>
  <c r="J622" i="13" s="1"/>
  <c r="N495" i="1"/>
  <c r="K499" i="1"/>
  <c r="O495" i="1"/>
  <c r="N386" i="1"/>
  <c r="K397" i="1"/>
  <c r="O386" i="1"/>
  <c r="J386" i="13"/>
  <c r="N484" i="1"/>
  <c r="O484" i="1"/>
  <c r="L712" i="1"/>
  <c r="L827" i="1" s="1"/>
  <c r="K597" i="1"/>
  <c r="G603" i="13"/>
  <c r="J603" i="13" s="1"/>
  <c r="K596" i="1"/>
  <c r="L711" i="1"/>
  <c r="L826" i="1" s="1"/>
  <c r="G602" i="13"/>
  <c r="J602" i="13" s="1"/>
  <c r="N480" i="1"/>
  <c r="O480" i="1"/>
  <c r="L708" i="1"/>
  <c r="L823" i="1" s="1"/>
  <c r="K593" i="1"/>
  <c r="G599" i="13"/>
  <c r="J599" i="13" s="1"/>
  <c r="K592" i="1"/>
  <c r="L707" i="1"/>
  <c r="L822" i="1" s="1"/>
  <c r="G598" i="13"/>
  <c r="J598" i="13" s="1"/>
  <c r="N474" i="1"/>
  <c r="O474" i="1"/>
  <c r="M705" i="1"/>
  <c r="N600" i="1"/>
  <c r="O600" i="1"/>
  <c r="M511" i="1"/>
  <c r="O287" i="1"/>
  <c r="M515" i="1"/>
  <c r="M516" i="1"/>
  <c r="M517" i="1"/>
  <c r="M518" i="1"/>
  <c r="M519" i="1"/>
  <c r="M520" i="1"/>
  <c r="M521" i="1"/>
  <c r="M753" i="1"/>
  <c r="M868" i="1" s="1"/>
  <c r="M417" i="1"/>
  <c r="M524" i="1"/>
  <c r="M525" i="1"/>
  <c r="M529" i="1"/>
  <c r="M532" i="1"/>
  <c r="M422" i="1"/>
  <c r="M533" i="1"/>
  <c r="M534" i="1"/>
  <c r="O311" i="1"/>
  <c r="M538" i="1"/>
  <c r="O314" i="1"/>
  <c r="M541" i="1"/>
  <c r="M547" i="1"/>
  <c r="M437" i="1"/>
  <c r="O322" i="1"/>
  <c r="O325" i="1"/>
  <c r="O333" i="1"/>
  <c r="M560" i="1"/>
  <c r="O335" i="1"/>
  <c r="M562" i="1"/>
  <c r="O337" i="1"/>
  <c r="M455" i="1"/>
  <c r="M565" i="1"/>
  <c r="O340" i="1"/>
  <c r="M567" i="1"/>
  <c r="M569" i="1"/>
  <c r="M458" i="1"/>
  <c r="K611" i="1"/>
  <c r="L726" i="1"/>
  <c r="L841" i="1" s="1"/>
  <c r="G617" i="13"/>
  <c r="J617" i="13" s="1"/>
  <c r="N492" i="1"/>
  <c r="O492" i="1"/>
  <c r="L722" i="1"/>
  <c r="L837" i="1" s="1"/>
  <c r="G613" i="13"/>
  <c r="J613" i="13" s="1"/>
  <c r="K607" i="1"/>
  <c r="N372" i="1"/>
  <c r="O372" i="1"/>
  <c r="N471" i="1"/>
  <c r="O471" i="1"/>
  <c r="M625" i="1"/>
  <c r="N482" i="1"/>
  <c r="O482" i="1"/>
  <c r="L710" i="1"/>
  <c r="L825" i="1" s="1"/>
  <c r="K595" i="1"/>
  <c r="G601" i="13"/>
  <c r="J601" i="13" s="1"/>
  <c r="K594" i="1"/>
  <c r="L709" i="1"/>
  <c r="L824" i="1" s="1"/>
  <c r="G600" i="13"/>
  <c r="J600" i="13" s="1"/>
  <c r="K477" i="1"/>
  <c r="N470" i="1"/>
  <c r="O470" i="1"/>
  <c r="L590" i="1"/>
  <c r="L698" i="1"/>
  <c r="L813" i="1" s="1"/>
  <c r="G589" i="13"/>
  <c r="K583" i="1"/>
  <c r="N468" i="1"/>
  <c r="O468" i="1"/>
  <c r="K581" i="1"/>
  <c r="L696" i="1"/>
  <c r="L811" i="1" s="1"/>
  <c r="G587" i="13"/>
  <c r="J587" i="13" s="1"/>
  <c r="M713" i="1"/>
  <c r="L514" i="1"/>
  <c r="G406" i="13"/>
  <c r="J406" i="13" s="1"/>
  <c r="K401" i="1"/>
  <c r="N401" i="1" s="1"/>
  <c r="L518" i="1"/>
  <c r="G410" i="13"/>
  <c r="J410" i="13" s="1"/>
  <c r="K405" i="1"/>
  <c r="N405" i="1" s="1"/>
  <c r="L526" i="1"/>
  <c r="K413" i="1"/>
  <c r="G418" i="13"/>
  <c r="J418" i="13" s="1"/>
  <c r="L529" i="1"/>
  <c r="G421" i="13"/>
  <c r="J421" i="13" s="1"/>
  <c r="K416" i="1"/>
  <c r="N416" i="1" s="1"/>
  <c r="L537" i="1"/>
  <c r="G429" i="13"/>
  <c r="J429" i="13" s="1"/>
  <c r="K424" i="1"/>
  <c r="N424" i="1" s="1"/>
  <c r="K426" i="1"/>
  <c r="N426" i="1" s="1"/>
  <c r="L539" i="1"/>
  <c r="G431" i="13"/>
  <c r="J431" i="13" s="1"/>
  <c r="L541" i="1"/>
  <c r="G433" i="13"/>
  <c r="J433" i="13" s="1"/>
  <c r="K428" i="1"/>
  <c r="N428" i="1" s="1"/>
  <c r="L346" i="1"/>
  <c r="L347" i="1" s="1"/>
  <c r="G348" i="13" s="1"/>
  <c r="K434" i="1"/>
  <c r="O434" i="1" s="1"/>
  <c r="L547" i="1"/>
  <c r="G439" i="13"/>
  <c r="L437" i="1"/>
  <c r="K435" i="1"/>
  <c r="N435" i="1" s="1"/>
  <c r="L548" i="1"/>
  <c r="G440" i="13"/>
  <c r="J440" i="13" s="1"/>
  <c r="G333" i="13"/>
  <c r="J329" i="13"/>
  <c r="J333" i="13" s="1"/>
  <c r="L551" i="1"/>
  <c r="G443" i="13"/>
  <c r="K438" i="1"/>
  <c r="L442" i="1"/>
  <c r="K439" i="1"/>
  <c r="N439" i="1" s="1"/>
  <c r="L552" i="1"/>
  <c r="G444" i="13"/>
  <c r="J444" i="13" s="1"/>
  <c r="G341" i="13"/>
  <c r="J337" i="13"/>
  <c r="J341" i="13" s="1"/>
  <c r="L559" i="1"/>
  <c r="G451" i="13"/>
  <c r="K446" i="1"/>
  <c r="L451" i="1"/>
  <c r="L563" i="1"/>
  <c r="K450" i="1"/>
  <c r="N450" i="1" s="1"/>
  <c r="K452" i="1"/>
  <c r="O452" i="1" s="1"/>
  <c r="L565" i="1"/>
  <c r="G456" i="13"/>
  <c r="L455" i="1"/>
  <c r="K454" i="1"/>
  <c r="N454" i="1" s="1"/>
  <c r="L567" i="1"/>
  <c r="G458" i="13"/>
  <c r="J458" i="13" s="1"/>
  <c r="N343" i="1"/>
  <c r="K345" i="1"/>
  <c r="N345" i="1" s="1"/>
  <c r="L458" i="1"/>
  <c r="L569" i="1"/>
  <c r="G460" i="13"/>
  <c r="K456" i="1"/>
  <c r="O456" i="1" s="1"/>
  <c r="K620" i="1"/>
  <c r="L735" i="1"/>
  <c r="L850" i="1" s="1"/>
  <c r="G626" i="13"/>
  <c r="J626" i="13" s="1"/>
  <c r="D46" i="15"/>
  <c r="E46" i="15" s="1"/>
  <c r="O284" i="1"/>
  <c r="N284" i="1"/>
  <c r="G402" i="13"/>
  <c r="F61" i="15" s="1"/>
  <c r="G495" i="13"/>
  <c r="J492" i="13"/>
  <c r="J495" i="13" s="1"/>
  <c r="N376" i="1"/>
  <c r="O376" i="1"/>
  <c r="N472" i="1"/>
  <c r="O472" i="1"/>
  <c r="N500" i="1"/>
  <c r="K509" i="1"/>
  <c r="O500" i="1"/>
  <c r="L730" i="1"/>
  <c r="L845" i="1" s="1"/>
  <c r="G621" i="13"/>
  <c r="K615" i="1"/>
  <c r="K613" i="1"/>
  <c r="L728" i="1"/>
  <c r="L843" i="1" s="1"/>
  <c r="G619" i="13"/>
  <c r="J619" i="13" s="1"/>
  <c r="L727" i="1"/>
  <c r="L842" i="1" s="1"/>
  <c r="K612" i="1"/>
  <c r="G618" i="13"/>
  <c r="J618" i="13" s="1"/>
  <c r="G499" i="13"/>
  <c r="J496" i="13"/>
  <c r="J499" i="13" s="1"/>
  <c r="N473" i="1"/>
  <c r="O473" i="1"/>
  <c r="L701" i="1"/>
  <c r="L816" i="1" s="1"/>
  <c r="K586" i="1"/>
  <c r="G592" i="13"/>
  <c r="J592" i="13" s="1"/>
  <c r="G586" i="13"/>
  <c r="J586" i="13" s="1"/>
  <c r="L695" i="1"/>
  <c r="L810" i="1" s="1"/>
  <c r="K580" i="1"/>
  <c r="M697" i="1"/>
  <c r="O286" i="1"/>
  <c r="M512" i="1"/>
  <c r="M409" i="1"/>
  <c r="M206" i="1"/>
  <c r="M207" i="1" s="1"/>
  <c r="M234" i="1"/>
  <c r="M552" i="1"/>
  <c r="O327" i="1"/>
  <c r="M554" i="1"/>
  <c r="M445" i="1"/>
  <c r="M556" i="1"/>
  <c r="M671" i="1" s="1"/>
  <c r="O225" i="1"/>
  <c r="O344" i="1"/>
  <c r="K618" i="1"/>
  <c r="L733" i="1"/>
  <c r="L848" i="1" s="1"/>
  <c r="G624" i="13"/>
  <c r="J624" i="13" s="1"/>
  <c r="I45" i="15"/>
  <c r="I48" i="15" s="1"/>
  <c r="J289" i="13"/>
  <c r="G491" i="13"/>
  <c r="J484" i="13"/>
  <c r="J491" i="13" s="1"/>
  <c r="K589" i="1"/>
  <c r="L704" i="1"/>
  <c r="L819" i="1" s="1"/>
  <c r="G595" i="13"/>
  <c r="J595" i="13" s="1"/>
  <c r="D45" i="15"/>
  <c r="N268" i="1"/>
  <c r="K285" i="1"/>
  <c r="O268" i="1"/>
  <c r="L494" i="1"/>
  <c r="L511" i="1" s="1"/>
  <c r="K579" i="1"/>
  <c r="L694" i="1"/>
  <c r="L809" i="1" s="1"/>
  <c r="G585" i="13"/>
  <c r="L582" i="1"/>
  <c r="M723" i="1"/>
  <c r="N506" i="1"/>
  <c r="O506" i="1"/>
  <c r="L736" i="1"/>
  <c r="L851" i="1" s="1"/>
  <c r="K621" i="1"/>
  <c r="G627" i="13"/>
  <c r="J627" i="13" s="1"/>
  <c r="K606" i="1"/>
  <c r="L721" i="1"/>
  <c r="L836" i="1" s="1"/>
  <c r="G612" i="13"/>
  <c r="J612" i="13" s="1"/>
  <c r="N475" i="1"/>
  <c r="O475" i="1"/>
  <c r="L703" i="1"/>
  <c r="L818" i="1" s="1"/>
  <c r="K588" i="1"/>
  <c r="G594" i="13"/>
  <c r="J594" i="13" s="1"/>
  <c r="N364" i="1"/>
  <c r="O364" i="1"/>
  <c r="L305" i="1"/>
  <c r="L319" i="1" s="1"/>
  <c r="L320" i="1" s="1"/>
  <c r="L515" i="1"/>
  <c r="G407" i="13"/>
  <c r="J407" i="13" s="1"/>
  <c r="K402" i="1"/>
  <c r="N402" i="1" s="1"/>
  <c r="L519" i="1"/>
  <c r="G411" i="13"/>
  <c r="J411" i="13" s="1"/>
  <c r="K406" i="1"/>
  <c r="N406" i="1" s="1"/>
  <c r="N297" i="1"/>
  <c r="K304" i="1"/>
  <c r="N304" i="1" s="1"/>
  <c r="O297" i="1"/>
  <c r="L523" i="1"/>
  <c r="G415" i="13"/>
  <c r="K410" i="1"/>
  <c r="L417" i="1"/>
  <c r="O191" i="1"/>
  <c r="N191" i="1"/>
  <c r="K309" i="1"/>
  <c r="O309" i="1" s="1"/>
  <c r="N306" i="1"/>
  <c r="L532" i="1"/>
  <c r="G424" i="13"/>
  <c r="L422" i="1"/>
  <c r="K419" i="1"/>
  <c r="O419" i="1" s="1"/>
  <c r="L533" i="1"/>
  <c r="G425" i="13"/>
  <c r="J425" i="13" s="1"/>
  <c r="K420" i="1"/>
  <c r="N420" i="1" s="1"/>
  <c r="K316" i="1"/>
  <c r="N316" i="1" s="1"/>
  <c r="N310" i="1"/>
  <c r="L429" i="1"/>
  <c r="L536" i="1"/>
  <c r="G428" i="13"/>
  <c r="K423" i="1"/>
  <c r="G234" i="13"/>
  <c r="G235" i="13" s="1"/>
  <c r="G236" i="13" s="1"/>
  <c r="L234" i="1"/>
  <c r="L235" i="1" s="1"/>
  <c r="L553" i="1"/>
  <c r="G445" i="13"/>
  <c r="J445" i="13" s="1"/>
  <c r="K440" i="1"/>
  <c r="N440" i="1" s="1"/>
  <c r="K441" i="1"/>
  <c r="N441" i="1" s="1"/>
  <c r="L554" i="1"/>
  <c r="G446" i="13"/>
  <c r="J446" i="13" s="1"/>
  <c r="J334" i="13"/>
  <c r="G336" i="13"/>
  <c r="J336" i="13"/>
  <c r="J343" i="13"/>
  <c r="J345" i="13" s="1"/>
  <c r="G345" i="13"/>
  <c r="N501" i="1"/>
  <c r="O501" i="1"/>
  <c r="G505" i="13"/>
  <c r="J501" i="13"/>
  <c r="J505" i="13" s="1"/>
  <c r="L614" i="1"/>
  <c r="L625" i="1" s="1"/>
  <c r="L725" i="1"/>
  <c r="L840" i="1" s="1"/>
  <c r="K610" i="1"/>
  <c r="G616" i="13"/>
  <c r="G386" i="13"/>
  <c r="N483" i="1"/>
  <c r="O483" i="1"/>
  <c r="N479" i="1"/>
  <c r="O479" i="1"/>
  <c r="K587" i="1"/>
  <c r="L702" i="1"/>
  <c r="L817" i="1" s="1"/>
  <c r="G593" i="13"/>
  <c r="J593" i="13" s="1"/>
  <c r="N504" i="1"/>
  <c r="O504" i="1"/>
  <c r="L734" i="1"/>
  <c r="L849" i="1" s="1"/>
  <c r="G625" i="13"/>
  <c r="J625" i="13" s="1"/>
  <c r="K619" i="1"/>
  <c r="N396" i="1"/>
  <c r="O396" i="1"/>
  <c r="G721" i="13"/>
  <c r="J721" i="13" s="1"/>
  <c r="K715" i="1"/>
  <c r="M513" i="1"/>
  <c r="M514" i="1"/>
  <c r="O401" i="1"/>
  <c r="O295" i="1"/>
  <c r="O298" i="1"/>
  <c r="O299" i="1"/>
  <c r="M527" i="1"/>
  <c r="O303" i="1"/>
  <c r="M317" i="1"/>
  <c r="M319" i="1" s="1"/>
  <c r="O306" i="1"/>
  <c r="O307" i="1"/>
  <c r="O308" i="1"/>
  <c r="M536" i="1"/>
  <c r="M429" i="1"/>
  <c r="M537" i="1"/>
  <c r="O424" i="1"/>
  <c r="O312" i="1"/>
  <c r="M539" i="1"/>
  <c r="M540" i="1"/>
  <c r="O315" i="1"/>
  <c r="O321" i="1"/>
  <c r="M346" i="1"/>
  <c r="M548" i="1"/>
  <c r="M549" i="1"/>
  <c r="M442" i="1"/>
  <c r="M551" i="1"/>
  <c r="O216" i="1"/>
  <c r="M557" i="1"/>
  <c r="M451" i="1"/>
  <c r="M559" i="1"/>
  <c r="O446" i="1"/>
  <c r="O334" i="1"/>
  <c r="M561" i="1"/>
  <c r="O336" i="1"/>
  <c r="M563" i="1"/>
  <c r="O339" i="1"/>
  <c r="O342" i="1"/>
  <c r="M566" i="1"/>
  <c r="O341" i="1"/>
  <c r="O343" i="1"/>
  <c r="N508" i="1"/>
  <c r="O508" i="1"/>
  <c r="L738" i="1"/>
  <c r="L853" i="1" s="1"/>
  <c r="K623" i="1"/>
  <c r="G629" i="13"/>
  <c r="J629" i="13" s="1"/>
  <c r="L737" i="1"/>
  <c r="L852" i="1" s="1"/>
  <c r="K622" i="1"/>
  <c r="G628" i="13"/>
  <c r="J628" i="13" s="1"/>
  <c r="N496" i="1"/>
  <c r="O496" i="1"/>
  <c r="F45" i="15"/>
  <c r="F48" i="15" s="1"/>
  <c r="G289" i="13"/>
  <c r="K584" i="1"/>
  <c r="L699" i="1"/>
  <c r="L814" i="1" s="1"/>
  <c r="G590" i="13"/>
  <c r="J590" i="13" s="1"/>
  <c r="K381" i="1"/>
  <c r="N356" i="1"/>
  <c r="O356" i="1"/>
  <c r="M729" i="1"/>
  <c r="N502" i="1"/>
  <c r="O502" i="1"/>
  <c r="L732" i="1"/>
  <c r="L847" i="1" s="1"/>
  <c r="G623" i="13"/>
  <c r="J623" i="13" s="1"/>
  <c r="K617" i="1"/>
  <c r="N481" i="1"/>
  <c r="O481" i="1"/>
  <c r="J476" i="13"/>
  <c r="J483" i="13" s="1"/>
  <c r="G483" i="13"/>
  <c r="F525" i="16"/>
  <c r="I432" i="16"/>
  <c r="F541" i="16"/>
  <c r="I448" i="16"/>
  <c r="I363" i="16"/>
  <c r="F456" i="16"/>
  <c r="I365" i="16"/>
  <c r="F458" i="16"/>
  <c r="I370" i="16"/>
  <c r="F463" i="16"/>
  <c r="I374" i="16"/>
  <c r="F467" i="16"/>
  <c r="I376" i="16"/>
  <c r="F469" i="16"/>
  <c r="I378" i="16"/>
  <c r="F471" i="16"/>
  <c r="I356" i="16"/>
  <c r="F449" i="16"/>
  <c r="I358" i="16"/>
  <c r="F451" i="16"/>
  <c r="I360" i="16"/>
  <c r="F453" i="16"/>
  <c r="I362" i="16"/>
  <c r="F455" i="16"/>
  <c r="I364" i="16"/>
  <c r="F457" i="16"/>
  <c r="I401" i="16"/>
  <c r="F494" i="16"/>
  <c r="I403" i="16"/>
  <c r="F496" i="16"/>
  <c r="I405" i="16"/>
  <c r="F498" i="16"/>
  <c r="I407" i="16"/>
  <c r="F500" i="16"/>
  <c r="I409" i="16"/>
  <c r="F502" i="16"/>
  <c r="I411" i="16"/>
  <c r="F504" i="16"/>
  <c r="I413" i="16"/>
  <c r="F506" i="16"/>
  <c r="I415" i="16"/>
  <c r="F508" i="16"/>
  <c r="I417" i="16"/>
  <c r="F510" i="16"/>
  <c r="I419" i="16"/>
  <c r="F512" i="16"/>
  <c r="I423" i="16"/>
  <c r="F516" i="16"/>
  <c r="I341" i="16"/>
  <c r="F434" i="16"/>
  <c r="I343" i="16"/>
  <c r="F436" i="16"/>
  <c r="I345" i="16"/>
  <c r="F438" i="16"/>
  <c r="I348" i="16"/>
  <c r="F441" i="16"/>
  <c r="I350" i="16"/>
  <c r="F443" i="16"/>
  <c r="I352" i="16"/>
  <c r="F445" i="16"/>
  <c r="I357" i="16"/>
  <c r="F450" i="16"/>
  <c r="I359" i="16"/>
  <c r="F452" i="16"/>
  <c r="I400" i="16"/>
  <c r="F493" i="16"/>
  <c r="I402" i="16"/>
  <c r="F495" i="16"/>
  <c r="I404" i="16"/>
  <c r="F497" i="16"/>
  <c r="I406" i="16"/>
  <c r="F499" i="16"/>
  <c r="I408" i="16"/>
  <c r="F501" i="16"/>
  <c r="I410" i="16"/>
  <c r="F503" i="16"/>
  <c r="I412" i="16"/>
  <c r="F505" i="16"/>
  <c r="I414" i="16"/>
  <c r="F507" i="16"/>
  <c r="I416" i="16"/>
  <c r="F509" i="16"/>
  <c r="I418" i="16"/>
  <c r="F511" i="16"/>
  <c r="I420" i="16"/>
  <c r="F513" i="16"/>
  <c r="I422" i="16"/>
  <c r="F515" i="16"/>
  <c r="I371" i="16"/>
  <c r="F464" i="16"/>
  <c r="I372" i="16"/>
  <c r="F465" i="16"/>
  <c r="F491" i="16" s="1"/>
  <c r="I373" i="16"/>
  <c r="F466" i="16"/>
  <c r="I375" i="16"/>
  <c r="F468" i="16"/>
  <c r="I377" i="16"/>
  <c r="F470" i="16"/>
  <c r="I379" i="16"/>
  <c r="F472" i="16"/>
  <c r="I380" i="16"/>
  <c r="F473" i="16"/>
  <c r="I382" i="16"/>
  <c r="F475" i="16"/>
  <c r="I384" i="16"/>
  <c r="F477" i="16"/>
  <c r="I386" i="16"/>
  <c r="F479" i="16"/>
  <c r="I388" i="16"/>
  <c r="F481" i="16"/>
  <c r="I390" i="16"/>
  <c r="F483" i="16"/>
  <c r="I392" i="16"/>
  <c r="F485" i="16"/>
  <c r="I394" i="16"/>
  <c r="F487" i="16"/>
  <c r="I396" i="16"/>
  <c r="F489" i="16"/>
  <c r="F532" i="16"/>
  <c r="I439" i="16"/>
  <c r="I381" i="16"/>
  <c r="F474" i="16"/>
  <c r="I383" i="16"/>
  <c r="F476" i="16"/>
  <c r="I385" i="16"/>
  <c r="F478" i="16"/>
  <c r="I387" i="16"/>
  <c r="F480" i="16"/>
  <c r="I389" i="16"/>
  <c r="F482" i="16"/>
  <c r="I391" i="16"/>
  <c r="F484" i="16"/>
  <c r="I393" i="16"/>
  <c r="F486" i="16"/>
  <c r="I395" i="16"/>
  <c r="F488" i="16"/>
  <c r="I397" i="16"/>
  <c r="F490" i="16"/>
  <c r="I340" i="16"/>
  <c r="F433" i="16"/>
  <c r="I342" i="16"/>
  <c r="F435" i="16"/>
  <c r="I344" i="16"/>
  <c r="F437" i="16"/>
  <c r="I347" i="16"/>
  <c r="F440" i="16"/>
  <c r="I349" i="16"/>
  <c r="F442" i="16"/>
  <c r="I351" i="16"/>
  <c r="F444" i="16"/>
  <c r="I353" i="16"/>
  <c r="F446" i="16"/>
  <c r="F555" i="16"/>
  <c r="F649" i="16" s="1"/>
  <c r="I462" i="16"/>
  <c r="F517" i="16"/>
  <c r="F585" i="16"/>
  <c r="F679" i="16" s="1"/>
  <c r="I492" i="16"/>
  <c r="J33" i="15"/>
  <c r="J40" i="15" s="1"/>
  <c r="I247" i="16"/>
  <c r="J45" i="15" s="1"/>
  <c r="F272" i="16"/>
  <c r="F334" i="16" s="1"/>
  <c r="I164" i="16"/>
  <c r="I226" i="16" s="1"/>
  <c r="I262" i="16"/>
  <c r="J46" i="15" s="1"/>
  <c r="F361" i="16"/>
  <c r="I355" i="16"/>
  <c r="I361" i="16" s="1"/>
  <c r="J61" i="15" s="1"/>
  <c r="F398" i="16"/>
  <c r="I369" i="16"/>
  <c r="I270" i="16"/>
  <c r="J47" i="15" s="1"/>
  <c r="I331" i="16"/>
  <c r="F354" i="16"/>
  <c r="I339" i="16"/>
  <c r="I305" i="16"/>
  <c r="J49" i="15" s="1"/>
  <c r="J51" i="15" s="1"/>
  <c r="F366" i="16"/>
  <c r="F424" i="16"/>
  <c r="I399" i="16"/>
  <c r="M82" i="17"/>
  <c r="J91" i="17"/>
  <c r="N82" i="17"/>
  <c r="N172" i="1"/>
  <c r="O172" i="1"/>
  <c r="F57" i="13"/>
  <c r="I57" i="13" s="1"/>
  <c r="G57" i="13"/>
  <c r="J57" i="13" s="1"/>
  <c r="G55" i="1"/>
  <c r="J55" i="1" s="1"/>
  <c r="L346" i="14"/>
  <c r="K346" i="14" s="1"/>
  <c r="O346" i="14" s="1"/>
  <c r="G346" i="14"/>
  <c r="C346" i="14"/>
  <c r="L345" i="14"/>
  <c r="K345" i="14" s="1"/>
  <c r="O345" i="14" s="1"/>
  <c r="G345" i="14"/>
  <c r="C345" i="14"/>
  <c r="L344" i="14"/>
  <c r="K344" i="14" s="1"/>
  <c r="O344" i="14" s="1"/>
  <c r="G344" i="14"/>
  <c r="C344" i="14"/>
  <c r="L343" i="14"/>
  <c r="K343" i="14" s="1"/>
  <c r="G343" i="14"/>
  <c r="C343" i="14"/>
  <c r="L342" i="14"/>
  <c r="K342" i="14" s="1"/>
  <c r="O342" i="14" s="1"/>
  <c r="G342" i="14"/>
  <c r="C342" i="14"/>
  <c r="L341" i="14"/>
  <c r="K341" i="14" s="1"/>
  <c r="O341" i="14" s="1"/>
  <c r="G341" i="14"/>
  <c r="C341" i="14"/>
  <c r="L340" i="14"/>
  <c r="K340" i="14" s="1"/>
  <c r="O340" i="14" s="1"/>
  <c r="G340" i="14"/>
  <c r="C340" i="14"/>
  <c r="L339" i="14"/>
  <c r="K339" i="14" s="1"/>
  <c r="O339" i="14" s="1"/>
  <c r="G339" i="14"/>
  <c r="C339" i="14"/>
  <c r="L338" i="14"/>
  <c r="K338" i="14" s="1"/>
  <c r="O338" i="14" s="1"/>
  <c r="G338" i="14"/>
  <c r="C338" i="14"/>
  <c r="L337" i="14"/>
  <c r="K337" i="14" s="1"/>
  <c r="O337" i="14" s="1"/>
  <c r="G337" i="14"/>
  <c r="C337" i="14"/>
  <c r="L336" i="14"/>
  <c r="K336" i="14" s="1"/>
  <c r="O336" i="14" s="1"/>
  <c r="G336" i="14"/>
  <c r="C336" i="14"/>
  <c r="L335" i="14"/>
  <c r="K335" i="14" s="1"/>
  <c r="O335" i="14" s="1"/>
  <c r="G335" i="14"/>
  <c r="C335" i="14"/>
  <c r="G334" i="14"/>
  <c r="L333" i="14"/>
  <c r="K333" i="14" s="1"/>
  <c r="G333" i="14"/>
  <c r="C333" i="14"/>
  <c r="L332" i="14"/>
  <c r="K332" i="14" s="1"/>
  <c r="G332" i="14"/>
  <c r="C332" i="14"/>
  <c r="L331" i="14"/>
  <c r="K331" i="14" s="1"/>
  <c r="G331" i="14"/>
  <c r="C331" i="14"/>
  <c r="E23" i="15"/>
  <c r="E20" i="15"/>
  <c r="E17" i="15"/>
  <c r="H116" i="16"/>
  <c r="E115" i="16"/>
  <c r="H114" i="16"/>
  <c r="H113" i="16"/>
  <c r="H111" i="16"/>
  <c r="H110" i="16"/>
  <c r="H109" i="16"/>
  <c r="H108" i="16"/>
  <c r="H107" i="16"/>
  <c r="H106" i="16"/>
  <c r="H105" i="16"/>
  <c r="H104" i="16"/>
  <c r="H103" i="16"/>
  <c r="H102" i="16"/>
  <c r="H100" i="16"/>
  <c r="H99" i="16"/>
  <c r="H98" i="16"/>
  <c r="H97" i="16"/>
  <c r="H96" i="16"/>
  <c r="H95" i="16"/>
  <c r="H94" i="16"/>
  <c r="H93" i="16"/>
  <c r="H92" i="16"/>
  <c r="H91" i="16"/>
  <c r="H90" i="16"/>
  <c r="E89" i="16"/>
  <c r="H88" i="16"/>
  <c r="H87" i="16"/>
  <c r="H86" i="16"/>
  <c r="H85" i="16"/>
  <c r="H84" i="16"/>
  <c r="H83" i="16"/>
  <c r="H82" i="16"/>
  <c r="H81" i="16"/>
  <c r="H80" i="16"/>
  <c r="H73" i="16"/>
  <c r="H72" i="16"/>
  <c r="H71" i="16"/>
  <c r="H70" i="16"/>
  <c r="H69" i="16"/>
  <c r="H68" i="16"/>
  <c r="H67" i="16"/>
  <c r="H66" i="16"/>
  <c r="H65" i="16"/>
  <c r="H59" i="16"/>
  <c r="H58" i="16"/>
  <c r="H57" i="16"/>
  <c r="I55" i="16"/>
  <c r="E54" i="16"/>
  <c r="H53" i="16"/>
  <c r="H52" i="16"/>
  <c r="H51" i="16"/>
  <c r="H50" i="16"/>
  <c r="H49" i="16"/>
  <c r="H48" i="16"/>
  <c r="H47" i="16"/>
  <c r="E46" i="16"/>
  <c r="H45" i="16"/>
  <c r="H44" i="16"/>
  <c r="H43" i="16"/>
  <c r="H42" i="16"/>
  <c r="H41" i="16"/>
  <c r="H40" i="16"/>
  <c r="H39" i="16"/>
  <c r="H38" i="16"/>
  <c r="H37" i="16"/>
  <c r="H36" i="16"/>
  <c r="H35" i="16"/>
  <c r="H34" i="16"/>
  <c r="H33" i="16"/>
  <c r="H32" i="16"/>
  <c r="E31" i="16"/>
  <c r="H30" i="16"/>
  <c r="H29" i="16"/>
  <c r="H28" i="16"/>
  <c r="H26" i="16"/>
  <c r="H25" i="16"/>
  <c r="H24" i="16"/>
  <c r="H23" i="16"/>
  <c r="H22" i="16"/>
  <c r="H21" i="16"/>
  <c r="H20" i="16"/>
  <c r="H19" i="16"/>
  <c r="H18" i="16"/>
  <c r="H17" i="16"/>
  <c r="H16" i="16"/>
  <c r="H15" i="16"/>
  <c r="E71" i="17"/>
  <c r="H70" i="17"/>
  <c r="H71" i="17" s="1"/>
  <c r="G70" i="17"/>
  <c r="G71" i="17" s="1"/>
  <c r="D70" i="17"/>
  <c r="D71" i="17" s="1"/>
  <c r="P69" i="17"/>
  <c r="F69" i="17"/>
  <c r="I69" i="17" s="1"/>
  <c r="P68" i="17"/>
  <c r="F68" i="17"/>
  <c r="I68" i="17" s="1"/>
  <c r="P67" i="17"/>
  <c r="F67" i="17"/>
  <c r="I67" i="17" s="1"/>
  <c r="Q66" i="17"/>
  <c r="P66" i="17"/>
  <c r="J66" i="17"/>
  <c r="M66" i="17" s="1"/>
  <c r="F66" i="17"/>
  <c r="I66" i="17" s="1"/>
  <c r="P65" i="17"/>
  <c r="F65" i="17"/>
  <c r="I65" i="17" s="1"/>
  <c r="P64" i="17"/>
  <c r="Q64" i="17"/>
  <c r="J64" i="17"/>
  <c r="M64" i="17" s="1"/>
  <c r="F64" i="17"/>
  <c r="I64" i="17" s="1"/>
  <c r="P63" i="17"/>
  <c r="F63" i="17"/>
  <c r="I63" i="17" s="1"/>
  <c r="P62" i="17"/>
  <c r="Q62" i="17"/>
  <c r="F62" i="17"/>
  <c r="I62" i="17" s="1"/>
  <c r="P61" i="17"/>
  <c r="F61" i="17"/>
  <c r="I61" i="17" s="1"/>
  <c r="P60" i="17"/>
  <c r="Q60" i="17"/>
  <c r="J60" i="17"/>
  <c r="M60" i="17" s="1"/>
  <c r="F60" i="17"/>
  <c r="I60" i="17" s="1"/>
  <c r="P59" i="17"/>
  <c r="F59" i="17"/>
  <c r="I59" i="17" s="1"/>
  <c r="P58" i="17"/>
  <c r="Q58" i="17"/>
  <c r="F58" i="17"/>
  <c r="I58" i="17" s="1"/>
  <c r="P57" i="17"/>
  <c r="F57" i="17"/>
  <c r="I57" i="17" s="1"/>
  <c r="P56" i="17"/>
  <c r="Q56" i="17"/>
  <c r="J56" i="17"/>
  <c r="M56" i="17" s="1"/>
  <c r="F56" i="17"/>
  <c r="I56" i="17" s="1"/>
  <c r="P55" i="17"/>
  <c r="F55" i="17"/>
  <c r="I55" i="17" s="1"/>
  <c r="P54" i="17"/>
  <c r="Q54" i="17"/>
  <c r="F54" i="17"/>
  <c r="I54" i="17" s="1"/>
  <c r="P53" i="17"/>
  <c r="F53" i="17"/>
  <c r="I53" i="17" s="1"/>
  <c r="P52" i="17"/>
  <c r="Q52" i="17"/>
  <c r="F52" i="17"/>
  <c r="I52" i="17" s="1"/>
  <c r="P51" i="17"/>
  <c r="F51" i="17"/>
  <c r="I51" i="17" s="1"/>
  <c r="P50" i="17"/>
  <c r="Q50" i="17"/>
  <c r="F50" i="17"/>
  <c r="I50" i="17" s="1"/>
  <c r="P49" i="17"/>
  <c r="F49" i="17"/>
  <c r="I49" i="17" s="1"/>
  <c r="P48" i="17"/>
  <c r="J48" i="17"/>
  <c r="F48" i="17"/>
  <c r="I48" i="17" s="1"/>
  <c r="P47" i="17"/>
  <c r="F47" i="17"/>
  <c r="I47" i="17" s="1"/>
  <c r="P46" i="17"/>
  <c r="Q46" i="17"/>
  <c r="F46" i="17"/>
  <c r="I46" i="17" s="1"/>
  <c r="P45" i="17"/>
  <c r="F45" i="17"/>
  <c r="I45" i="17" s="1"/>
  <c r="P44" i="17"/>
  <c r="F44" i="17"/>
  <c r="P43" i="17"/>
  <c r="F43" i="17"/>
  <c r="I43" i="17" s="1"/>
  <c r="Q42" i="17"/>
  <c r="P42" i="17"/>
  <c r="J42" i="17"/>
  <c r="F42" i="17"/>
  <c r="I42" i="17" s="1"/>
  <c r="Q41" i="17"/>
  <c r="P41" i="17"/>
  <c r="J41" i="17"/>
  <c r="M41" i="17" s="1"/>
  <c r="F41" i="17"/>
  <c r="I41" i="17" s="1"/>
  <c r="P40" i="17"/>
  <c r="Q40" i="17"/>
  <c r="F40" i="17"/>
  <c r="I40" i="17" s="1"/>
  <c r="P39" i="17"/>
  <c r="Q39" i="17"/>
  <c r="F39" i="17"/>
  <c r="I39" i="17" s="1"/>
  <c r="P38" i="17"/>
  <c r="F38" i="17"/>
  <c r="I38" i="17" s="1"/>
  <c r="E37" i="17"/>
  <c r="D37" i="17"/>
  <c r="H36" i="17"/>
  <c r="H37" i="17" s="1"/>
  <c r="G36" i="17"/>
  <c r="G37" i="17" s="1"/>
  <c r="P35" i="17"/>
  <c r="Q35" i="17"/>
  <c r="F35" i="17"/>
  <c r="I35" i="17" s="1"/>
  <c r="P34" i="17"/>
  <c r="Q34" i="17"/>
  <c r="F34" i="17"/>
  <c r="I34" i="17" s="1"/>
  <c r="P33" i="17"/>
  <c r="J33" i="17"/>
  <c r="F33" i="17"/>
  <c r="I33" i="17" s="1"/>
  <c r="P32" i="17"/>
  <c r="Q32" i="17"/>
  <c r="F32" i="17"/>
  <c r="I32" i="17" s="1"/>
  <c r="P31" i="17"/>
  <c r="Q31" i="17"/>
  <c r="F31" i="17"/>
  <c r="I31" i="17" s="1"/>
  <c r="Q30" i="17"/>
  <c r="P30" i="17"/>
  <c r="J30" i="17"/>
  <c r="M30" i="17" s="1"/>
  <c r="F30" i="17"/>
  <c r="I30" i="17" s="1"/>
  <c r="P29" i="17"/>
  <c r="L36" i="17"/>
  <c r="Q29" i="17"/>
  <c r="F29" i="17"/>
  <c r="E28" i="17"/>
  <c r="H27" i="17"/>
  <c r="G27" i="17"/>
  <c r="D27" i="17"/>
  <c r="P26" i="17"/>
  <c r="F26" i="17"/>
  <c r="I26" i="17" s="1"/>
  <c r="Q25" i="17"/>
  <c r="P25" i="17"/>
  <c r="J25" i="17"/>
  <c r="M25" i="17" s="1"/>
  <c r="F25" i="17"/>
  <c r="I25" i="17" s="1"/>
  <c r="P24" i="17"/>
  <c r="F24" i="17"/>
  <c r="I24" i="17" s="1"/>
  <c r="P23" i="17"/>
  <c r="J23" i="17"/>
  <c r="F23" i="17"/>
  <c r="I23" i="17" s="1"/>
  <c r="P22" i="17"/>
  <c r="F22" i="17"/>
  <c r="I22" i="17" s="1"/>
  <c r="Q21" i="17"/>
  <c r="P21" i="17"/>
  <c r="J21" i="17"/>
  <c r="M21" i="17" s="1"/>
  <c r="F21" i="17"/>
  <c r="I21" i="17" s="1"/>
  <c r="P20" i="17"/>
  <c r="L27" i="17"/>
  <c r="F20" i="17"/>
  <c r="I20" i="17" s="1"/>
  <c r="H19" i="17"/>
  <c r="G19" i="17"/>
  <c r="D19" i="17"/>
  <c r="P18" i="17"/>
  <c r="Q18" i="17"/>
  <c r="F18" i="17"/>
  <c r="I18" i="17" s="1"/>
  <c r="P17" i="17"/>
  <c r="F17" i="17"/>
  <c r="I17" i="17" s="1"/>
  <c r="P16" i="17"/>
  <c r="Q16" i="17"/>
  <c r="F16" i="17"/>
  <c r="I16" i="17" s="1"/>
  <c r="P15" i="17"/>
  <c r="F15" i="17"/>
  <c r="I15" i="17" s="1"/>
  <c r="P14" i="17"/>
  <c r="J14" i="17"/>
  <c r="F14" i="17"/>
  <c r="I14" i="17" s="1"/>
  <c r="J120" i="13"/>
  <c r="I120" i="13"/>
  <c r="F119" i="13"/>
  <c r="F118" i="13"/>
  <c r="F116" i="13"/>
  <c r="I116" i="13" s="1"/>
  <c r="F115" i="13"/>
  <c r="F114" i="13"/>
  <c r="I114" i="13" s="1"/>
  <c r="F112" i="13"/>
  <c r="I112" i="13" s="1"/>
  <c r="F111" i="13"/>
  <c r="I111" i="13" s="1"/>
  <c r="F110" i="13"/>
  <c r="I110" i="13" s="1"/>
  <c r="F109" i="13"/>
  <c r="F107" i="13"/>
  <c r="I107" i="13" s="1"/>
  <c r="F106" i="13"/>
  <c r="F104" i="13"/>
  <c r="I104" i="13" s="1"/>
  <c r="F103" i="13"/>
  <c r="I103" i="13" s="1"/>
  <c r="F102" i="13"/>
  <c r="I102" i="13" s="1"/>
  <c r="F101" i="13"/>
  <c r="F99" i="13"/>
  <c r="I99" i="13" s="1"/>
  <c r="F98" i="13"/>
  <c r="I98" i="13" s="1"/>
  <c r="F97" i="13"/>
  <c r="G94" i="13"/>
  <c r="J94" i="13" s="1"/>
  <c r="F94" i="13"/>
  <c r="I94" i="13" s="1"/>
  <c r="F91" i="13"/>
  <c r="I91" i="13" s="1"/>
  <c r="F89" i="13"/>
  <c r="I89" i="13" s="1"/>
  <c r="F88" i="13"/>
  <c r="I88" i="13" s="1"/>
  <c r="F87" i="13"/>
  <c r="I87" i="13" s="1"/>
  <c r="F86" i="13"/>
  <c r="F84" i="13"/>
  <c r="I84" i="13" s="1"/>
  <c r="F83" i="13"/>
  <c r="F82" i="13"/>
  <c r="I82" i="13" s="1"/>
  <c r="F79" i="13"/>
  <c r="I79" i="13" s="1"/>
  <c r="F77" i="13"/>
  <c r="I77" i="13" s="1"/>
  <c r="F75" i="13"/>
  <c r="I75" i="13" s="1"/>
  <c r="F74" i="13"/>
  <c r="I74" i="13" s="1"/>
  <c r="F73" i="13"/>
  <c r="I71" i="13"/>
  <c r="I70" i="13"/>
  <c r="I69" i="13"/>
  <c r="I68" i="13"/>
  <c r="I67" i="13"/>
  <c r="I66" i="13"/>
  <c r="I65" i="13"/>
  <c r="I64" i="13"/>
  <c r="I63" i="13"/>
  <c r="F62" i="13"/>
  <c r="F58" i="13"/>
  <c r="I58" i="13" s="1"/>
  <c r="F56" i="13"/>
  <c r="I56" i="13" s="1"/>
  <c r="F55" i="13"/>
  <c r="I55" i="13" s="1"/>
  <c r="F54" i="13"/>
  <c r="I54" i="13" s="1"/>
  <c r="F53" i="13"/>
  <c r="I53" i="13" s="1"/>
  <c r="F52" i="13"/>
  <c r="F51" i="13"/>
  <c r="I51" i="13" s="1"/>
  <c r="F50" i="13"/>
  <c r="I50" i="13" s="1"/>
  <c r="F48" i="13"/>
  <c r="I48" i="13" s="1"/>
  <c r="F47" i="13"/>
  <c r="I47" i="13" s="1"/>
  <c r="F46" i="13"/>
  <c r="I46" i="13" s="1"/>
  <c r="F45" i="13"/>
  <c r="F42" i="13"/>
  <c r="I42" i="13" s="1"/>
  <c r="F41" i="13"/>
  <c r="I41" i="13" s="1"/>
  <c r="F40" i="13"/>
  <c r="F38" i="13"/>
  <c r="I38" i="13" s="1"/>
  <c r="F37" i="13"/>
  <c r="I37" i="13" s="1"/>
  <c r="F36" i="13"/>
  <c r="F34" i="13"/>
  <c r="I34" i="13" s="1"/>
  <c r="F33" i="13"/>
  <c r="I33" i="13" s="1"/>
  <c r="F32" i="13"/>
  <c r="I32" i="13" s="1"/>
  <c r="F31" i="13"/>
  <c r="I31" i="13" s="1"/>
  <c r="F30" i="13"/>
  <c r="I30" i="13" s="1"/>
  <c r="F29" i="13"/>
  <c r="I29" i="13" s="1"/>
  <c r="F28" i="13"/>
  <c r="F26" i="13"/>
  <c r="I26" i="13" s="1"/>
  <c r="F25" i="13"/>
  <c r="I25" i="13" s="1"/>
  <c r="F24" i="13"/>
  <c r="I24" i="13" s="1"/>
  <c r="F23" i="13"/>
  <c r="I23" i="13" s="1"/>
  <c r="F22" i="13"/>
  <c r="I22" i="13" s="1"/>
  <c r="F21" i="13"/>
  <c r="I21" i="13" s="1"/>
  <c r="F20" i="13"/>
  <c r="F18" i="13"/>
  <c r="I18" i="13" s="1"/>
  <c r="F17" i="13"/>
  <c r="I17" i="13" s="1"/>
  <c r="F16" i="13"/>
  <c r="I16" i="13" s="1"/>
  <c r="F15" i="13"/>
  <c r="F120" i="1"/>
  <c r="F121" i="1" s="1"/>
  <c r="I119" i="1"/>
  <c r="H119" i="1"/>
  <c r="F120" i="13" s="1"/>
  <c r="G118" i="1"/>
  <c r="J118" i="1" s="1"/>
  <c r="G117" i="1"/>
  <c r="J117" i="1" s="1"/>
  <c r="I116" i="1"/>
  <c r="H116" i="1"/>
  <c r="E116" i="1"/>
  <c r="G115" i="1"/>
  <c r="J115" i="1" s="1"/>
  <c r="G114" i="1"/>
  <c r="J114" i="1" s="1"/>
  <c r="G113" i="1"/>
  <c r="J113" i="1" s="1"/>
  <c r="I112" i="1"/>
  <c r="H112" i="1"/>
  <c r="E112" i="1"/>
  <c r="G111" i="1"/>
  <c r="J111" i="1" s="1"/>
  <c r="G110" i="1"/>
  <c r="J110" i="1" s="1"/>
  <c r="G109" i="1"/>
  <c r="J109" i="1" s="1"/>
  <c r="G108" i="1"/>
  <c r="J108" i="1" s="1"/>
  <c r="G107" i="1"/>
  <c r="J107" i="1" s="1"/>
  <c r="I106" i="1"/>
  <c r="H106" i="1"/>
  <c r="E106" i="1"/>
  <c r="G105" i="1"/>
  <c r="J105" i="1" s="1"/>
  <c r="G104" i="1"/>
  <c r="I103" i="1"/>
  <c r="H103" i="1"/>
  <c r="E103" i="1"/>
  <c r="G102" i="1"/>
  <c r="J102" i="1" s="1"/>
  <c r="G101" i="1"/>
  <c r="J101" i="1" s="1"/>
  <c r="G100" i="1"/>
  <c r="J100" i="1" s="1"/>
  <c r="G99" i="1"/>
  <c r="I98" i="1"/>
  <c r="H98" i="1"/>
  <c r="E98" i="1"/>
  <c r="G97" i="1"/>
  <c r="J97" i="1" s="1"/>
  <c r="G96" i="1"/>
  <c r="J96" i="1" s="1"/>
  <c r="G95" i="1"/>
  <c r="F93" i="1"/>
  <c r="F94" i="1" s="1"/>
  <c r="G92" i="1"/>
  <c r="J92" i="1" s="1"/>
  <c r="I90" i="1"/>
  <c r="H90" i="1"/>
  <c r="E90" i="1"/>
  <c r="E91" i="1" s="1"/>
  <c r="G89" i="1"/>
  <c r="J89" i="1" s="1"/>
  <c r="G87" i="1"/>
  <c r="J87" i="1" s="1"/>
  <c r="G84" i="1"/>
  <c r="J84" i="1" s="1"/>
  <c r="I83" i="1"/>
  <c r="H83" i="1"/>
  <c r="G82" i="1"/>
  <c r="J82" i="1" s="1"/>
  <c r="G81" i="1"/>
  <c r="J81" i="1" s="1"/>
  <c r="G80" i="1"/>
  <c r="I78" i="1"/>
  <c r="H78" i="1"/>
  <c r="E78" i="1"/>
  <c r="G77" i="1"/>
  <c r="J77" i="1" s="1"/>
  <c r="G75" i="1"/>
  <c r="J75" i="1" s="1"/>
  <c r="G73" i="1"/>
  <c r="J73" i="1" s="1"/>
  <c r="G72" i="1"/>
  <c r="J72" i="1" s="1"/>
  <c r="G71" i="1"/>
  <c r="J71" i="1" s="1"/>
  <c r="I70" i="1"/>
  <c r="H70" i="1"/>
  <c r="E70" i="1"/>
  <c r="G69" i="1"/>
  <c r="J69" i="1" s="1"/>
  <c r="G68" i="1"/>
  <c r="J68" i="1" s="1"/>
  <c r="G67" i="1"/>
  <c r="J67" i="1" s="1"/>
  <c r="G66" i="1"/>
  <c r="J66" i="1" s="1"/>
  <c r="G65" i="1"/>
  <c r="J65" i="1" s="1"/>
  <c r="G64" i="1"/>
  <c r="J64" i="1" s="1"/>
  <c r="G63" i="1"/>
  <c r="J63" i="1" s="1"/>
  <c r="G62" i="1"/>
  <c r="J62" i="1" s="1"/>
  <c r="G61" i="1"/>
  <c r="J61" i="1" s="1"/>
  <c r="G60" i="1"/>
  <c r="J60" i="1" s="1"/>
  <c r="F58" i="1"/>
  <c r="I57" i="1"/>
  <c r="M57" i="1" s="1"/>
  <c r="H57" i="1"/>
  <c r="L57" i="1" s="1"/>
  <c r="E57" i="1"/>
  <c r="G56" i="1"/>
  <c r="J56" i="1" s="1"/>
  <c r="G54" i="1"/>
  <c r="J54" i="1" s="1"/>
  <c r="G53" i="1"/>
  <c r="J53" i="1" s="1"/>
  <c r="G52" i="1"/>
  <c r="J52" i="1" s="1"/>
  <c r="G51" i="1"/>
  <c r="J51" i="1" s="1"/>
  <c r="G50" i="1"/>
  <c r="J50" i="1" s="1"/>
  <c r="G49" i="1"/>
  <c r="J49" i="1" s="1"/>
  <c r="G48" i="1"/>
  <c r="I47" i="1"/>
  <c r="H47" i="1"/>
  <c r="E47" i="1"/>
  <c r="G46" i="1"/>
  <c r="J46" i="1" s="1"/>
  <c r="G45" i="1"/>
  <c r="J45" i="1" s="1"/>
  <c r="G44" i="1"/>
  <c r="J44" i="1" s="1"/>
  <c r="G43" i="1"/>
  <c r="J43" i="1" s="1"/>
  <c r="I41" i="1"/>
  <c r="H41" i="1"/>
  <c r="E41" i="1"/>
  <c r="G40" i="1"/>
  <c r="J40" i="1" s="1"/>
  <c r="G39" i="1"/>
  <c r="J39" i="1" s="1"/>
  <c r="G38" i="1"/>
  <c r="H37" i="1"/>
  <c r="F37" i="1"/>
  <c r="F42" i="1" s="1"/>
  <c r="E37" i="1"/>
  <c r="G36" i="1"/>
  <c r="I37" i="1"/>
  <c r="G35" i="1"/>
  <c r="J35" i="1" s="1"/>
  <c r="G34" i="1"/>
  <c r="G37" i="1" s="1"/>
  <c r="I33" i="1"/>
  <c r="H33" i="1"/>
  <c r="E33" i="1"/>
  <c r="G32" i="1"/>
  <c r="J32" i="1" s="1"/>
  <c r="G31" i="1"/>
  <c r="J31" i="1" s="1"/>
  <c r="G30" i="1"/>
  <c r="J30" i="1" s="1"/>
  <c r="G29" i="1"/>
  <c r="J29" i="1" s="1"/>
  <c r="G28" i="1"/>
  <c r="J28" i="1" s="1"/>
  <c r="G27" i="1"/>
  <c r="J27" i="1" s="1"/>
  <c r="G26" i="1"/>
  <c r="J26" i="1" s="1"/>
  <c r="I25" i="1"/>
  <c r="H25" i="1"/>
  <c r="E25" i="1"/>
  <c r="G24" i="1"/>
  <c r="J24" i="1" s="1"/>
  <c r="G23" i="1"/>
  <c r="J23" i="1" s="1"/>
  <c r="G22" i="1"/>
  <c r="J22" i="1" s="1"/>
  <c r="G21" i="1"/>
  <c r="J21" i="1" s="1"/>
  <c r="G20" i="1"/>
  <c r="J20" i="1" s="1"/>
  <c r="G19" i="1"/>
  <c r="J19" i="1" s="1"/>
  <c r="G18" i="1"/>
  <c r="J18" i="1" s="1"/>
  <c r="I17" i="1"/>
  <c r="H17" i="1"/>
  <c r="E17" i="1"/>
  <c r="G16" i="1"/>
  <c r="J16" i="1" s="1"/>
  <c r="G15" i="1"/>
  <c r="J15" i="1" s="1"/>
  <c r="G14" i="1"/>
  <c r="J14" i="1" s="1"/>
  <c r="G15" i="13"/>
  <c r="G13" i="1"/>
  <c r="E72" i="17" l="1"/>
  <c r="M1320" i="1"/>
  <c r="M1312" i="1"/>
  <c r="M1310" i="1"/>
  <c r="H91" i="1"/>
  <c r="I354" i="16"/>
  <c r="J60" i="15" s="1"/>
  <c r="I398" i="16"/>
  <c r="J64" i="15" s="1"/>
  <c r="J66" i="15" s="1"/>
  <c r="M1284" i="1"/>
  <c r="M1274" i="1"/>
  <c r="M1282" i="1"/>
  <c r="M1309" i="1"/>
  <c r="M1303" i="1"/>
  <c r="M1316" i="1"/>
  <c r="M1433" i="1" s="1"/>
  <c r="M1283" i="1"/>
  <c r="M1300" i="1"/>
  <c r="M1318" i="1"/>
  <c r="M1289" i="1"/>
  <c r="M1392" i="1"/>
  <c r="M1315" i="1"/>
  <c r="M1276" i="1"/>
  <c r="M1689" i="1"/>
  <c r="F59" i="1"/>
  <c r="F122" i="1" s="1"/>
  <c r="I91" i="1"/>
  <c r="O453" i="1"/>
  <c r="O431" i="1"/>
  <c r="M1296" i="1"/>
  <c r="M1314" i="1"/>
  <c r="M1313" i="1"/>
  <c r="M1308" i="1"/>
  <c r="M1279" i="1"/>
  <c r="M1292" i="1"/>
  <c r="M1291" i="1"/>
  <c r="M1304" i="1"/>
  <c r="M1290" i="1"/>
  <c r="M1317" i="1"/>
  <c r="M1691" i="1"/>
  <c r="I525" i="16"/>
  <c r="F619" i="16"/>
  <c r="M1273" i="1"/>
  <c r="M1160" i="1"/>
  <c r="M1281" i="1"/>
  <c r="M1286" i="1"/>
  <c r="M1176" i="1"/>
  <c r="M1077" i="1"/>
  <c r="M1088" i="1" s="1"/>
  <c r="M1190" i="1"/>
  <c r="K1178" i="1"/>
  <c r="L1295" i="1"/>
  <c r="G1184" i="13"/>
  <c r="J1184" i="13" s="1"/>
  <c r="M1278" i="1"/>
  <c r="M1168" i="1"/>
  <c r="M1288" i="1"/>
  <c r="M1405" i="1" s="1"/>
  <c r="M1287" i="1"/>
  <c r="M1280" i="1"/>
  <c r="M1302" i="1"/>
  <c r="M1188" i="1"/>
  <c r="M1412" i="1"/>
  <c r="M1904" i="1"/>
  <c r="F773" i="16"/>
  <c r="I679" i="16"/>
  <c r="F743" i="16"/>
  <c r="I649" i="16"/>
  <c r="I532" i="16"/>
  <c r="F626" i="16"/>
  <c r="I541" i="16"/>
  <c r="F635" i="16"/>
  <c r="Q154" i="17"/>
  <c r="Q198" i="17" s="1"/>
  <c r="N224" i="17"/>
  <c r="N253" i="17"/>
  <c r="N255" i="17"/>
  <c r="N251" i="17"/>
  <c r="N249" i="17"/>
  <c r="G55" i="15"/>
  <c r="N205" i="17"/>
  <c r="K329" i="17"/>
  <c r="Q266" i="17"/>
  <c r="J266" i="17"/>
  <c r="M266" i="17" s="1"/>
  <c r="D28" i="17"/>
  <c r="Q208" i="17"/>
  <c r="H60" i="15" s="1"/>
  <c r="N228" i="17"/>
  <c r="N214" i="17"/>
  <c r="L329" i="17"/>
  <c r="N266" i="17"/>
  <c r="M213" i="17"/>
  <c r="N213" i="17"/>
  <c r="K339" i="17"/>
  <c r="J276" i="17"/>
  <c r="Q276" i="17"/>
  <c r="G60" i="15"/>
  <c r="G63" i="15" s="1"/>
  <c r="K217" i="17"/>
  <c r="K261" i="17" s="1"/>
  <c r="L432" i="17"/>
  <c r="M258" i="17"/>
  <c r="N258" i="17"/>
  <c r="K384" i="17"/>
  <c r="Q321" i="17"/>
  <c r="J321" i="17"/>
  <c r="M256" i="17"/>
  <c r="N256" i="17"/>
  <c r="K380" i="17"/>
  <c r="J317" i="17"/>
  <c r="Q317" i="17"/>
  <c r="M252" i="17"/>
  <c r="N252" i="17"/>
  <c r="K376" i="17"/>
  <c r="J313" i="17"/>
  <c r="Q313" i="17"/>
  <c r="Q312" i="17"/>
  <c r="K375" i="17"/>
  <c r="J312" i="17"/>
  <c r="M312" i="17" s="1"/>
  <c r="K374" i="17"/>
  <c r="Q311" i="17"/>
  <c r="J311" i="17"/>
  <c r="M311" i="17" s="1"/>
  <c r="Q310" i="17"/>
  <c r="K373" i="17"/>
  <c r="J310" i="17"/>
  <c r="M310" i="17" s="1"/>
  <c r="M246" i="17"/>
  <c r="N246" i="17"/>
  <c r="K372" i="17"/>
  <c r="Q309" i="17"/>
  <c r="J309" i="17"/>
  <c r="K370" i="17"/>
  <c r="Q307" i="17"/>
  <c r="J307" i="17"/>
  <c r="Q304" i="17"/>
  <c r="K367" i="17"/>
  <c r="J304" i="17"/>
  <c r="M304" i="17" s="1"/>
  <c r="M240" i="17"/>
  <c r="N240" i="17"/>
  <c r="K364" i="17"/>
  <c r="Q301" i="17"/>
  <c r="J301" i="17"/>
  <c r="M236" i="17"/>
  <c r="N236" i="17"/>
  <c r="K360" i="17"/>
  <c r="Q297" i="17"/>
  <c r="J297" i="17"/>
  <c r="K359" i="17"/>
  <c r="J296" i="17"/>
  <c r="N296" i="17" s="1"/>
  <c r="Q296" i="17"/>
  <c r="K358" i="17"/>
  <c r="Q295" i="17"/>
  <c r="J295" i="17"/>
  <c r="N134" i="17"/>
  <c r="M134" i="17"/>
  <c r="H52" i="15"/>
  <c r="H54" i="15" s="1"/>
  <c r="M206" i="17"/>
  <c r="N206" i="17"/>
  <c r="K332" i="17"/>
  <c r="J269" i="17"/>
  <c r="Q269" i="17"/>
  <c r="M145" i="17"/>
  <c r="J154" i="17"/>
  <c r="M154" i="17" s="1"/>
  <c r="L353" i="17"/>
  <c r="L322" i="17"/>
  <c r="L345" i="17"/>
  <c r="L226" i="17"/>
  <c r="L404" i="17"/>
  <c r="L338" i="17"/>
  <c r="N153" i="17"/>
  <c r="M223" i="17"/>
  <c r="N223" i="17"/>
  <c r="Q283" i="17"/>
  <c r="K346" i="17"/>
  <c r="J283" i="17"/>
  <c r="K345" i="17"/>
  <c r="Q282" i="17"/>
  <c r="J282" i="17"/>
  <c r="M282" i="17" s="1"/>
  <c r="K336" i="17"/>
  <c r="Q273" i="17"/>
  <c r="J273" i="17"/>
  <c r="M273" i="17" s="1"/>
  <c r="M267" i="17"/>
  <c r="K271" i="17"/>
  <c r="M204" i="17"/>
  <c r="J208" i="17"/>
  <c r="N208" i="17" s="1"/>
  <c r="L447" i="17"/>
  <c r="L383" i="17"/>
  <c r="L445" i="17"/>
  <c r="L374" i="17"/>
  <c r="N311" i="17"/>
  <c r="L373" i="17"/>
  <c r="L435" i="17"/>
  <c r="L371" i="17"/>
  <c r="L433" i="17"/>
  <c r="L431" i="17"/>
  <c r="L367" i="17"/>
  <c r="L429" i="17"/>
  <c r="L427" i="17"/>
  <c r="L363" i="17"/>
  <c r="L425" i="17"/>
  <c r="L423" i="17"/>
  <c r="L738" i="17"/>
  <c r="L421" i="17"/>
  <c r="L800" i="17"/>
  <c r="L864" i="17" s="1"/>
  <c r="L356" i="17"/>
  <c r="L418" i="17"/>
  <c r="L217" i="17"/>
  <c r="K383" i="17"/>
  <c r="J320" i="17"/>
  <c r="M320" i="17" s="1"/>
  <c r="Q320" i="17"/>
  <c r="K379" i="17"/>
  <c r="Q316" i="17"/>
  <c r="J316" i="17"/>
  <c r="M316" i="17" s="1"/>
  <c r="Q314" i="17"/>
  <c r="K377" i="17"/>
  <c r="J314" i="17"/>
  <c r="M314" i="17" s="1"/>
  <c r="M243" i="17"/>
  <c r="N243" i="17"/>
  <c r="K369" i="17"/>
  <c r="Q306" i="17"/>
  <c r="J306" i="17"/>
  <c r="J300" i="17"/>
  <c r="M300" i="17" s="1"/>
  <c r="K363" i="17"/>
  <c r="Q300" i="17"/>
  <c r="K357" i="17"/>
  <c r="Q294" i="17"/>
  <c r="J294" i="17"/>
  <c r="Q292" i="17"/>
  <c r="K355" i="17"/>
  <c r="J292" i="17"/>
  <c r="Q259" i="17"/>
  <c r="Q260" i="17" s="1"/>
  <c r="H67" i="15" s="1"/>
  <c r="H69" i="15" s="1"/>
  <c r="G67" i="15"/>
  <c r="G69" i="15" s="1"/>
  <c r="K350" i="17"/>
  <c r="Q287" i="17"/>
  <c r="J287" i="17"/>
  <c r="M287" i="17" s="1"/>
  <c r="J285" i="17"/>
  <c r="N285" i="17" s="1"/>
  <c r="K348" i="17"/>
  <c r="Q285" i="17"/>
  <c r="M100" i="17"/>
  <c r="N100" i="17"/>
  <c r="J216" i="17"/>
  <c r="M216" i="17" s="1"/>
  <c r="M209" i="17"/>
  <c r="K333" i="17"/>
  <c r="J270" i="17"/>
  <c r="Q270" i="17"/>
  <c r="L428" i="17"/>
  <c r="L424" i="17"/>
  <c r="L412" i="17"/>
  <c r="L348" i="17"/>
  <c r="L347" i="17"/>
  <c r="L409" i="17"/>
  <c r="N216" i="17"/>
  <c r="Q284" i="17"/>
  <c r="K347" i="17"/>
  <c r="J284" i="17"/>
  <c r="M284" i="17" s="1"/>
  <c r="M215" i="17"/>
  <c r="N215" i="17"/>
  <c r="K341" i="17"/>
  <c r="J278" i="17"/>
  <c r="Q278" i="17"/>
  <c r="M211" i="17"/>
  <c r="N211" i="17"/>
  <c r="K337" i="17"/>
  <c r="J274" i="17"/>
  <c r="Q274" i="17"/>
  <c r="L381" i="17"/>
  <c r="L375" i="17"/>
  <c r="N145" i="17"/>
  <c r="K382" i="17"/>
  <c r="Q319" i="17"/>
  <c r="J319" i="17"/>
  <c r="M254" i="17"/>
  <c r="N254" i="17"/>
  <c r="K378" i="17"/>
  <c r="Q315" i="17"/>
  <c r="J315" i="17"/>
  <c r="M250" i="17"/>
  <c r="N250" i="17"/>
  <c r="K371" i="17"/>
  <c r="Q308" i="17"/>
  <c r="J308" i="17"/>
  <c r="M308" i="17" s="1"/>
  <c r="M244" i="17"/>
  <c r="N244" i="17"/>
  <c r="M242" i="17"/>
  <c r="N242" i="17"/>
  <c r="K368" i="17"/>
  <c r="Q305" i="17"/>
  <c r="J305" i="17"/>
  <c r="K366" i="17"/>
  <c r="Q303" i="17"/>
  <c r="J303" i="17"/>
  <c r="M238" i="17"/>
  <c r="N238" i="17"/>
  <c r="K362" i="17"/>
  <c r="Q299" i="17"/>
  <c r="J299" i="17"/>
  <c r="M234" i="17"/>
  <c r="N234" i="17"/>
  <c r="M232" i="17"/>
  <c r="N232" i="17"/>
  <c r="N196" i="17"/>
  <c r="M196" i="17"/>
  <c r="J197" i="17"/>
  <c r="J163" i="17"/>
  <c r="M163" i="17" s="1"/>
  <c r="H55" i="15"/>
  <c r="Q268" i="17"/>
  <c r="K331" i="17"/>
  <c r="J268" i="17"/>
  <c r="M268" i="17" s="1"/>
  <c r="L198" i="17"/>
  <c r="L350" i="17"/>
  <c r="N219" i="17"/>
  <c r="L288" i="17"/>
  <c r="L344" i="17"/>
  <c r="L402" i="17"/>
  <c r="N212" i="17"/>
  <c r="L400" i="17"/>
  <c r="L336" i="17"/>
  <c r="K356" i="17"/>
  <c r="Q293" i="17"/>
  <c r="J293" i="17"/>
  <c r="M293" i="17" s="1"/>
  <c r="K354" i="17"/>
  <c r="Q291" i="17"/>
  <c r="J291" i="17"/>
  <c r="M291" i="17" s="1"/>
  <c r="Q286" i="17"/>
  <c r="K349" i="17"/>
  <c r="J286" i="17"/>
  <c r="M220" i="17"/>
  <c r="N220" i="17"/>
  <c r="M218" i="17"/>
  <c r="J225" i="17"/>
  <c r="M225" i="17" s="1"/>
  <c r="Q281" i="17"/>
  <c r="K344" i="17"/>
  <c r="K288" i="17"/>
  <c r="J281" i="17"/>
  <c r="K340" i="17"/>
  <c r="Q277" i="17"/>
  <c r="J277" i="17"/>
  <c r="M277" i="17" s="1"/>
  <c r="K338" i="17"/>
  <c r="J275" i="17"/>
  <c r="M275" i="17" s="1"/>
  <c r="Q275" i="17"/>
  <c r="K393" i="17"/>
  <c r="Q330" i="17"/>
  <c r="N257" i="17"/>
  <c r="L443" i="17"/>
  <c r="L379" i="17"/>
  <c r="L441" i="17"/>
  <c r="L377" i="17"/>
  <c r="L439" i="17"/>
  <c r="N248" i="17"/>
  <c r="N247" i="17"/>
  <c r="N245" i="17"/>
  <c r="N241" i="17"/>
  <c r="N237" i="17"/>
  <c r="N230" i="17"/>
  <c r="L354" i="17"/>
  <c r="N204" i="17"/>
  <c r="L330" i="17"/>
  <c r="L271" i="17"/>
  <c r="N267" i="17"/>
  <c r="K381" i="17"/>
  <c r="Q318" i="17"/>
  <c r="J318" i="17"/>
  <c r="M318" i="17" s="1"/>
  <c r="M239" i="17"/>
  <c r="N239" i="17"/>
  <c r="Q302" i="17"/>
  <c r="K365" i="17"/>
  <c r="J302" i="17"/>
  <c r="M235" i="17"/>
  <c r="N235" i="17"/>
  <c r="K361" i="17"/>
  <c r="Q298" i="17"/>
  <c r="J298" i="17"/>
  <c r="M229" i="17"/>
  <c r="N229" i="17"/>
  <c r="M227" i="17"/>
  <c r="J259" i="17"/>
  <c r="K353" i="17"/>
  <c r="Q290" i="17"/>
  <c r="K322" i="17"/>
  <c r="J290" i="17"/>
  <c r="N290" i="17" s="1"/>
  <c r="Q225" i="17"/>
  <c r="Q226" i="17" s="1"/>
  <c r="H64" i="15" s="1"/>
  <c r="H66" i="15" s="1"/>
  <c r="Q216" i="17"/>
  <c r="H61" i="15" s="1"/>
  <c r="K335" i="17"/>
  <c r="Q272" i="17"/>
  <c r="K279" i="17"/>
  <c r="G76" i="15" s="1"/>
  <c r="J272" i="17"/>
  <c r="M207" i="17"/>
  <c r="N207" i="17"/>
  <c r="N222" i="17"/>
  <c r="N221" i="17"/>
  <c r="N162" i="17"/>
  <c r="L340" i="17"/>
  <c r="N209" i="17"/>
  <c r="L279" i="17"/>
  <c r="L335" i="17"/>
  <c r="L396" i="17"/>
  <c r="L395" i="17"/>
  <c r="L331" i="17"/>
  <c r="M1043" i="1"/>
  <c r="M1059" i="1"/>
  <c r="G1067" i="13"/>
  <c r="J1067" i="13" s="1"/>
  <c r="K1061" i="1"/>
  <c r="M1051" i="1"/>
  <c r="M1071" i="1"/>
  <c r="L969" i="1"/>
  <c r="L1086" i="1" s="1"/>
  <c r="L1203" i="1" s="1"/>
  <c r="G859" i="13"/>
  <c r="J859" i="13" s="1"/>
  <c r="K853" i="1"/>
  <c r="L958" i="1"/>
  <c r="L1075" i="1" s="1"/>
  <c r="L1192" i="1" s="1"/>
  <c r="G848" i="13"/>
  <c r="J848" i="13" s="1"/>
  <c r="K842" i="1"/>
  <c r="K811" i="1"/>
  <c r="L926" i="1"/>
  <c r="L1042" i="1" s="1"/>
  <c r="L1159" i="1" s="1"/>
  <c r="G817" i="13"/>
  <c r="J817" i="13" s="1"/>
  <c r="L953" i="1"/>
  <c r="L1070" i="1" s="1"/>
  <c r="L1187" i="1" s="1"/>
  <c r="G843" i="13"/>
  <c r="J843" i="13" s="1"/>
  <c r="K837" i="1"/>
  <c r="K841" i="1"/>
  <c r="L957" i="1"/>
  <c r="L1074" i="1" s="1"/>
  <c r="L1191" i="1" s="1"/>
  <c r="G847" i="13"/>
  <c r="J847" i="13" s="1"/>
  <c r="K821" i="1"/>
  <c r="L936" i="1"/>
  <c r="L1052" i="1" s="1"/>
  <c r="L1169" i="1" s="1"/>
  <c r="G827" i="13"/>
  <c r="L828" i="1"/>
  <c r="L951" i="1"/>
  <c r="L1068" i="1" s="1"/>
  <c r="L1185" i="1" s="1"/>
  <c r="G841" i="13"/>
  <c r="K835" i="1"/>
  <c r="L838" i="1"/>
  <c r="G821" i="13"/>
  <c r="J821" i="13" s="1"/>
  <c r="L930" i="1"/>
  <c r="L1046" i="1" s="1"/>
  <c r="L1163" i="1" s="1"/>
  <c r="K815" i="1"/>
  <c r="L965" i="1"/>
  <c r="L1082" i="1" s="1"/>
  <c r="L1199" i="1" s="1"/>
  <c r="G855" i="13"/>
  <c r="J855" i="13" s="1"/>
  <c r="K849" i="1"/>
  <c r="L932" i="1"/>
  <c r="L1048" i="1" s="1"/>
  <c r="L1165" i="1" s="1"/>
  <c r="G823" i="13"/>
  <c r="J823" i="13" s="1"/>
  <c r="K817" i="1"/>
  <c r="K848" i="1"/>
  <c r="L964" i="1"/>
  <c r="L1081" i="1" s="1"/>
  <c r="L1198" i="1" s="1"/>
  <c r="G854" i="13"/>
  <c r="J854" i="13" s="1"/>
  <c r="K843" i="1"/>
  <c r="L959" i="1"/>
  <c r="L1076" i="1" s="1"/>
  <c r="L1193" i="1" s="1"/>
  <c r="G849" i="13"/>
  <c r="J849" i="13" s="1"/>
  <c r="L961" i="1"/>
  <c r="L1078" i="1" s="1"/>
  <c r="L1195" i="1" s="1"/>
  <c r="G851" i="13"/>
  <c r="K845" i="1"/>
  <c r="L820" i="1"/>
  <c r="L928" i="1"/>
  <c r="L1044" i="1" s="1"/>
  <c r="L1161" i="1" s="1"/>
  <c r="G819" i="13"/>
  <c r="K813" i="1"/>
  <c r="L939" i="1"/>
  <c r="L1055" i="1" s="1"/>
  <c r="L1172" i="1" s="1"/>
  <c r="G830" i="13"/>
  <c r="J830" i="13" s="1"/>
  <c r="K824" i="1"/>
  <c r="K825" i="1"/>
  <c r="L940" i="1"/>
  <c r="L1056" i="1" s="1"/>
  <c r="L1173" i="1" s="1"/>
  <c r="G831" i="13"/>
  <c r="J831" i="13" s="1"/>
  <c r="K846" i="1"/>
  <c r="L962" i="1"/>
  <c r="L1079" i="1" s="1"/>
  <c r="L1196" i="1" s="1"/>
  <c r="G852" i="13"/>
  <c r="J852" i="13" s="1"/>
  <c r="K808" i="1"/>
  <c r="L923" i="1"/>
  <c r="L1039" i="1" s="1"/>
  <c r="L1156" i="1" s="1"/>
  <c r="K1156" i="1" s="1"/>
  <c r="G814" i="13"/>
  <c r="L812" i="1"/>
  <c r="K831" i="1"/>
  <c r="L946" i="1"/>
  <c r="L1062" i="1" s="1"/>
  <c r="L1179" i="1" s="1"/>
  <c r="G837" i="13"/>
  <c r="J837" i="13" s="1"/>
  <c r="M960" i="1"/>
  <c r="N830" i="1"/>
  <c r="O830" i="1"/>
  <c r="M935" i="1"/>
  <c r="M954" i="1"/>
  <c r="L963" i="1"/>
  <c r="L1080" i="1" s="1"/>
  <c r="L1197" i="1" s="1"/>
  <c r="G853" i="13"/>
  <c r="J853" i="13" s="1"/>
  <c r="K847" i="1"/>
  <c r="K814" i="1"/>
  <c r="L929" i="1"/>
  <c r="L1045" i="1" s="1"/>
  <c r="L1162" i="1" s="1"/>
  <c r="G820" i="13"/>
  <c r="J820" i="13" s="1"/>
  <c r="K852" i="1"/>
  <c r="L968" i="1"/>
  <c r="L1085" i="1" s="1"/>
  <c r="L1202" i="1" s="1"/>
  <c r="G858" i="13"/>
  <c r="J858" i="13" s="1"/>
  <c r="L956" i="1"/>
  <c r="L1073" i="1" s="1"/>
  <c r="L1190" i="1" s="1"/>
  <c r="G846" i="13"/>
  <c r="K840" i="1"/>
  <c r="L844" i="1"/>
  <c r="L855" i="1" s="1"/>
  <c r="K818" i="1"/>
  <c r="L933" i="1"/>
  <c r="L1049" i="1" s="1"/>
  <c r="L1166" i="1" s="1"/>
  <c r="G824" i="13"/>
  <c r="J824" i="13" s="1"/>
  <c r="K836" i="1"/>
  <c r="L952" i="1"/>
  <c r="L1069" i="1" s="1"/>
  <c r="L1186" i="1" s="1"/>
  <c r="G842" i="13"/>
  <c r="J842" i="13" s="1"/>
  <c r="L967" i="1"/>
  <c r="L1084" i="1" s="1"/>
  <c r="L1201" i="1" s="1"/>
  <c r="G857" i="13"/>
  <c r="J857" i="13" s="1"/>
  <c r="K851" i="1"/>
  <c r="K809" i="1"/>
  <c r="L924" i="1"/>
  <c r="L1040" i="1" s="1"/>
  <c r="L1157" i="1" s="1"/>
  <c r="G815" i="13"/>
  <c r="J815" i="13" s="1"/>
  <c r="L934" i="1"/>
  <c r="L1050" i="1" s="1"/>
  <c r="L1167" i="1" s="1"/>
  <c r="G825" i="13"/>
  <c r="J825" i="13" s="1"/>
  <c r="K819" i="1"/>
  <c r="K810" i="1"/>
  <c r="L925" i="1"/>
  <c r="L1041" i="1" s="1"/>
  <c r="L1158" i="1" s="1"/>
  <c r="G816" i="13"/>
  <c r="J816" i="13" s="1"/>
  <c r="L931" i="1"/>
  <c r="L1047" i="1" s="1"/>
  <c r="L1164" i="1" s="1"/>
  <c r="G822" i="13"/>
  <c r="J822" i="13" s="1"/>
  <c r="K816" i="1"/>
  <c r="K850" i="1"/>
  <c r="L966" i="1"/>
  <c r="L1083" i="1" s="1"/>
  <c r="L1200" i="1" s="1"/>
  <c r="G856" i="13"/>
  <c r="J856" i="13" s="1"/>
  <c r="M984" i="1"/>
  <c r="M1101" i="1" s="1"/>
  <c r="M1218" i="1" s="1"/>
  <c r="L937" i="1"/>
  <c r="L1053" i="1" s="1"/>
  <c r="L1170" i="1" s="1"/>
  <c r="G828" i="13"/>
  <c r="J828" i="13" s="1"/>
  <c r="K822" i="1"/>
  <c r="K823" i="1"/>
  <c r="L938" i="1"/>
  <c r="L1054" i="1" s="1"/>
  <c r="L1171" i="1" s="1"/>
  <c r="G829" i="13"/>
  <c r="J829" i="13" s="1"/>
  <c r="L941" i="1"/>
  <c r="L1057" i="1" s="1"/>
  <c r="L1174" i="1" s="1"/>
  <c r="G832" i="13"/>
  <c r="J832" i="13" s="1"/>
  <c r="K826" i="1"/>
  <c r="K827" i="1"/>
  <c r="L942" i="1"/>
  <c r="L1058" i="1" s="1"/>
  <c r="L1175" i="1" s="1"/>
  <c r="G833" i="13"/>
  <c r="J833" i="13" s="1"/>
  <c r="L949" i="1"/>
  <c r="L1066" i="1" s="1"/>
  <c r="L1183" i="1" s="1"/>
  <c r="G839" i="13"/>
  <c r="J839" i="13" s="1"/>
  <c r="K833" i="1"/>
  <c r="K604" i="1"/>
  <c r="L829" i="1"/>
  <c r="L719" i="1"/>
  <c r="N716" i="1"/>
  <c r="O716" i="1"/>
  <c r="M927" i="1"/>
  <c r="M943" i="1"/>
  <c r="M855" i="1"/>
  <c r="G951" i="13"/>
  <c r="J951" i="13" s="1"/>
  <c r="K945" i="1"/>
  <c r="M834" i="1"/>
  <c r="M944" i="1"/>
  <c r="M1060" i="1" s="1"/>
  <c r="M1177" i="1" s="1"/>
  <c r="G516" i="13"/>
  <c r="F76" i="15" s="1"/>
  <c r="J237" i="13"/>
  <c r="O427" i="1"/>
  <c r="O400" i="1"/>
  <c r="L430" i="1"/>
  <c r="L348" i="1"/>
  <c r="O436" i="1"/>
  <c r="O435" i="1"/>
  <c r="O425" i="1"/>
  <c r="O403" i="1"/>
  <c r="O444" i="1"/>
  <c r="O414" i="1"/>
  <c r="O449" i="1"/>
  <c r="O338" i="1"/>
  <c r="O421" i="1"/>
  <c r="O408" i="1"/>
  <c r="L418" i="1"/>
  <c r="L432" i="1" s="1"/>
  <c r="L433" i="1" s="1"/>
  <c r="O457" i="1"/>
  <c r="J309" i="13"/>
  <c r="L659" i="1"/>
  <c r="K544" i="1"/>
  <c r="N544" i="1" s="1"/>
  <c r="G98" i="1"/>
  <c r="J98" i="1" s="1"/>
  <c r="O450" i="1"/>
  <c r="O448" i="1"/>
  <c r="O439" i="1"/>
  <c r="O345" i="1"/>
  <c r="O454" i="1"/>
  <c r="O428" i="1"/>
  <c r="O578" i="1"/>
  <c r="N578" i="1"/>
  <c r="G699" i="13"/>
  <c r="J699" i="13" s="1"/>
  <c r="K693" i="1"/>
  <c r="O544" i="1"/>
  <c r="M659" i="1"/>
  <c r="N584" i="1"/>
  <c r="O584" i="1"/>
  <c r="G744" i="13"/>
  <c r="J744" i="13" s="1"/>
  <c r="K738" i="1"/>
  <c r="M681" i="1"/>
  <c r="M674" i="1"/>
  <c r="M564" i="1"/>
  <c r="M666" i="1"/>
  <c r="M555" i="1"/>
  <c r="M347" i="1"/>
  <c r="M654" i="1"/>
  <c r="M651" i="1"/>
  <c r="M542" i="1"/>
  <c r="M642" i="1"/>
  <c r="N715" i="1"/>
  <c r="O715" i="1"/>
  <c r="N619" i="1"/>
  <c r="O619" i="1"/>
  <c r="G740" i="13"/>
  <c r="J740" i="13" s="1"/>
  <c r="K734" i="1"/>
  <c r="K702" i="1"/>
  <c r="G708" i="13"/>
  <c r="J708" i="13" s="1"/>
  <c r="G403" i="13"/>
  <c r="F60" i="15"/>
  <c r="F63" i="15" s="1"/>
  <c r="K614" i="1"/>
  <c r="N610" i="1"/>
  <c r="O610" i="1"/>
  <c r="K429" i="1"/>
  <c r="N429" i="1" s="1"/>
  <c r="N423" i="1"/>
  <c r="L651" i="1"/>
  <c r="G542" i="13"/>
  <c r="K536" i="1"/>
  <c r="O536" i="1" s="1"/>
  <c r="L542" i="1"/>
  <c r="L648" i="1"/>
  <c r="K533" i="1"/>
  <c r="N533" i="1" s="1"/>
  <c r="G539" i="13"/>
  <c r="J539" i="13" s="1"/>
  <c r="K532" i="1"/>
  <c r="L647" i="1"/>
  <c r="G538" i="13"/>
  <c r="L535" i="1"/>
  <c r="K317" i="1"/>
  <c r="N317" i="1" s="1"/>
  <c r="N309" i="1"/>
  <c r="O410" i="1"/>
  <c r="N410" i="1"/>
  <c r="K417" i="1"/>
  <c r="N417" i="1" s="1"/>
  <c r="L530" i="1"/>
  <c r="L638" i="1"/>
  <c r="G529" i="13"/>
  <c r="K523" i="1"/>
  <c r="L634" i="1"/>
  <c r="G525" i="13"/>
  <c r="J525" i="13" s="1"/>
  <c r="K519" i="1"/>
  <c r="N519" i="1" s="1"/>
  <c r="G709" i="13"/>
  <c r="J709" i="13" s="1"/>
  <c r="K703" i="1"/>
  <c r="K721" i="1"/>
  <c r="G727" i="13"/>
  <c r="J727" i="13" s="1"/>
  <c r="G742" i="13"/>
  <c r="J742" i="13" s="1"/>
  <c r="K736" i="1"/>
  <c r="J585" i="13"/>
  <c r="J588" i="13" s="1"/>
  <c r="G588" i="13"/>
  <c r="N579" i="1"/>
  <c r="K582" i="1"/>
  <c r="O579" i="1"/>
  <c r="N589" i="1"/>
  <c r="O589" i="1"/>
  <c r="K733" i="1"/>
  <c r="G739" i="13"/>
  <c r="J739" i="13" s="1"/>
  <c r="M669" i="1"/>
  <c r="M235" i="1"/>
  <c r="N580" i="1"/>
  <c r="O580" i="1"/>
  <c r="N586" i="1"/>
  <c r="O586" i="1"/>
  <c r="G733" i="13"/>
  <c r="J733" i="13" s="1"/>
  <c r="K727" i="1"/>
  <c r="K728" i="1"/>
  <c r="G734" i="13"/>
  <c r="J734" i="13" s="1"/>
  <c r="N615" i="1"/>
  <c r="K624" i="1"/>
  <c r="O615" i="1"/>
  <c r="G736" i="13"/>
  <c r="K730" i="1"/>
  <c r="N509" i="1"/>
  <c r="O509" i="1"/>
  <c r="N620" i="1"/>
  <c r="O620" i="1"/>
  <c r="L682" i="1"/>
  <c r="G572" i="13"/>
  <c r="J572" i="13" s="1"/>
  <c r="K567" i="1"/>
  <c r="N567" i="1" s="1"/>
  <c r="L568" i="1"/>
  <c r="L680" i="1"/>
  <c r="G570" i="13"/>
  <c r="K565" i="1"/>
  <c r="O565" i="1" s="1"/>
  <c r="J451" i="13"/>
  <c r="J455" i="13" s="1"/>
  <c r="G455" i="13"/>
  <c r="N438" i="1"/>
  <c r="K442" i="1"/>
  <c r="N442" i="1" s="1"/>
  <c r="L666" i="1"/>
  <c r="G557" i="13"/>
  <c r="L555" i="1"/>
  <c r="K551" i="1"/>
  <c r="G554" i="13"/>
  <c r="J554" i="13" s="1"/>
  <c r="L663" i="1"/>
  <c r="K548" i="1"/>
  <c r="N548" i="1" s="1"/>
  <c r="L459" i="1"/>
  <c r="L460" i="1" s="1"/>
  <c r="L662" i="1"/>
  <c r="G553" i="13"/>
  <c r="K547" i="1"/>
  <c r="L550" i="1"/>
  <c r="G349" i="13"/>
  <c r="G350" i="13" s="1"/>
  <c r="F52" i="15" s="1"/>
  <c r="F54" i="15" s="1"/>
  <c r="L644" i="1"/>
  <c r="G535" i="13"/>
  <c r="J535" i="13" s="1"/>
  <c r="K529" i="1"/>
  <c r="N529" i="1" s="1"/>
  <c r="K514" i="1"/>
  <c r="N514" i="1" s="1"/>
  <c r="L629" i="1"/>
  <c r="G520" i="13"/>
  <c r="J520" i="13" s="1"/>
  <c r="G702" i="13"/>
  <c r="J702" i="13" s="1"/>
  <c r="K696" i="1"/>
  <c r="N583" i="1"/>
  <c r="K590" i="1"/>
  <c r="O583" i="1"/>
  <c r="K698" i="1"/>
  <c r="G704" i="13"/>
  <c r="L705" i="1"/>
  <c r="N477" i="1"/>
  <c r="O477" i="1"/>
  <c r="K709" i="1"/>
  <c r="G715" i="13"/>
  <c r="J715" i="13" s="1"/>
  <c r="K710" i="1"/>
  <c r="G716" i="13"/>
  <c r="J716" i="13" s="1"/>
  <c r="N611" i="1"/>
  <c r="O611" i="1"/>
  <c r="M675" i="1"/>
  <c r="M662" i="1"/>
  <c r="M550" i="1"/>
  <c r="M653" i="1"/>
  <c r="M649" i="1"/>
  <c r="O420" i="1"/>
  <c r="M535" i="1"/>
  <c r="M647" i="1"/>
  <c r="O529" i="1"/>
  <c r="M644" i="1"/>
  <c r="M640" i="1"/>
  <c r="M639" i="1"/>
  <c r="M530" i="1"/>
  <c r="M635" i="1"/>
  <c r="M634" i="1"/>
  <c r="M633" i="1"/>
  <c r="M632" i="1"/>
  <c r="M631" i="1"/>
  <c r="M630" i="1"/>
  <c r="K707" i="1"/>
  <c r="G713" i="13"/>
  <c r="J713" i="13" s="1"/>
  <c r="K708" i="1"/>
  <c r="G714" i="13"/>
  <c r="J714" i="13" s="1"/>
  <c r="K711" i="1"/>
  <c r="G717" i="13"/>
  <c r="J717" i="13" s="1"/>
  <c r="K712" i="1"/>
  <c r="G718" i="13"/>
  <c r="J718" i="13" s="1"/>
  <c r="K510" i="1"/>
  <c r="N499" i="1"/>
  <c r="O499" i="1"/>
  <c r="K731" i="1"/>
  <c r="G737" i="13"/>
  <c r="J737" i="13" s="1"/>
  <c r="L681" i="1"/>
  <c r="G571" i="13"/>
  <c r="J571" i="13" s="1"/>
  <c r="K566" i="1"/>
  <c r="N566" i="1" s="1"/>
  <c r="L677" i="1"/>
  <c r="G568" i="13"/>
  <c r="J568" i="13" s="1"/>
  <c r="K562" i="1"/>
  <c r="N562" i="1" s="1"/>
  <c r="L672" i="1"/>
  <c r="K557" i="1"/>
  <c r="N557" i="1" s="1"/>
  <c r="G563" i="13"/>
  <c r="J563" i="13" s="1"/>
  <c r="G450" i="13"/>
  <c r="J448" i="13"/>
  <c r="J450" i="13" s="1"/>
  <c r="J321" i="13"/>
  <c r="K527" i="1"/>
  <c r="N527" i="1" s="1"/>
  <c r="L642" i="1"/>
  <c r="G533" i="13"/>
  <c r="J533" i="13" s="1"/>
  <c r="K525" i="1"/>
  <c r="N525" i="1" s="1"/>
  <c r="L640" i="1"/>
  <c r="G531" i="13"/>
  <c r="J531" i="13" s="1"/>
  <c r="L632" i="1"/>
  <c r="G523" i="13"/>
  <c r="J523" i="13" s="1"/>
  <c r="K517" i="1"/>
  <c r="N517" i="1" s="1"/>
  <c r="N399" i="1"/>
  <c r="K409" i="1"/>
  <c r="O409" i="1" s="1"/>
  <c r="G500" i="13"/>
  <c r="N591" i="1"/>
  <c r="K598" i="1"/>
  <c r="O591" i="1"/>
  <c r="N603" i="1"/>
  <c r="O603" i="1"/>
  <c r="G724" i="13"/>
  <c r="J724" i="13" s="1"/>
  <c r="K718" i="1"/>
  <c r="M668" i="1"/>
  <c r="M320" i="1"/>
  <c r="G614" i="13"/>
  <c r="J611" i="13"/>
  <c r="J614" i="13" s="1"/>
  <c r="M626" i="1"/>
  <c r="N585" i="1"/>
  <c r="O585" i="1"/>
  <c r="N599" i="1"/>
  <c r="O599" i="1"/>
  <c r="J605" i="13"/>
  <c r="J610" i="13" s="1"/>
  <c r="G610" i="13"/>
  <c r="N489" i="1"/>
  <c r="O489" i="1"/>
  <c r="L685" i="1"/>
  <c r="G575" i="13"/>
  <c r="K570" i="1"/>
  <c r="N570" i="1" s="1"/>
  <c r="L664" i="1"/>
  <c r="G555" i="13"/>
  <c r="J555" i="13" s="1"/>
  <c r="K549" i="1"/>
  <c r="N549" i="1" s="1"/>
  <c r="O324" i="1"/>
  <c r="N324" i="1"/>
  <c r="K346" i="1"/>
  <c r="J349" i="13"/>
  <c r="J350" i="13" s="1"/>
  <c r="I52" i="15" s="1"/>
  <c r="I54" i="15" s="1"/>
  <c r="K534" i="1"/>
  <c r="N534" i="1" s="1"/>
  <c r="L649" i="1"/>
  <c r="G540" i="13"/>
  <c r="J540" i="13" s="1"/>
  <c r="N204" i="1"/>
  <c r="O204" i="1"/>
  <c r="K520" i="1"/>
  <c r="N520" i="1" s="1"/>
  <c r="L635" i="1"/>
  <c r="G526" i="13"/>
  <c r="J526" i="13" s="1"/>
  <c r="G519" i="13"/>
  <c r="J519" i="13" s="1"/>
  <c r="L628" i="1"/>
  <c r="K513" i="1"/>
  <c r="N513" i="1" s="1"/>
  <c r="N617" i="1"/>
  <c r="O617" i="1"/>
  <c r="G738" i="13"/>
  <c r="J738" i="13" s="1"/>
  <c r="K732" i="1"/>
  <c r="M740" i="1"/>
  <c r="K398" i="1"/>
  <c r="D60" i="15"/>
  <c r="N381" i="1"/>
  <c r="O381" i="1"/>
  <c r="G705" i="13"/>
  <c r="J705" i="13" s="1"/>
  <c r="K699" i="1"/>
  <c r="K737" i="1"/>
  <c r="G743" i="13"/>
  <c r="J743" i="13" s="1"/>
  <c r="N623" i="1"/>
  <c r="O623" i="1"/>
  <c r="M678" i="1"/>
  <c r="M676" i="1"/>
  <c r="M558" i="1"/>
  <c r="M672" i="1"/>
  <c r="M673" i="1" s="1"/>
  <c r="O438" i="1"/>
  <c r="M664" i="1"/>
  <c r="M663" i="1"/>
  <c r="O548" i="1"/>
  <c r="M655" i="1"/>
  <c r="O426" i="1"/>
  <c r="M652" i="1"/>
  <c r="O423" i="1"/>
  <c r="M629" i="1"/>
  <c r="M628" i="1"/>
  <c r="N587" i="1"/>
  <c r="O587" i="1"/>
  <c r="G620" i="13"/>
  <c r="J616" i="13"/>
  <c r="J620" i="13" s="1"/>
  <c r="G731" i="13"/>
  <c r="K725" i="1"/>
  <c r="L729" i="1"/>
  <c r="L740" i="1" s="1"/>
  <c r="J516" i="13"/>
  <c r="I76" i="15" s="1"/>
  <c r="L669" i="1"/>
  <c r="G560" i="13"/>
  <c r="J560" i="13" s="1"/>
  <c r="K554" i="1"/>
  <c r="N554" i="1" s="1"/>
  <c r="K553" i="1"/>
  <c r="N553" i="1" s="1"/>
  <c r="L668" i="1"/>
  <c r="G559" i="13"/>
  <c r="J559" i="13" s="1"/>
  <c r="F37" i="15"/>
  <c r="F39" i="15" s="1"/>
  <c r="F40" i="15" s="1"/>
  <c r="G237" i="13"/>
  <c r="J428" i="13"/>
  <c r="J434" i="13" s="1"/>
  <c r="G434" i="13"/>
  <c r="K422" i="1"/>
  <c r="O422" i="1" s="1"/>
  <c r="N419" i="1"/>
  <c r="G427" i="13"/>
  <c r="J424" i="13"/>
  <c r="J427" i="13" s="1"/>
  <c r="J415" i="13"/>
  <c r="J422" i="13" s="1"/>
  <c r="G422" i="13"/>
  <c r="L630" i="1"/>
  <c r="K515" i="1"/>
  <c r="N515" i="1" s="1"/>
  <c r="G521" i="13"/>
  <c r="J521" i="13" s="1"/>
  <c r="N588" i="1"/>
  <c r="O588" i="1"/>
  <c r="N606" i="1"/>
  <c r="O606" i="1"/>
  <c r="N621" i="1"/>
  <c r="O621" i="1"/>
  <c r="G700" i="13"/>
  <c r="K694" i="1"/>
  <c r="L697" i="1"/>
  <c r="O285" i="1"/>
  <c r="N285" i="1"/>
  <c r="D48" i="15"/>
  <c r="E48" i="15" s="1"/>
  <c r="E45" i="15"/>
  <c r="K704" i="1"/>
  <c r="G710" i="13"/>
  <c r="J710" i="13" s="1"/>
  <c r="N618" i="1"/>
  <c r="O618" i="1"/>
  <c r="M786" i="1"/>
  <c r="M901" i="1" s="1"/>
  <c r="O441" i="1"/>
  <c r="M667" i="1"/>
  <c r="M418" i="1"/>
  <c r="M627" i="1"/>
  <c r="M522" i="1"/>
  <c r="M724" i="1"/>
  <c r="K695" i="1"/>
  <c r="G701" i="13"/>
  <c r="J701" i="13" s="1"/>
  <c r="G707" i="13"/>
  <c r="J707" i="13" s="1"/>
  <c r="K701" i="1"/>
  <c r="N612" i="1"/>
  <c r="O612" i="1"/>
  <c r="N613" i="1"/>
  <c r="O613" i="1"/>
  <c r="G630" i="13"/>
  <c r="J621" i="13"/>
  <c r="J630" i="13" s="1"/>
  <c r="K735" i="1"/>
  <c r="G741" i="13"/>
  <c r="J741" i="13" s="1"/>
  <c r="N456" i="1"/>
  <c r="K458" i="1"/>
  <c r="N458" i="1" s="1"/>
  <c r="L684" i="1"/>
  <c r="G574" i="13"/>
  <c r="K569" i="1"/>
  <c r="L571" i="1"/>
  <c r="G459" i="13"/>
  <c r="J456" i="13"/>
  <c r="J459" i="13" s="1"/>
  <c r="K455" i="1"/>
  <c r="N455" i="1" s="1"/>
  <c r="N452" i="1"/>
  <c r="K563" i="1"/>
  <c r="N563" i="1" s="1"/>
  <c r="L678" i="1"/>
  <c r="N446" i="1"/>
  <c r="K451" i="1"/>
  <c r="N451" i="1" s="1"/>
  <c r="L564" i="1"/>
  <c r="L674" i="1"/>
  <c r="G565" i="13"/>
  <c r="K559" i="1"/>
  <c r="L667" i="1"/>
  <c r="K552" i="1"/>
  <c r="N552" i="1" s="1"/>
  <c r="G558" i="13"/>
  <c r="J558" i="13" s="1"/>
  <c r="G447" i="13"/>
  <c r="J443" i="13"/>
  <c r="J447" i="13" s="1"/>
  <c r="G442" i="13"/>
  <c r="J439" i="13"/>
  <c r="J442" i="13" s="1"/>
  <c r="K437" i="1"/>
  <c r="N434" i="1"/>
  <c r="K541" i="1"/>
  <c r="N541" i="1" s="1"/>
  <c r="L656" i="1"/>
  <c r="G547" i="13"/>
  <c r="J547" i="13" s="1"/>
  <c r="L654" i="1"/>
  <c r="K539" i="1"/>
  <c r="N539" i="1" s="1"/>
  <c r="G545" i="13"/>
  <c r="J545" i="13" s="1"/>
  <c r="K537" i="1"/>
  <c r="N537" i="1" s="1"/>
  <c r="L652" i="1"/>
  <c r="G543" i="13"/>
  <c r="J543" i="13" s="1"/>
  <c r="L641" i="1"/>
  <c r="K526" i="1"/>
  <c r="G532" i="13"/>
  <c r="J532" i="13" s="1"/>
  <c r="K518" i="1"/>
  <c r="N518" i="1" s="1"/>
  <c r="L633" i="1"/>
  <c r="G524" i="13"/>
  <c r="J524" i="13" s="1"/>
  <c r="N581" i="1"/>
  <c r="O581" i="1"/>
  <c r="J589" i="13"/>
  <c r="J596" i="13" s="1"/>
  <c r="G596" i="13"/>
  <c r="N594" i="1"/>
  <c r="O594" i="1"/>
  <c r="N595" i="1"/>
  <c r="O595" i="1"/>
  <c r="N607" i="1"/>
  <c r="O607" i="1"/>
  <c r="G728" i="13"/>
  <c r="J728" i="13" s="1"/>
  <c r="K722" i="1"/>
  <c r="K726" i="1"/>
  <c r="G732" i="13"/>
  <c r="J732" i="13" s="1"/>
  <c r="M684" i="1"/>
  <c r="M571" i="1"/>
  <c r="O569" i="1"/>
  <c r="M682" i="1"/>
  <c r="M568" i="1"/>
  <c r="M680" i="1"/>
  <c r="M677" i="1"/>
  <c r="O447" i="1"/>
  <c r="O329" i="1"/>
  <c r="M459" i="1"/>
  <c r="M656" i="1"/>
  <c r="O316" i="1"/>
  <c r="M648" i="1"/>
  <c r="M430" i="1"/>
  <c r="O416" i="1"/>
  <c r="O412" i="1"/>
  <c r="O411" i="1"/>
  <c r="O417" i="1"/>
  <c r="M636" i="1"/>
  <c r="O407" i="1"/>
  <c r="O406" i="1"/>
  <c r="O405" i="1"/>
  <c r="O404" i="1"/>
  <c r="O402" i="1"/>
  <c r="N592" i="1"/>
  <c r="O592" i="1"/>
  <c r="N593" i="1"/>
  <c r="O593" i="1"/>
  <c r="N596" i="1"/>
  <c r="O596" i="1"/>
  <c r="N597" i="1"/>
  <c r="O597" i="1"/>
  <c r="J403" i="13"/>
  <c r="I60" i="15"/>
  <c r="I63" i="15" s="1"/>
  <c r="D61" i="15"/>
  <c r="E61" i="15" s="1"/>
  <c r="N397" i="1"/>
  <c r="O397" i="1"/>
  <c r="N616" i="1"/>
  <c r="O616" i="1"/>
  <c r="L676" i="1"/>
  <c r="K561" i="1"/>
  <c r="N561" i="1" s="1"/>
  <c r="G567" i="13"/>
  <c r="J567" i="13" s="1"/>
  <c r="K445" i="1"/>
  <c r="N445" i="1" s="1"/>
  <c r="N443" i="1"/>
  <c r="G562" i="13"/>
  <c r="L671" i="1"/>
  <c r="L558" i="1"/>
  <c r="K556" i="1"/>
  <c r="L655" i="1"/>
  <c r="K540" i="1"/>
  <c r="N540" i="1" s="1"/>
  <c r="G546" i="13"/>
  <c r="J546" i="13" s="1"/>
  <c r="K538" i="1"/>
  <c r="N538" i="1" s="1"/>
  <c r="L653" i="1"/>
  <c r="G544" i="13"/>
  <c r="J544" i="13" s="1"/>
  <c r="G321" i="13"/>
  <c r="K528" i="1"/>
  <c r="L643" i="1"/>
  <c r="G534" i="13"/>
  <c r="J534" i="13" s="1"/>
  <c r="L636" i="1"/>
  <c r="G527" i="13"/>
  <c r="J527" i="13" s="1"/>
  <c r="K521" i="1"/>
  <c r="N521" i="1" s="1"/>
  <c r="J404" i="13"/>
  <c r="J414" i="13" s="1"/>
  <c r="G414" i="13"/>
  <c r="L627" i="1"/>
  <c r="G518" i="13"/>
  <c r="L522" i="1"/>
  <c r="K512" i="1"/>
  <c r="O296" i="1"/>
  <c r="N296" i="1"/>
  <c r="K305" i="1"/>
  <c r="J500" i="13"/>
  <c r="K494" i="1"/>
  <c r="N469" i="1"/>
  <c r="O469" i="1"/>
  <c r="G604" i="13"/>
  <c r="J597" i="13"/>
  <c r="J604" i="13" s="1"/>
  <c r="L713" i="1"/>
  <c r="K706" i="1"/>
  <c r="G712" i="13"/>
  <c r="N485" i="1"/>
  <c r="O485" i="1"/>
  <c r="M685" i="1"/>
  <c r="O332" i="1"/>
  <c r="O440" i="1"/>
  <c r="O304" i="1"/>
  <c r="N605" i="1"/>
  <c r="K608" i="1"/>
  <c r="O605" i="1"/>
  <c r="G726" i="13"/>
  <c r="K720" i="1"/>
  <c r="L723" i="1"/>
  <c r="N493" i="1"/>
  <c r="O493" i="1"/>
  <c r="G706" i="13"/>
  <c r="J706" i="13" s="1"/>
  <c r="K700" i="1"/>
  <c r="L609" i="1"/>
  <c r="L626" i="1" s="1"/>
  <c r="G720" i="13"/>
  <c r="K714" i="1"/>
  <c r="K719" i="1" s="1"/>
  <c r="L675" i="1"/>
  <c r="G566" i="13"/>
  <c r="J566" i="13" s="1"/>
  <c r="K560" i="1"/>
  <c r="N560" i="1" s="1"/>
  <c r="K234" i="1"/>
  <c r="D37" i="15" s="1"/>
  <c r="N233" i="1"/>
  <c r="N234" i="1" s="1"/>
  <c r="L639" i="1"/>
  <c r="K524" i="1"/>
  <c r="N524" i="1" s="1"/>
  <c r="G530" i="13"/>
  <c r="J530" i="13" s="1"/>
  <c r="K516" i="1"/>
  <c r="N516" i="1" s="1"/>
  <c r="L631" i="1"/>
  <c r="G522" i="13"/>
  <c r="J522" i="13" s="1"/>
  <c r="G309" i="13"/>
  <c r="K206" i="1"/>
  <c r="O192" i="1"/>
  <c r="N192" i="1"/>
  <c r="I366" i="16"/>
  <c r="J62" i="15" s="1"/>
  <c r="J63" i="15" s="1"/>
  <c r="I585" i="16"/>
  <c r="I555" i="16"/>
  <c r="I424" i="16"/>
  <c r="J67" i="15" s="1"/>
  <c r="J69" i="15" s="1"/>
  <c r="F539" i="16"/>
  <c r="I446" i="16"/>
  <c r="I444" i="16"/>
  <c r="F537" i="16"/>
  <c r="F535" i="16"/>
  <c r="I442" i="16"/>
  <c r="F533" i="16"/>
  <c r="I440" i="16"/>
  <c r="F530" i="16"/>
  <c r="I437" i="16"/>
  <c r="F528" i="16"/>
  <c r="I435" i="16"/>
  <c r="F526" i="16"/>
  <c r="I433" i="16"/>
  <c r="F447" i="16"/>
  <c r="F583" i="16"/>
  <c r="I490" i="16"/>
  <c r="F581" i="16"/>
  <c r="I488" i="16"/>
  <c r="F579" i="16"/>
  <c r="I486" i="16"/>
  <c r="F577" i="16"/>
  <c r="I484" i="16"/>
  <c r="F575" i="16"/>
  <c r="I482" i="16"/>
  <c r="F573" i="16"/>
  <c r="I480" i="16"/>
  <c r="F571" i="16"/>
  <c r="I478" i="16"/>
  <c r="F569" i="16"/>
  <c r="I476" i="16"/>
  <c r="F567" i="16"/>
  <c r="I474" i="16"/>
  <c r="F582" i="16"/>
  <c r="I489" i="16"/>
  <c r="F580" i="16"/>
  <c r="I487" i="16"/>
  <c r="F578" i="16"/>
  <c r="I485" i="16"/>
  <c r="F576" i="16"/>
  <c r="I483" i="16"/>
  <c r="F574" i="16"/>
  <c r="I481" i="16"/>
  <c r="F572" i="16"/>
  <c r="I479" i="16"/>
  <c r="F570" i="16"/>
  <c r="I477" i="16"/>
  <c r="F568" i="16"/>
  <c r="I475" i="16"/>
  <c r="F566" i="16"/>
  <c r="I473" i="16"/>
  <c r="F565" i="16"/>
  <c r="I472" i="16"/>
  <c r="F563" i="16"/>
  <c r="I470" i="16"/>
  <c r="F561" i="16"/>
  <c r="I468" i="16"/>
  <c r="F559" i="16"/>
  <c r="I466" i="16"/>
  <c r="F558" i="16"/>
  <c r="I465" i="16"/>
  <c r="F557" i="16"/>
  <c r="I464" i="16"/>
  <c r="I515" i="16"/>
  <c r="F609" i="16"/>
  <c r="I513" i="16"/>
  <c r="F607" i="16"/>
  <c r="I511" i="16"/>
  <c r="F605" i="16"/>
  <c r="I509" i="16"/>
  <c r="F603" i="16"/>
  <c r="I507" i="16"/>
  <c r="F601" i="16"/>
  <c r="I505" i="16"/>
  <c r="F599" i="16"/>
  <c r="I503" i="16"/>
  <c r="F597" i="16"/>
  <c r="I501" i="16"/>
  <c r="F595" i="16"/>
  <c r="I499" i="16"/>
  <c r="F593" i="16"/>
  <c r="I497" i="16"/>
  <c r="F591" i="16"/>
  <c r="I495" i="16"/>
  <c r="F588" i="16"/>
  <c r="I493" i="16"/>
  <c r="F586" i="16"/>
  <c r="I452" i="16"/>
  <c r="F545" i="16"/>
  <c r="I450" i="16"/>
  <c r="F543" i="16"/>
  <c r="F538" i="16"/>
  <c r="I445" i="16"/>
  <c r="F536" i="16"/>
  <c r="I443" i="16"/>
  <c r="F534" i="16"/>
  <c r="I441" i="16"/>
  <c r="F531" i="16"/>
  <c r="I438" i="16"/>
  <c r="F529" i="16"/>
  <c r="I436" i="16"/>
  <c r="F527" i="16"/>
  <c r="F621" i="16" s="1"/>
  <c r="I434" i="16"/>
  <c r="I516" i="16"/>
  <c r="F610" i="16"/>
  <c r="I512" i="16"/>
  <c r="F606" i="16"/>
  <c r="I510" i="16"/>
  <c r="F604" i="16"/>
  <c r="I508" i="16"/>
  <c r="F602" i="16"/>
  <c r="I506" i="16"/>
  <c r="F600" i="16"/>
  <c r="I504" i="16"/>
  <c r="F598" i="16"/>
  <c r="I502" i="16"/>
  <c r="F596" i="16"/>
  <c r="I500" i="16"/>
  <c r="F594" i="16"/>
  <c r="I498" i="16"/>
  <c r="F592" i="16"/>
  <c r="I496" i="16"/>
  <c r="F590" i="16"/>
  <c r="I494" i="16"/>
  <c r="F587" i="16"/>
  <c r="F550" i="16"/>
  <c r="I457" i="16"/>
  <c r="F459" i="16"/>
  <c r="F548" i="16"/>
  <c r="F642" i="16" s="1"/>
  <c r="I455" i="16"/>
  <c r="F546" i="16"/>
  <c r="I453" i="16"/>
  <c r="F544" i="16"/>
  <c r="I451" i="16"/>
  <c r="F542" i="16"/>
  <c r="F636" i="16" s="1"/>
  <c r="I449" i="16"/>
  <c r="F564" i="16"/>
  <c r="I471" i="16"/>
  <c r="F562" i="16"/>
  <c r="I469" i="16"/>
  <c r="F560" i="16"/>
  <c r="I467" i="16"/>
  <c r="F556" i="16"/>
  <c r="I463" i="16"/>
  <c r="F551" i="16"/>
  <c r="I458" i="16"/>
  <c r="F549" i="16"/>
  <c r="I456" i="16"/>
  <c r="F454" i="16"/>
  <c r="J48" i="15"/>
  <c r="J52" i="15"/>
  <c r="J54" i="15" s="1"/>
  <c r="F368" i="16"/>
  <c r="F427" i="16" s="1"/>
  <c r="I272" i="16"/>
  <c r="I334" i="16" s="1"/>
  <c r="M91" i="17"/>
  <c r="N91" i="17"/>
  <c r="J135" i="17"/>
  <c r="P36" i="17"/>
  <c r="P37" i="17" s="1"/>
  <c r="N342" i="14"/>
  <c r="P342" i="14" s="1"/>
  <c r="N344" i="14"/>
  <c r="P344" i="14" s="1"/>
  <c r="N346" i="14"/>
  <c r="P346" i="14" s="1"/>
  <c r="N341" i="14"/>
  <c r="P341" i="14" s="1"/>
  <c r="N345" i="14"/>
  <c r="P345" i="14" s="1"/>
  <c r="N64" i="17"/>
  <c r="N56" i="17"/>
  <c r="F36" i="17"/>
  <c r="I36" i="17" s="1"/>
  <c r="M23" i="17"/>
  <c r="N23" i="17"/>
  <c r="M14" i="17"/>
  <c r="N14" i="17"/>
  <c r="Q14" i="17"/>
  <c r="N21" i="17"/>
  <c r="Q23" i="17"/>
  <c r="N25" i="17"/>
  <c r="N30" i="17"/>
  <c r="N60" i="17"/>
  <c r="N66" i="17"/>
  <c r="J18" i="17"/>
  <c r="M18" i="17" s="1"/>
  <c r="H28" i="17"/>
  <c r="H72" i="17" s="1"/>
  <c r="I29" i="17"/>
  <c r="J35" i="17"/>
  <c r="M35" i="17" s="1"/>
  <c r="J46" i="17"/>
  <c r="M46" i="17" s="1"/>
  <c r="J52" i="17"/>
  <c r="M52" i="17" s="1"/>
  <c r="J54" i="17"/>
  <c r="M54" i="17" s="1"/>
  <c r="E58" i="1"/>
  <c r="C16" i="15" s="1"/>
  <c r="E42" i="1"/>
  <c r="C15" i="15" s="1"/>
  <c r="I42" i="1"/>
  <c r="J37" i="1"/>
  <c r="E79" i="1"/>
  <c r="E93" i="1" s="1"/>
  <c r="E94" i="1" s="1"/>
  <c r="C19" i="15" s="1"/>
  <c r="C21" i="15" s="1"/>
  <c r="K92" i="1"/>
  <c r="N92" i="1" s="1"/>
  <c r="H120" i="1"/>
  <c r="H121" i="1" s="1"/>
  <c r="G119" i="1"/>
  <c r="J119" i="1" s="1"/>
  <c r="K55" i="1"/>
  <c r="H54" i="16"/>
  <c r="E56" i="16"/>
  <c r="E118" i="16" s="1"/>
  <c r="H115" i="16"/>
  <c r="H31" i="16"/>
  <c r="H89" i="16"/>
  <c r="I79" i="1"/>
  <c r="I93" i="1" s="1"/>
  <c r="I94" i="1" s="1"/>
  <c r="J34" i="1"/>
  <c r="F27" i="13"/>
  <c r="F39" i="13"/>
  <c r="F49" i="13"/>
  <c r="G25" i="1"/>
  <c r="J25" i="1" s="1"/>
  <c r="H79" i="1"/>
  <c r="H93" i="1" s="1"/>
  <c r="H94" i="1" s="1"/>
  <c r="J62" i="17"/>
  <c r="M62" i="17" s="1"/>
  <c r="J39" i="17"/>
  <c r="M39" i="17" s="1"/>
  <c r="J95" i="1"/>
  <c r="G28" i="17"/>
  <c r="G72" i="17" s="1"/>
  <c r="K19" i="17"/>
  <c r="G15" i="15" s="1"/>
  <c r="F43" i="13"/>
  <c r="F100" i="13"/>
  <c r="F117" i="13"/>
  <c r="G17" i="1"/>
  <c r="J17" i="1" s="1"/>
  <c r="G41" i="1"/>
  <c r="J41" i="1" s="1"/>
  <c r="F35" i="13"/>
  <c r="F72" i="13"/>
  <c r="F80" i="13"/>
  <c r="F85" i="13"/>
  <c r="F92" i="13"/>
  <c r="F105" i="13"/>
  <c r="F108" i="13"/>
  <c r="F113" i="13"/>
  <c r="F19" i="13"/>
  <c r="F59" i="13"/>
  <c r="N335" i="14"/>
  <c r="P335" i="14" s="1"/>
  <c r="N337" i="14"/>
  <c r="R337" i="14" s="1"/>
  <c r="N339" i="14"/>
  <c r="R339" i="14" s="1"/>
  <c r="N336" i="14"/>
  <c r="P336" i="14" s="1"/>
  <c r="N338" i="14"/>
  <c r="P338" i="14" s="1"/>
  <c r="N340" i="14"/>
  <c r="P340" i="14" s="1"/>
  <c r="R342" i="14"/>
  <c r="Q342" i="14"/>
  <c r="S342" i="14" s="1"/>
  <c r="O331" i="14"/>
  <c r="N331" i="14" s="1"/>
  <c r="M331" i="14"/>
  <c r="O333" i="14"/>
  <c r="N333" i="14" s="1"/>
  <c r="M333" i="14"/>
  <c r="M335" i="14"/>
  <c r="M336" i="14"/>
  <c r="M337" i="14"/>
  <c r="M338" i="14"/>
  <c r="M339" i="14"/>
  <c r="M340" i="14"/>
  <c r="M341" i="14"/>
  <c r="M342" i="14"/>
  <c r="O343" i="14"/>
  <c r="N343" i="14" s="1"/>
  <c r="M343" i="14"/>
  <c r="R344" i="14"/>
  <c r="R345" i="14"/>
  <c r="O332" i="14"/>
  <c r="N332" i="14" s="1"/>
  <c r="M332" i="14"/>
  <c r="L334" i="14"/>
  <c r="K334" i="14" s="1"/>
  <c r="C334" i="14"/>
  <c r="M344" i="14"/>
  <c r="M345" i="14"/>
  <c r="M346" i="14"/>
  <c r="H46" i="16"/>
  <c r="J58" i="17"/>
  <c r="M58" i="17" s="1"/>
  <c r="M48" i="17"/>
  <c r="N48" i="17"/>
  <c r="N41" i="17"/>
  <c r="N46" i="17"/>
  <c r="Q48" i="17"/>
  <c r="P70" i="17"/>
  <c r="P71" i="17" s="1"/>
  <c r="J44" i="17"/>
  <c r="N44" i="17" s="1"/>
  <c r="J50" i="17"/>
  <c r="M50" i="17" s="1"/>
  <c r="J32" i="17"/>
  <c r="M32" i="17" s="1"/>
  <c r="P27" i="17"/>
  <c r="J16" i="17"/>
  <c r="M16" i="17" s="1"/>
  <c r="Q17" i="17"/>
  <c r="J17" i="17"/>
  <c r="M17" i="17" s="1"/>
  <c r="F19" i="17"/>
  <c r="L19" i="17"/>
  <c r="Q22" i="17"/>
  <c r="J22" i="17"/>
  <c r="M22" i="17" s="1"/>
  <c r="Q26" i="17"/>
  <c r="J26" i="17"/>
  <c r="M26" i="17" s="1"/>
  <c r="F37" i="17"/>
  <c r="I37" i="17" s="1"/>
  <c r="N33" i="17"/>
  <c r="P19" i="17"/>
  <c r="Q15" i="17"/>
  <c r="J15" i="17"/>
  <c r="M15" i="17" s="1"/>
  <c r="F27" i="17"/>
  <c r="I27" i="17" s="1"/>
  <c r="Q20" i="17"/>
  <c r="J20" i="17"/>
  <c r="N20" i="17" s="1"/>
  <c r="K27" i="17"/>
  <c r="Q24" i="17"/>
  <c r="J24" i="17"/>
  <c r="M24" i="17" s="1"/>
  <c r="L37" i="17"/>
  <c r="Q33" i="17"/>
  <c r="Q36" i="17" s="1"/>
  <c r="K36" i="17"/>
  <c r="K37" i="17" s="1"/>
  <c r="G19" i="15" s="1"/>
  <c r="G21" i="15" s="1"/>
  <c r="Q44" i="17"/>
  <c r="Q47" i="17"/>
  <c r="J47" i="17"/>
  <c r="M47" i="17" s="1"/>
  <c r="Q51" i="17"/>
  <c r="J51" i="17"/>
  <c r="M51" i="17" s="1"/>
  <c r="Q55" i="17"/>
  <c r="J55" i="17"/>
  <c r="M55" i="17" s="1"/>
  <c r="Q59" i="17"/>
  <c r="J59" i="17"/>
  <c r="M59" i="17" s="1"/>
  <c r="Q63" i="17"/>
  <c r="J63" i="17"/>
  <c r="M63" i="17" s="1"/>
  <c r="Q67" i="17"/>
  <c r="J67" i="17"/>
  <c r="M67" i="17" s="1"/>
  <c r="D72" i="17"/>
  <c r="J29" i="17"/>
  <c r="N29" i="17" s="1"/>
  <c r="J31" i="17"/>
  <c r="M31" i="17" s="1"/>
  <c r="J34" i="17"/>
  <c r="M34" i="17" s="1"/>
  <c r="F70" i="17"/>
  <c r="J38" i="17"/>
  <c r="N38" i="17" s="1"/>
  <c r="Q38" i="17"/>
  <c r="J40" i="17"/>
  <c r="M40" i="17" s="1"/>
  <c r="Q43" i="17"/>
  <c r="J43" i="17"/>
  <c r="M43" i="17" s="1"/>
  <c r="Q45" i="17"/>
  <c r="J45" i="17"/>
  <c r="M45" i="17" s="1"/>
  <c r="Q49" i="17"/>
  <c r="J49" i="17"/>
  <c r="M49" i="17" s="1"/>
  <c r="Q53" i="17"/>
  <c r="J53" i="17"/>
  <c r="M53" i="17" s="1"/>
  <c r="Q57" i="17"/>
  <c r="J57" i="17"/>
  <c r="M57" i="17" s="1"/>
  <c r="Q61" i="17"/>
  <c r="J61" i="17"/>
  <c r="M61" i="17" s="1"/>
  <c r="Q65" i="17"/>
  <c r="J65" i="17"/>
  <c r="M65" i="17" s="1"/>
  <c r="Q69" i="17"/>
  <c r="J69" i="17"/>
  <c r="M69" i="17" s="1"/>
  <c r="J15" i="13"/>
  <c r="I52" i="13"/>
  <c r="I59" i="13" s="1"/>
  <c r="I62" i="13"/>
  <c r="I72" i="13" s="1"/>
  <c r="I73" i="13"/>
  <c r="I80" i="13" s="1"/>
  <c r="I83" i="13"/>
  <c r="I85" i="13" s="1"/>
  <c r="I86" i="13"/>
  <c r="I92" i="13" s="1"/>
  <c r="I97" i="13"/>
  <c r="I100" i="13" s="1"/>
  <c r="I115" i="13"/>
  <c r="I117" i="13" s="1"/>
  <c r="I15" i="13"/>
  <c r="I19" i="13" s="1"/>
  <c r="I20" i="13"/>
  <c r="I27" i="13" s="1"/>
  <c r="I28" i="13"/>
  <c r="I35" i="13" s="1"/>
  <c r="I36" i="13"/>
  <c r="I39" i="13" s="1"/>
  <c r="I40" i="13"/>
  <c r="I43" i="13" s="1"/>
  <c r="I45" i="13"/>
  <c r="I49" i="13" s="1"/>
  <c r="I101" i="13"/>
  <c r="I105" i="13" s="1"/>
  <c r="I106" i="13"/>
  <c r="I108" i="13" s="1"/>
  <c r="I109" i="13"/>
  <c r="I113" i="13" s="1"/>
  <c r="I58" i="1"/>
  <c r="G33" i="1"/>
  <c r="J33" i="1" s="1"/>
  <c r="G47" i="1"/>
  <c r="K13" i="1"/>
  <c r="H42" i="1"/>
  <c r="J38" i="1"/>
  <c r="H58" i="1"/>
  <c r="G57" i="1"/>
  <c r="J48" i="1"/>
  <c r="G70" i="1"/>
  <c r="G78" i="1"/>
  <c r="J78" i="1" s="1"/>
  <c r="G83" i="1"/>
  <c r="J80" i="1"/>
  <c r="G90" i="1"/>
  <c r="J90" i="1" s="1"/>
  <c r="E120" i="1"/>
  <c r="E121" i="1" s="1"/>
  <c r="C22" i="15" s="1"/>
  <c r="C24" i="15" s="1"/>
  <c r="I120" i="1"/>
  <c r="I121" i="1" s="1"/>
  <c r="G103" i="1"/>
  <c r="J103" i="1" s="1"/>
  <c r="J99" i="1"/>
  <c r="G106" i="1"/>
  <c r="J106" i="1" s="1"/>
  <c r="J104" i="1"/>
  <c r="G112" i="1"/>
  <c r="J112" i="1" s="1"/>
  <c r="G116" i="1"/>
  <c r="J116" i="1" s="1"/>
  <c r="N1156" i="1" l="1"/>
  <c r="O1156" i="1"/>
  <c r="L1317" i="1"/>
  <c r="G1206" i="13"/>
  <c r="J1206" i="13" s="1"/>
  <c r="K1200" i="1"/>
  <c r="L1281" i="1"/>
  <c r="G1170" i="13"/>
  <c r="J1170" i="13" s="1"/>
  <c r="K1164" i="1"/>
  <c r="L1274" i="1"/>
  <c r="G1163" i="13"/>
  <c r="J1163" i="13" s="1"/>
  <c r="K1157" i="1"/>
  <c r="L1318" i="1"/>
  <c r="G1207" i="13"/>
  <c r="J1207" i="13" s="1"/>
  <c r="K1201" i="1"/>
  <c r="L1319" i="1"/>
  <c r="G1208" i="13"/>
  <c r="J1208" i="13" s="1"/>
  <c r="K1202" i="1"/>
  <c r="L1290" i="1"/>
  <c r="G1179" i="13"/>
  <c r="J1179" i="13" s="1"/>
  <c r="K1173" i="1"/>
  <c r="L1289" i="1"/>
  <c r="G1178" i="13"/>
  <c r="J1178" i="13" s="1"/>
  <c r="K1172" i="1"/>
  <c r="L1315" i="1"/>
  <c r="G1204" i="13"/>
  <c r="J1204" i="13" s="1"/>
  <c r="K1198" i="1"/>
  <c r="L1282" i="1"/>
  <c r="K1165" i="1"/>
  <c r="G1171" i="13"/>
  <c r="J1171" i="13" s="1"/>
  <c r="L1308" i="1"/>
  <c r="G1197" i="13"/>
  <c r="J1197" i="13" s="1"/>
  <c r="K1191" i="1"/>
  <c r="L1304" i="1"/>
  <c r="G1193" i="13"/>
  <c r="J1193" i="13" s="1"/>
  <c r="K1187" i="1"/>
  <c r="L1412" i="1"/>
  <c r="G1301" i="13"/>
  <c r="J1301" i="13" s="1"/>
  <c r="M1398" i="1"/>
  <c r="M1407" i="1"/>
  <c r="M1408" i="1"/>
  <c r="M1396" i="1"/>
  <c r="M1430" i="1"/>
  <c r="M1413" i="1"/>
  <c r="M1393" i="1"/>
  <c r="M1509" i="1"/>
  <c r="M1435" i="1"/>
  <c r="M1400" i="1"/>
  <c r="M1420" i="1"/>
  <c r="M1399" i="1"/>
  <c r="M1401" i="1"/>
  <c r="M1429" i="1"/>
  <c r="K1183" i="1"/>
  <c r="L1300" i="1"/>
  <c r="G1189" i="13"/>
  <c r="J1189" i="13" s="1"/>
  <c r="K1171" i="1"/>
  <c r="L1288" i="1"/>
  <c r="G1177" i="13"/>
  <c r="J1177" i="13" s="1"/>
  <c r="K1170" i="1"/>
  <c r="L1287" i="1"/>
  <c r="G1176" i="13"/>
  <c r="J1176" i="13" s="1"/>
  <c r="L1283" i="1"/>
  <c r="G1172" i="13"/>
  <c r="J1172" i="13" s="1"/>
  <c r="K1166" i="1"/>
  <c r="L1313" i="1"/>
  <c r="G1202" i="13"/>
  <c r="J1202" i="13" s="1"/>
  <c r="K1196" i="1"/>
  <c r="G1199" i="13"/>
  <c r="J1199" i="13" s="1"/>
  <c r="L1310" i="1"/>
  <c r="G1169" i="13"/>
  <c r="J1169" i="13" s="1"/>
  <c r="L1280" i="1"/>
  <c r="K1163" i="1"/>
  <c r="L1286" i="1"/>
  <c r="K1169" i="1"/>
  <c r="G1175" i="13"/>
  <c r="L1176" i="1"/>
  <c r="L1320" i="1"/>
  <c r="K1203" i="1"/>
  <c r="G1209" i="13"/>
  <c r="J1209" i="13" s="1"/>
  <c r="M1529" i="1"/>
  <c r="M1419" i="1"/>
  <c r="M1305" i="1"/>
  <c r="M1404" i="1"/>
  <c r="N1178" i="1"/>
  <c r="O1178" i="1"/>
  <c r="F713" i="16"/>
  <c r="I619" i="16"/>
  <c r="M1806" i="1"/>
  <c r="M1427" i="1"/>
  <c r="O92" i="1"/>
  <c r="I368" i="16"/>
  <c r="I454" i="16"/>
  <c r="J70" i="15"/>
  <c r="M1335" i="1"/>
  <c r="L1275" i="1"/>
  <c r="G1164" i="13"/>
  <c r="J1164" i="13" s="1"/>
  <c r="K1158" i="1"/>
  <c r="L1284" i="1"/>
  <c r="K1167" i="1"/>
  <c r="G1173" i="13"/>
  <c r="J1173" i="13" s="1"/>
  <c r="L1303" i="1"/>
  <c r="K1186" i="1"/>
  <c r="G1192" i="13"/>
  <c r="J1192" i="13" s="1"/>
  <c r="L1307" i="1"/>
  <c r="G1196" i="13"/>
  <c r="L1194" i="1"/>
  <c r="L1205" i="1" s="1"/>
  <c r="K1190" i="1"/>
  <c r="K1179" i="1"/>
  <c r="L1296" i="1"/>
  <c r="G1185" i="13"/>
  <c r="J1185" i="13" s="1"/>
  <c r="G1162" i="13"/>
  <c r="L1273" i="1"/>
  <c r="L1160" i="1"/>
  <c r="K1185" i="1"/>
  <c r="L1302" i="1"/>
  <c r="G1191" i="13"/>
  <c r="L1188" i="1"/>
  <c r="L1276" i="1"/>
  <c r="G1165" i="13"/>
  <c r="J1165" i="13" s="1"/>
  <c r="K1159" i="1"/>
  <c r="L1309" i="1"/>
  <c r="K1192" i="1"/>
  <c r="G1198" i="13"/>
  <c r="J1198" i="13" s="1"/>
  <c r="M2021" i="1"/>
  <c r="K1295" i="1"/>
  <c r="M1395" i="1"/>
  <c r="M1285" i="1"/>
  <c r="M1307" i="1"/>
  <c r="M1194" i="1"/>
  <c r="O1190" i="1"/>
  <c r="M1403" i="1"/>
  <c r="M1293" i="1"/>
  <c r="M1189" i="1"/>
  <c r="M1434" i="1"/>
  <c r="M1421" i="1"/>
  <c r="M1409" i="1"/>
  <c r="M1425" i="1"/>
  <c r="M1431" i="1"/>
  <c r="M1432" i="1"/>
  <c r="M1406" i="1"/>
  <c r="M1417" i="1"/>
  <c r="M1550" i="1"/>
  <c r="M1426" i="1"/>
  <c r="M1391" i="1"/>
  <c r="K1193" i="1"/>
  <c r="M1437" i="1"/>
  <c r="M1294" i="1"/>
  <c r="M1184" i="1"/>
  <c r="K1175" i="1"/>
  <c r="L1292" i="1"/>
  <c r="G1181" i="13"/>
  <c r="J1181" i="13" s="1"/>
  <c r="K1174" i="1"/>
  <c r="L1291" i="1"/>
  <c r="G1180" i="13"/>
  <c r="J1180" i="13" s="1"/>
  <c r="L1279" i="1"/>
  <c r="G1168" i="13"/>
  <c r="J1168" i="13" s="1"/>
  <c r="K1162" i="1"/>
  <c r="L1314" i="1"/>
  <c r="G1203" i="13"/>
  <c r="J1203" i="13" s="1"/>
  <c r="K1197" i="1"/>
  <c r="K1161" i="1"/>
  <c r="L1278" i="1"/>
  <c r="G1167" i="13"/>
  <c r="L1168" i="1"/>
  <c r="L1312" i="1"/>
  <c r="K1195" i="1"/>
  <c r="G1201" i="13"/>
  <c r="L1316" i="1"/>
  <c r="K1199" i="1"/>
  <c r="G1205" i="13"/>
  <c r="J1205" i="13" s="1"/>
  <c r="N314" i="17"/>
  <c r="N273" i="17"/>
  <c r="M1397" i="1"/>
  <c r="M1522" i="1"/>
  <c r="M1390" i="1"/>
  <c r="M1277" i="1"/>
  <c r="M1808" i="1"/>
  <c r="I550" i="16"/>
  <c r="F644" i="16"/>
  <c r="F715" i="16"/>
  <c r="I621" i="16"/>
  <c r="I529" i="16"/>
  <c r="F623" i="16"/>
  <c r="I531" i="16"/>
  <c r="F625" i="16"/>
  <c r="I534" i="16"/>
  <c r="F628" i="16"/>
  <c r="I536" i="16"/>
  <c r="F630" i="16"/>
  <c r="I538" i="16"/>
  <c r="F632" i="16"/>
  <c r="I557" i="16"/>
  <c r="F651" i="16"/>
  <c r="I558" i="16"/>
  <c r="F652" i="16"/>
  <c r="I559" i="16"/>
  <c r="F653" i="16"/>
  <c r="I561" i="16"/>
  <c r="F655" i="16"/>
  <c r="I563" i="16"/>
  <c r="F657" i="16"/>
  <c r="I565" i="16"/>
  <c r="F659" i="16"/>
  <c r="I566" i="16"/>
  <c r="F660" i="16"/>
  <c r="I568" i="16"/>
  <c r="F662" i="16"/>
  <c r="I570" i="16"/>
  <c r="F664" i="16"/>
  <c r="I572" i="16"/>
  <c r="F666" i="16"/>
  <c r="I574" i="16"/>
  <c r="F668" i="16"/>
  <c r="I576" i="16"/>
  <c r="F670" i="16"/>
  <c r="I578" i="16"/>
  <c r="F672" i="16"/>
  <c r="I580" i="16"/>
  <c r="F674" i="16"/>
  <c r="I582" i="16"/>
  <c r="F676" i="16"/>
  <c r="I567" i="16"/>
  <c r="F661" i="16"/>
  <c r="I569" i="16"/>
  <c r="F663" i="16"/>
  <c r="I571" i="16"/>
  <c r="F665" i="16"/>
  <c r="I573" i="16"/>
  <c r="F667" i="16"/>
  <c r="I575" i="16"/>
  <c r="F669" i="16"/>
  <c r="I577" i="16"/>
  <c r="F671" i="16"/>
  <c r="I579" i="16"/>
  <c r="F673" i="16"/>
  <c r="I581" i="16"/>
  <c r="F675" i="16"/>
  <c r="I583" i="16"/>
  <c r="F677" i="16"/>
  <c r="I537" i="16"/>
  <c r="F631" i="16"/>
  <c r="F729" i="16"/>
  <c r="I635" i="16"/>
  <c r="I626" i="16"/>
  <c r="F720" i="16"/>
  <c r="I549" i="16"/>
  <c r="F643" i="16"/>
  <c r="I551" i="16"/>
  <c r="F645" i="16"/>
  <c r="I556" i="16"/>
  <c r="F650" i="16"/>
  <c r="I560" i="16"/>
  <c r="F654" i="16"/>
  <c r="I562" i="16"/>
  <c r="F656" i="16"/>
  <c r="I564" i="16"/>
  <c r="F658" i="16"/>
  <c r="F730" i="16"/>
  <c r="I636" i="16"/>
  <c r="I544" i="16"/>
  <c r="F638" i="16"/>
  <c r="I546" i="16"/>
  <c r="F640" i="16"/>
  <c r="F736" i="16"/>
  <c r="I642" i="16"/>
  <c r="I587" i="16"/>
  <c r="F681" i="16"/>
  <c r="I590" i="16"/>
  <c r="F684" i="16"/>
  <c r="I592" i="16"/>
  <c r="F686" i="16"/>
  <c r="I594" i="16"/>
  <c r="F688" i="16"/>
  <c r="I596" i="16"/>
  <c r="F690" i="16"/>
  <c r="I598" i="16"/>
  <c r="F692" i="16"/>
  <c r="I600" i="16"/>
  <c r="F694" i="16"/>
  <c r="I602" i="16"/>
  <c r="F696" i="16"/>
  <c r="I604" i="16"/>
  <c r="F698" i="16"/>
  <c r="I606" i="16"/>
  <c r="F700" i="16"/>
  <c r="I610" i="16"/>
  <c r="F704" i="16"/>
  <c r="I543" i="16"/>
  <c r="F637" i="16"/>
  <c r="I545" i="16"/>
  <c r="F639" i="16"/>
  <c r="I586" i="16"/>
  <c r="F680" i="16"/>
  <c r="I588" i="16"/>
  <c r="F682" i="16"/>
  <c r="I591" i="16"/>
  <c r="F685" i="16"/>
  <c r="I593" i="16"/>
  <c r="F687" i="16"/>
  <c r="I595" i="16"/>
  <c r="F689" i="16"/>
  <c r="I597" i="16"/>
  <c r="F691" i="16"/>
  <c r="I599" i="16"/>
  <c r="F693" i="16"/>
  <c r="I601" i="16"/>
  <c r="F695" i="16"/>
  <c r="I603" i="16"/>
  <c r="F697" i="16"/>
  <c r="I605" i="16"/>
  <c r="F699" i="16"/>
  <c r="I607" i="16"/>
  <c r="F701" i="16"/>
  <c r="I609" i="16"/>
  <c r="F703" i="16"/>
  <c r="I526" i="16"/>
  <c r="F620" i="16"/>
  <c r="I528" i="16"/>
  <c r="F622" i="16"/>
  <c r="I530" i="16"/>
  <c r="F624" i="16"/>
  <c r="I533" i="16"/>
  <c r="F627" i="16"/>
  <c r="I535" i="16"/>
  <c r="F629" i="16"/>
  <c r="I539" i="16"/>
  <c r="F633" i="16"/>
  <c r="I743" i="16"/>
  <c r="F837" i="16"/>
  <c r="I773" i="16"/>
  <c r="F867" i="16"/>
  <c r="N268" i="17"/>
  <c r="N277" i="17"/>
  <c r="N291" i="17"/>
  <c r="K334" i="17"/>
  <c r="G90" i="15" s="1"/>
  <c r="N67" i="17"/>
  <c r="N304" i="17"/>
  <c r="G70" i="15"/>
  <c r="Q279" i="17"/>
  <c r="H76" i="15" s="1"/>
  <c r="L928" i="17"/>
  <c r="N59" i="17"/>
  <c r="N316" i="17"/>
  <c r="H63" i="15"/>
  <c r="H70" i="15" s="1"/>
  <c r="N163" i="17"/>
  <c r="N275" i="17"/>
  <c r="Q271" i="17"/>
  <c r="H75" i="15" s="1"/>
  <c r="L392" i="17"/>
  <c r="K392" i="17"/>
  <c r="Q329" i="17"/>
  <c r="J329" i="17"/>
  <c r="M329" i="17" s="1"/>
  <c r="L394" i="17"/>
  <c r="L458" i="17"/>
  <c r="L398" i="17"/>
  <c r="L342" i="17"/>
  <c r="M272" i="17"/>
  <c r="J279" i="17"/>
  <c r="N279" i="17" s="1"/>
  <c r="K323" i="17"/>
  <c r="G82" i="15"/>
  <c r="G84" i="15" s="1"/>
  <c r="K416" i="17"/>
  <c r="J353" i="17"/>
  <c r="Q353" i="17"/>
  <c r="K385" i="17"/>
  <c r="K386" i="17" s="1"/>
  <c r="M302" i="17"/>
  <c r="N302" i="17"/>
  <c r="L393" i="17"/>
  <c r="L334" i="17"/>
  <c r="L417" i="17"/>
  <c r="K456" i="17"/>
  <c r="Q393" i="17"/>
  <c r="J393" i="17"/>
  <c r="Q338" i="17"/>
  <c r="K401" i="17"/>
  <c r="J338" i="17"/>
  <c r="M338" i="17" s="1"/>
  <c r="J288" i="17"/>
  <c r="M288" i="17" s="1"/>
  <c r="M281" i="17"/>
  <c r="K407" i="17"/>
  <c r="Q344" i="17"/>
  <c r="K351" i="17"/>
  <c r="J344" i="17"/>
  <c r="M286" i="17"/>
  <c r="N286" i="17"/>
  <c r="Q356" i="17"/>
  <c r="K419" i="17"/>
  <c r="J356" i="17"/>
  <c r="M356" i="17" s="1"/>
  <c r="L463" i="17"/>
  <c r="N281" i="17"/>
  <c r="L289" i="17"/>
  <c r="N288" i="17"/>
  <c r="L413" i="17"/>
  <c r="J331" i="17"/>
  <c r="M331" i="17" s="1"/>
  <c r="K394" i="17"/>
  <c r="Q331" i="17"/>
  <c r="J198" i="17"/>
  <c r="M198" i="17" s="1"/>
  <c r="M197" i="17"/>
  <c r="N197" i="17"/>
  <c r="M303" i="17"/>
  <c r="N303" i="17"/>
  <c r="K429" i="17"/>
  <c r="J366" i="17"/>
  <c r="Q366" i="17"/>
  <c r="Q371" i="17"/>
  <c r="K434" i="17"/>
  <c r="J371" i="17"/>
  <c r="M371" i="17" s="1"/>
  <c r="M319" i="17"/>
  <c r="N319" i="17"/>
  <c r="K445" i="17"/>
  <c r="J382" i="17"/>
  <c r="Q382" i="17"/>
  <c r="L438" i="17"/>
  <c r="L444" i="17"/>
  <c r="K400" i="17"/>
  <c r="J337" i="17"/>
  <c r="Q337" i="17"/>
  <c r="M278" i="17"/>
  <c r="N278" i="17"/>
  <c r="L472" i="17"/>
  <c r="L410" i="17"/>
  <c r="L411" i="17"/>
  <c r="L475" i="17"/>
  <c r="M270" i="17"/>
  <c r="N270" i="17"/>
  <c r="K411" i="17"/>
  <c r="Q348" i="17"/>
  <c r="J348" i="17"/>
  <c r="K413" i="17"/>
  <c r="Q350" i="17"/>
  <c r="J350" i="17"/>
  <c r="M350" i="17" s="1"/>
  <c r="M292" i="17"/>
  <c r="N292" i="17"/>
  <c r="K446" i="17"/>
  <c r="Q383" i="17"/>
  <c r="J383" i="17"/>
  <c r="M383" i="17" s="1"/>
  <c r="L481" i="17"/>
  <c r="L419" i="17"/>
  <c r="L484" i="17"/>
  <c r="L802" i="17"/>
  <c r="L866" i="17" s="1"/>
  <c r="L486" i="17"/>
  <c r="L488" i="17"/>
  <c r="L426" i="17"/>
  <c r="L490" i="17"/>
  <c r="L492" i="17"/>
  <c r="L555" i="17" s="1"/>
  <c r="L430" i="17"/>
  <c r="L494" i="17"/>
  <c r="L496" i="17"/>
  <c r="L434" i="17"/>
  <c r="L498" i="17"/>
  <c r="L436" i="17"/>
  <c r="L437" i="17"/>
  <c r="L508" i="17"/>
  <c r="L446" i="17"/>
  <c r="L510" i="17"/>
  <c r="J271" i="17"/>
  <c r="M271" i="17" s="1"/>
  <c r="K399" i="17"/>
  <c r="J336" i="17"/>
  <c r="M336" i="17" s="1"/>
  <c r="Q336" i="17"/>
  <c r="M283" i="17"/>
  <c r="N283" i="17"/>
  <c r="N225" i="17"/>
  <c r="L408" i="17"/>
  <c r="L416" i="17"/>
  <c r="L385" i="17"/>
  <c r="K395" i="17"/>
  <c r="J332" i="17"/>
  <c r="Q332" i="17"/>
  <c r="Q359" i="17"/>
  <c r="K422" i="17"/>
  <c r="J359" i="17"/>
  <c r="N359" i="17" s="1"/>
  <c r="M301" i="17"/>
  <c r="N301" i="17"/>
  <c r="K427" i="17"/>
  <c r="J364" i="17"/>
  <c r="Q364" i="17"/>
  <c r="K430" i="17"/>
  <c r="J367" i="17"/>
  <c r="M367" i="17" s="1"/>
  <c r="Q367" i="17"/>
  <c r="M307" i="17"/>
  <c r="N307" i="17"/>
  <c r="K433" i="17"/>
  <c r="Q370" i="17"/>
  <c r="J370" i="17"/>
  <c r="M313" i="17"/>
  <c r="N313" i="17"/>
  <c r="K443" i="17"/>
  <c r="Q380" i="17"/>
  <c r="J380" i="17"/>
  <c r="N154" i="17"/>
  <c r="L495" i="17"/>
  <c r="M276" i="17"/>
  <c r="N276" i="17"/>
  <c r="Q217" i="17"/>
  <c r="Q261" i="17" s="1"/>
  <c r="P28" i="17"/>
  <c r="P72" i="17" s="1"/>
  <c r="N35" i="17"/>
  <c r="L459" i="17"/>
  <c r="N272" i="17"/>
  <c r="L403" i="17"/>
  <c r="K398" i="17"/>
  <c r="J335" i="17"/>
  <c r="Q335" i="17"/>
  <c r="K342" i="17"/>
  <c r="G91" i="15" s="1"/>
  <c r="J226" i="17"/>
  <c r="M226" i="17" s="1"/>
  <c r="J322" i="17"/>
  <c r="N322" i="17" s="1"/>
  <c r="M290" i="17"/>
  <c r="Q322" i="17"/>
  <c r="Q323" i="17" s="1"/>
  <c r="H82" i="15" s="1"/>
  <c r="H84" i="15" s="1"/>
  <c r="N259" i="17"/>
  <c r="M259" i="17"/>
  <c r="J260" i="17"/>
  <c r="M298" i="17"/>
  <c r="N298" i="17"/>
  <c r="Q361" i="17"/>
  <c r="K424" i="17"/>
  <c r="J361" i="17"/>
  <c r="Q365" i="17"/>
  <c r="K428" i="17"/>
  <c r="J365" i="17"/>
  <c r="K444" i="17"/>
  <c r="Q381" i="17"/>
  <c r="J381" i="17"/>
  <c r="M381" i="17" s="1"/>
  <c r="L280" i="17"/>
  <c r="L502" i="17"/>
  <c r="L440" i="17"/>
  <c r="L504" i="17"/>
  <c r="L442" i="17"/>
  <c r="L506" i="17"/>
  <c r="J330" i="17"/>
  <c r="K403" i="17"/>
  <c r="J340" i="17"/>
  <c r="M340" i="17" s="1"/>
  <c r="Q340" i="17"/>
  <c r="K289" i="17"/>
  <c r="G79" i="15"/>
  <c r="G81" i="15" s="1"/>
  <c r="Q349" i="17"/>
  <c r="K412" i="17"/>
  <c r="J349" i="17"/>
  <c r="K417" i="17"/>
  <c r="Q354" i="17"/>
  <c r="J354" i="17"/>
  <c r="M354" i="17" s="1"/>
  <c r="L399" i="17"/>
  <c r="L465" i="17"/>
  <c r="L407" i="17"/>
  <c r="L351" i="17"/>
  <c r="N287" i="17"/>
  <c r="M299" i="17"/>
  <c r="N299" i="17"/>
  <c r="K425" i="17"/>
  <c r="Q362" i="17"/>
  <c r="J362" i="17"/>
  <c r="M305" i="17"/>
  <c r="N305" i="17"/>
  <c r="K431" i="17"/>
  <c r="J368" i="17"/>
  <c r="Q368" i="17"/>
  <c r="M315" i="17"/>
  <c r="N315" i="17"/>
  <c r="K441" i="17"/>
  <c r="Q378" i="17"/>
  <c r="J378" i="17"/>
  <c r="N312" i="17"/>
  <c r="N318" i="17"/>
  <c r="M274" i="17"/>
  <c r="N274" i="17"/>
  <c r="K404" i="17"/>
  <c r="J341" i="17"/>
  <c r="Q341" i="17"/>
  <c r="K410" i="17"/>
  <c r="Q347" i="17"/>
  <c r="J347" i="17"/>
  <c r="M347" i="17" s="1"/>
  <c r="N284" i="17"/>
  <c r="L487" i="17"/>
  <c r="L491" i="17"/>
  <c r="K396" i="17"/>
  <c r="Q333" i="17"/>
  <c r="J333" i="17"/>
  <c r="Q288" i="17"/>
  <c r="Q355" i="17"/>
  <c r="K418" i="17"/>
  <c r="J355" i="17"/>
  <c r="Q357" i="17"/>
  <c r="K420" i="17"/>
  <c r="J357" i="17"/>
  <c r="K426" i="17"/>
  <c r="Q363" i="17"/>
  <c r="J363" i="17"/>
  <c r="M363" i="17" s="1"/>
  <c r="M306" i="17"/>
  <c r="N306" i="17"/>
  <c r="J369" i="17"/>
  <c r="K432" i="17"/>
  <c r="Q369" i="17"/>
  <c r="K440" i="17"/>
  <c r="Q377" i="17"/>
  <c r="J377" i="17"/>
  <c r="M377" i="17" s="1"/>
  <c r="K442" i="17"/>
  <c r="Q379" i="17"/>
  <c r="J379" i="17"/>
  <c r="M379" i="17" s="1"/>
  <c r="N293" i="17"/>
  <c r="N300" i="17"/>
  <c r="N308" i="17"/>
  <c r="N310" i="17"/>
  <c r="N320" i="17"/>
  <c r="M208" i="17"/>
  <c r="J217" i="17"/>
  <c r="M217" i="17" s="1"/>
  <c r="G75" i="15"/>
  <c r="G78" i="15" s="1"/>
  <c r="K280" i="17"/>
  <c r="K408" i="17"/>
  <c r="J345" i="17"/>
  <c r="M345" i="17" s="1"/>
  <c r="Q345" i="17"/>
  <c r="K409" i="17"/>
  <c r="Q346" i="17"/>
  <c r="J346" i="17"/>
  <c r="L401" i="17"/>
  <c r="L467" i="17"/>
  <c r="N282" i="17"/>
  <c r="L323" i="17"/>
  <c r="L261" i="17"/>
  <c r="M269" i="17"/>
  <c r="N269" i="17"/>
  <c r="M295" i="17"/>
  <c r="N295" i="17"/>
  <c r="K421" i="17"/>
  <c r="Q358" i="17"/>
  <c r="J358" i="17"/>
  <c r="M297" i="17"/>
  <c r="N297" i="17"/>
  <c r="Q360" i="17"/>
  <c r="K423" i="17"/>
  <c r="J360" i="17"/>
  <c r="M309" i="17"/>
  <c r="N309" i="17"/>
  <c r="K435" i="17"/>
  <c r="J372" i="17"/>
  <c r="Q372" i="17"/>
  <c r="K436" i="17"/>
  <c r="Q373" i="17"/>
  <c r="J373" i="17"/>
  <c r="M373" i="17" s="1"/>
  <c r="K437" i="17"/>
  <c r="J374" i="17"/>
  <c r="M374" i="17" s="1"/>
  <c r="Q374" i="17"/>
  <c r="K438" i="17"/>
  <c r="Q375" i="17"/>
  <c r="J375" i="17"/>
  <c r="M375" i="17" s="1"/>
  <c r="K439" i="17"/>
  <c r="J376" i="17"/>
  <c r="Q376" i="17"/>
  <c r="M317" i="17"/>
  <c r="N317" i="17"/>
  <c r="M321" i="17"/>
  <c r="N321" i="17"/>
  <c r="K447" i="17"/>
  <c r="Q384" i="17"/>
  <c r="J384" i="17"/>
  <c r="K402" i="17"/>
  <c r="J339" i="17"/>
  <c r="Q339" i="17"/>
  <c r="R346" i="14"/>
  <c r="R340" i="14"/>
  <c r="R336" i="14"/>
  <c r="Q341" i="14"/>
  <c r="R341" i="14"/>
  <c r="Q335" i="14"/>
  <c r="Q338" i="14"/>
  <c r="R335" i="14"/>
  <c r="R338" i="14"/>
  <c r="G1072" i="13"/>
  <c r="J1072" i="13" s="1"/>
  <c r="K1066" i="1"/>
  <c r="G1064" i="13"/>
  <c r="J1064" i="13" s="1"/>
  <c r="K1058" i="1"/>
  <c r="K1057" i="1"/>
  <c r="G1063" i="13"/>
  <c r="J1063" i="13" s="1"/>
  <c r="G1060" i="13"/>
  <c r="J1060" i="13" s="1"/>
  <c r="K1054" i="1"/>
  <c r="G1059" i="13"/>
  <c r="J1059" i="13" s="1"/>
  <c r="K1053" i="1"/>
  <c r="K1049" i="1"/>
  <c r="G1055" i="13"/>
  <c r="J1055" i="13" s="1"/>
  <c r="K1045" i="1"/>
  <c r="G1051" i="13"/>
  <c r="J1051" i="13" s="1"/>
  <c r="G1086" i="13"/>
  <c r="J1086" i="13" s="1"/>
  <c r="K1080" i="1"/>
  <c r="G1085" i="13"/>
  <c r="J1085" i="13" s="1"/>
  <c r="K1079" i="1"/>
  <c r="G1050" i="13"/>
  <c r="L1051" i="1"/>
  <c r="K1044" i="1"/>
  <c r="G1084" i="13"/>
  <c r="K1078" i="1"/>
  <c r="G1082" i="13"/>
  <c r="J1082" i="13" s="1"/>
  <c r="K1076" i="1"/>
  <c r="G1088" i="13"/>
  <c r="J1088" i="13" s="1"/>
  <c r="K1082" i="1"/>
  <c r="G1052" i="13"/>
  <c r="J1052" i="13" s="1"/>
  <c r="K1046" i="1"/>
  <c r="G1058" i="13"/>
  <c r="K1052" i="1"/>
  <c r="L1059" i="1"/>
  <c r="G1092" i="13"/>
  <c r="J1092" i="13" s="1"/>
  <c r="K1086" i="1"/>
  <c r="N1061" i="1"/>
  <c r="O1061" i="1"/>
  <c r="G1089" i="13"/>
  <c r="J1089" i="13" s="1"/>
  <c r="K1083" i="1"/>
  <c r="G1053" i="13"/>
  <c r="J1053" i="13" s="1"/>
  <c r="K1047" i="1"/>
  <c r="G1047" i="13"/>
  <c r="J1047" i="13" s="1"/>
  <c r="K1041" i="1"/>
  <c r="K1050" i="1"/>
  <c r="G1056" i="13"/>
  <c r="J1056" i="13" s="1"/>
  <c r="G1046" i="13"/>
  <c r="J1046" i="13" s="1"/>
  <c r="K1040" i="1"/>
  <c r="G1090" i="13"/>
  <c r="J1090" i="13" s="1"/>
  <c r="K1084" i="1"/>
  <c r="G1075" i="13"/>
  <c r="J1075" i="13" s="1"/>
  <c r="K1069" i="1"/>
  <c r="G1079" i="13"/>
  <c r="L1077" i="1"/>
  <c r="L1088" i="1" s="1"/>
  <c r="K1073" i="1"/>
  <c r="G1091" i="13"/>
  <c r="J1091" i="13" s="1"/>
  <c r="K1085" i="1"/>
  <c r="G1045" i="13"/>
  <c r="L1043" i="1"/>
  <c r="K1039" i="1"/>
  <c r="K1056" i="1"/>
  <c r="G1062" i="13"/>
  <c r="J1062" i="13" s="1"/>
  <c r="K1055" i="1"/>
  <c r="G1061" i="13"/>
  <c r="J1061" i="13" s="1"/>
  <c r="G1087" i="13"/>
  <c r="J1087" i="13" s="1"/>
  <c r="K1081" i="1"/>
  <c r="G1054" i="13"/>
  <c r="J1054" i="13" s="1"/>
  <c r="K1048" i="1"/>
  <c r="G1074" i="13"/>
  <c r="K1068" i="1"/>
  <c r="L1071" i="1"/>
  <c r="G1080" i="13"/>
  <c r="J1080" i="13" s="1"/>
  <c r="K1074" i="1"/>
  <c r="G1076" i="13"/>
  <c r="J1076" i="13" s="1"/>
  <c r="K1070" i="1"/>
  <c r="G1048" i="13"/>
  <c r="J1048" i="13" s="1"/>
  <c r="K1042" i="1"/>
  <c r="G1081" i="13"/>
  <c r="J1081" i="13" s="1"/>
  <c r="K1075" i="1"/>
  <c r="G1068" i="13"/>
  <c r="J1068" i="13" s="1"/>
  <c r="K1062" i="1"/>
  <c r="M1067" i="1"/>
  <c r="M1017" i="1"/>
  <c r="M1134" i="1" s="1"/>
  <c r="M1251" i="1" s="1"/>
  <c r="G323" i="13"/>
  <c r="G324" i="13" s="1"/>
  <c r="F49" i="15" s="1"/>
  <c r="F51" i="15" s="1"/>
  <c r="F55" i="15" s="1"/>
  <c r="N945" i="1"/>
  <c r="O945" i="1"/>
  <c r="L944" i="1"/>
  <c r="L1060" i="1" s="1"/>
  <c r="L1177" i="1" s="1"/>
  <c r="G835" i="13"/>
  <c r="K829" i="1"/>
  <c r="L834" i="1"/>
  <c r="L839" i="1" s="1"/>
  <c r="L856" i="1" s="1"/>
  <c r="N833" i="1"/>
  <c r="O833" i="1"/>
  <c r="G955" i="13"/>
  <c r="J955" i="13" s="1"/>
  <c r="K949" i="1"/>
  <c r="K942" i="1"/>
  <c r="G948" i="13"/>
  <c r="J948" i="13" s="1"/>
  <c r="N826" i="1"/>
  <c r="O826" i="1"/>
  <c r="G947" i="13"/>
  <c r="J947" i="13" s="1"/>
  <c r="K941" i="1"/>
  <c r="K938" i="1"/>
  <c r="G944" i="13"/>
  <c r="J944" i="13" s="1"/>
  <c r="N822" i="1"/>
  <c r="O822" i="1"/>
  <c r="G943" i="13"/>
  <c r="J943" i="13" s="1"/>
  <c r="K937" i="1"/>
  <c r="K966" i="1"/>
  <c r="G972" i="13"/>
  <c r="J972" i="13" s="1"/>
  <c r="N816" i="1"/>
  <c r="O816" i="1"/>
  <c r="G937" i="13"/>
  <c r="J937" i="13" s="1"/>
  <c r="K931" i="1"/>
  <c r="G931" i="13"/>
  <c r="J931" i="13" s="1"/>
  <c r="K925" i="1"/>
  <c r="N819" i="1"/>
  <c r="O819" i="1"/>
  <c r="G940" i="13"/>
  <c r="J940" i="13" s="1"/>
  <c r="K934" i="1"/>
  <c r="K924" i="1"/>
  <c r="G930" i="13"/>
  <c r="J930" i="13" s="1"/>
  <c r="N851" i="1"/>
  <c r="O851" i="1"/>
  <c r="G973" i="13"/>
  <c r="J973" i="13" s="1"/>
  <c r="K967" i="1"/>
  <c r="K952" i="1"/>
  <c r="G958" i="13"/>
  <c r="J958" i="13" s="1"/>
  <c r="N818" i="1"/>
  <c r="O818" i="1"/>
  <c r="K844" i="1"/>
  <c r="N840" i="1"/>
  <c r="O840" i="1"/>
  <c r="G962" i="13"/>
  <c r="L960" i="1"/>
  <c r="L971" i="1" s="1"/>
  <c r="K956" i="1"/>
  <c r="K968" i="1"/>
  <c r="G974" i="13"/>
  <c r="J974" i="13" s="1"/>
  <c r="N814" i="1"/>
  <c r="O814" i="1"/>
  <c r="M971" i="1"/>
  <c r="K946" i="1"/>
  <c r="G952" i="13"/>
  <c r="J952" i="13" s="1"/>
  <c r="G929" i="13"/>
  <c r="L927" i="1"/>
  <c r="K923" i="1"/>
  <c r="N846" i="1"/>
  <c r="O846" i="1"/>
  <c r="K940" i="1"/>
  <c r="G946" i="13"/>
  <c r="J946" i="13" s="1"/>
  <c r="N824" i="1"/>
  <c r="O824" i="1"/>
  <c r="G945" i="13"/>
  <c r="J945" i="13" s="1"/>
  <c r="K939" i="1"/>
  <c r="J819" i="13"/>
  <c r="J826" i="13" s="1"/>
  <c r="G826" i="13"/>
  <c r="G860" i="13"/>
  <c r="J851" i="13"/>
  <c r="J860" i="13" s="1"/>
  <c r="N843" i="1"/>
  <c r="O843" i="1"/>
  <c r="K964" i="1"/>
  <c r="G970" i="13"/>
  <c r="J970" i="13" s="1"/>
  <c r="N817" i="1"/>
  <c r="O817" i="1"/>
  <c r="G938" i="13"/>
  <c r="J938" i="13" s="1"/>
  <c r="K932" i="1"/>
  <c r="N815" i="1"/>
  <c r="O815" i="1"/>
  <c r="K838" i="1"/>
  <c r="N835" i="1"/>
  <c r="O835" i="1"/>
  <c r="L954" i="1"/>
  <c r="G957" i="13"/>
  <c r="K951" i="1"/>
  <c r="G834" i="13"/>
  <c r="J827" i="13"/>
  <c r="J834" i="13" s="1"/>
  <c r="N821" i="1"/>
  <c r="K828" i="1"/>
  <c r="O821" i="1"/>
  <c r="K957" i="1"/>
  <c r="G963" i="13"/>
  <c r="J963" i="13" s="1"/>
  <c r="N837" i="1"/>
  <c r="O837" i="1"/>
  <c r="G959" i="13"/>
  <c r="J959" i="13" s="1"/>
  <c r="K953" i="1"/>
  <c r="K926" i="1"/>
  <c r="G932" i="13"/>
  <c r="J932" i="13" s="1"/>
  <c r="N842" i="1"/>
  <c r="O842" i="1"/>
  <c r="G964" i="13"/>
  <c r="J964" i="13" s="1"/>
  <c r="K958" i="1"/>
  <c r="M950" i="1"/>
  <c r="M955" i="1" s="1"/>
  <c r="N827" i="1"/>
  <c r="O827" i="1"/>
  <c r="N823" i="1"/>
  <c r="O823" i="1"/>
  <c r="N850" i="1"/>
  <c r="O850" i="1"/>
  <c r="N810" i="1"/>
  <c r="O810" i="1"/>
  <c r="N809" i="1"/>
  <c r="O809" i="1"/>
  <c r="N836" i="1"/>
  <c r="O836" i="1"/>
  <c r="G939" i="13"/>
  <c r="J939" i="13" s="1"/>
  <c r="K933" i="1"/>
  <c r="G850" i="13"/>
  <c r="G861" i="13" s="1"/>
  <c r="F121" i="15" s="1"/>
  <c r="J846" i="13"/>
  <c r="J850" i="13" s="1"/>
  <c r="J861" i="13" s="1"/>
  <c r="I121" i="15" s="1"/>
  <c r="K929" i="1"/>
  <c r="G935" i="13"/>
  <c r="J935" i="13" s="1"/>
  <c r="N847" i="1"/>
  <c r="O847" i="1"/>
  <c r="G969" i="13"/>
  <c r="J969" i="13" s="1"/>
  <c r="K963" i="1"/>
  <c r="M839" i="1"/>
  <c r="N831" i="1"/>
  <c r="O831" i="1"/>
  <c r="J814" i="13"/>
  <c r="J818" i="13" s="1"/>
  <c r="G818" i="13"/>
  <c r="K812" i="1"/>
  <c r="N808" i="1"/>
  <c r="O808" i="1"/>
  <c r="K962" i="1"/>
  <c r="G968" i="13"/>
  <c r="J968" i="13" s="1"/>
  <c r="N825" i="1"/>
  <c r="O825" i="1"/>
  <c r="N813" i="1"/>
  <c r="K820" i="1"/>
  <c r="O813" i="1"/>
  <c r="L935" i="1"/>
  <c r="G934" i="13"/>
  <c r="K928" i="1"/>
  <c r="N845" i="1"/>
  <c r="K854" i="1"/>
  <c r="O845" i="1"/>
  <c r="G967" i="13"/>
  <c r="K961" i="1"/>
  <c r="K959" i="1"/>
  <c r="G965" i="13"/>
  <c r="J965" i="13" s="1"/>
  <c r="N848" i="1"/>
  <c r="O848" i="1"/>
  <c r="N849" i="1"/>
  <c r="O849" i="1"/>
  <c r="G971" i="13"/>
  <c r="J971" i="13" s="1"/>
  <c r="K965" i="1"/>
  <c r="G936" i="13"/>
  <c r="J936" i="13" s="1"/>
  <c r="K930" i="1"/>
  <c r="G844" i="13"/>
  <c r="J841" i="13"/>
  <c r="J844" i="13" s="1"/>
  <c r="L943" i="1"/>
  <c r="G942" i="13"/>
  <c r="K936" i="1"/>
  <c r="N841" i="1"/>
  <c r="O841" i="1"/>
  <c r="N811" i="1"/>
  <c r="O811" i="1"/>
  <c r="N853" i="1"/>
  <c r="O853" i="1"/>
  <c r="G975" i="13"/>
  <c r="J975" i="13" s="1"/>
  <c r="K969" i="1"/>
  <c r="O570" i="1"/>
  <c r="O442" i="1"/>
  <c r="J323" i="13"/>
  <c r="J324" i="13" s="1"/>
  <c r="J351" i="13" s="1"/>
  <c r="G423" i="13"/>
  <c r="J435" i="13"/>
  <c r="J463" i="13"/>
  <c r="J464" i="13" s="1"/>
  <c r="I67" i="15" s="1"/>
  <c r="I69" i="15" s="1"/>
  <c r="L724" i="1"/>
  <c r="L741" i="1" s="1"/>
  <c r="J615" i="13"/>
  <c r="I90" i="15" s="1"/>
  <c r="O562" i="1"/>
  <c r="O514" i="1"/>
  <c r="O557" i="1"/>
  <c r="O516" i="1"/>
  <c r="O519" i="1"/>
  <c r="O560" i="1"/>
  <c r="O455" i="1"/>
  <c r="L531" i="1"/>
  <c r="O567" i="1"/>
  <c r="G435" i="13"/>
  <c r="J631" i="13"/>
  <c r="I91" i="15" s="1"/>
  <c r="O513" i="1"/>
  <c r="L461" i="1"/>
  <c r="G462" i="13" s="1"/>
  <c r="G463" i="13" s="1"/>
  <c r="G464" i="13" s="1"/>
  <c r="F67" i="15" s="1"/>
  <c r="F69" i="15" s="1"/>
  <c r="O554" i="1"/>
  <c r="O429" i="1"/>
  <c r="M774" i="1"/>
  <c r="M889" i="1" s="1"/>
  <c r="N693" i="1"/>
  <c r="O693" i="1"/>
  <c r="K659" i="1"/>
  <c r="N659" i="1" s="1"/>
  <c r="L774" i="1"/>
  <c r="L889" i="1" s="1"/>
  <c r="G665" i="13"/>
  <c r="J665" i="13" s="1"/>
  <c r="N206" i="1"/>
  <c r="N207" i="1" s="1"/>
  <c r="K207" i="1"/>
  <c r="O206" i="1"/>
  <c r="O207" i="1" s="1"/>
  <c r="L746" i="1"/>
  <c r="L861" i="1" s="1"/>
  <c r="K631" i="1"/>
  <c r="N631" i="1" s="1"/>
  <c r="G637" i="13"/>
  <c r="J637" i="13" s="1"/>
  <c r="K639" i="1"/>
  <c r="N639" i="1" s="1"/>
  <c r="L754" i="1"/>
  <c r="L869" i="1" s="1"/>
  <c r="G645" i="13"/>
  <c r="J645" i="13" s="1"/>
  <c r="E37" i="15"/>
  <c r="D39" i="15"/>
  <c r="E39" i="15" s="1"/>
  <c r="J720" i="13"/>
  <c r="J725" i="13" s="1"/>
  <c r="G725" i="13"/>
  <c r="N700" i="1"/>
  <c r="O700" i="1"/>
  <c r="K723" i="1"/>
  <c r="N720" i="1"/>
  <c r="O720" i="1"/>
  <c r="G719" i="13"/>
  <c r="J712" i="13"/>
  <c r="J719" i="13" s="1"/>
  <c r="I75" i="15"/>
  <c r="I78" i="15" s="1"/>
  <c r="J517" i="13"/>
  <c r="N512" i="1"/>
  <c r="K522" i="1"/>
  <c r="O522" i="1" s="1"/>
  <c r="J518" i="13"/>
  <c r="J528" i="13" s="1"/>
  <c r="G528" i="13"/>
  <c r="K636" i="1"/>
  <c r="N636" i="1" s="1"/>
  <c r="L751" i="1"/>
  <c r="L866" i="1" s="1"/>
  <c r="G642" i="13"/>
  <c r="J642" i="13" s="1"/>
  <c r="L758" i="1"/>
  <c r="L873" i="1" s="1"/>
  <c r="G649" i="13"/>
  <c r="J649" i="13" s="1"/>
  <c r="K643" i="1"/>
  <c r="L768" i="1"/>
  <c r="L883" i="1" s="1"/>
  <c r="K653" i="1"/>
  <c r="N653" i="1" s="1"/>
  <c r="G659" i="13"/>
  <c r="J659" i="13" s="1"/>
  <c r="K655" i="1"/>
  <c r="N655" i="1" s="1"/>
  <c r="L770" i="1"/>
  <c r="L885" i="1" s="1"/>
  <c r="G661" i="13"/>
  <c r="J661" i="13" s="1"/>
  <c r="J562" i="13"/>
  <c r="J564" i="13" s="1"/>
  <c r="G564" i="13"/>
  <c r="M751" i="1"/>
  <c r="M866" i="1" s="1"/>
  <c r="M763" i="1"/>
  <c r="M878" i="1" s="1"/>
  <c r="M771" i="1"/>
  <c r="M886" i="1" s="1"/>
  <c r="M460" i="1"/>
  <c r="M792" i="1"/>
  <c r="M907" i="1" s="1"/>
  <c r="M683" i="1"/>
  <c r="M795" i="1"/>
  <c r="M910" i="1" s="1"/>
  <c r="M799" i="1"/>
  <c r="M914" i="1" s="1"/>
  <c r="N722" i="1"/>
  <c r="O722" i="1"/>
  <c r="N437" i="1"/>
  <c r="K459" i="1"/>
  <c r="O559" i="1"/>
  <c r="N559" i="1"/>
  <c r="K564" i="1"/>
  <c r="N564" i="1" s="1"/>
  <c r="K674" i="1"/>
  <c r="L789" i="1"/>
  <c r="L904" i="1" s="1"/>
  <c r="G680" i="13"/>
  <c r="L679" i="1"/>
  <c r="K678" i="1"/>
  <c r="N678" i="1" s="1"/>
  <c r="L793" i="1"/>
  <c r="L908" i="1" s="1"/>
  <c r="N695" i="1"/>
  <c r="O695" i="1"/>
  <c r="M741" i="1"/>
  <c r="M531" i="1"/>
  <c r="O552" i="1"/>
  <c r="N704" i="1"/>
  <c r="O704" i="1"/>
  <c r="J700" i="13"/>
  <c r="J703" i="13" s="1"/>
  <c r="G703" i="13"/>
  <c r="N725" i="1"/>
  <c r="K729" i="1"/>
  <c r="O725" i="1"/>
  <c r="M743" i="1"/>
  <c r="M858" i="1" s="1"/>
  <c r="O537" i="1"/>
  <c r="M770" i="1"/>
  <c r="M885" i="1" s="1"/>
  <c r="M779" i="1"/>
  <c r="M894" i="1" s="1"/>
  <c r="O561" i="1"/>
  <c r="M793" i="1"/>
  <c r="M908" i="1" s="1"/>
  <c r="O678" i="1"/>
  <c r="G351" i="13"/>
  <c r="O398" i="1"/>
  <c r="N398" i="1"/>
  <c r="G634" i="13"/>
  <c r="J634" i="13" s="1"/>
  <c r="L743" i="1"/>
  <c r="L858" i="1" s="1"/>
  <c r="K628" i="1"/>
  <c r="N628" i="1" s="1"/>
  <c r="L764" i="1"/>
  <c r="L879" i="1" s="1"/>
  <c r="G655" i="13"/>
  <c r="J655" i="13" s="1"/>
  <c r="K649" i="1"/>
  <c r="N649" i="1" s="1"/>
  <c r="L779" i="1"/>
  <c r="L894" i="1" s="1"/>
  <c r="G670" i="13"/>
  <c r="J670" i="13" s="1"/>
  <c r="K664" i="1"/>
  <c r="N664" i="1" s="1"/>
  <c r="O553" i="1"/>
  <c r="N598" i="1"/>
  <c r="O598" i="1"/>
  <c r="F75" i="15"/>
  <c r="F78" i="15" s="1"/>
  <c r="G517" i="13"/>
  <c r="K632" i="1"/>
  <c r="N632" i="1" s="1"/>
  <c r="L747" i="1"/>
  <c r="L862" i="1" s="1"/>
  <c r="G638" i="13"/>
  <c r="J638" i="13" s="1"/>
  <c r="L755" i="1"/>
  <c r="L870" i="1" s="1"/>
  <c r="G646" i="13"/>
  <c r="J646" i="13" s="1"/>
  <c r="K640" i="1"/>
  <c r="N640" i="1" s="1"/>
  <c r="G678" i="13"/>
  <c r="J678" i="13" s="1"/>
  <c r="L787" i="1"/>
  <c r="L902" i="1" s="1"/>
  <c r="K672" i="1"/>
  <c r="N672" i="1" s="1"/>
  <c r="L796" i="1"/>
  <c r="L911" i="1" s="1"/>
  <c r="K681" i="1"/>
  <c r="N681" i="1" s="1"/>
  <c r="G686" i="13"/>
  <c r="J686" i="13" s="1"/>
  <c r="N731" i="1"/>
  <c r="O731" i="1"/>
  <c r="N510" i="1"/>
  <c r="D76" i="15"/>
  <c r="E76" i="15" s="1"/>
  <c r="O510" i="1"/>
  <c r="N712" i="1"/>
  <c r="O712" i="1"/>
  <c r="N711" i="1"/>
  <c r="O711" i="1"/>
  <c r="N708" i="1"/>
  <c r="O708" i="1"/>
  <c r="N707" i="1"/>
  <c r="O707" i="1"/>
  <c r="M745" i="1"/>
  <c r="M860" i="1" s="1"/>
  <c r="O517" i="1"/>
  <c r="O518" i="1"/>
  <c r="O520" i="1"/>
  <c r="M754" i="1"/>
  <c r="M869" i="1" s="1"/>
  <c r="M645" i="1"/>
  <c r="M755" i="1"/>
  <c r="M870" i="1" s="1"/>
  <c r="M650" i="1"/>
  <c r="M762" i="1"/>
  <c r="M877" i="1" s="1"/>
  <c r="M764" i="1"/>
  <c r="M879" i="1" s="1"/>
  <c r="M768" i="1"/>
  <c r="M883" i="1" s="1"/>
  <c r="M572" i="1"/>
  <c r="M573" i="1" s="1"/>
  <c r="K705" i="1"/>
  <c r="N698" i="1"/>
  <c r="O698" i="1"/>
  <c r="N590" i="1"/>
  <c r="O590" i="1"/>
  <c r="N696" i="1"/>
  <c r="O696" i="1"/>
  <c r="K629" i="1"/>
  <c r="N629" i="1" s="1"/>
  <c r="L744" i="1"/>
  <c r="L859" i="1" s="1"/>
  <c r="G635" i="13"/>
  <c r="J635" i="13" s="1"/>
  <c r="K644" i="1"/>
  <c r="N644" i="1" s="1"/>
  <c r="L759" i="1"/>
  <c r="L874" i="1" s="1"/>
  <c r="G650" i="13"/>
  <c r="J650" i="13" s="1"/>
  <c r="N547" i="1"/>
  <c r="K550" i="1"/>
  <c r="O550" i="1" s="1"/>
  <c r="L777" i="1"/>
  <c r="L892" i="1" s="1"/>
  <c r="K662" i="1"/>
  <c r="G668" i="13"/>
  <c r="L665" i="1"/>
  <c r="L781" i="1"/>
  <c r="L896" i="1" s="1"/>
  <c r="G672" i="13"/>
  <c r="L670" i="1"/>
  <c r="K666" i="1"/>
  <c r="O666" i="1" s="1"/>
  <c r="G573" i="13"/>
  <c r="J570" i="13"/>
  <c r="J573" i="13" s="1"/>
  <c r="N730" i="1"/>
  <c r="K739" i="1"/>
  <c r="O730" i="1"/>
  <c r="N728" i="1"/>
  <c r="O728" i="1"/>
  <c r="O445" i="1"/>
  <c r="N733" i="1"/>
  <c r="O733" i="1"/>
  <c r="K609" i="1"/>
  <c r="N582" i="1"/>
  <c r="O582" i="1"/>
  <c r="G615" i="13"/>
  <c r="N721" i="1"/>
  <c r="O721" i="1"/>
  <c r="K530" i="1"/>
  <c r="N530" i="1" s="1"/>
  <c r="N523" i="1"/>
  <c r="O523" i="1"/>
  <c r="L645" i="1"/>
  <c r="L753" i="1"/>
  <c r="L868" i="1" s="1"/>
  <c r="G644" i="13"/>
  <c r="K638" i="1"/>
  <c r="G541" i="13"/>
  <c r="J538" i="13"/>
  <c r="J541" i="13" s="1"/>
  <c r="N532" i="1"/>
  <c r="K535" i="1"/>
  <c r="O535" i="1" s="1"/>
  <c r="G548" i="13"/>
  <c r="J542" i="13"/>
  <c r="J548" i="13" s="1"/>
  <c r="N614" i="1"/>
  <c r="K625" i="1"/>
  <c r="O614" i="1"/>
  <c r="N702" i="1"/>
  <c r="O702" i="1"/>
  <c r="M757" i="1"/>
  <c r="M872" i="1" s="1"/>
  <c r="M769" i="1"/>
  <c r="M884" i="1" s="1"/>
  <c r="O566" i="1"/>
  <c r="N738" i="1"/>
  <c r="O738" i="1"/>
  <c r="K675" i="1"/>
  <c r="N675" i="1" s="1"/>
  <c r="L790" i="1"/>
  <c r="L905" i="1" s="1"/>
  <c r="G681" i="13"/>
  <c r="J681" i="13" s="1"/>
  <c r="N714" i="1"/>
  <c r="O714" i="1"/>
  <c r="G729" i="13"/>
  <c r="J726" i="13"/>
  <c r="J729" i="13" s="1"/>
  <c r="N608" i="1"/>
  <c r="O608" i="1"/>
  <c r="M686" i="1"/>
  <c r="M800" i="1"/>
  <c r="M915" i="1" s="1"/>
  <c r="N706" i="1"/>
  <c r="K713" i="1"/>
  <c r="O706" i="1"/>
  <c r="D75" i="15"/>
  <c r="K511" i="1"/>
  <c r="N494" i="1"/>
  <c r="O494" i="1"/>
  <c r="K319" i="1"/>
  <c r="N305" i="1"/>
  <c r="O305" i="1"/>
  <c r="L742" i="1"/>
  <c r="L857" i="1" s="1"/>
  <c r="K627" i="1"/>
  <c r="G633" i="13"/>
  <c r="L637" i="1"/>
  <c r="O556" i="1"/>
  <c r="K558" i="1"/>
  <c r="N558" i="1" s="1"/>
  <c r="N556" i="1"/>
  <c r="L786" i="1"/>
  <c r="L901" i="1" s="1"/>
  <c r="G677" i="13"/>
  <c r="K671" i="1"/>
  <c r="L673" i="1"/>
  <c r="K676" i="1"/>
  <c r="N676" i="1" s="1"/>
  <c r="L791" i="1"/>
  <c r="L906" i="1" s="1"/>
  <c r="G682" i="13"/>
  <c r="J682" i="13" s="1"/>
  <c r="O521" i="1"/>
  <c r="O533" i="1"/>
  <c r="O541" i="1"/>
  <c r="O437" i="1"/>
  <c r="M797" i="1"/>
  <c r="M912" i="1" s="1"/>
  <c r="O458" i="1"/>
  <c r="N726" i="1"/>
  <c r="O726" i="1"/>
  <c r="L748" i="1"/>
  <c r="L863" i="1" s="1"/>
  <c r="K633" i="1"/>
  <c r="N633" i="1" s="1"/>
  <c r="G639" i="13"/>
  <c r="J639" i="13" s="1"/>
  <c r="K641" i="1"/>
  <c r="L756" i="1"/>
  <c r="L871" i="1" s="1"/>
  <c r="G647" i="13"/>
  <c r="J647" i="13" s="1"/>
  <c r="L767" i="1"/>
  <c r="L882" i="1" s="1"/>
  <c r="K652" i="1"/>
  <c r="N652" i="1" s="1"/>
  <c r="G658" i="13"/>
  <c r="J658" i="13" s="1"/>
  <c r="K654" i="1"/>
  <c r="N654" i="1" s="1"/>
  <c r="L769" i="1"/>
  <c r="L884" i="1" s="1"/>
  <c r="G660" i="13"/>
  <c r="J660" i="13" s="1"/>
  <c r="L771" i="1"/>
  <c r="L886" i="1" s="1"/>
  <c r="G662" i="13"/>
  <c r="J662" i="13" s="1"/>
  <c r="K656" i="1"/>
  <c r="N656" i="1" s="1"/>
  <c r="L782" i="1"/>
  <c r="L897" i="1" s="1"/>
  <c r="G673" i="13"/>
  <c r="J673" i="13" s="1"/>
  <c r="K667" i="1"/>
  <c r="N667" i="1" s="1"/>
  <c r="J565" i="13"/>
  <c r="J569" i="13" s="1"/>
  <c r="G569" i="13"/>
  <c r="N569" i="1"/>
  <c r="K571" i="1"/>
  <c r="N571" i="1" s="1"/>
  <c r="L799" i="1"/>
  <c r="L914" i="1" s="1"/>
  <c r="G689" i="13"/>
  <c r="L686" i="1"/>
  <c r="K684" i="1"/>
  <c r="N735" i="1"/>
  <c r="O735" i="1"/>
  <c r="N701" i="1"/>
  <c r="O701" i="1"/>
  <c r="O512" i="1"/>
  <c r="O627" i="1"/>
  <c r="M742" i="1"/>
  <c r="M857" i="1" s="1"/>
  <c r="M637" i="1"/>
  <c r="M432" i="1"/>
  <c r="M670" i="1"/>
  <c r="M782" i="1"/>
  <c r="M897" i="1" s="1"/>
  <c r="O667" i="1"/>
  <c r="N694" i="1"/>
  <c r="K697" i="1"/>
  <c r="O694" i="1"/>
  <c r="K630" i="1"/>
  <c r="N630" i="1" s="1"/>
  <c r="L745" i="1"/>
  <c r="L860" i="1" s="1"/>
  <c r="G636" i="13"/>
  <c r="J636" i="13" s="1"/>
  <c r="J423" i="13"/>
  <c r="K430" i="1"/>
  <c r="N430" i="1" s="1"/>
  <c r="N422" i="1"/>
  <c r="K668" i="1"/>
  <c r="N668" i="1" s="1"/>
  <c r="L783" i="1"/>
  <c r="L898" i="1" s="1"/>
  <c r="G674" i="13"/>
  <c r="J674" i="13" s="1"/>
  <c r="L784" i="1"/>
  <c r="L899" i="1" s="1"/>
  <c r="G675" i="13"/>
  <c r="J675" i="13" s="1"/>
  <c r="K669" i="1"/>
  <c r="N669" i="1" s="1"/>
  <c r="G735" i="13"/>
  <c r="J731" i="13"/>
  <c r="J735" i="13" s="1"/>
  <c r="G631" i="13"/>
  <c r="F91" i="15" s="1"/>
  <c r="M744" i="1"/>
  <c r="M859" i="1" s="1"/>
  <c r="O629" i="1"/>
  <c r="O317" i="1"/>
  <c r="O652" i="1"/>
  <c r="M767" i="1"/>
  <c r="M882" i="1" s="1"/>
  <c r="O540" i="1"/>
  <c r="M778" i="1"/>
  <c r="M893" i="1" s="1"/>
  <c r="O549" i="1"/>
  <c r="M787" i="1"/>
  <c r="M902" i="1" s="1"/>
  <c r="O451" i="1"/>
  <c r="M791" i="1"/>
  <c r="M906" i="1" s="1"/>
  <c r="O563" i="1"/>
  <c r="N699" i="1"/>
  <c r="O699" i="1"/>
  <c r="E60" i="15"/>
  <c r="D63" i="15"/>
  <c r="N732" i="1"/>
  <c r="O732" i="1"/>
  <c r="L750" i="1"/>
  <c r="L865" i="1" s="1"/>
  <c r="K635" i="1"/>
  <c r="N635" i="1" s="1"/>
  <c r="G641" i="13"/>
  <c r="J641" i="13" s="1"/>
  <c r="N346" i="1"/>
  <c r="N347" i="1" s="1"/>
  <c r="K347" i="1"/>
  <c r="D52" i="15" s="1"/>
  <c r="L800" i="1"/>
  <c r="L915" i="1" s="1"/>
  <c r="G690" i="13"/>
  <c r="G691" i="13"/>
  <c r="K685" i="1"/>
  <c r="N685" i="1" s="1"/>
  <c r="N604" i="1"/>
  <c r="O604" i="1"/>
  <c r="M348" i="1"/>
  <c r="M783" i="1"/>
  <c r="M898" i="1" s="1"/>
  <c r="N718" i="1"/>
  <c r="O718" i="1"/>
  <c r="N409" i="1"/>
  <c r="K418" i="1"/>
  <c r="L757" i="1"/>
  <c r="L872" i="1" s="1"/>
  <c r="G648" i="13"/>
  <c r="J648" i="13" s="1"/>
  <c r="K642" i="1"/>
  <c r="N642" i="1" s="1"/>
  <c r="L792" i="1"/>
  <c r="L907" i="1" s="1"/>
  <c r="G683" i="13"/>
  <c r="J683" i="13" s="1"/>
  <c r="K677" i="1"/>
  <c r="N677" i="1" s="1"/>
  <c r="O515" i="1"/>
  <c r="M746" i="1"/>
  <c r="M861" i="1" s="1"/>
  <c r="M747" i="1"/>
  <c r="M862" i="1" s="1"/>
  <c r="M748" i="1"/>
  <c r="M863" i="1" s="1"/>
  <c r="M749" i="1"/>
  <c r="M864" i="1" s="1"/>
  <c r="M750" i="1"/>
  <c r="M865" i="1" s="1"/>
  <c r="O524" i="1"/>
  <c r="O525" i="1"/>
  <c r="M759" i="1"/>
  <c r="M874" i="1" s="1"/>
  <c r="O532" i="1"/>
  <c r="M543" i="1"/>
  <c r="O534" i="1"/>
  <c r="O538" i="1"/>
  <c r="O547" i="1"/>
  <c r="M665" i="1"/>
  <c r="M777" i="1"/>
  <c r="M892" i="1" s="1"/>
  <c r="O662" i="1"/>
  <c r="M790" i="1"/>
  <c r="M905" i="1" s="1"/>
  <c r="N710" i="1"/>
  <c r="O710" i="1"/>
  <c r="N709" i="1"/>
  <c r="O709" i="1"/>
  <c r="J704" i="13"/>
  <c r="J711" i="13" s="1"/>
  <c r="G711" i="13"/>
  <c r="L572" i="1"/>
  <c r="L573" i="1" s="1"/>
  <c r="G556" i="13"/>
  <c r="J553" i="13"/>
  <c r="J556" i="13" s="1"/>
  <c r="G669" i="13"/>
  <c r="J669" i="13" s="1"/>
  <c r="L778" i="1"/>
  <c r="L893" i="1" s="1"/>
  <c r="K663" i="1"/>
  <c r="N663" i="1" s="1"/>
  <c r="N551" i="1"/>
  <c r="K555" i="1"/>
  <c r="N555" i="1" s="1"/>
  <c r="G561" i="13"/>
  <c r="J557" i="13"/>
  <c r="J561" i="13" s="1"/>
  <c r="N565" i="1"/>
  <c r="K568" i="1"/>
  <c r="N568" i="1" s="1"/>
  <c r="L683" i="1"/>
  <c r="L795" i="1"/>
  <c r="L910" i="1" s="1"/>
  <c r="G685" i="13"/>
  <c r="K680" i="1"/>
  <c r="L797" i="1"/>
  <c r="L912" i="1" s="1"/>
  <c r="G687" i="13"/>
  <c r="J687" i="13" s="1"/>
  <c r="K682" i="1"/>
  <c r="N682" i="1" s="1"/>
  <c r="G745" i="13"/>
  <c r="J736" i="13"/>
  <c r="J745" i="13" s="1"/>
  <c r="N624" i="1"/>
  <c r="O624" i="1"/>
  <c r="N727" i="1"/>
  <c r="O727" i="1"/>
  <c r="M784" i="1"/>
  <c r="M899" i="1" s="1"/>
  <c r="N736" i="1"/>
  <c r="O736" i="1"/>
  <c r="N703" i="1"/>
  <c r="O703" i="1"/>
  <c r="K634" i="1"/>
  <c r="N634" i="1" s="1"/>
  <c r="L749" i="1"/>
  <c r="L864" i="1" s="1"/>
  <c r="G640" i="13"/>
  <c r="J640" i="13" s="1"/>
  <c r="G536" i="13"/>
  <c r="J529" i="13"/>
  <c r="J536" i="13" s="1"/>
  <c r="L543" i="1"/>
  <c r="L650" i="1"/>
  <c r="L762" i="1"/>
  <c r="L877" i="1" s="1"/>
  <c r="K647" i="1"/>
  <c r="G653" i="13"/>
  <c r="K648" i="1"/>
  <c r="N648" i="1" s="1"/>
  <c r="L763" i="1"/>
  <c r="L878" i="1" s="1"/>
  <c r="G654" i="13"/>
  <c r="J654" i="13" s="1"/>
  <c r="K542" i="1"/>
  <c r="N542" i="1" s="1"/>
  <c r="N536" i="1"/>
  <c r="L657" i="1"/>
  <c r="L766" i="1"/>
  <c r="L881" i="1" s="1"/>
  <c r="G657" i="13"/>
  <c r="K651" i="1"/>
  <c r="N734" i="1"/>
  <c r="O734" i="1"/>
  <c r="O527" i="1"/>
  <c r="M657" i="1"/>
  <c r="M766" i="1"/>
  <c r="M881" i="1" s="1"/>
  <c r="O539" i="1"/>
  <c r="O346" i="1"/>
  <c r="O347" i="1" s="1"/>
  <c r="O551" i="1"/>
  <c r="M781" i="1"/>
  <c r="M896" i="1" s="1"/>
  <c r="M679" i="1"/>
  <c r="M789" i="1"/>
  <c r="M904" i="1" s="1"/>
  <c r="O674" i="1"/>
  <c r="M796" i="1"/>
  <c r="M911" i="1" s="1"/>
  <c r="J55" i="15"/>
  <c r="I517" i="16"/>
  <c r="J82" i="15" s="1"/>
  <c r="J84" i="15" s="1"/>
  <c r="F461" i="16"/>
  <c r="F520" i="16" s="1"/>
  <c r="I491" i="16"/>
  <c r="J79" i="15" s="1"/>
  <c r="J81" i="15" s="1"/>
  <c r="J76" i="15"/>
  <c r="F547" i="16"/>
  <c r="I542" i="16"/>
  <c r="I547" i="16" s="1"/>
  <c r="I548" i="16"/>
  <c r="I552" i="16" s="1"/>
  <c r="J92" i="15" s="1"/>
  <c r="F552" i="16"/>
  <c r="I584" i="16"/>
  <c r="J94" i="15" s="1"/>
  <c r="J96" i="15" s="1"/>
  <c r="F611" i="16"/>
  <c r="I427" i="16"/>
  <c r="I459" i="16"/>
  <c r="J77" i="15" s="1"/>
  <c r="F540" i="16"/>
  <c r="I527" i="16"/>
  <c r="I540" i="16" s="1"/>
  <c r="J90" i="15" s="1"/>
  <c r="I447" i="16"/>
  <c r="J75" i="15" s="1"/>
  <c r="F584" i="16"/>
  <c r="F678" i="16" s="1"/>
  <c r="F772" i="16" s="1"/>
  <c r="F866" i="16" s="1"/>
  <c r="F960" i="16" s="1"/>
  <c r="F1054" i="16" s="1"/>
  <c r="F1148" i="16" s="1"/>
  <c r="F1242" i="16" s="1"/>
  <c r="F1336" i="16" s="1"/>
  <c r="F1430" i="16" s="1"/>
  <c r="F1524" i="16" s="1"/>
  <c r="F1618" i="16" s="1"/>
  <c r="F1712" i="16" s="1"/>
  <c r="F1806" i="16" s="1"/>
  <c r="F1903" i="16" s="1"/>
  <c r="Q346" i="14"/>
  <c r="S346" i="14" s="1"/>
  <c r="T346" i="14" s="1"/>
  <c r="Q345" i="14"/>
  <c r="S345" i="14" s="1"/>
  <c r="T345" i="14" s="1"/>
  <c r="M135" i="17"/>
  <c r="N135" i="17"/>
  <c r="I59" i="1"/>
  <c r="I122" i="1" s="1"/>
  <c r="Q344" i="14"/>
  <c r="S344" i="14" s="1"/>
  <c r="T344" i="14" s="1"/>
  <c r="N17" i="17"/>
  <c r="P337" i="14"/>
  <c r="T342" i="14"/>
  <c r="Q340" i="14"/>
  <c r="S340" i="14" s="1"/>
  <c r="T340" i="14" s="1"/>
  <c r="Q336" i="14"/>
  <c r="S336" i="14" s="1"/>
  <c r="T336" i="14" s="1"/>
  <c r="N54" i="17"/>
  <c r="Q19" i="17"/>
  <c r="H15" i="15" s="1"/>
  <c r="N18" i="17"/>
  <c r="N26" i="17"/>
  <c r="N50" i="17"/>
  <c r="N62" i="17"/>
  <c r="N52" i="17"/>
  <c r="E59" i="1"/>
  <c r="E122" i="1" s="1"/>
  <c r="C18" i="15"/>
  <c r="C25" i="15" s="1"/>
  <c r="H56" i="16"/>
  <c r="N32" i="17"/>
  <c r="Q37" i="17"/>
  <c r="H19" i="15"/>
  <c r="H21" i="15" s="1"/>
  <c r="F60" i="13"/>
  <c r="F44" i="13"/>
  <c r="N51" i="17"/>
  <c r="N39" i="17"/>
  <c r="P339" i="14"/>
  <c r="Q339" i="14"/>
  <c r="S339" i="14" s="1"/>
  <c r="K28" i="17"/>
  <c r="G16" i="15"/>
  <c r="G18" i="15" s="1"/>
  <c r="N16" i="17"/>
  <c r="F121" i="13"/>
  <c r="F122" i="13" s="1"/>
  <c r="I93" i="13"/>
  <c r="I81" i="13"/>
  <c r="F93" i="13"/>
  <c r="F81" i="13"/>
  <c r="H59" i="1"/>
  <c r="H122" i="1" s="1"/>
  <c r="Q337" i="14"/>
  <c r="S337" i="14" s="1"/>
  <c r="O334" i="14"/>
  <c r="N334" i="14" s="1"/>
  <c r="M334" i="14"/>
  <c r="Q332" i="14"/>
  <c r="P332" i="14"/>
  <c r="R332" i="14"/>
  <c r="R343" i="14"/>
  <c r="P343" i="14"/>
  <c r="Q343" i="14"/>
  <c r="Q333" i="14"/>
  <c r="R333" i="14"/>
  <c r="P333" i="14"/>
  <c r="Q331" i="14"/>
  <c r="R331" i="14"/>
  <c r="P331" i="14"/>
  <c r="N58" i="17"/>
  <c r="J19" i="17"/>
  <c r="M19" i="17" s="1"/>
  <c r="M38" i="17"/>
  <c r="N69" i="17"/>
  <c r="N61" i="17"/>
  <c r="N53" i="17"/>
  <c r="N45" i="17"/>
  <c r="N43" i="17"/>
  <c r="Q27" i="17"/>
  <c r="N34" i="17"/>
  <c r="I19" i="17"/>
  <c r="F28" i="17"/>
  <c r="I28" i="17" s="1"/>
  <c r="N63" i="17"/>
  <c r="N55" i="17"/>
  <c r="N47" i="17"/>
  <c r="F71" i="17"/>
  <c r="I70" i="17"/>
  <c r="J36" i="17"/>
  <c r="M29" i="17"/>
  <c r="N65" i="17"/>
  <c r="N57" i="17"/>
  <c r="N49" i="17"/>
  <c r="N40" i="17"/>
  <c r="N22" i="17"/>
  <c r="J27" i="17"/>
  <c r="M20" i="17"/>
  <c r="N31" i="17"/>
  <c r="N24" i="17"/>
  <c r="L28" i="17"/>
  <c r="N15" i="17"/>
  <c r="I44" i="13"/>
  <c r="I121" i="13"/>
  <c r="I122" i="13" s="1"/>
  <c r="I60" i="13"/>
  <c r="G79" i="1"/>
  <c r="J70" i="1"/>
  <c r="J47" i="1"/>
  <c r="G58" i="1"/>
  <c r="G42" i="1"/>
  <c r="G120" i="1"/>
  <c r="G91" i="1"/>
  <c r="J91" i="1" s="1"/>
  <c r="N13" i="1"/>
  <c r="J83" i="1"/>
  <c r="O13" i="1"/>
  <c r="M1639" i="1" l="1"/>
  <c r="G1210" i="13"/>
  <c r="J1201" i="13"/>
  <c r="J1210" i="13" s="1"/>
  <c r="J1167" i="13"/>
  <c r="J1174" i="13" s="1"/>
  <c r="G1174" i="13"/>
  <c r="L1396" i="1"/>
  <c r="G1285" i="13"/>
  <c r="J1285" i="13" s="1"/>
  <c r="K1279" i="1"/>
  <c r="N1193" i="1"/>
  <c r="O1193" i="1"/>
  <c r="M1543" i="1"/>
  <c r="M1534" i="1"/>
  <c r="M1549" i="1"/>
  <c r="M1542" i="1"/>
  <c r="M1520" i="1"/>
  <c r="M1410" i="1"/>
  <c r="M2138" i="1"/>
  <c r="L1426" i="1"/>
  <c r="K1309" i="1"/>
  <c r="G1315" i="13"/>
  <c r="J1315" i="13" s="1"/>
  <c r="K1296" i="1"/>
  <c r="L1413" i="1"/>
  <c r="G1302" i="13"/>
  <c r="J1302" i="13" s="1"/>
  <c r="J1196" i="13"/>
  <c r="J1200" i="13" s="1"/>
  <c r="J1211" i="13" s="1"/>
  <c r="I166" i="15" s="1"/>
  <c r="G1200" i="13"/>
  <c r="G1211" i="13" s="1"/>
  <c r="F166" i="15" s="1"/>
  <c r="K1303" i="1"/>
  <c r="L1420" i="1"/>
  <c r="G1309" i="13"/>
  <c r="J1309" i="13" s="1"/>
  <c r="N1158" i="1"/>
  <c r="O1158" i="1"/>
  <c r="M1452" i="1"/>
  <c r="N1163" i="1"/>
  <c r="O1163" i="1"/>
  <c r="N1166" i="1"/>
  <c r="O1166" i="1"/>
  <c r="L1404" i="1"/>
  <c r="G1293" i="13"/>
  <c r="J1293" i="13" s="1"/>
  <c r="K1287" i="1"/>
  <c r="N1171" i="1"/>
  <c r="O1171" i="1"/>
  <c r="M1626" i="1"/>
  <c r="N1187" i="1"/>
  <c r="O1187" i="1"/>
  <c r="K1282" i="1"/>
  <c r="L1399" i="1"/>
  <c r="G1288" i="13"/>
  <c r="J1288" i="13" s="1"/>
  <c r="N1172" i="1"/>
  <c r="O1172" i="1"/>
  <c r="L1436" i="1"/>
  <c r="G1325" i="13"/>
  <c r="J1325" i="13" s="1"/>
  <c r="K1319" i="1"/>
  <c r="N1157" i="1"/>
  <c r="O1157" i="1"/>
  <c r="L1434" i="1"/>
  <c r="K1317" i="1"/>
  <c r="G1323" i="13"/>
  <c r="J1323" i="13" s="1"/>
  <c r="O675" i="1"/>
  <c r="I49" i="15"/>
  <c r="I51" i="15" s="1"/>
  <c r="I55" i="15" s="1"/>
  <c r="K1204" i="1"/>
  <c r="N1195" i="1"/>
  <c r="O1195" i="1"/>
  <c r="K1278" i="1"/>
  <c r="L1395" i="1"/>
  <c r="G1284" i="13"/>
  <c r="L1285" i="1"/>
  <c r="L1431" i="1"/>
  <c r="G1320" i="13"/>
  <c r="J1320" i="13" s="1"/>
  <c r="K1314" i="1"/>
  <c r="L1409" i="1"/>
  <c r="G1298" i="13"/>
  <c r="J1298" i="13" s="1"/>
  <c r="M1411" i="1"/>
  <c r="M1301" i="1"/>
  <c r="M1538" i="1"/>
  <c r="N1159" i="1"/>
  <c r="O1159" i="1"/>
  <c r="G1194" i="13"/>
  <c r="J1191" i="13"/>
  <c r="J1194" i="13" s="1"/>
  <c r="L1390" i="1"/>
  <c r="K1273" i="1"/>
  <c r="G1279" i="13"/>
  <c r="L1277" i="1"/>
  <c r="N1179" i="1"/>
  <c r="O1179" i="1"/>
  <c r="L1424" i="1"/>
  <c r="G1313" i="13"/>
  <c r="L1311" i="1"/>
  <c r="L1322" i="1" s="1"/>
  <c r="K1307" i="1"/>
  <c r="G1182" i="13"/>
  <c r="J1175" i="13"/>
  <c r="J1182" i="13" s="1"/>
  <c r="K1280" i="1"/>
  <c r="L1397" i="1"/>
  <c r="G1286" i="13"/>
  <c r="J1286" i="13" s="1"/>
  <c r="N1196" i="1"/>
  <c r="O1196" i="1"/>
  <c r="N1170" i="1"/>
  <c r="O1170" i="1"/>
  <c r="M1546" i="1"/>
  <c r="M1516" i="1"/>
  <c r="M1517" i="1"/>
  <c r="M1530" i="1"/>
  <c r="M1513" i="1"/>
  <c r="M1524" i="1"/>
  <c r="L1529" i="1"/>
  <c r="K1412" i="1"/>
  <c r="G1418" i="13"/>
  <c r="J1418" i="13" s="1"/>
  <c r="L1425" i="1"/>
  <c r="G1314" i="13"/>
  <c r="J1314" i="13" s="1"/>
  <c r="K1308" i="1"/>
  <c r="N1198" i="1"/>
  <c r="O1198" i="1"/>
  <c r="L1407" i="1"/>
  <c r="G1296" i="13"/>
  <c r="J1296" i="13" s="1"/>
  <c r="K1290" i="1"/>
  <c r="N1201" i="1"/>
  <c r="O1201" i="1"/>
  <c r="L1398" i="1"/>
  <c r="G1287" i="13"/>
  <c r="J1287" i="13" s="1"/>
  <c r="K1281" i="1"/>
  <c r="O676" i="1"/>
  <c r="L1294" i="1"/>
  <c r="G1183" i="13"/>
  <c r="K1177" i="1"/>
  <c r="L1184" i="1"/>
  <c r="M1368" i="1"/>
  <c r="M1394" i="1"/>
  <c r="M1507" i="1"/>
  <c r="M1514" i="1"/>
  <c r="N1199" i="1"/>
  <c r="O1199" i="1"/>
  <c r="L1429" i="1"/>
  <c r="G1318" i="13"/>
  <c r="K1312" i="1"/>
  <c r="N1161" i="1"/>
  <c r="K1168" i="1"/>
  <c r="O1161" i="1"/>
  <c r="N1162" i="1"/>
  <c r="O1162" i="1"/>
  <c r="L1408" i="1"/>
  <c r="G1297" i="13"/>
  <c r="J1297" i="13" s="1"/>
  <c r="K1291" i="1"/>
  <c r="N1175" i="1"/>
  <c r="O1175" i="1"/>
  <c r="M1508" i="1"/>
  <c r="M1667" i="1"/>
  <c r="M1523" i="1"/>
  <c r="M1548" i="1"/>
  <c r="M1526" i="1"/>
  <c r="M1205" i="1"/>
  <c r="M1512" i="1"/>
  <c r="M1402" i="1"/>
  <c r="L1419" i="1"/>
  <c r="G1308" i="13"/>
  <c r="K1302" i="1"/>
  <c r="L1305" i="1"/>
  <c r="J1162" i="13"/>
  <c r="J1166" i="13" s="1"/>
  <c r="G1166" i="13"/>
  <c r="K1194" i="1"/>
  <c r="N1190" i="1"/>
  <c r="N1167" i="1"/>
  <c r="O1167" i="1"/>
  <c r="L1392" i="1"/>
  <c r="K1275" i="1"/>
  <c r="G1281" i="13"/>
  <c r="J1281" i="13" s="1"/>
  <c r="M1544" i="1"/>
  <c r="F807" i="16"/>
  <c r="I713" i="16"/>
  <c r="M1536" i="1"/>
  <c r="M1422" i="1"/>
  <c r="N1203" i="1"/>
  <c r="O1203" i="1"/>
  <c r="N1169" i="1"/>
  <c r="K1176" i="1"/>
  <c r="O1169" i="1"/>
  <c r="L1400" i="1"/>
  <c r="G1289" i="13"/>
  <c r="J1289" i="13" s="1"/>
  <c r="K1283" i="1"/>
  <c r="L1417" i="1"/>
  <c r="G1306" i="13"/>
  <c r="J1306" i="13" s="1"/>
  <c r="K1300" i="1"/>
  <c r="L1421" i="1"/>
  <c r="G1310" i="13"/>
  <c r="J1310" i="13" s="1"/>
  <c r="K1304" i="1"/>
  <c r="L1406" i="1"/>
  <c r="G1295" i="13"/>
  <c r="J1295" i="13" s="1"/>
  <c r="K1289" i="1"/>
  <c r="N1202" i="1"/>
  <c r="O1202" i="1"/>
  <c r="L1391" i="1"/>
  <c r="K1274" i="1"/>
  <c r="G1280" i="13"/>
  <c r="J1280" i="13" s="1"/>
  <c r="N1200" i="1"/>
  <c r="O1200" i="1"/>
  <c r="L1005" i="1"/>
  <c r="G895" i="13"/>
  <c r="J895" i="13" s="1"/>
  <c r="K889" i="1"/>
  <c r="N889" i="1" s="1"/>
  <c r="M1005" i="1"/>
  <c r="M1925" i="1"/>
  <c r="L1433" i="1"/>
  <c r="G1322" i="13"/>
  <c r="J1322" i="13" s="1"/>
  <c r="K1316" i="1"/>
  <c r="L1189" i="1"/>
  <c r="L1206" i="1" s="1"/>
  <c r="N1197" i="1"/>
  <c r="O1197" i="1"/>
  <c r="N1174" i="1"/>
  <c r="O1174" i="1"/>
  <c r="M1554" i="1"/>
  <c r="K1292" i="1"/>
  <c r="M1551" i="1"/>
  <c r="M1424" i="1"/>
  <c r="M1311" i="1"/>
  <c r="M1322" i="1" s="1"/>
  <c r="N1295" i="1"/>
  <c r="O1295" i="1"/>
  <c r="N1192" i="1"/>
  <c r="O1192" i="1"/>
  <c r="L1393" i="1"/>
  <c r="G1282" i="13"/>
  <c r="J1282" i="13" s="1"/>
  <c r="K1276" i="1"/>
  <c r="N1185" i="1"/>
  <c r="K1188" i="1"/>
  <c r="O1185" i="1"/>
  <c r="N1186" i="1"/>
  <c r="O1186" i="1"/>
  <c r="L1401" i="1"/>
  <c r="G1290" i="13"/>
  <c r="J1290" i="13" s="1"/>
  <c r="K1284" i="1"/>
  <c r="M1923" i="1"/>
  <c r="M1521" i="1"/>
  <c r="M1646" i="1"/>
  <c r="L1437" i="1"/>
  <c r="G1326" i="13"/>
  <c r="J1326" i="13" s="1"/>
  <c r="K1320" i="1"/>
  <c r="L1403" i="1"/>
  <c r="G1292" i="13"/>
  <c r="K1286" i="1"/>
  <c r="L1427" i="1"/>
  <c r="K1310" i="1"/>
  <c r="G1316" i="13"/>
  <c r="J1316" i="13" s="1"/>
  <c r="L1430" i="1"/>
  <c r="G1319" i="13"/>
  <c r="J1319" i="13" s="1"/>
  <c r="K1313" i="1"/>
  <c r="L1293" i="1"/>
  <c r="L1405" i="1"/>
  <c r="G1294" i="13"/>
  <c r="J1294" i="13" s="1"/>
  <c r="K1288" i="1"/>
  <c r="N1183" i="1"/>
  <c r="O1183" i="1"/>
  <c r="M1518" i="1"/>
  <c r="M1537" i="1"/>
  <c r="M1552" i="1"/>
  <c r="M1510" i="1"/>
  <c r="M1547" i="1"/>
  <c r="M1525" i="1"/>
  <c r="M1515" i="1"/>
  <c r="N1191" i="1"/>
  <c r="O1191" i="1"/>
  <c r="N1165" i="1"/>
  <c r="O1165" i="1"/>
  <c r="L1432" i="1"/>
  <c r="G1321" i="13"/>
  <c r="J1321" i="13" s="1"/>
  <c r="K1315" i="1"/>
  <c r="N1173" i="1"/>
  <c r="O1173" i="1"/>
  <c r="L1435" i="1"/>
  <c r="G1324" i="13"/>
  <c r="J1324" i="13" s="1"/>
  <c r="K1318" i="1"/>
  <c r="N1164" i="1"/>
  <c r="O1164" i="1"/>
  <c r="K1160" i="1"/>
  <c r="I611" i="16"/>
  <c r="J97" i="15" s="1"/>
  <c r="J99" i="15" s="1"/>
  <c r="F734" i="16"/>
  <c r="I640" i="16"/>
  <c r="F732" i="16"/>
  <c r="I638" i="16"/>
  <c r="F752" i="16"/>
  <c r="I658" i="16"/>
  <c r="F750" i="16"/>
  <c r="I656" i="16"/>
  <c r="F748" i="16"/>
  <c r="I654" i="16"/>
  <c r="F744" i="16"/>
  <c r="I650" i="16"/>
  <c r="F739" i="16"/>
  <c r="I645" i="16"/>
  <c r="F737" i="16"/>
  <c r="I643" i="16"/>
  <c r="F641" i="16"/>
  <c r="F725" i="16"/>
  <c r="I631" i="16"/>
  <c r="F771" i="16"/>
  <c r="I677" i="16"/>
  <c r="F769" i="16"/>
  <c r="I675" i="16"/>
  <c r="F767" i="16"/>
  <c r="I673" i="16"/>
  <c r="F765" i="16"/>
  <c r="I671" i="16"/>
  <c r="F763" i="16"/>
  <c r="I669" i="16"/>
  <c r="F761" i="16"/>
  <c r="I667" i="16"/>
  <c r="F759" i="16"/>
  <c r="I665" i="16"/>
  <c r="F757" i="16"/>
  <c r="I663" i="16"/>
  <c r="F755" i="16"/>
  <c r="I661" i="16"/>
  <c r="F770" i="16"/>
  <c r="I676" i="16"/>
  <c r="F768" i="16"/>
  <c r="I674" i="16"/>
  <c r="F766" i="16"/>
  <c r="I672" i="16"/>
  <c r="F764" i="16"/>
  <c r="I670" i="16"/>
  <c r="F762" i="16"/>
  <c r="I668" i="16"/>
  <c r="F760" i="16"/>
  <c r="I666" i="16"/>
  <c r="F758" i="16"/>
  <c r="I664" i="16"/>
  <c r="F756" i="16"/>
  <c r="I662" i="16"/>
  <c r="F754" i="16"/>
  <c r="I660" i="16"/>
  <c r="F753" i="16"/>
  <c r="I659" i="16"/>
  <c r="F751" i="16"/>
  <c r="I657" i="16"/>
  <c r="F749" i="16"/>
  <c r="I655" i="16"/>
  <c r="F747" i="16"/>
  <c r="I653" i="16"/>
  <c r="F746" i="16"/>
  <c r="I652" i="16"/>
  <c r="F745" i="16"/>
  <c r="I651" i="16"/>
  <c r="I632" i="16"/>
  <c r="F726" i="16"/>
  <c r="I630" i="16"/>
  <c r="F724" i="16"/>
  <c r="I628" i="16"/>
  <c r="F722" i="16"/>
  <c r="F719" i="16"/>
  <c r="I625" i="16"/>
  <c r="F717" i="16"/>
  <c r="I623" i="16"/>
  <c r="I644" i="16"/>
  <c r="F738" i="16"/>
  <c r="F961" i="16"/>
  <c r="I867" i="16"/>
  <c r="I837" i="16"/>
  <c r="F931" i="16"/>
  <c r="F727" i="16"/>
  <c r="I633" i="16"/>
  <c r="F723" i="16"/>
  <c r="I629" i="16"/>
  <c r="F721" i="16"/>
  <c r="I627" i="16"/>
  <c r="I624" i="16"/>
  <c r="F718" i="16"/>
  <c r="I622" i="16"/>
  <c r="F716" i="16"/>
  <c r="I620" i="16"/>
  <c r="F714" i="16"/>
  <c r="F634" i="16"/>
  <c r="F797" i="16"/>
  <c r="I703" i="16"/>
  <c r="F795" i="16"/>
  <c r="I701" i="16"/>
  <c r="F793" i="16"/>
  <c r="I699" i="16"/>
  <c r="F791" i="16"/>
  <c r="I697" i="16"/>
  <c r="F789" i="16"/>
  <c r="I695" i="16"/>
  <c r="F787" i="16"/>
  <c r="I693" i="16"/>
  <c r="F785" i="16"/>
  <c r="I691" i="16"/>
  <c r="F783" i="16"/>
  <c r="I689" i="16"/>
  <c r="F781" i="16"/>
  <c r="I687" i="16"/>
  <c r="F779" i="16"/>
  <c r="I685" i="16"/>
  <c r="F776" i="16"/>
  <c r="I682" i="16"/>
  <c r="F705" i="16"/>
  <c r="F774" i="16"/>
  <c r="I680" i="16"/>
  <c r="F733" i="16"/>
  <c r="I639" i="16"/>
  <c r="F731" i="16"/>
  <c r="I637" i="16"/>
  <c r="F798" i="16"/>
  <c r="I704" i="16"/>
  <c r="F794" i="16"/>
  <c r="I700" i="16"/>
  <c r="F792" i="16"/>
  <c r="I698" i="16"/>
  <c r="F790" i="16"/>
  <c r="I696" i="16"/>
  <c r="F788" i="16"/>
  <c r="I694" i="16"/>
  <c r="F786" i="16"/>
  <c r="I692" i="16"/>
  <c r="F784" i="16"/>
  <c r="I690" i="16"/>
  <c r="F782" i="16"/>
  <c r="I688" i="16"/>
  <c r="F780" i="16"/>
  <c r="I686" i="16"/>
  <c r="I684" i="16"/>
  <c r="F778" i="16"/>
  <c r="F775" i="16"/>
  <c r="I681" i="16"/>
  <c r="F646" i="16"/>
  <c r="F740" i="16"/>
  <c r="F830" i="16"/>
  <c r="I736" i="16"/>
  <c r="I730" i="16"/>
  <c r="F824" i="16"/>
  <c r="I720" i="16"/>
  <c r="F814" i="16"/>
  <c r="F823" i="16"/>
  <c r="I729" i="16"/>
  <c r="I715" i="16"/>
  <c r="F809" i="16"/>
  <c r="J289" i="17"/>
  <c r="M289" i="17" s="1"/>
  <c r="H78" i="15"/>
  <c r="N338" i="17"/>
  <c r="G85" i="15"/>
  <c r="N371" i="17"/>
  <c r="L930" i="17"/>
  <c r="Q280" i="17"/>
  <c r="L994" i="17"/>
  <c r="K324" i="17"/>
  <c r="Q334" i="17"/>
  <c r="H90" i="15" s="1"/>
  <c r="N336" i="17"/>
  <c r="N271" i="17"/>
  <c r="N356" i="17"/>
  <c r="N374" i="17"/>
  <c r="N373" i="17"/>
  <c r="N381" i="17"/>
  <c r="G93" i="15"/>
  <c r="N329" i="17"/>
  <c r="N379" i="17"/>
  <c r="N340" i="17"/>
  <c r="N367" i="17"/>
  <c r="N347" i="17"/>
  <c r="K455" i="17"/>
  <c r="J392" i="17"/>
  <c r="M392" i="17" s="1"/>
  <c r="Q392" i="17"/>
  <c r="L455" i="17"/>
  <c r="N392" i="17"/>
  <c r="K465" i="17"/>
  <c r="J402" i="17"/>
  <c r="Q402" i="17"/>
  <c r="K502" i="17"/>
  <c r="J439" i="17"/>
  <c r="Q439" i="17"/>
  <c r="K500" i="17"/>
  <c r="J437" i="17"/>
  <c r="M437" i="17" s="1"/>
  <c r="Q437" i="17"/>
  <c r="K498" i="17"/>
  <c r="Q435" i="17"/>
  <c r="J435" i="17"/>
  <c r="K486" i="17"/>
  <c r="Q423" i="17"/>
  <c r="J423" i="17"/>
  <c r="M358" i="17"/>
  <c r="N358" i="17"/>
  <c r="K484" i="17"/>
  <c r="Q421" i="17"/>
  <c r="J421" i="17"/>
  <c r="L324" i="17"/>
  <c r="M346" i="17"/>
  <c r="N346" i="17"/>
  <c r="Q409" i="17"/>
  <c r="K472" i="17"/>
  <c r="J409" i="17"/>
  <c r="Q440" i="17"/>
  <c r="K503" i="17"/>
  <c r="J440" i="17"/>
  <c r="M440" i="17" s="1"/>
  <c r="K495" i="17"/>
  <c r="Q432" i="17"/>
  <c r="J432" i="17"/>
  <c r="K489" i="17"/>
  <c r="Q426" i="17"/>
  <c r="J426" i="17"/>
  <c r="M426" i="17" s="1"/>
  <c r="K483" i="17"/>
  <c r="Q420" i="17"/>
  <c r="J420" i="17"/>
  <c r="M355" i="17"/>
  <c r="N355" i="17"/>
  <c r="Q289" i="17"/>
  <c r="H79" i="15"/>
  <c r="H81" i="15" s="1"/>
  <c r="H85" i="15" s="1"/>
  <c r="L554" i="17"/>
  <c r="K467" i="17"/>
  <c r="J404" i="17"/>
  <c r="Q404" i="17"/>
  <c r="K494" i="17"/>
  <c r="Q431" i="17"/>
  <c r="J431" i="17"/>
  <c r="L352" i="17"/>
  <c r="K480" i="17"/>
  <c r="Q417" i="17"/>
  <c r="J417" i="17"/>
  <c r="M417" i="17" s="1"/>
  <c r="Q412" i="17"/>
  <c r="K475" i="17"/>
  <c r="J412" i="17"/>
  <c r="K466" i="17"/>
  <c r="Q403" i="17"/>
  <c r="J403" i="17"/>
  <c r="M403" i="17" s="1"/>
  <c r="L569" i="17"/>
  <c r="L567" i="17"/>
  <c r="L503" i="17"/>
  <c r="N440" i="17"/>
  <c r="L565" i="17"/>
  <c r="M365" i="17"/>
  <c r="N365" i="17"/>
  <c r="K487" i="17"/>
  <c r="Q424" i="17"/>
  <c r="J424" i="17"/>
  <c r="N260" i="17"/>
  <c r="M260" i="17"/>
  <c r="J261" i="17"/>
  <c r="M261" i="17" s="1"/>
  <c r="Q342" i="17"/>
  <c r="H91" i="15" s="1"/>
  <c r="K461" i="17"/>
  <c r="Q398" i="17"/>
  <c r="K405" i="17"/>
  <c r="J398" i="17"/>
  <c r="N398" i="17" s="1"/>
  <c r="M380" i="17"/>
  <c r="N380" i="17"/>
  <c r="K506" i="17"/>
  <c r="J443" i="17"/>
  <c r="Q443" i="17"/>
  <c r="Q430" i="17"/>
  <c r="K493" i="17"/>
  <c r="J430" i="17"/>
  <c r="M430" i="17" s="1"/>
  <c r="M364" i="17"/>
  <c r="N364" i="17"/>
  <c r="M332" i="17"/>
  <c r="N332" i="17"/>
  <c r="L386" i="17"/>
  <c r="L479" i="17"/>
  <c r="L448" i="17"/>
  <c r="L471" i="17"/>
  <c r="K462" i="17"/>
  <c r="Q399" i="17"/>
  <c r="J399" i="17"/>
  <c r="M399" i="17" s="1"/>
  <c r="L509" i="17"/>
  <c r="L618" i="17"/>
  <c r="N363" i="17"/>
  <c r="L482" i="17"/>
  <c r="L544" i="17"/>
  <c r="K509" i="17"/>
  <c r="Q446" i="17"/>
  <c r="J446" i="17"/>
  <c r="M446" i="17" s="1"/>
  <c r="J411" i="17"/>
  <c r="N411" i="17" s="1"/>
  <c r="K474" i="17"/>
  <c r="Q411" i="17"/>
  <c r="L538" i="17"/>
  <c r="L474" i="17"/>
  <c r="L535" i="17"/>
  <c r="M337" i="17"/>
  <c r="N337" i="17"/>
  <c r="L501" i="17"/>
  <c r="K508" i="17"/>
  <c r="J445" i="17"/>
  <c r="Q445" i="17"/>
  <c r="K497" i="17"/>
  <c r="J434" i="17"/>
  <c r="M434" i="17" s="1"/>
  <c r="Q434" i="17"/>
  <c r="K492" i="17"/>
  <c r="Q429" i="17"/>
  <c r="J429" i="17"/>
  <c r="L476" i="17"/>
  <c r="L526" i="17"/>
  <c r="K482" i="17"/>
  <c r="Q419" i="17"/>
  <c r="J419" i="17"/>
  <c r="M419" i="17" s="1"/>
  <c r="J351" i="17"/>
  <c r="M351" i="17" s="1"/>
  <c r="M344" i="17"/>
  <c r="Q351" i="17"/>
  <c r="K519" i="17"/>
  <c r="Q456" i="17"/>
  <c r="N354" i="17"/>
  <c r="L343" i="17"/>
  <c r="G97" i="15"/>
  <c r="G99" i="15" s="1"/>
  <c r="M353" i="17"/>
  <c r="J385" i="17"/>
  <c r="N331" i="17"/>
  <c r="M339" i="17"/>
  <c r="N339" i="17"/>
  <c r="M384" i="17"/>
  <c r="N384" i="17"/>
  <c r="K510" i="17"/>
  <c r="Q447" i="17"/>
  <c r="J447" i="17"/>
  <c r="M376" i="17"/>
  <c r="N376" i="17"/>
  <c r="Q438" i="17"/>
  <c r="K501" i="17"/>
  <c r="J438" i="17"/>
  <c r="M438" i="17" s="1"/>
  <c r="Q436" i="17"/>
  <c r="K499" i="17"/>
  <c r="J436" i="17"/>
  <c r="M436" i="17" s="1"/>
  <c r="M372" i="17"/>
  <c r="N372" i="17"/>
  <c r="M360" i="17"/>
  <c r="N360" i="17"/>
  <c r="N226" i="17"/>
  <c r="L530" i="17"/>
  <c r="L464" i="17"/>
  <c r="K471" i="17"/>
  <c r="Q408" i="17"/>
  <c r="J408" i="17"/>
  <c r="M408" i="17" s="1"/>
  <c r="J442" i="17"/>
  <c r="M442" i="17" s="1"/>
  <c r="K505" i="17"/>
  <c r="Q442" i="17"/>
  <c r="M369" i="17"/>
  <c r="N369" i="17"/>
  <c r="Q418" i="17"/>
  <c r="K481" i="17"/>
  <c r="J418" i="17"/>
  <c r="M333" i="17"/>
  <c r="N333" i="17"/>
  <c r="K459" i="17"/>
  <c r="Q396" i="17"/>
  <c r="J396" i="17"/>
  <c r="L550" i="17"/>
  <c r="K473" i="17"/>
  <c r="Q410" i="17"/>
  <c r="J410" i="17"/>
  <c r="M410" i="17" s="1"/>
  <c r="M341" i="17"/>
  <c r="N341" i="17"/>
  <c r="M378" i="17"/>
  <c r="N378" i="17"/>
  <c r="K504" i="17"/>
  <c r="J441" i="17"/>
  <c r="Q441" i="17"/>
  <c r="M368" i="17"/>
  <c r="N368" i="17"/>
  <c r="M362" i="17"/>
  <c r="N362" i="17"/>
  <c r="K488" i="17"/>
  <c r="Q425" i="17"/>
  <c r="J425" i="17"/>
  <c r="N344" i="17"/>
  <c r="L414" i="17"/>
  <c r="L470" i="17"/>
  <c r="L528" i="17"/>
  <c r="L462" i="17"/>
  <c r="M349" i="17"/>
  <c r="N349" i="17"/>
  <c r="M330" i="17"/>
  <c r="J334" i="17"/>
  <c r="L505" i="17"/>
  <c r="N377" i="17"/>
  <c r="K507" i="17"/>
  <c r="Q444" i="17"/>
  <c r="J444" i="17"/>
  <c r="M444" i="17" s="1"/>
  <c r="K491" i="17"/>
  <c r="Q428" i="17"/>
  <c r="J428" i="17"/>
  <c r="M361" i="17"/>
  <c r="N361" i="17"/>
  <c r="J323" i="17"/>
  <c r="M322" i="17"/>
  <c r="J342" i="17"/>
  <c r="M342" i="17" s="1"/>
  <c r="M335" i="17"/>
  <c r="L466" i="17"/>
  <c r="L522" i="17"/>
  <c r="L558" i="17"/>
  <c r="M370" i="17"/>
  <c r="N370" i="17"/>
  <c r="K496" i="17"/>
  <c r="J433" i="17"/>
  <c r="Q433" i="17"/>
  <c r="K490" i="17"/>
  <c r="Q427" i="17"/>
  <c r="J427" i="17"/>
  <c r="K485" i="17"/>
  <c r="J422" i="17"/>
  <c r="N422" i="17" s="1"/>
  <c r="Q422" i="17"/>
  <c r="K458" i="17"/>
  <c r="J395" i="17"/>
  <c r="Q395" i="17"/>
  <c r="N353" i="17"/>
  <c r="N345" i="17"/>
  <c r="L573" i="17"/>
  <c r="N383" i="17"/>
  <c r="L571" i="17"/>
  <c r="L500" i="17"/>
  <c r="L499" i="17"/>
  <c r="L561" i="17"/>
  <c r="L497" i="17"/>
  <c r="L559" i="17"/>
  <c r="L557" i="17"/>
  <c r="L493" i="17"/>
  <c r="L553" i="17"/>
  <c r="L489" i="17"/>
  <c r="L551" i="17"/>
  <c r="L549" i="17"/>
  <c r="L547" i="17"/>
  <c r="N217" i="17"/>
  <c r="K476" i="17"/>
  <c r="Q413" i="17"/>
  <c r="J413" i="17"/>
  <c r="M413" i="17" s="1"/>
  <c r="N348" i="17"/>
  <c r="L473" i="17"/>
  <c r="K463" i="17"/>
  <c r="J400" i="17"/>
  <c r="Q400" i="17"/>
  <c r="L507" i="17"/>
  <c r="N375" i="17"/>
  <c r="M382" i="17"/>
  <c r="N382" i="17"/>
  <c r="M366" i="17"/>
  <c r="N366" i="17"/>
  <c r="Q394" i="17"/>
  <c r="K457" i="17"/>
  <c r="J394" i="17"/>
  <c r="M394" i="17" s="1"/>
  <c r="N198" i="17"/>
  <c r="N350" i="17"/>
  <c r="N289" i="17"/>
  <c r="K352" i="17"/>
  <c r="G94" i="15"/>
  <c r="G96" i="15" s="1"/>
  <c r="Q407" i="17"/>
  <c r="K470" i="17"/>
  <c r="K414" i="17"/>
  <c r="K415" i="17" s="1"/>
  <c r="G109" i="15" s="1"/>
  <c r="G111" i="15" s="1"/>
  <c r="J407" i="17"/>
  <c r="K464" i="17"/>
  <c r="Q401" i="17"/>
  <c r="J401" i="17"/>
  <c r="M401" i="17" s="1"/>
  <c r="M393" i="17"/>
  <c r="K397" i="17"/>
  <c r="G105" i="15" s="1"/>
  <c r="K343" i="17"/>
  <c r="L480" i="17"/>
  <c r="N330" i="17"/>
  <c r="L456" i="17"/>
  <c r="J456" i="17" s="1"/>
  <c r="L397" i="17"/>
  <c r="N393" i="17"/>
  <c r="Q385" i="17"/>
  <c r="Q386" i="17" s="1"/>
  <c r="K479" i="17"/>
  <c r="K448" i="17"/>
  <c r="K449" i="17" s="1"/>
  <c r="J416" i="17"/>
  <c r="Q416" i="17"/>
  <c r="J280" i="17"/>
  <c r="M280" i="17" s="1"/>
  <c r="M279" i="17"/>
  <c r="N335" i="17"/>
  <c r="L405" i="17"/>
  <c r="L461" i="17"/>
  <c r="L521" i="17"/>
  <c r="L457" i="17"/>
  <c r="S341" i="14"/>
  <c r="T341" i="14" s="1"/>
  <c r="S338" i="14"/>
  <c r="T338" i="14" s="1"/>
  <c r="S335" i="14"/>
  <c r="T335" i="14" s="1"/>
  <c r="S343" i="14"/>
  <c r="T337" i="14"/>
  <c r="N1068" i="1"/>
  <c r="K1071" i="1"/>
  <c r="O1068" i="1"/>
  <c r="N1048" i="1"/>
  <c r="O1048" i="1"/>
  <c r="N1081" i="1"/>
  <c r="O1081" i="1"/>
  <c r="N1039" i="1"/>
  <c r="K1043" i="1"/>
  <c r="O1039" i="1"/>
  <c r="J1045" i="13"/>
  <c r="J1049" i="13" s="1"/>
  <c r="G1049" i="13"/>
  <c r="N1069" i="1"/>
  <c r="O1069" i="1"/>
  <c r="N1084" i="1"/>
  <c r="O1084" i="1"/>
  <c r="N1040" i="1"/>
  <c r="O1040" i="1"/>
  <c r="N1041" i="1"/>
  <c r="O1041" i="1"/>
  <c r="N1047" i="1"/>
  <c r="O1047" i="1"/>
  <c r="N1083" i="1"/>
  <c r="O1083" i="1"/>
  <c r="N1086" i="1"/>
  <c r="O1086" i="1"/>
  <c r="G1065" i="13"/>
  <c r="J1058" i="13"/>
  <c r="J1065" i="13" s="1"/>
  <c r="G1093" i="13"/>
  <c r="J1084" i="13"/>
  <c r="J1093" i="13" s="1"/>
  <c r="N1079" i="1"/>
  <c r="O1079" i="1"/>
  <c r="N1080" i="1"/>
  <c r="O1080" i="1"/>
  <c r="N1053" i="1"/>
  <c r="O1053" i="1"/>
  <c r="N1054" i="1"/>
  <c r="O1054" i="1"/>
  <c r="N1058" i="1"/>
  <c r="O1058" i="1"/>
  <c r="N1066" i="1"/>
  <c r="O1066" i="1"/>
  <c r="N1075" i="1"/>
  <c r="O1075" i="1"/>
  <c r="N1042" i="1"/>
  <c r="O1042" i="1"/>
  <c r="N1070" i="1"/>
  <c r="O1070" i="1"/>
  <c r="N1074" i="1"/>
  <c r="O1074" i="1"/>
  <c r="G1077" i="13"/>
  <c r="J1074" i="13"/>
  <c r="J1077" i="13" s="1"/>
  <c r="N1055" i="1"/>
  <c r="O1055" i="1"/>
  <c r="N1056" i="1"/>
  <c r="O1056" i="1"/>
  <c r="N1085" i="1"/>
  <c r="O1085" i="1"/>
  <c r="O1073" i="1"/>
  <c r="N1073" i="1"/>
  <c r="K1077" i="1"/>
  <c r="G1083" i="13"/>
  <c r="J1079" i="13"/>
  <c r="J1083" i="13" s="1"/>
  <c r="J1094" i="13" s="1"/>
  <c r="I151" i="15" s="1"/>
  <c r="N1050" i="1"/>
  <c r="O1050" i="1"/>
  <c r="N1052" i="1"/>
  <c r="K1059" i="1"/>
  <c r="O1052" i="1"/>
  <c r="N1046" i="1"/>
  <c r="O1046" i="1"/>
  <c r="N1082" i="1"/>
  <c r="O1082" i="1"/>
  <c r="N1076" i="1"/>
  <c r="O1076" i="1"/>
  <c r="N1078" i="1"/>
  <c r="K1087" i="1"/>
  <c r="O1078" i="1"/>
  <c r="K1051" i="1"/>
  <c r="N1044" i="1"/>
  <c r="O1044" i="1"/>
  <c r="J1050" i="13"/>
  <c r="J1057" i="13" s="1"/>
  <c r="G1057" i="13"/>
  <c r="N1045" i="1"/>
  <c r="O1045" i="1"/>
  <c r="N1049" i="1"/>
  <c r="O1049" i="1"/>
  <c r="N1057" i="1"/>
  <c r="O1057" i="1"/>
  <c r="N1062" i="1"/>
  <c r="O1062" i="1"/>
  <c r="G1066" i="13"/>
  <c r="K1060" i="1"/>
  <c r="L1067" i="1"/>
  <c r="L1072" i="1" s="1"/>
  <c r="L1089" i="1" s="1"/>
  <c r="M1072" i="1"/>
  <c r="L994" i="1"/>
  <c r="L1111" i="1" s="1"/>
  <c r="L1228" i="1" s="1"/>
  <c r="G884" i="13"/>
  <c r="J884" i="13" s="1"/>
  <c r="K878" i="1"/>
  <c r="N878" i="1" s="1"/>
  <c r="K877" i="1"/>
  <c r="L993" i="1"/>
  <c r="L1110" i="1" s="1"/>
  <c r="L1227" i="1" s="1"/>
  <c r="G883" i="13"/>
  <c r="L880" i="1"/>
  <c r="L980" i="1"/>
  <c r="L1097" i="1" s="1"/>
  <c r="L1214" i="1" s="1"/>
  <c r="G870" i="13"/>
  <c r="J870" i="13" s="1"/>
  <c r="K864" i="1"/>
  <c r="N864" i="1" s="1"/>
  <c r="M1015" i="1"/>
  <c r="M1132" i="1" s="1"/>
  <c r="M1249" i="1" s="1"/>
  <c r="L1028" i="1"/>
  <c r="L1145" i="1" s="1"/>
  <c r="L1262" i="1" s="1"/>
  <c r="G917" i="13"/>
  <c r="J917" i="13" s="1"/>
  <c r="K912" i="1"/>
  <c r="N912" i="1" s="1"/>
  <c r="L1009" i="1"/>
  <c r="L1126" i="1" s="1"/>
  <c r="L1243" i="1" s="1"/>
  <c r="G899" i="13"/>
  <c r="J899" i="13" s="1"/>
  <c r="K893" i="1"/>
  <c r="M1021" i="1"/>
  <c r="M1138" i="1" s="1"/>
  <c r="M1255" i="1" s="1"/>
  <c r="M1008" i="1"/>
  <c r="M1125" i="1" s="1"/>
  <c r="M1242" i="1" s="1"/>
  <c r="M895" i="1"/>
  <c r="M981" i="1"/>
  <c r="M1098" i="1" s="1"/>
  <c r="M1215" i="1" s="1"/>
  <c r="M980" i="1"/>
  <c r="M1097" i="1" s="1"/>
  <c r="M1214" i="1" s="1"/>
  <c r="O864" i="1"/>
  <c r="M978" i="1"/>
  <c r="M1095" i="1" s="1"/>
  <c r="M1212" i="1" s="1"/>
  <c r="K872" i="1"/>
  <c r="N872" i="1" s="1"/>
  <c r="L988" i="1"/>
  <c r="L1105" i="1" s="1"/>
  <c r="L1222" i="1" s="1"/>
  <c r="G878" i="13"/>
  <c r="J878" i="13" s="1"/>
  <c r="L1031" i="1"/>
  <c r="L1148" i="1" s="1"/>
  <c r="L1265" i="1" s="1"/>
  <c r="G921" i="13"/>
  <c r="G920" i="13"/>
  <c r="K915" i="1"/>
  <c r="N915" i="1" s="1"/>
  <c r="M1022" i="1"/>
  <c r="M1139" i="1" s="1"/>
  <c r="M1256" i="1" s="1"/>
  <c r="M1018" i="1"/>
  <c r="M1135" i="1" s="1"/>
  <c r="M1252" i="1" s="1"/>
  <c r="M1253" i="1" s="1"/>
  <c r="M1009" i="1"/>
  <c r="M1126" i="1" s="1"/>
  <c r="M1243" i="1" s="1"/>
  <c r="O893" i="1"/>
  <c r="M998" i="1"/>
  <c r="M1115" i="1" s="1"/>
  <c r="M1232" i="1" s="1"/>
  <c r="M975" i="1"/>
  <c r="M1092" i="1" s="1"/>
  <c r="M1209" i="1" s="1"/>
  <c r="L1015" i="1"/>
  <c r="L1132" i="1" s="1"/>
  <c r="L1249" i="1" s="1"/>
  <c r="K899" i="1"/>
  <c r="N899" i="1" s="1"/>
  <c r="G905" i="13"/>
  <c r="J905" i="13" s="1"/>
  <c r="K898" i="1"/>
  <c r="N898" i="1" s="1"/>
  <c r="L1014" i="1"/>
  <c r="L1131" i="1" s="1"/>
  <c r="L1248" i="1" s="1"/>
  <c r="G904" i="13"/>
  <c r="J904" i="13" s="1"/>
  <c r="M1027" i="1"/>
  <c r="M1144" i="1" s="1"/>
  <c r="M1261" i="1" s="1"/>
  <c r="M1020" i="1"/>
  <c r="M1137" i="1" s="1"/>
  <c r="M1254" i="1" s="1"/>
  <c r="M909" i="1"/>
  <c r="M1012" i="1"/>
  <c r="M1129" i="1" s="1"/>
  <c r="M1246" i="1" s="1"/>
  <c r="M900" i="1"/>
  <c r="M887" i="1"/>
  <c r="M997" i="1"/>
  <c r="M1114" i="1" s="1"/>
  <c r="M1231" i="1" s="1"/>
  <c r="O542" i="1"/>
  <c r="L997" i="1"/>
  <c r="L1114" i="1" s="1"/>
  <c r="L1231" i="1" s="1"/>
  <c r="K881" i="1"/>
  <c r="G887" i="13"/>
  <c r="L887" i="1"/>
  <c r="O669" i="1"/>
  <c r="L913" i="1"/>
  <c r="L1026" i="1"/>
  <c r="L1143" i="1" s="1"/>
  <c r="L1260" i="1" s="1"/>
  <c r="G915" i="13"/>
  <c r="K910" i="1"/>
  <c r="M990" i="1"/>
  <c r="M1107" i="1" s="1"/>
  <c r="M1224" i="1" s="1"/>
  <c r="O635" i="1"/>
  <c r="M979" i="1"/>
  <c r="M1096" i="1" s="1"/>
  <c r="M1213" i="1" s="1"/>
  <c r="M977" i="1"/>
  <c r="M1094" i="1" s="1"/>
  <c r="M1211" i="1" s="1"/>
  <c r="K907" i="1"/>
  <c r="N907" i="1" s="1"/>
  <c r="L1023" i="1"/>
  <c r="L1140" i="1" s="1"/>
  <c r="L1257" i="1" s="1"/>
  <c r="G913" i="13"/>
  <c r="J913" i="13" s="1"/>
  <c r="O898" i="1"/>
  <c r="M1014" i="1"/>
  <c r="M1131" i="1" s="1"/>
  <c r="M1248" i="1" s="1"/>
  <c r="K865" i="1"/>
  <c r="N865" i="1" s="1"/>
  <c r="L981" i="1"/>
  <c r="L1098" i="1" s="1"/>
  <c r="L1215" i="1" s="1"/>
  <c r="G871" i="13"/>
  <c r="J871" i="13" s="1"/>
  <c r="L1013" i="1"/>
  <c r="L1130" i="1" s="1"/>
  <c r="L1247" i="1" s="1"/>
  <c r="G903" i="13"/>
  <c r="J903" i="13" s="1"/>
  <c r="K897" i="1"/>
  <c r="N897" i="1" s="1"/>
  <c r="L1017" i="1"/>
  <c r="L1134" i="1" s="1"/>
  <c r="L1251" i="1" s="1"/>
  <c r="G907" i="13"/>
  <c r="L903" i="1"/>
  <c r="K901" i="1"/>
  <c r="M1031" i="1"/>
  <c r="M1148" i="1" s="1"/>
  <c r="M1265" i="1" s="1"/>
  <c r="M1000" i="1"/>
  <c r="M1117" i="1" s="1"/>
  <c r="M1234" i="1" s="1"/>
  <c r="K859" i="1"/>
  <c r="N859" i="1" s="1"/>
  <c r="L975" i="1"/>
  <c r="L1092" i="1" s="1"/>
  <c r="L1209" i="1" s="1"/>
  <c r="G865" i="13"/>
  <c r="J865" i="13" s="1"/>
  <c r="M999" i="1"/>
  <c r="M1116" i="1" s="1"/>
  <c r="M1233" i="1" s="1"/>
  <c r="M993" i="1"/>
  <c r="M1110" i="1" s="1"/>
  <c r="M1227" i="1" s="1"/>
  <c r="M880" i="1"/>
  <c r="O877" i="1"/>
  <c r="M986" i="1"/>
  <c r="M1103" i="1" s="1"/>
  <c r="M1220" i="1" s="1"/>
  <c r="M985" i="1"/>
  <c r="M1102" i="1" s="1"/>
  <c r="M1219" i="1" s="1"/>
  <c r="M875" i="1"/>
  <c r="L1010" i="1"/>
  <c r="L1127" i="1" s="1"/>
  <c r="L1244" i="1" s="1"/>
  <c r="K894" i="1"/>
  <c r="N894" i="1" s="1"/>
  <c r="G900" i="13"/>
  <c r="J900" i="13" s="1"/>
  <c r="M1001" i="1"/>
  <c r="M1118" i="1" s="1"/>
  <c r="M1235" i="1" s="1"/>
  <c r="M974" i="1"/>
  <c r="M1091" i="1" s="1"/>
  <c r="M1208" i="1" s="1"/>
  <c r="M1030" i="1"/>
  <c r="M1147" i="1" s="1"/>
  <c r="M1264" i="1" s="1"/>
  <c r="M916" i="1"/>
  <c r="M994" i="1"/>
  <c r="M1111" i="1" s="1"/>
  <c r="M1228" i="1" s="1"/>
  <c r="M982" i="1"/>
  <c r="M1099" i="1" s="1"/>
  <c r="M1216" i="1" s="1"/>
  <c r="L1001" i="1"/>
  <c r="L1118" i="1" s="1"/>
  <c r="L1235" i="1" s="1"/>
  <c r="G891" i="13"/>
  <c r="J891" i="13" s="1"/>
  <c r="K885" i="1"/>
  <c r="N885" i="1" s="1"/>
  <c r="K883" i="1"/>
  <c r="N883" i="1" s="1"/>
  <c r="L999" i="1"/>
  <c r="L1116" i="1" s="1"/>
  <c r="L1233" i="1" s="1"/>
  <c r="G889" i="13"/>
  <c r="J889" i="13" s="1"/>
  <c r="G949" i="13"/>
  <c r="J942" i="13"/>
  <c r="J949" i="13" s="1"/>
  <c r="N930" i="1"/>
  <c r="O930" i="1"/>
  <c r="N965" i="1"/>
  <c r="O965" i="1"/>
  <c r="N961" i="1"/>
  <c r="K970" i="1"/>
  <c r="O961" i="1"/>
  <c r="G941" i="13"/>
  <c r="J934" i="13"/>
  <c r="J941" i="13" s="1"/>
  <c r="N962" i="1"/>
  <c r="O962" i="1"/>
  <c r="M856" i="1"/>
  <c r="N963" i="1"/>
  <c r="O963" i="1"/>
  <c r="N933" i="1"/>
  <c r="O933" i="1"/>
  <c r="N926" i="1"/>
  <c r="O926" i="1"/>
  <c r="N957" i="1"/>
  <c r="O957" i="1"/>
  <c r="N828" i="1"/>
  <c r="O828" i="1"/>
  <c r="K954" i="1"/>
  <c r="N951" i="1"/>
  <c r="O951" i="1"/>
  <c r="N932" i="1"/>
  <c r="O932" i="1"/>
  <c r="N939" i="1"/>
  <c r="O939" i="1"/>
  <c r="N923" i="1"/>
  <c r="K927" i="1"/>
  <c r="O923" i="1"/>
  <c r="J929" i="13"/>
  <c r="J933" i="13" s="1"/>
  <c r="G933" i="13"/>
  <c r="N968" i="1"/>
  <c r="O968" i="1"/>
  <c r="K855" i="1"/>
  <c r="N844" i="1"/>
  <c r="O844" i="1"/>
  <c r="N967" i="1"/>
  <c r="O967" i="1"/>
  <c r="N934" i="1"/>
  <c r="O934" i="1"/>
  <c r="N925" i="1"/>
  <c r="O925" i="1"/>
  <c r="N931" i="1"/>
  <c r="O931" i="1"/>
  <c r="N937" i="1"/>
  <c r="O937" i="1"/>
  <c r="N941" i="1"/>
  <c r="O941" i="1"/>
  <c r="N949" i="1"/>
  <c r="O949" i="1"/>
  <c r="G840" i="13"/>
  <c r="G845" i="13" s="1"/>
  <c r="J835" i="13"/>
  <c r="J840" i="13" s="1"/>
  <c r="M903" i="1"/>
  <c r="K860" i="1"/>
  <c r="N860" i="1" s="1"/>
  <c r="L976" i="1"/>
  <c r="L1093" i="1" s="1"/>
  <c r="L1210" i="1" s="1"/>
  <c r="G866" i="13"/>
  <c r="J866" i="13" s="1"/>
  <c r="M1013" i="1"/>
  <c r="M1130" i="1" s="1"/>
  <c r="M1247" i="1" s="1"/>
  <c r="O897" i="1"/>
  <c r="M973" i="1"/>
  <c r="M1090" i="1" s="1"/>
  <c r="M1207" i="1" s="1"/>
  <c r="M867" i="1"/>
  <c r="L1030" i="1"/>
  <c r="L1147" i="1" s="1"/>
  <c r="L1264" i="1" s="1"/>
  <c r="G919" i="13"/>
  <c r="K914" i="1"/>
  <c r="L916" i="1"/>
  <c r="K886" i="1"/>
  <c r="N886" i="1" s="1"/>
  <c r="L1002" i="1"/>
  <c r="L1119" i="1" s="1"/>
  <c r="L1236" i="1" s="1"/>
  <c r="G892" i="13"/>
  <c r="J892" i="13" s="1"/>
  <c r="L1000" i="1"/>
  <c r="L1117" i="1" s="1"/>
  <c r="L1234" i="1" s="1"/>
  <c r="G890" i="13"/>
  <c r="J890" i="13" s="1"/>
  <c r="K884" i="1"/>
  <c r="N884" i="1" s="1"/>
  <c r="K882" i="1"/>
  <c r="N882" i="1" s="1"/>
  <c r="L998" i="1"/>
  <c r="L1115" i="1" s="1"/>
  <c r="L1232" i="1" s="1"/>
  <c r="G888" i="13"/>
  <c r="J888" i="13" s="1"/>
  <c r="L987" i="1"/>
  <c r="L1104" i="1" s="1"/>
  <c r="L1221" i="1" s="1"/>
  <c r="G877" i="13"/>
  <c r="J877" i="13" s="1"/>
  <c r="K871" i="1"/>
  <c r="K863" i="1"/>
  <c r="N863" i="1" s="1"/>
  <c r="L979" i="1"/>
  <c r="L1096" i="1" s="1"/>
  <c r="L1213" i="1" s="1"/>
  <c r="G869" i="13"/>
  <c r="J869" i="13" s="1"/>
  <c r="M1028" i="1"/>
  <c r="M1145" i="1" s="1"/>
  <c r="M1262" i="1" s="1"/>
  <c r="O912" i="1"/>
  <c r="L1022" i="1"/>
  <c r="L1139" i="1" s="1"/>
  <c r="L1256" i="1" s="1"/>
  <c r="G912" i="13"/>
  <c r="J912" i="13" s="1"/>
  <c r="K906" i="1"/>
  <c r="N906" i="1" s="1"/>
  <c r="L973" i="1"/>
  <c r="L1090" i="1" s="1"/>
  <c r="L1207" i="1" s="1"/>
  <c r="G863" i="13"/>
  <c r="L867" i="1"/>
  <c r="K857" i="1"/>
  <c r="L1021" i="1"/>
  <c r="L1138" i="1" s="1"/>
  <c r="L1255" i="1" s="1"/>
  <c r="G911" i="13"/>
  <c r="J911" i="13" s="1"/>
  <c r="K905" i="1"/>
  <c r="N905" i="1" s="1"/>
  <c r="O872" i="1"/>
  <c r="M988" i="1"/>
  <c r="M1105" i="1" s="1"/>
  <c r="M1222" i="1" s="1"/>
  <c r="L984" i="1"/>
  <c r="L1101" i="1" s="1"/>
  <c r="L1218" i="1" s="1"/>
  <c r="G874" i="13"/>
  <c r="L875" i="1"/>
  <c r="K868" i="1"/>
  <c r="L1012" i="1"/>
  <c r="L1129" i="1" s="1"/>
  <c r="L1246" i="1" s="1"/>
  <c r="G902" i="13"/>
  <c r="L900" i="1"/>
  <c r="K896" i="1"/>
  <c r="L1008" i="1"/>
  <c r="L1125" i="1" s="1"/>
  <c r="L1242" i="1" s="1"/>
  <c r="K892" i="1"/>
  <c r="N892" i="1" s="1"/>
  <c r="G898" i="13"/>
  <c r="L895" i="1"/>
  <c r="L990" i="1"/>
  <c r="L1107" i="1" s="1"/>
  <c r="L1224" i="1" s="1"/>
  <c r="K874" i="1"/>
  <c r="N874" i="1" s="1"/>
  <c r="G880" i="13"/>
  <c r="J880" i="13" s="1"/>
  <c r="M995" i="1"/>
  <c r="M1112" i="1" s="1"/>
  <c r="M1229" i="1" s="1"/>
  <c r="O639" i="1"/>
  <c r="M976" i="1"/>
  <c r="M1093" i="1" s="1"/>
  <c r="M1210" i="1" s="1"/>
  <c r="L1027" i="1"/>
  <c r="L1144" i="1" s="1"/>
  <c r="L1261" i="1" s="1"/>
  <c r="G916" i="13"/>
  <c r="J916" i="13" s="1"/>
  <c r="K911" i="1"/>
  <c r="N911" i="1" s="1"/>
  <c r="K902" i="1"/>
  <c r="N902" i="1" s="1"/>
  <c r="L1018" i="1"/>
  <c r="L1135" i="1" s="1"/>
  <c r="L1252" i="1" s="1"/>
  <c r="G908" i="13"/>
  <c r="J908" i="13" s="1"/>
  <c r="K870" i="1"/>
  <c r="N870" i="1" s="1"/>
  <c r="L986" i="1"/>
  <c r="L1103" i="1" s="1"/>
  <c r="L1220" i="1" s="1"/>
  <c r="G876" i="13"/>
  <c r="J876" i="13" s="1"/>
  <c r="L978" i="1"/>
  <c r="L1095" i="1" s="1"/>
  <c r="L1212" i="1" s="1"/>
  <c r="G868" i="13"/>
  <c r="J868" i="13" s="1"/>
  <c r="K862" i="1"/>
  <c r="N862" i="1" s="1"/>
  <c r="K879" i="1"/>
  <c r="N879" i="1" s="1"/>
  <c r="L995" i="1"/>
  <c r="L1112" i="1" s="1"/>
  <c r="L1229" i="1" s="1"/>
  <c r="G885" i="13"/>
  <c r="J885" i="13" s="1"/>
  <c r="L974" i="1"/>
  <c r="L1091" i="1" s="1"/>
  <c r="L1208" i="1" s="1"/>
  <c r="G864" i="13"/>
  <c r="J864" i="13" s="1"/>
  <c r="K858" i="1"/>
  <c r="N858" i="1" s="1"/>
  <c r="M1024" i="1"/>
  <c r="M1141" i="1" s="1"/>
  <c r="M1258" i="1" s="1"/>
  <c r="M1010" i="1"/>
  <c r="M1127" i="1" s="1"/>
  <c r="M1244" i="1" s="1"/>
  <c r="O894" i="1"/>
  <c r="K908" i="1"/>
  <c r="N908" i="1" s="1"/>
  <c r="L1024" i="1"/>
  <c r="L909" i="1"/>
  <c r="L1020" i="1"/>
  <c r="L1137" i="1" s="1"/>
  <c r="L1254" i="1" s="1"/>
  <c r="G910" i="13"/>
  <c r="K904" i="1"/>
  <c r="M913" i="1"/>
  <c r="M1026" i="1"/>
  <c r="M1143" i="1" s="1"/>
  <c r="M1260" i="1" s="1"/>
  <c r="O910" i="1"/>
  <c r="M1023" i="1"/>
  <c r="M1140" i="1" s="1"/>
  <c r="M1257" i="1" s="1"/>
  <c r="O907" i="1"/>
  <c r="O886" i="1"/>
  <c r="M1002" i="1"/>
  <c r="M1119" i="1" s="1"/>
  <c r="M1236" i="1" s="1"/>
  <c r="O636" i="1"/>
  <c r="K873" i="1"/>
  <c r="L989" i="1"/>
  <c r="L1106" i="1" s="1"/>
  <c r="L1223" i="1" s="1"/>
  <c r="G879" i="13"/>
  <c r="J879" i="13" s="1"/>
  <c r="L982" i="1"/>
  <c r="L1099" i="1" s="1"/>
  <c r="L1216" i="1" s="1"/>
  <c r="K866" i="1"/>
  <c r="N866" i="1" s="1"/>
  <c r="G872" i="13"/>
  <c r="J872" i="13" s="1"/>
  <c r="K869" i="1"/>
  <c r="N869" i="1" s="1"/>
  <c r="L985" i="1"/>
  <c r="L1102" i="1" s="1"/>
  <c r="L1219" i="1" s="1"/>
  <c r="G875" i="13"/>
  <c r="J875" i="13" s="1"/>
  <c r="L977" i="1"/>
  <c r="L1094" i="1" s="1"/>
  <c r="L1211" i="1" s="1"/>
  <c r="G867" i="13"/>
  <c r="J867" i="13" s="1"/>
  <c r="K861" i="1"/>
  <c r="N861" i="1" s="1"/>
  <c r="N969" i="1"/>
  <c r="O969" i="1"/>
  <c r="K943" i="1"/>
  <c r="N936" i="1"/>
  <c r="O936" i="1"/>
  <c r="N959" i="1"/>
  <c r="O959" i="1"/>
  <c r="G976" i="13"/>
  <c r="J967" i="13"/>
  <c r="J976" i="13" s="1"/>
  <c r="N854" i="1"/>
  <c r="O854" i="1"/>
  <c r="N928" i="1"/>
  <c r="K935" i="1"/>
  <c r="O928" i="1"/>
  <c r="N820" i="1"/>
  <c r="O820" i="1"/>
  <c r="N812" i="1"/>
  <c r="O812" i="1"/>
  <c r="J845" i="13"/>
  <c r="N929" i="1"/>
  <c r="O929" i="1"/>
  <c r="M972" i="1"/>
  <c r="N958" i="1"/>
  <c r="O958" i="1"/>
  <c r="N953" i="1"/>
  <c r="O953" i="1"/>
  <c r="G960" i="13"/>
  <c r="J957" i="13"/>
  <c r="J960" i="13" s="1"/>
  <c r="N838" i="1"/>
  <c r="O838" i="1"/>
  <c r="N964" i="1"/>
  <c r="O964" i="1"/>
  <c r="N940" i="1"/>
  <c r="O940" i="1"/>
  <c r="N946" i="1"/>
  <c r="O946" i="1"/>
  <c r="N956" i="1"/>
  <c r="K960" i="1"/>
  <c r="O956" i="1"/>
  <c r="G966" i="13"/>
  <c r="G977" i="13" s="1"/>
  <c r="F136" i="15" s="1"/>
  <c r="J962" i="13"/>
  <c r="J966" i="13" s="1"/>
  <c r="J977" i="13" s="1"/>
  <c r="I136" i="15" s="1"/>
  <c r="N952" i="1"/>
  <c r="O952" i="1"/>
  <c r="N924" i="1"/>
  <c r="O924" i="1"/>
  <c r="N966" i="1"/>
  <c r="O966" i="1"/>
  <c r="N938" i="1"/>
  <c r="O938" i="1"/>
  <c r="N942" i="1"/>
  <c r="O942" i="1"/>
  <c r="N829" i="1"/>
  <c r="K834" i="1"/>
  <c r="O829" i="1"/>
  <c r="G950" i="13"/>
  <c r="K944" i="1"/>
  <c r="L950" i="1"/>
  <c r="L955" i="1" s="1"/>
  <c r="L972" i="1" s="1"/>
  <c r="M1019" i="1"/>
  <c r="G437" i="13"/>
  <c r="G438" i="13" s="1"/>
  <c r="F64" i="15" s="1"/>
  <c r="F66" i="15" s="1"/>
  <c r="F70" i="15" s="1"/>
  <c r="I93" i="15"/>
  <c r="L658" i="1"/>
  <c r="O633" i="1"/>
  <c r="O631" i="1"/>
  <c r="J437" i="13"/>
  <c r="J438" i="13" s="1"/>
  <c r="I64" i="15" s="1"/>
  <c r="I66" i="15" s="1"/>
  <c r="I70" i="15" s="1"/>
  <c r="O571" i="1"/>
  <c r="O682" i="1"/>
  <c r="O564" i="1"/>
  <c r="O640" i="1"/>
  <c r="J632" i="13"/>
  <c r="O774" i="1"/>
  <c r="O681" i="1"/>
  <c r="M794" i="1"/>
  <c r="L545" i="1"/>
  <c r="L546" i="1" s="1"/>
  <c r="L574" i="1" s="1"/>
  <c r="O644" i="1"/>
  <c r="L646" i="1"/>
  <c r="L660" i="1" s="1"/>
  <c r="L661" i="1" s="1"/>
  <c r="O654" i="1"/>
  <c r="O558" i="1"/>
  <c r="O664" i="1"/>
  <c r="O655" i="1"/>
  <c r="O628" i="1"/>
  <c r="J537" i="13"/>
  <c r="G780" i="13"/>
  <c r="J780" i="13" s="1"/>
  <c r="K774" i="1"/>
  <c r="N774" i="1" s="1"/>
  <c r="O659" i="1"/>
  <c r="M772" i="1"/>
  <c r="K657" i="1"/>
  <c r="N657" i="1" s="1"/>
  <c r="N651" i="1"/>
  <c r="K766" i="1"/>
  <c r="O766" i="1" s="1"/>
  <c r="G772" i="13"/>
  <c r="L772" i="1"/>
  <c r="K650" i="1"/>
  <c r="N647" i="1"/>
  <c r="N680" i="1"/>
  <c r="K683" i="1"/>
  <c r="N683" i="1" s="1"/>
  <c r="L798" i="1"/>
  <c r="K795" i="1"/>
  <c r="O795" i="1" s="1"/>
  <c r="G800" i="13"/>
  <c r="M687" i="1"/>
  <c r="K792" i="1"/>
  <c r="N792" i="1" s="1"/>
  <c r="G798" i="13"/>
  <c r="J798" i="13" s="1"/>
  <c r="D54" i="15"/>
  <c r="E54" i="15" s="1"/>
  <c r="E52" i="15"/>
  <c r="K750" i="1"/>
  <c r="N750" i="1" s="1"/>
  <c r="G756" i="13"/>
  <c r="J756" i="13" s="1"/>
  <c r="O663" i="1"/>
  <c r="G746" i="13"/>
  <c r="F106" i="15" s="1"/>
  <c r="M788" i="1"/>
  <c r="M433" i="1"/>
  <c r="M461" i="1" s="1"/>
  <c r="M752" i="1"/>
  <c r="G804" i="13"/>
  <c r="K799" i="1"/>
  <c r="O799" i="1" s="1"/>
  <c r="L801" i="1"/>
  <c r="K771" i="1"/>
  <c r="N771" i="1" s="1"/>
  <c r="G777" i="13"/>
  <c r="J777" i="13" s="1"/>
  <c r="G775" i="13"/>
  <c r="J775" i="13" s="1"/>
  <c r="K769" i="1"/>
  <c r="N769" i="1" s="1"/>
  <c r="K767" i="1"/>
  <c r="N767" i="1" s="1"/>
  <c r="G773" i="13"/>
  <c r="J773" i="13" s="1"/>
  <c r="G762" i="13"/>
  <c r="J762" i="13" s="1"/>
  <c r="K756" i="1"/>
  <c r="K748" i="1"/>
  <c r="N748" i="1" s="1"/>
  <c r="G754" i="13"/>
  <c r="J754" i="13" s="1"/>
  <c r="J677" i="13"/>
  <c r="J679" i="13" s="1"/>
  <c r="G679" i="13"/>
  <c r="G643" i="13"/>
  <c r="J633" i="13"/>
  <c r="J643" i="13" s="1"/>
  <c r="G748" i="13"/>
  <c r="L752" i="1"/>
  <c r="K742" i="1"/>
  <c r="N511" i="1"/>
  <c r="O511" i="1"/>
  <c r="N719" i="1"/>
  <c r="O719" i="1"/>
  <c r="G465" i="13"/>
  <c r="N625" i="1"/>
  <c r="D91" i="15"/>
  <c r="E91" i="15" s="1"/>
  <c r="O625" i="1"/>
  <c r="N535" i="1"/>
  <c r="K543" i="1"/>
  <c r="N543" i="1" s="1"/>
  <c r="J549" i="13"/>
  <c r="K645" i="1"/>
  <c r="N645" i="1" s="1"/>
  <c r="N638" i="1"/>
  <c r="O638" i="1"/>
  <c r="G759" i="13"/>
  <c r="L760" i="1"/>
  <c r="K753" i="1"/>
  <c r="D90" i="15"/>
  <c r="N609" i="1"/>
  <c r="K626" i="1"/>
  <c r="O609" i="1"/>
  <c r="G787" i="13"/>
  <c r="L785" i="1"/>
  <c r="K781" i="1"/>
  <c r="O781" i="1" s="1"/>
  <c r="G671" i="13"/>
  <c r="J668" i="13"/>
  <c r="J671" i="13" s="1"/>
  <c r="K777" i="1"/>
  <c r="N777" i="1" s="1"/>
  <c r="G783" i="13"/>
  <c r="L780" i="1"/>
  <c r="G765" i="13"/>
  <c r="J765" i="13" s="1"/>
  <c r="K759" i="1"/>
  <c r="N759" i="1" s="1"/>
  <c r="O647" i="1"/>
  <c r="M658" i="1"/>
  <c r="M760" i="1"/>
  <c r="O530" i="1"/>
  <c r="O630" i="1"/>
  <c r="K764" i="1"/>
  <c r="N764" i="1" s="1"/>
  <c r="G770" i="13"/>
  <c r="J770" i="13" s="1"/>
  <c r="G749" i="13"/>
  <c r="J749" i="13" s="1"/>
  <c r="K743" i="1"/>
  <c r="N743" i="1" s="1"/>
  <c r="K793" i="1"/>
  <c r="N793" i="1" s="1"/>
  <c r="L794" i="1"/>
  <c r="G795" i="13"/>
  <c r="K789" i="1"/>
  <c r="M801" i="1"/>
  <c r="M798" i="1"/>
  <c r="G577" i="13"/>
  <c r="G578" i="13" s="1"/>
  <c r="F82" i="15" s="1"/>
  <c r="F84" i="15" s="1"/>
  <c r="K758" i="1"/>
  <c r="G764" i="13"/>
  <c r="J764" i="13" s="1"/>
  <c r="G757" i="13"/>
  <c r="J757" i="13" s="1"/>
  <c r="K751" i="1"/>
  <c r="N751" i="1" s="1"/>
  <c r="G730" i="13"/>
  <c r="G760" i="13"/>
  <c r="J760" i="13" s="1"/>
  <c r="K754" i="1"/>
  <c r="N754" i="1" s="1"/>
  <c r="G752" i="13"/>
  <c r="J752" i="13" s="1"/>
  <c r="K746" i="1"/>
  <c r="N746" i="1" s="1"/>
  <c r="D34" i="15"/>
  <c r="K235" i="1"/>
  <c r="M785" i="1"/>
  <c r="O651" i="1"/>
  <c r="O657" i="1"/>
  <c r="G663" i="13"/>
  <c r="J657" i="13"/>
  <c r="J663" i="13" s="1"/>
  <c r="G769" i="13"/>
  <c r="J769" i="13" s="1"/>
  <c r="K763" i="1"/>
  <c r="N763" i="1" s="1"/>
  <c r="G656" i="13"/>
  <c r="G664" i="13" s="1"/>
  <c r="J653" i="13"/>
  <c r="J656" i="13" s="1"/>
  <c r="J664" i="13" s="1"/>
  <c r="K762" i="1"/>
  <c r="O762" i="1" s="1"/>
  <c r="G768" i="13"/>
  <c r="L765" i="1"/>
  <c r="G755" i="13"/>
  <c r="J755" i="13" s="1"/>
  <c r="K749" i="1"/>
  <c r="N749" i="1" s="1"/>
  <c r="K797" i="1"/>
  <c r="N797" i="1" s="1"/>
  <c r="G802" i="13"/>
  <c r="J802" i="13" s="1"/>
  <c r="G688" i="13"/>
  <c r="J685" i="13"/>
  <c r="J688" i="13" s="1"/>
  <c r="G784" i="13"/>
  <c r="J784" i="13" s="1"/>
  <c r="K778" i="1"/>
  <c r="O778" i="1" s="1"/>
  <c r="J577" i="13"/>
  <c r="J578" i="13" s="1"/>
  <c r="I82" i="15" s="1"/>
  <c r="I84" i="15" s="1"/>
  <c r="M780" i="1"/>
  <c r="O777" i="1"/>
  <c r="O750" i="1"/>
  <c r="O634" i="1"/>
  <c r="O748" i="1"/>
  <c r="O632" i="1"/>
  <c r="K757" i="1"/>
  <c r="N757" i="1" s="1"/>
  <c r="G763" i="13"/>
  <c r="J763" i="13" s="1"/>
  <c r="N418" i="1"/>
  <c r="K432" i="1"/>
  <c r="O432" i="1" s="1"/>
  <c r="O433" i="1" s="1"/>
  <c r="O668" i="1"/>
  <c r="G806" i="13"/>
  <c r="G805" i="13"/>
  <c r="K800" i="1"/>
  <c r="N800" i="1" s="1"/>
  <c r="E63" i="15"/>
  <c r="O672" i="1"/>
  <c r="J746" i="13"/>
  <c r="I106" i="15" s="1"/>
  <c r="G790" i="13"/>
  <c r="J790" i="13" s="1"/>
  <c r="K784" i="1"/>
  <c r="N784" i="1" s="1"/>
  <c r="K783" i="1"/>
  <c r="N783" i="1" s="1"/>
  <c r="G789" i="13"/>
  <c r="J789" i="13" s="1"/>
  <c r="K745" i="1"/>
  <c r="N745" i="1" s="1"/>
  <c r="G751" i="13"/>
  <c r="J751" i="13" s="1"/>
  <c r="N697" i="1"/>
  <c r="K724" i="1"/>
  <c r="O697" i="1"/>
  <c r="O418" i="1"/>
  <c r="M646" i="1"/>
  <c r="K686" i="1"/>
  <c r="N686" i="1" s="1"/>
  <c r="N684" i="1"/>
  <c r="G788" i="13"/>
  <c r="J788" i="13" s="1"/>
  <c r="K782" i="1"/>
  <c r="N782" i="1" s="1"/>
  <c r="O568" i="1"/>
  <c r="O430" i="1"/>
  <c r="K791" i="1"/>
  <c r="N791" i="1" s="1"/>
  <c r="G797" i="13"/>
  <c r="J797" i="13" s="1"/>
  <c r="N671" i="1"/>
  <c r="K673" i="1"/>
  <c r="O671" i="1"/>
  <c r="G792" i="13"/>
  <c r="L788" i="1"/>
  <c r="K786" i="1"/>
  <c r="N627" i="1"/>
  <c r="K637" i="1"/>
  <c r="O637" i="1" s="1"/>
  <c r="N319" i="1"/>
  <c r="N320" i="1" s="1"/>
  <c r="K320" i="1"/>
  <c r="O319" i="1"/>
  <c r="O320" i="1" s="1"/>
  <c r="D78" i="15"/>
  <c r="E75" i="15"/>
  <c r="N713" i="1"/>
  <c r="O713" i="1"/>
  <c r="O685" i="1"/>
  <c r="O686" i="1"/>
  <c r="G796" i="13"/>
  <c r="J796" i="13" s="1"/>
  <c r="K790" i="1"/>
  <c r="N790" i="1" s="1"/>
  <c r="O555" i="1"/>
  <c r="O769" i="1"/>
  <c r="O642" i="1"/>
  <c r="G549" i="13"/>
  <c r="G651" i="13"/>
  <c r="J644" i="13"/>
  <c r="J651" i="13" s="1"/>
  <c r="F90" i="15"/>
  <c r="F93" i="15" s="1"/>
  <c r="G632" i="13"/>
  <c r="N739" i="1"/>
  <c r="O739" i="1"/>
  <c r="K670" i="1"/>
  <c r="N670" i="1" s="1"/>
  <c r="N666" i="1"/>
  <c r="G676" i="13"/>
  <c r="J672" i="13"/>
  <c r="J676" i="13" s="1"/>
  <c r="L687" i="1"/>
  <c r="L688" i="1" s="1"/>
  <c r="N662" i="1"/>
  <c r="K665" i="1"/>
  <c r="N550" i="1"/>
  <c r="K572" i="1"/>
  <c r="K744" i="1"/>
  <c r="N744" i="1" s="1"/>
  <c r="G750" i="13"/>
  <c r="J750" i="13" s="1"/>
  <c r="N705" i="1"/>
  <c r="O705" i="1"/>
  <c r="O653" i="1"/>
  <c r="O649" i="1"/>
  <c r="M765" i="1"/>
  <c r="K796" i="1"/>
  <c r="N796" i="1" s="1"/>
  <c r="G801" i="13"/>
  <c r="J801" i="13" s="1"/>
  <c r="K787" i="1"/>
  <c r="N787" i="1" s="1"/>
  <c r="G793" i="13"/>
  <c r="J793" i="13" s="1"/>
  <c r="K755" i="1"/>
  <c r="N755" i="1" s="1"/>
  <c r="G761" i="13"/>
  <c r="J761" i="13" s="1"/>
  <c r="G753" i="13"/>
  <c r="J753" i="13" s="1"/>
  <c r="K747" i="1"/>
  <c r="N747" i="1" s="1"/>
  <c r="G785" i="13"/>
  <c r="J785" i="13" s="1"/>
  <c r="K779" i="1"/>
  <c r="N779" i="1" s="1"/>
  <c r="O743" i="1"/>
  <c r="N729" i="1"/>
  <c r="K740" i="1"/>
  <c r="O729" i="1"/>
  <c r="M545" i="1"/>
  <c r="G684" i="13"/>
  <c r="J680" i="13"/>
  <c r="J684" i="13" s="1"/>
  <c r="K679" i="1"/>
  <c r="N679" i="1" s="1"/>
  <c r="N674" i="1"/>
  <c r="K460" i="1"/>
  <c r="D67" i="15" s="1"/>
  <c r="N459" i="1"/>
  <c r="N460" i="1" s="1"/>
  <c r="O684" i="1"/>
  <c r="O680" i="1"/>
  <c r="O677" i="1"/>
  <c r="O459" i="1"/>
  <c r="O460" i="1" s="1"/>
  <c r="O656" i="1"/>
  <c r="O648" i="1"/>
  <c r="G776" i="13"/>
  <c r="J776" i="13" s="1"/>
  <c r="K770" i="1"/>
  <c r="N770" i="1" s="1"/>
  <c r="K768" i="1"/>
  <c r="N768" i="1" s="1"/>
  <c r="G774" i="13"/>
  <c r="J774" i="13" s="1"/>
  <c r="G537" i="13"/>
  <c r="K531" i="1"/>
  <c r="N522" i="1"/>
  <c r="N723" i="1"/>
  <c r="O723" i="1"/>
  <c r="J730" i="13"/>
  <c r="J78" i="15"/>
  <c r="J85" i="15" s="1"/>
  <c r="I461" i="16"/>
  <c r="I520" i="16" s="1"/>
  <c r="F554" i="16"/>
  <c r="F614" i="16" s="1"/>
  <c r="J91" i="15"/>
  <c r="J93" i="15" s="1"/>
  <c r="J100" i="15" s="1"/>
  <c r="I554" i="16"/>
  <c r="I614" i="16" s="1"/>
  <c r="T343" i="14"/>
  <c r="T339" i="14"/>
  <c r="J28" i="17"/>
  <c r="M28" i="17" s="1"/>
  <c r="F61" i="13"/>
  <c r="I95" i="13"/>
  <c r="I96" i="13" s="1"/>
  <c r="Q28" i="17"/>
  <c r="H16" i="15"/>
  <c r="H18" i="15" s="1"/>
  <c r="N19" i="17"/>
  <c r="F95" i="13"/>
  <c r="F96" i="13" s="1"/>
  <c r="S333" i="14"/>
  <c r="T333" i="14" s="1"/>
  <c r="S331" i="14"/>
  <c r="T331" i="14" s="1"/>
  <c r="S332" i="14"/>
  <c r="T332" i="14" s="1"/>
  <c r="R334" i="14"/>
  <c r="P334" i="14"/>
  <c r="Q334" i="14"/>
  <c r="M36" i="17"/>
  <c r="N36" i="17"/>
  <c r="J37" i="17"/>
  <c r="F72" i="17"/>
  <c r="I72" i="17" s="1"/>
  <c r="I71" i="17"/>
  <c r="M27" i="17"/>
  <c r="N27" i="17"/>
  <c r="I61" i="13"/>
  <c r="G121" i="1"/>
  <c r="J120" i="1"/>
  <c r="J121" i="1" s="1"/>
  <c r="G59" i="1"/>
  <c r="J42" i="1"/>
  <c r="J58" i="1"/>
  <c r="J57" i="1"/>
  <c r="G93" i="1"/>
  <c r="J79" i="1"/>
  <c r="I51" i="16"/>
  <c r="M1353" i="1" l="1"/>
  <c r="L1346" i="1"/>
  <c r="G1235" i="13"/>
  <c r="J1235" i="13" s="1"/>
  <c r="K1229" i="1"/>
  <c r="N1229" i="1" s="1"/>
  <c r="L1329" i="1"/>
  <c r="K1212" i="1"/>
  <c r="N1212" i="1" s="1"/>
  <c r="G1218" i="13"/>
  <c r="J1218" i="13" s="1"/>
  <c r="L1341" i="1"/>
  <c r="G1230" i="13"/>
  <c r="J1230" i="13" s="1"/>
  <c r="K1224" i="1"/>
  <c r="N1224" i="1" s="1"/>
  <c r="L1359" i="1"/>
  <c r="G1248" i="13"/>
  <c r="L1245" i="1"/>
  <c r="K1242" i="1"/>
  <c r="L1363" i="1"/>
  <c r="G1252" i="13"/>
  <c r="K1246" i="1"/>
  <c r="L1250" i="1"/>
  <c r="L1335" i="1"/>
  <c r="K1218" i="1"/>
  <c r="G1224" i="13"/>
  <c r="L1225" i="1"/>
  <c r="L1373" i="1"/>
  <c r="G1262" i="13"/>
  <c r="J1262" i="13" s="1"/>
  <c r="K1256" i="1"/>
  <c r="N1256" i="1" s="1"/>
  <c r="L1330" i="1"/>
  <c r="K1213" i="1"/>
  <c r="N1213" i="1" s="1"/>
  <c r="G1219" i="13"/>
  <c r="J1219" i="13" s="1"/>
  <c r="K1221" i="1"/>
  <c r="L1338" i="1"/>
  <c r="G1227" i="13"/>
  <c r="J1227" i="13" s="1"/>
  <c r="L1353" i="1"/>
  <c r="K1236" i="1"/>
  <c r="N1236" i="1" s="1"/>
  <c r="G1242" i="13"/>
  <c r="J1242" i="13" s="1"/>
  <c r="L1350" i="1"/>
  <c r="G1239" i="13"/>
  <c r="J1239" i="13" s="1"/>
  <c r="K1233" i="1"/>
  <c r="N1233" i="1" s="1"/>
  <c r="L1352" i="1"/>
  <c r="K1235" i="1"/>
  <c r="N1235" i="1" s="1"/>
  <c r="G1241" i="13"/>
  <c r="J1241" i="13" s="1"/>
  <c r="M1336" i="1"/>
  <c r="M1225" i="1"/>
  <c r="M1344" i="1"/>
  <c r="L1332" i="1"/>
  <c r="G1221" i="13"/>
  <c r="J1221" i="13" s="1"/>
  <c r="K1215" i="1"/>
  <c r="N1215" i="1" s="1"/>
  <c r="M1330" i="1"/>
  <c r="O1213" i="1"/>
  <c r="M1363" i="1"/>
  <c r="M1250" i="1"/>
  <c r="O1246" i="1"/>
  <c r="M1359" i="1"/>
  <c r="M1245" i="1"/>
  <c r="O1242" i="1"/>
  <c r="K1243" i="1"/>
  <c r="N1243" i="1" s="1"/>
  <c r="L1360" i="1"/>
  <c r="G1249" i="13"/>
  <c r="J1249" i="13" s="1"/>
  <c r="M1366" i="1"/>
  <c r="K1435" i="1"/>
  <c r="L1552" i="1"/>
  <c r="G1441" i="13"/>
  <c r="J1441" i="13" s="1"/>
  <c r="M1642" i="1"/>
  <c r="M1627" i="1"/>
  <c r="M1654" i="1"/>
  <c r="L1522" i="1"/>
  <c r="G1411" i="13"/>
  <c r="J1411" i="13" s="1"/>
  <c r="K1405" i="1"/>
  <c r="L1547" i="1"/>
  <c r="K1430" i="1"/>
  <c r="G1436" i="13"/>
  <c r="J1436" i="13" s="1"/>
  <c r="N1286" i="1"/>
  <c r="K1293" i="1"/>
  <c r="O1286" i="1"/>
  <c r="M1638" i="1"/>
  <c r="N1284" i="1"/>
  <c r="O1284" i="1"/>
  <c r="N1276" i="1"/>
  <c r="O1276" i="1"/>
  <c r="M1541" i="1"/>
  <c r="N1292" i="1"/>
  <c r="O1292" i="1"/>
  <c r="K1406" i="1"/>
  <c r="L1523" i="1"/>
  <c r="G1412" i="13"/>
  <c r="J1412" i="13" s="1"/>
  <c r="N1300" i="1"/>
  <c r="O1300" i="1"/>
  <c r="N1275" i="1"/>
  <c r="O1275" i="1"/>
  <c r="M1665" i="1"/>
  <c r="G1190" i="13"/>
  <c r="J1183" i="13"/>
  <c r="J1190" i="13" s="1"/>
  <c r="N1290" i="1"/>
  <c r="O1290" i="1"/>
  <c r="M1641" i="1"/>
  <c r="M1647" i="1"/>
  <c r="M1633" i="1"/>
  <c r="L1514" i="1"/>
  <c r="K1397" i="1"/>
  <c r="G1403" i="13"/>
  <c r="J1403" i="13" s="1"/>
  <c r="L1541" i="1"/>
  <c r="G1430" i="13"/>
  <c r="L1428" i="1"/>
  <c r="L1439" i="1" s="1"/>
  <c r="K1424" i="1"/>
  <c r="J1279" i="13"/>
  <c r="J1283" i="13" s="1"/>
  <c r="G1283" i="13"/>
  <c r="M1655" i="1"/>
  <c r="L1526" i="1"/>
  <c r="G1415" i="13"/>
  <c r="J1415" i="13" s="1"/>
  <c r="K1409" i="1"/>
  <c r="L1553" i="1"/>
  <c r="K1436" i="1"/>
  <c r="G1442" i="13"/>
  <c r="J1442" i="13" s="1"/>
  <c r="L1516" i="1"/>
  <c r="K1399" i="1"/>
  <c r="G1405" i="13"/>
  <c r="J1405" i="13" s="1"/>
  <c r="N1287" i="1"/>
  <c r="O1287" i="1"/>
  <c r="M2255" i="1"/>
  <c r="M1527" i="1"/>
  <c r="M1637" i="1"/>
  <c r="M1659" i="1"/>
  <c r="M1651" i="1"/>
  <c r="L1340" i="1"/>
  <c r="K1223" i="1"/>
  <c r="G1229" i="13"/>
  <c r="J1229" i="13" s="1"/>
  <c r="M1377" i="1"/>
  <c r="O1260" i="1"/>
  <c r="M1263" i="1"/>
  <c r="L1371" i="1"/>
  <c r="G1260" i="13"/>
  <c r="K1254" i="1"/>
  <c r="L1369" i="1"/>
  <c r="G1258" i="13"/>
  <c r="J1258" i="13" s="1"/>
  <c r="K1252" i="1"/>
  <c r="N1252" i="1" s="1"/>
  <c r="K1261" i="1"/>
  <c r="L1378" i="1"/>
  <c r="G1266" i="13"/>
  <c r="J1266" i="13" s="1"/>
  <c r="M1230" i="1"/>
  <c r="M1346" i="1"/>
  <c r="O1229" i="1"/>
  <c r="M1339" i="1"/>
  <c r="O1222" i="1"/>
  <c r="L1372" i="1"/>
  <c r="G1261" i="13"/>
  <c r="J1261" i="13" s="1"/>
  <c r="K1255" i="1"/>
  <c r="N1255" i="1" s="1"/>
  <c r="L1324" i="1"/>
  <c r="G1213" i="13"/>
  <c r="K1207" i="1"/>
  <c r="L1217" i="1"/>
  <c r="L1226" i="1" s="1"/>
  <c r="L1381" i="1"/>
  <c r="G1269" i="13"/>
  <c r="L1266" i="1"/>
  <c r="K1264" i="1"/>
  <c r="O1264" i="1" s="1"/>
  <c r="M1364" i="1"/>
  <c r="M1333" i="1"/>
  <c r="M1381" i="1"/>
  <c r="M1266" i="1"/>
  <c r="M1337" i="1"/>
  <c r="M1454" i="1" s="1"/>
  <c r="M1350" i="1"/>
  <c r="O1233" i="1"/>
  <c r="M1351" i="1"/>
  <c r="L1374" i="1"/>
  <c r="K1257" i="1"/>
  <c r="N1257" i="1" s="1"/>
  <c r="G1263" i="13"/>
  <c r="J1263" i="13" s="1"/>
  <c r="L1377" i="1"/>
  <c r="G1265" i="13"/>
  <c r="K1260" i="1"/>
  <c r="N1260" i="1" s="1"/>
  <c r="L1263" i="1"/>
  <c r="M1348" i="1"/>
  <c r="M1237" i="1"/>
  <c r="L1365" i="1"/>
  <c r="G1254" i="13"/>
  <c r="J1254" i="13" s="1"/>
  <c r="K1248" i="1"/>
  <c r="N1248" i="1" s="1"/>
  <c r="K1249" i="1"/>
  <c r="N1249" i="1" s="1"/>
  <c r="L1366" i="1"/>
  <c r="G1255" i="13"/>
  <c r="J1255" i="13" s="1"/>
  <c r="M1360" i="1"/>
  <c r="O1243" i="1"/>
  <c r="L1339" i="1"/>
  <c r="K1222" i="1"/>
  <c r="N1222" i="1" s="1"/>
  <c r="G1228" i="13"/>
  <c r="J1228" i="13" s="1"/>
  <c r="M1331" i="1"/>
  <c r="M1372" i="1"/>
  <c r="M1489" i="1" s="1"/>
  <c r="O1255" i="1"/>
  <c r="I641" i="16"/>
  <c r="L1549" i="1"/>
  <c r="K1432" i="1"/>
  <c r="G1438" i="13"/>
  <c r="J1438" i="13" s="1"/>
  <c r="G1299" i="13"/>
  <c r="J1292" i="13"/>
  <c r="J1299" i="13" s="1"/>
  <c r="K1437" i="1"/>
  <c r="L1554" i="1"/>
  <c r="G1443" i="13"/>
  <c r="J1443" i="13" s="1"/>
  <c r="O1316" i="1"/>
  <c r="N1316" i="1"/>
  <c r="M2042" i="1"/>
  <c r="N1304" i="1"/>
  <c r="O1304" i="1"/>
  <c r="L1517" i="1"/>
  <c r="G1406" i="13"/>
  <c r="J1406" i="13" s="1"/>
  <c r="K1400" i="1"/>
  <c r="M1539" i="1"/>
  <c r="M1653" i="1"/>
  <c r="M1661" i="1"/>
  <c r="L1509" i="1"/>
  <c r="G1398" i="13"/>
  <c r="J1398" i="13" s="1"/>
  <c r="K1392" i="1"/>
  <c r="N1194" i="1"/>
  <c r="K1205" i="1"/>
  <c r="N1302" i="1"/>
  <c r="K1305" i="1"/>
  <c r="O1302" i="1"/>
  <c r="M1640" i="1"/>
  <c r="M1625" i="1"/>
  <c r="N1291" i="1"/>
  <c r="O1291" i="1"/>
  <c r="N1312" i="1"/>
  <c r="K1321" i="1"/>
  <c r="O1312" i="1"/>
  <c r="M1624" i="1"/>
  <c r="M1511" i="1"/>
  <c r="M1485" i="1"/>
  <c r="M1370" i="1"/>
  <c r="L1301" i="1"/>
  <c r="L1411" i="1"/>
  <c r="K1294" i="1"/>
  <c r="G1300" i="13"/>
  <c r="K1398" i="1"/>
  <c r="L1515" i="1"/>
  <c r="G1404" i="13"/>
  <c r="J1404" i="13" s="1"/>
  <c r="N1308" i="1"/>
  <c r="O1308" i="1"/>
  <c r="N1412" i="1"/>
  <c r="O1412" i="1"/>
  <c r="N1280" i="1"/>
  <c r="O1280" i="1"/>
  <c r="O1307" i="1"/>
  <c r="K1311" i="1"/>
  <c r="N1307" i="1"/>
  <c r="K1277" i="1"/>
  <c r="N1273" i="1"/>
  <c r="O1273" i="1"/>
  <c r="N1314" i="1"/>
  <c r="O1314" i="1"/>
  <c r="J1284" i="13"/>
  <c r="J1291" i="13" s="1"/>
  <c r="G1291" i="13"/>
  <c r="N1282" i="1"/>
  <c r="O1282" i="1"/>
  <c r="M1743" i="1"/>
  <c r="M1569" i="1"/>
  <c r="L1537" i="1"/>
  <c r="G1426" i="13"/>
  <c r="J1426" i="13" s="1"/>
  <c r="K1420" i="1"/>
  <c r="N1309" i="1"/>
  <c r="O1309" i="1"/>
  <c r="M1666" i="1"/>
  <c r="M1660" i="1"/>
  <c r="N1279" i="1"/>
  <c r="O1279" i="1"/>
  <c r="M1756" i="1"/>
  <c r="L1328" i="1"/>
  <c r="G1217" i="13"/>
  <c r="J1217" i="13" s="1"/>
  <c r="K1211" i="1"/>
  <c r="N1211" i="1" s="1"/>
  <c r="M1361" i="1"/>
  <c r="L1325" i="1"/>
  <c r="K1208" i="1"/>
  <c r="N1208" i="1" s="1"/>
  <c r="G1214" i="13"/>
  <c r="J1214" i="13" s="1"/>
  <c r="K1220" i="1"/>
  <c r="N1220" i="1" s="1"/>
  <c r="L1337" i="1"/>
  <c r="G1226" i="13"/>
  <c r="J1226" i="13" s="1"/>
  <c r="O860" i="1"/>
  <c r="M1379" i="1"/>
  <c r="L1349" i="1"/>
  <c r="K1232" i="1"/>
  <c r="N1232" i="1" s="1"/>
  <c r="G1238" i="13"/>
  <c r="J1238" i="13" s="1"/>
  <c r="L1351" i="1"/>
  <c r="K1234" i="1"/>
  <c r="N1234" i="1" s="1"/>
  <c r="G1240" i="13"/>
  <c r="J1240" i="13" s="1"/>
  <c r="M1345" i="1"/>
  <c r="M1325" i="1"/>
  <c r="O1208" i="1"/>
  <c r="L1361" i="1"/>
  <c r="K1244" i="1"/>
  <c r="N1244" i="1" s="1"/>
  <c r="G1250" i="13"/>
  <c r="J1250" i="13" s="1"/>
  <c r="O915" i="1"/>
  <c r="L1364" i="1"/>
  <c r="G1253" i="13"/>
  <c r="J1253" i="13" s="1"/>
  <c r="K1247" i="1"/>
  <c r="N1247" i="1" s="1"/>
  <c r="M1365" i="1"/>
  <c r="O1248" i="1"/>
  <c r="M1341" i="1"/>
  <c r="O1224" i="1"/>
  <c r="M1371" i="1"/>
  <c r="M1259" i="1"/>
  <c r="O1254" i="1"/>
  <c r="M1326" i="1"/>
  <c r="M1369" i="1"/>
  <c r="M1486" i="1" s="1"/>
  <c r="O1252" i="1"/>
  <c r="M1332" i="1"/>
  <c r="O1215" i="1"/>
  <c r="L1230" i="1"/>
  <c r="L1344" i="1"/>
  <c r="K1227" i="1"/>
  <c r="O1227" i="1" s="1"/>
  <c r="G1233" i="13"/>
  <c r="K1228" i="1"/>
  <c r="N1228" i="1" s="1"/>
  <c r="L1345" i="1"/>
  <c r="G1234" i="13"/>
  <c r="J1234" i="13" s="1"/>
  <c r="Q324" i="17"/>
  <c r="N1318" i="1"/>
  <c r="O1318" i="1"/>
  <c r="M1664" i="1"/>
  <c r="M1635" i="1"/>
  <c r="O1288" i="1"/>
  <c r="N1288" i="1"/>
  <c r="N1313" i="1"/>
  <c r="O1313" i="1"/>
  <c r="N1310" i="1"/>
  <c r="O1310" i="1"/>
  <c r="L1410" i="1"/>
  <c r="L1520" i="1"/>
  <c r="G1409" i="13"/>
  <c r="K1403" i="1"/>
  <c r="M1763" i="1"/>
  <c r="K1401" i="1"/>
  <c r="L1518" i="1"/>
  <c r="G1407" i="13"/>
  <c r="J1407" i="13" s="1"/>
  <c r="N1188" i="1"/>
  <c r="O1188" i="1"/>
  <c r="K1393" i="1"/>
  <c r="L1510" i="1"/>
  <c r="G1399" i="13"/>
  <c r="J1399" i="13" s="1"/>
  <c r="M1668" i="1"/>
  <c r="M1671" i="1"/>
  <c r="O1005" i="1"/>
  <c r="M1122" i="1"/>
  <c r="L1122" i="1"/>
  <c r="K1005" i="1"/>
  <c r="N1005" i="1" s="1"/>
  <c r="G1011" i="13"/>
  <c r="J1011" i="13" s="1"/>
  <c r="N1274" i="1"/>
  <c r="O1274" i="1"/>
  <c r="N1289" i="1"/>
  <c r="O1289" i="1"/>
  <c r="K1417" i="1"/>
  <c r="L1534" i="1"/>
  <c r="G1423" i="13"/>
  <c r="J1423" i="13" s="1"/>
  <c r="M1428" i="1"/>
  <c r="G1195" i="13"/>
  <c r="J1308" i="13"/>
  <c r="J1311" i="13" s="1"/>
  <c r="G1311" i="13"/>
  <c r="M1629" i="1"/>
  <c r="M1519" i="1"/>
  <c r="M1643" i="1"/>
  <c r="J1318" i="13"/>
  <c r="J1327" i="13" s="1"/>
  <c r="G1327" i="13"/>
  <c r="M1423" i="1"/>
  <c r="L1524" i="1"/>
  <c r="K1407" i="1"/>
  <c r="G1413" i="13"/>
  <c r="J1413" i="13" s="1"/>
  <c r="K1529" i="1"/>
  <c r="L1646" i="1"/>
  <c r="G1535" i="13"/>
  <c r="J1535" i="13" s="1"/>
  <c r="M1630" i="1"/>
  <c r="M1634" i="1"/>
  <c r="M1663" i="1"/>
  <c r="L1507" i="1"/>
  <c r="L1394" i="1"/>
  <c r="K1390" i="1"/>
  <c r="G1396" i="13"/>
  <c r="M1528" i="1"/>
  <c r="M1418" i="1"/>
  <c r="L1512" i="1"/>
  <c r="K1395" i="1"/>
  <c r="G1401" i="13"/>
  <c r="L1402" i="1"/>
  <c r="N1204" i="1"/>
  <c r="O1204" i="1"/>
  <c r="N1317" i="1"/>
  <c r="O1317" i="1"/>
  <c r="N1319" i="1"/>
  <c r="O1319" i="1"/>
  <c r="K1404" i="1"/>
  <c r="L1521" i="1"/>
  <c r="G1410" i="13"/>
  <c r="J1410" i="13" s="1"/>
  <c r="N1303" i="1"/>
  <c r="O1303" i="1"/>
  <c r="K1413" i="1"/>
  <c r="L1530" i="1"/>
  <c r="G1419" i="13"/>
  <c r="J1419" i="13" s="1"/>
  <c r="K1426" i="1"/>
  <c r="L1543" i="1"/>
  <c r="G1432" i="13"/>
  <c r="J1432" i="13" s="1"/>
  <c r="M1206" i="1"/>
  <c r="L1336" i="1"/>
  <c r="K1219" i="1"/>
  <c r="N1219" i="1" s="1"/>
  <c r="G1225" i="13"/>
  <c r="J1225" i="13" s="1"/>
  <c r="L1333" i="1"/>
  <c r="K1216" i="1"/>
  <c r="N1216" i="1" s="1"/>
  <c r="G1222" i="13"/>
  <c r="J1222" i="13" s="1"/>
  <c r="M1374" i="1"/>
  <c r="O1257" i="1"/>
  <c r="M1375" i="1"/>
  <c r="M1327" i="1"/>
  <c r="M1324" i="1"/>
  <c r="M1217" i="1"/>
  <c r="L1327" i="1"/>
  <c r="K1210" i="1"/>
  <c r="N1210" i="1" s="1"/>
  <c r="G1216" i="13"/>
  <c r="J1216" i="13" s="1"/>
  <c r="O878" i="1"/>
  <c r="M1352" i="1"/>
  <c r="O1235" i="1"/>
  <c r="L1326" i="1"/>
  <c r="K1209" i="1"/>
  <c r="N1209" i="1" s="1"/>
  <c r="G1215" i="13"/>
  <c r="J1215" i="13" s="1"/>
  <c r="M1382" i="1"/>
  <c r="L1368" i="1"/>
  <c r="K1251" i="1"/>
  <c r="G1257" i="13"/>
  <c r="L1253" i="1"/>
  <c r="M1328" i="1"/>
  <c r="O1211" i="1"/>
  <c r="L1348" i="1"/>
  <c r="G1237" i="13"/>
  <c r="L1237" i="1"/>
  <c r="L1238" i="1" s="1"/>
  <c r="K1231" i="1"/>
  <c r="M1378" i="1"/>
  <c r="O1261" i="1"/>
  <c r="M1349" i="1"/>
  <c r="O1232" i="1"/>
  <c r="M1373" i="1"/>
  <c r="O1256" i="1"/>
  <c r="L1382" i="1"/>
  <c r="G1270" i="13"/>
  <c r="K1265" i="1"/>
  <c r="N1265" i="1" s="1"/>
  <c r="G1271" i="13"/>
  <c r="M1329" i="1"/>
  <c r="O1212" i="1"/>
  <c r="K1262" i="1"/>
  <c r="N1262" i="1" s="1"/>
  <c r="L1379" i="1"/>
  <c r="G1267" i="13"/>
  <c r="J1267" i="13" s="1"/>
  <c r="L1331" i="1"/>
  <c r="G1220" i="13"/>
  <c r="J1220" i="13" s="1"/>
  <c r="K1214" i="1"/>
  <c r="N1214" i="1" s="1"/>
  <c r="G1094" i="13"/>
  <c r="F151" i="15" s="1"/>
  <c r="F735" i="16"/>
  <c r="N1160" i="1"/>
  <c r="O1160" i="1"/>
  <c r="N1315" i="1"/>
  <c r="O1315" i="1"/>
  <c r="M1632" i="1"/>
  <c r="M1669" i="1"/>
  <c r="G1433" i="13"/>
  <c r="J1433" i="13" s="1"/>
  <c r="L1544" i="1"/>
  <c r="K1427" i="1"/>
  <c r="N1320" i="1"/>
  <c r="O1320" i="1"/>
  <c r="M2040" i="1"/>
  <c r="K1433" i="1"/>
  <c r="L1550" i="1"/>
  <c r="G1439" i="13"/>
  <c r="J1439" i="13" s="1"/>
  <c r="O889" i="1"/>
  <c r="K1391" i="1"/>
  <c r="L1508" i="1"/>
  <c r="G1397" i="13"/>
  <c r="J1397" i="13" s="1"/>
  <c r="K1421" i="1"/>
  <c r="L1538" i="1"/>
  <c r="G1427" i="13"/>
  <c r="J1427" i="13" s="1"/>
  <c r="N1283" i="1"/>
  <c r="O1283" i="1"/>
  <c r="N1176" i="1"/>
  <c r="O1176" i="1"/>
  <c r="F901" i="16"/>
  <c r="I807" i="16"/>
  <c r="J1195" i="13"/>
  <c r="K1419" i="1"/>
  <c r="L1536" i="1"/>
  <c r="G1425" i="13"/>
  <c r="L1422" i="1"/>
  <c r="O1194" i="1"/>
  <c r="M1784" i="1"/>
  <c r="K1408" i="1"/>
  <c r="L1525" i="1"/>
  <c r="G1414" i="13"/>
  <c r="J1414" i="13" s="1"/>
  <c r="N1168" i="1"/>
  <c r="O1168" i="1"/>
  <c r="K1429" i="1"/>
  <c r="L1546" i="1"/>
  <c r="G1435" i="13"/>
  <c r="M1631" i="1"/>
  <c r="N1177" i="1"/>
  <c r="K1184" i="1"/>
  <c r="K1189" i="1" s="1"/>
  <c r="O1177" i="1"/>
  <c r="N1281" i="1"/>
  <c r="O1281" i="1"/>
  <c r="L1542" i="1"/>
  <c r="K1425" i="1"/>
  <c r="G1431" i="13"/>
  <c r="J1431" i="13" s="1"/>
  <c r="J1313" i="13"/>
  <c r="J1317" i="13" s="1"/>
  <c r="J1328" i="13" s="1"/>
  <c r="I181" i="15" s="1"/>
  <c r="G1317" i="13"/>
  <c r="G1328" i="13" s="1"/>
  <c r="F181" i="15" s="1"/>
  <c r="L1306" i="1"/>
  <c r="L1323" i="1" s="1"/>
  <c r="K1431" i="1"/>
  <c r="L1548" i="1"/>
  <c r="G1437" i="13"/>
  <c r="J1437" i="13" s="1"/>
  <c r="N1278" i="1"/>
  <c r="K1285" i="1"/>
  <c r="O1278" i="1"/>
  <c r="L1551" i="1"/>
  <c r="K1434" i="1"/>
  <c r="G1440" i="13"/>
  <c r="J1440" i="13" s="1"/>
  <c r="N1296" i="1"/>
  <c r="O1296" i="1"/>
  <c r="K1396" i="1"/>
  <c r="L1513" i="1"/>
  <c r="G1402" i="13"/>
  <c r="J1402" i="13" s="1"/>
  <c r="M1306" i="1"/>
  <c r="F648" i="16"/>
  <c r="I646" i="16"/>
  <c r="J107" i="15" s="1"/>
  <c r="I678" i="16"/>
  <c r="J109" i="15" s="1"/>
  <c r="J111" i="15" s="1"/>
  <c r="J106" i="15"/>
  <c r="I809" i="16"/>
  <c r="F903" i="16"/>
  <c r="I823" i="16"/>
  <c r="F917" i="16"/>
  <c r="I814" i="16"/>
  <c r="F908" i="16"/>
  <c r="F918" i="16"/>
  <c r="I824" i="16"/>
  <c r="I778" i="16"/>
  <c r="F872" i="16"/>
  <c r="I705" i="16"/>
  <c r="J112" i="15" s="1"/>
  <c r="J114" i="15" s="1"/>
  <c r="I776" i="16"/>
  <c r="F870" i="16"/>
  <c r="I779" i="16"/>
  <c r="F873" i="16"/>
  <c r="I781" i="16"/>
  <c r="F875" i="16"/>
  <c r="I783" i="16"/>
  <c r="F877" i="16"/>
  <c r="I785" i="16"/>
  <c r="F879" i="16"/>
  <c r="I787" i="16"/>
  <c r="F881" i="16"/>
  <c r="I789" i="16"/>
  <c r="F883" i="16"/>
  <c r="I791" i="16"/>
  <c r="F885" i="16"/>
  <c r="I793" i="16"/>
  <c r="F887" i="16"/>
  <c r="I795" i="16"/>
  <c r="F889" i="16"/>
  <c r="I797" i="16"/>
  <c r="F891" i="16"/>
  <c r="I714" i="16"/>
  <c r="F808" i="16"/>
  <c r="F728" i="16"/>
  <c r="I716" i="16"/>
  <c r="F810" i="16"/>
  <c r="I718" i="16"/>
  <c r="F812" i="16"/>
  <c r="I931" i="16"/>
  <c r="F1025" i="16"/>
  <c r="I717" i="16"/>
  <c r="F811" i="16"/>
  <c r="I719" i="16"/>
  <c r="F813" i="16"/>
  <c r="I745" i="16"/>
  <c r="F839" i="16"/>
  <c r="I746" i="16"/>
  <c r="F840" i="16"/>
  <c r="I747" i="16"/>
  <c r="F841" i="16"/>
  <c r="I749" i="16"/>
  <c r="F843" i="16"/>
  <c r="I751" i="16"/>
  <c r="F845" i="16"/>
  <c r="I753" i="16"/>
  <c r="F847" i="16"/>
  <c r="I754" i="16"/>
  <c r="F848" i="16"/>
  <c r="I756" i="16"/>
  <c r="F850" i="16"/>
  <c r="I758" i="16"/>
  <c r="F852" i="16"/>
  <c r="I760" i="16"/>
  <c r="F854" i="16"/>
  <c r="I762" i="16"/>
  <c r="F856" i="16"/>
  <c r="I764" i="16"/>
  <c r="F858" i="16"/>
  <c r="I766" i="16"/>
  <c r="F860" i="16"/>
  <c r="I768" i="16"/>
  <c r="F862" i="16"/>
  <c r="I770" i="16"/>
  <c r="F864" i="16"/>
  <c r="I755" i="16"/>
  <c r="F849" i="16"/>
  <c r="I757" i="16"/>
  <c r="F851" i="16"/>
  <c r="I759" i="16"/>
  <c r="F853" i="16"/>
  <c r="I761" i="16"/>
  <c r="F855" i="16"/>
  <c r="I763" i="16"/>
  <c r="F857" i="16"/>
  <c r="I765" i="16"/>
  <c r="F859" i="16"/>
  <c r="I767" i="16"/>
  <c r="F861" i="16"/>
  <c r="I769" i="16"/>
  <c r="F863" i="16"/>
  <c r="I771" i="16"/>
  <c r="F865" i="16"/>
  <c r="I725" i="16"/>
  <c r="F819" i="16"/>
  <c r="I830" i="16"/>
  <c r="F924" i="16"/>
  <c r="F708" i="16"/>
  <c r="I775" i="16"/>
  <c r="F869" i="16"/>
  <c r="I780" i="16"/>
  <c r="F874" i="16"/>
  <c r="I782" i="16"/>
  <c r="F876" i="16"/>
  <c r="I784" i="16"/>
  <c r="F878" i="16"/>
  <c r="I786" i="16"/>
  <c r="F880" i="16"/>
  <c r="I788" i="16"/>
  <c r="F882" i="16"/>
  <c r="I790" i="16"/>
  <c r="F884" i="16"/>
  <c r="I792" i="16"/>
  <c r="F886" i="16"/>
  <c r="I794" i="16"/>
  <c r="F888" i="16"/>
  <c r="I798" i="16"/>
  <c r="F892" i="16"/>
  <c r="I731" i="16"/>
  <c r="F825" i="16"/>
  <c r="I733" i="16"/>
  <c r="F827" i="16"/>
  <c r="F868" i="16"/>
  <c r="I774" i="16"/>
  <c r="F799" i="16"/>
  <c r="I634" i="16"/>
  <c r="J105" i="15" s="1"/>
  <c r="I721" i="16"/>
  <c r="F815" i="16"/>
  <c r="I723" i="16"/>
  <c r="F817" i="16"/>
  <c r="I727" i="16"/>
  <c r="F821" i="16"/>
  <c r="I961" i="16"/>
  <c r="F1055" i="16"/>
  <c r="I738" i="16"/>
  <c r="F832" i="16"/>
  <c r="I722" i="16"/>
  <c r="F816" i="16"/>
  <c r="I724" i="16"/>
  <c r="F818" i="16"/>
  <c r="I726" i="16"/>
  <c r="F820" i="16"/>
  <c r="I737" i="16"/>
  <c r="F831" i="16"/>
  <c r="I739" i="16"/>
  <c r="F833" i="16"/>
  <c r="I744" i="16"/>
  <c r="F838" i="16"/>
  <c r="I748" i="16"/>
  <c r="F842" i="16"/>
  <c r="I750" i="16"/>
  <c r="F844" i="16"/>
  <c r="I752" i="16"/>
  <c r="F846" i="16"/>
  <c r="I732" i="16"/>
  <c r="F826" i="16"/>
  <c r="I734" i="16"/>
  <c r="F828" i="16"/>
  <c r="N436" i="17"/>
  <c r="N444" i="17"/>
  <c r="N434" i="17"/>
  <c r="Q397" i="17"/>
  <c r="H105" i="15" s="1"/>
  <c r="N430" i="17"/>
  <c r="N403" i="17"/>
  <c r="L1060" i="17"/>
  <c r="Q448" i="17"/>
  <c r="Q449" i="17" s="1"/>
  <c r="H112" i="15" s="1"/>
  <c r="H114" i="15" s="1"/>
  <c r="N417" i="17"/>
  <c r="N426" i="17"/>
  <c r="L996" i="17"/>
  <c r="N394" i="17"/>
  <c r="G100" i="15"/>
  <c r="N410" i="17"/>
  <c r="N437" i="17"/>
  <c r="N399" i="17"/>
  <c r="K387" i="17"/>
  <c r="N401" i="17"/>
  <c r="Q343" i="17"/>
  <c r="K518" i="17"/>
  <c r="Q455" i="17"/>
  <c r="J455" i="17"/>
  <c r="M455" i="17" s="1"/>
  <c r="N438" i="17"/>
  <c r="N419" i="17"/>
  <c r="L518" i="17"/>
  <c r="N455" i="17"/>
  <c r="G112" i="15"/>
  <c r="G114" i="15" s="1"/>
  <c r="H97" i="15"/>
  <c r="H99" i="15" s="1"/>
  <c r="L406" i="17"/>
  <c r="J414" i="17"/>
  <c r="M414" i="17" s="1"/>
  <c r="M407" i="17"/>
  <c r="Q470" i="17"/>
  <c r="K533" i="17"/>
  <c r="K477" i="17"/>
  <c r="K478" i="17" s="1"/>
  <c r="G124" i="15" s="1"/>
  <c r="G126" i="15" s="1"/>
  <c r="J470" i="17"/>
  <c r="N470" i="17" s="1"/>
  <c r="Q457" i="17"/>
  <c r="K520" i="17"/>
  <c r="J457" i="17"/>
  <c r="M457" i="17" s="1"/>
  <c r="M400" i="17"/>
  <c r="N400" i="17"/>
  <c r="L610" i="17"/>
  <c r="L636" i="17"/>
  <c r="M395" i="17"/>
  <c r="N395" i="17"/>
  <c r="J485" i="17"/>
  <c r="N485" i="17" s="1"/>
  <c r="K548" i="17"/>
  <c r="Q485" i="17"/>
  <c r="K559" i="17"/>
  <c r="J496" i="17"/>
  <c r="Q496" i="17"/>
  <c r="L621" i="17"/>
  <c r="L585" i="17"/>
  <c r="M323" i="17"/>
  <c r="J324" i="17"/>
  <c r="M324" i="17" s="1"/>
  <c r="K570" i="17"/>
  <c r="Q507" i="17"/>
  <c r="J507" i="17"/>
  <c r="M507" i="17" s="1"/>
  <c r="L568" i="17"/>
  <c r="L591" i="17"/>
  <c r="L477" i="17"/>
  <c r="L533" i="17"/>
  <c r="K567" i="17"/>
  <c r="J504" i="17"/>
  <c r="Q504" i="17"/>
  <c r="M396" i="17"/>
  <c r="N396" i="17"/>
  <c r="K522" i="17"/>
  <c r="Q459" i="17"/>
  <c r="J459" i="17"/>
  <c r="Q481" i="17"/>
  <c r="K544" i="17"/>
  <c r="J481" i="17"/>
  <c r="K564" i="17"/>
  <c r="J501" i="17"/>
  <c r="M501" i="17" s="1"/>
  <c r="Q501" i="17"/>
  <c r="M447" i="17"/>
  <c r="N447" i="17"/>
  <c r="K573" i="17"/>
  <c r="Q510" i="17"/>
  <c r="J510" i="17"/>
  <c r="M456" i="17"/>
  <c r="K582" i="17"/>
  <c r="Q519" i="17"/>
  <c r="Q352" i="17"/>
  <c r="H94" i="15"/>
  <c r="H96" i="15" s="1"/>
  <c r="L539" i="17"/>
  <c r="M429" i="17"/>
  <c r="N429" i="17"/>
  <c r="K555" i="17"/>
  <c r="Q492" i="17"/>
  <c r="J492" i="17"/>
  <c r="K571" i="17"/>
  <c r="J508" i="17"/>
  <c r="Q508" i="17"/>
  <c r="L598" i="17"/>
  <c r="L537" i="17"/>
  <c r="L601" i="17"/>
  <c r="J474" i="17"/>
  <c r="N474" i="17" s="1"/>
  <c r="K537" i="17"/>
  <c r="Q474" i="17"/>
  <c r="J352" i="17"/>
  <c r="M352" i="17" s="1"/>
  <c r="L681" i="17"/>
  <c r="L572" i="17"/>
  <c r="L534" i="17"/>
  <c r="L449" i="17"/>
  <c r="L542" i="17"/>
  <c r="L511" i="17"/>
  <c r="L387" i="17"/>
  <c r="J493" i="17"/>
  <c r="M493" i="17" s="1"/>
  <c r="K556" i="17"/>
  <c r="Q493" i="17"/>
  <c r="K569" i="17"/>
  <c r="J506" i="17"/>
  <c r="Q506" i="17"/>
  <c r="K406" i="17"/>
  <c r="K450" i="17" s="1"/>
  <c r="G106" i="15"/>
  <c r="G108" i="15" s="1"/>
  <c r="K524" i="17"/>
  <c r="J461" i="17"/>
  <c r="Q461" i="17"/>
  <c r="K468" i="17"/>
  <c r="G121" i="15" s="1"/>
  <c r="K529" i="17"/>
  <c r="Q466" i="17"/>
  <c r="J466" i="17"/>
  <c r="M466" i="17" s="1"/>
  <c r="Q475" i="17"/>
  <c r="K538" i="17"/>
  <c r="J475" i="17"/>
  <c r="K543" i="17"/>
  <c r="Q480" i="17"/>
  <c r="J480" i="17"/>
  <c r="M480" i="17" s="1"/>
  <c r="K530" i="17"/>
  <c r="Q467" i="17"/>
  <c r="J467" i="17"/>
  <c r="L617" i="17"/>
  <c r="K552" i="17"/>
  <c r="J489" i="17"/>
  <c r="M489" i="17" s="1"/>
  <c r="Q489" i="17"/>
  <c r="Q472" i="17"/>
  <c r="K535" i="17"/>
  <c r="J472" i="17"/>
  <c r="N324" i="17"/>
  <c r="M421" i="17"/>
  <c r="N421" i="17"/>
  <c r="K547" i="17"/>
  <c r="Q484" i="17"/>
  <c r="J484" i="17"/>
  <c r="M435" i="17"/>
  <c r="N435" i="17"/>
  <c r="K561" i="17"/>
  <c r="Q498" i="17"/>
  <c r="J498" i="17"/>
  <c r="K565" i="17"/>
  <c r="J502" i="17"/>
  <c r="Q502" i="17"/>
  <c r="M402" i="17"/>
  <c r="N402" i="17"/>
  <c r="L520" i="17"/>
  <c r="L584" i="17"/>
  <c r="L468" i="17"/>
  <c r="L524" i="17"/>
  <c r="N461" i="17"/>
  <c r="M416" i="17"/>
  <c r="J448" i="17"/>
  <c r="K542" i="17"/>
  <c r="K511" i="17"/>
  <c r="K512" i="17" s="1"/>
  <c r="G127" i="15" s="1"/>
  <c r="G129" i="15" s="1"/>
  <c r="J479" i="17"/>
  <c r="N479" i="17" s="1"/>
  <c r="Q479" i="17"/>
  <c r="L519" i="17"/>
  <c r="L460" i="17"/>
  <c r="N456" i="17"/>
  <c r="L543" i="17"/>
  <c r="J397" i="17"/>
  <c r="K527" i="17"/>
  <c r="J464" i="17"/>
  <c r="M464" i="17" s="1"/>
  <c r="Q464" i="17"/>
  <c r="L570" i="17"/>
  <c r="K526" i="17"/>
  <c r="Q463" i="17"/>
  <c r="J463" i="17"/>
  <c r="L536" i="17"/>
  <c r="K539" i="17"/>
  <c r="Q476" i="17"/>
  <c r="J476" i="17"/>
  <c r="M476" i="17" s="1"/>
  <c r="L612" i="17"/>
  <c r="L614" i="17"/>
  <c r="L552" i="17"/>
  <c r="L616" i="17"/>
  <c r="L556" i="17"/>
  <c r="L620" i="17"/>
  <c r="L622" i="17"/>
  <c r="L560" i="17"/>
  <c r="L624" i="17"/>
  <c r="L562" i="17"/>
  <c r="L563" i="17"/>
  <c r="L634" i="17"/>
  <c r="K521" i="17"/>
  <c r="Q458" i="17"/>
  <c r="Q460" i="17" s="1"/>
  <c r="J458" i="17"/>
  <c r="M427" i="17"/>
  <c r="N427" i="17"/>
  <c r="K553" i="17"/>
  <c r="Q490" i="17"/>
  <c r="J490" i="17"/>
  <c r="M433" i="17"/>
  <c r="N433" i="17"/>
  <c r="L529" i="17"/>
  <c r="M428" i="17"/>
  <c r="N428" i="17"/>
  <c r="K554" i="17"/>
  <c r="Q491" i="17"/>
  <c r="J491" i="17"/>
  <c r="N280" i="17"/>
  <c r="N442" i="17"/>
  <c r="M334" i="17"/>
  <c r="J343" i="17"/>
  <c r="M343" i="17" s="1"/>
  <c r="L525" i="17"/>
  <c r="N407" i="17"/>
  <c r="L415" i="17"/>
  <c r="M425" i="17"/>
  <c r="N425" i="17"/>
  <c r="K551" i="17"/>
  <c r="Q488" i="17"/>
  <c r="J488" i="17"/>
  <c r="M441" i="17"/>
  <c r="N441" i="17"/>
  <c r="K536" i="17"/>
  <c r="Q473" i="17"/>
  <c r="J473" i="17"/>
  <c r="M473" i="17" s="1"/>
  <c r="L613" i="17"/>
  <c r="M418" i="17"/>
  <c r="N418" i="17"/>
  <c r="K568" i="17"/>
  <c r="J505" i="17"/>
  <c r="M505" i="17" s="1"/>
  <c r="Q505" i="17"/>
  <c r="K534" i="17"/>
  <c r="Q471" i="17"/>
  <c r="J471" i="17"/>
  <c r="M471" i="17" s="1"/>
  <c r="L527" i="17"/>
  <c r="L593" i="17"/>
  <c r="N261" i="17"/>
  <c r="Q499" i="17"/>
  <c r="K562" i="17"/>
  <c r="J499" i="17"/>
  <c r="M499" i="17" s="1"/>
  <c r="N342" i="17"/>
  <c r="J386" i="17"/>
  <c r="M385" i="17"/>
  <c r="N334" i="17"/>
  <c r="K460" i="17"/>
  <c r="Q482" i="17"/>
  <c r="K545" i="17"/>
  <c r="J482" i="17"/>
  <c r="M482" i="17" s="1"/>
  <c r="L589" i="17"/>
  <c r="N413" i="17"/>
  <c r="Q497" i="17"/>
  <c r="K560" i="17"/>
  <c r="J497" i="17"/>
  <c r="M497" i="17" s="1"/>
  <c r="M445" i="17"/>
  <c r="N445" i="17"/>
  <c r="L564" i="17"/>
  <c r="Q414" i="17"/>
  <c r="Q415" i="17" s="1"/>
  <c r="H109" i="15" s="1"/>
  <c r="H111" i="15" s="1"/>
  <c r="Q509" i="17"/>
  <c r="K572" i="17"/>
  <c r="J509" i="17"/>
  <c r="M509" i="17" s="1"/>
  <c r="L607" i="17"/>
  <c r="L545" i="17"/>
  <c r="N446" i="17"/>
  <c r="K525" i="17"/>
  <c r="J462" i="17"/>
  <c r="M462" i="17" s="1"/>
  <c r="Q462" i="17"/>
  <c r="N408" i="17"/>
  <c r="N416" i="17"/>
  <c r="N385" i="17"/>
  <c r="M443" i="17"/>
  <c r="N443" i="17"/>
  <c r="M398" i="17"/>
  <c r="J405" i="17"/>
  <c r="M405" i="17" s="1"/>
  <c r="Q405" i="17"/>
  <c r="M424" i="17"/>
  <c r="N424" i="17"/>
  <c r="K550" i="17"/>
  <c r="Q487" i="17"/>
  <c r="J487" i="17"/>
  <c r="L628" i="17"/>
  <c r="L566" i="17"/>
  <c r="L630" i="17"/>
  <c r="L632" i="17"/>
  <c r="M412" i="17"/>
  <c r="N412" i="17"/>
  <c r="N351" i="17"/>
  <c r="M431" i="17"/>
  <c r="N431" i="17"/>
  <c r="K557" i="17"/>
  <c r="Q494" i="17"/>
  <c r="J494" i="17"/>
  <c r="M404" i="17"/>
  <c r="N404" i="17"/>
  <c r="K546" i="17"/>
  <c r="Q483" i="17"/>
  <c r="J483" i="17"/>
  <c r="M432" i="17"/>
  <c r="N432" i="17"/>
  <c r="Q495" i="17"/>
  <c r="K558" i="17"/>
  <c r="J495" i="17"/>
  <c r="Q503" i="17"/>
  <c r="K566" i="17"/>
  <c r="J503" i="17"/>
  <c r="M503" i="17" s="1"/>
  <c r="M409" i="17"/>
  <c r="N409" i="17"/>
  <c r="N323" i="17"/>
  <c r="M423" i="17"/>
  <c r="N423" i="17"/>
  <c r="K549" i="17"/>
  <c r="Q486" i="17"/>
  <c r="J486" i="17"/>
  <c r="K563" i="17"/>
  <c r="J500" i="17"/>
  <c r="M500" i="17" s="1"/>
  <c r="Q500" i="17"/>
  <c r="M439" i="17"/>
  <c r="N439" i="17"/>
  <c r="K528" i="17"/>
  <c r="Q465" i="17"/>
  <c r="J465" i="17"/>
  <c r="H93" i="15"/>
  <c r="S334" i="14"/>
  <c r="G1097" i="13"/>
  <c r="J1097" i="13" s="1"/>
  <c r="K1091" i="1"/>
  <c r="N1091" i="1" s="1"/>
  <c r="G1118" i="13"/>
  <c r="J1118" i="13" s="1"/>
  <c r="K1112" i="1"/>
  <c r="N1112" i="1" s="1"/>
  <c r="G1101" i="13"/>
  <c r="J1101" i="13" s="1"/>
  <c r="K1095" i="1"/>
  <c r="N1095" i="1" s="1"/>
  <c r="G1109" i="13"/>
  <c r="J1109" i="13" s="1"/>
  <c r="K1103" i="1"/>
  <c r="N1103" i="1" s="1"/>
  <c r="G1113" i="13"/>
  <c r="J1113" i="13" s="1"/>
  <c r="K1107" i="1"/>
  <c r="N1107" i="1" s="1"/>
  <c r="G1131" i="13"/>
  <c r="K1125" i="1"/>
  <c r="L1128" i="1"/>
  <c r="G1135" i="13"/>
  <c r="K1129" i="1"/>
  <c r="L1133" i="1"/>
  <c r="G1107" i="13"/>
  <c r="L1108" i="1"/>
  <c r="K1101" i="1"/>
  <c r="G1145" i="13"/>
  <c r="J1145" i="13" s="1"/>
  <c r="K1139" i="1"/>
  <c r="N1139" i="1" s="1"/>
  <c r="G1102" i="13"/>
  <c r="J1102" i="13" s="1"/>
  <c r="K1096" i="1"/>
  <c r="N1096" i="1" s="1"/>
  <c r="G1110" i="13"/>
  <c r="J1110" i="13" s="1"/>
  <c r="K1104" i="1"/>
  <c r="G1121" i="13"/>
  <c r="J1121" i="13" s="1"/>
  <c r="K1115" i="1"/>
  <c r="N1115" i="1" s="1"/>
  <c r="G1123" i="13"/>
  <c r="J1123" i="13" s="1"/>
  <c r="K1117" i="1"/>
  <c r="N1117" i="1" s="1"/>
  <c r="G1125" i="13"/>
  <c r="J1125" i="13" s="1"/>
  <c r="K1119" i="1"/>
  <c r="N1119" i="1" s="1"/>
  <c r="G1122" i="13"/>
  <c r="J1122" i="13" s="1"/>
  <c r="K1116" i="1"/>
  <c r="N1116" i="1" s="1"/>
  <c r="G1124" i="13"/>
  <c r="J1124" i="13" s="1"/>
  <c r="K1118" i="1"/>
  <c r="N1118" i="1" s="1"/>
  <c r="O858" i="1"/>
  <c r="O1118" i="1"/>
  <c r="G1098" i="13"/>
  <c r="J1098" i="13" s="1"/>
  <c r="K1092" i="1"/>
  <c r="N1092" i="1" s="1"/>
  <c r="G1140" i="13"/>
  <c r="K1134" i="1"/>
  <c r="L1136" i="1"/>
  <c r="G1146" i="13"/>
  <c r="J1146" i="13" s="1"/>
  <c r="K1140" i="1"/>
  <c r="N1140" i="1" s="1"/>
  <c r="G1148" i="13"/>
  <c r="K1143" i="1"/>
  <c r="O1143" i="1" s="1"/>
  <c r="L1146" i="1"/>
  <c r="G1120" i="13"/>
  <c r="K1114" i="1"/>
  <c r="O1114" i="1" s="1"/>
  <c r="L1120" i="1"/>
  <c r="M1120" i="1"/>
  <c r="G1137" i="13"/>
  <c r="J1137" i="13" s="1"/>
  <c r="K1131" i="1"/>
  <c r="N1131" i="1" s="1"/>
  <c r="G1138" i="13"/>
  <c r="J1138" i="13" s="1"/>
  <c r="K1132" i="1"/>
  <c r="N1132" i="1" s="1"/>
  <c r="O1115" i="1"/>
  <c r="O1139" i="1"/>
  <c r="G1154" i="13"/>
  <c r="K1148" i="1"/>
  <c r="N1148" i="1" s="1"/>
  <c r="G1153" i="13"/>
  <c r="G1111" i="13"/>
  <c r="J1111" i="13" s="1"/>
  <c r="K1105" i="1"/>
  <c r="N1105" i="1" s="1"/>
  <c r="O1095" i="1"/>
  <c r="G1150" i="13"/>
  <c r="J1150" i="13" s="1"/>
  <c r="K1145" i="1"/>
  <c r="N1145" i="1" s="1"/>
  <c r="G1103" i="13"/>
  <c r="J1103" i="13" s="1"/>
  <c r="K1097" i="1"/>
  <c r="N1097" i="1" s="1"/>
  <c r="N1051" i="1"/>
  <c r="O1051" i="1"/>
  <c r="N1087" i="1"/>
  <c r="O1087" i="1"/>
  <c r="N1071" i="1"/>
  <c r="O1071" i="1"/>
  <c r="G1100" i="13"/>
  <c r="J1100" i="13" s="1"/>
  <c r="K1094" i="1"/>
  <c r="N1094" i="1" s="1"/>
  <c r="G1108" i="13"/>
  <c r="J1108" i="13" s="1"/>
  <c r="K1102" i="1"/>
  <c r="N1102" i="1" s="1"/>
  <c r="G1105" i="13"/>
  <c r="J1105" i="13" s="1"/>
  <c r="K1099" i="1"/>
  <c r="N1099" i="1" s="1"/>
  <c r="G1112" i="13"/>
  <c r="J1112" i="13" s="1"/>
  <c r="K1106" i="1"/>
  <c r="M1146" i="1"/>
  <c r="G1143" i="13"/>
  <c r="K1137" i="1"/>
  <c r="K1024" i="1"/>
  <c r="N1024" i="1" s="1"/>
  <c r="L1141" i="1"/>
  <c r="G1141" i="13"/>
  <c r="J1141" i="13" s="1"/>
  <c r="K1135" i="1"/>
  <c r="N1135" i="1" s="1"/>
  <c r="G1149" i="13"/>
  <c r="J1149" i="13" s="1"/>
  <c r="K1144" i="1"/>
  <c r="N1144" i="1" s="1"/>
  <c r="O1093" i="1"/>
  <c r="O1112" i="1"/>
  <c r="G1144" i="13"/>
  <c r="J1144" i="13" s="1"/>
  <c r="K1138" i="1"/>
  <c r="N1138" i="1" s="1"/>
  <c r="G1096" i="13"/>
  <c r="K1090" i="1"/>
  <c r="L1100" i="1"/>
  <c r="G1152" i="13"/>
  <c r="L1149" i="1"/>
  <c r="K1147" i="1"/>
  <c r="M1100" i="1"/>
  <c r="O1090" i="1"/>
  <c r="G1099" i="13"/>
  <c r="J1099" i="13" s="1"/>
  <c r="K1093" i="1"/>
  <c r="N1093" i="1" s="1"/>
  <c r="O1099" i="1"/>
  <c r="M1149" i="1"/>
  <c r="O1147" i="1"/>
  <c r="O1091" i="1"/>
  <c r="G1133" i="13"/>
  <c r="J1133" i="13" s="1"/>
  <c r="K1127" i="1"/>
  <c r="N1127" i="1" s="1"/>
  <c r="O1102" i="1"/>
  <c r="M1108" i="1"/>
  <c r="M1113" i="1"/>
  <c r="M1121" i="1" s="1"/>
  <c r="G1136" i="13"/>
  <c r="J1136" i="13" s="1"/>
  <c r="K1130" i="1"/>
  <c r="N1130" i="1" s="1"/>
  <c r="G1104" i="13"/>
  <c r="J1104" i="13" s="1"/>
  <c r="K1098" i="1"/>
  <c r="N1098" i="1" s="1"/>
  <c r="O1096" i="1"/>
  <c r="O1107" i="1"/>
  <c r="M1133" i="1"/>
  <c r="M1142" i="1"/>
  <c r="O1137" i="1"/>
  <c r="O1135" i="1"/>
  <c r="O1098" i="1"/>
  <c r="M1128" i="1"/>
  <c r="O1125" i="1"/>
  <c r="G1132" i="13"/>
  <c r="J1132" i="13" s="1"/>
  <c r="K1126" i="1"/>
  <c r="N1126" i="1" s="1"/>
  <c r="O1132" i="1"/>
  <c r="G1116" i="13"/>
  <c r="L1113" i="1"/>
  <c r="K1110" i="1"/>
  <c r="O1110" i="1" s="1"/>
  <c r="G1117" i="13"/>
  <c r="J1117" i="13" s="1"/>
  <c r="K1111" i="1"/>
  <c r="N1111" i="1" s="1"/>
  <c r="N1059" i="1"/>
  <c r="O1059" i="1"/>
  <c r="O1077" i="1"/>
  <c r="K1088" i="1"/>
  <c r="N1077" i="1"/>
  <c r="M1136" i="1"/>
  <c r="N1043" i="1"/>
  <c r="O1043" i="1"/>
  <c r="M1089" i="1"/>
  <c r="N1060" i="1"/>
  <c r="K1067" i="1"/>
  <c r="O1060" i="1"/>
  <c r="G1073" i="13"/>
  <c r="G1078" i="13" s="1"/>
  <c r="J1066" i="13"/>
  <c r="J1073" i="13" s="1"/>
  <c r="J1078" i="13" s="1"/>
  <c r="F120" i="15"/>
  <c r="F123" i="15" s="1"/>
  <c r="G862" i="13"/>
  <c r="J950" i="13"/>
  <c r="J956" i="13" s="1"/>
  <c r="J961" i="13" s="1"/>
  <c r="G956" i="13"/>
  <c r="N834" i="1"/>
  <c r="O834" i="1"/>
  <c r="K839" i="1"/>
  <c r="N935" i="1"/>
  <c r="O935" i="1"/>
  <c r="N943" i="1"/>
  <c r="O943" i="1"/>
  <c r="G914" i="13"/>
  <c r="J910" i="13"/>
  <c r="J914" i="13" s="1"/>
  <c r="O908" i="1"/>
  <c r="G1024" i="13"/>
  <c r="J1024" i="13" s="1"/>
  <c r="K1018" i="1"/>
  <c r="N1018" i="1" s="1"/>
  <c r="G1032" i="13"/>
  <c r="J1032" i="13" s="1"/>
  <c r="K1027" i="1"/>
  <c r="N1027" i="1" s="1"/>
  <c r="O879" i="1"/>
  <c r="G996" i="13"/>
  <c r="J996" i="13" s="1"/>
  <c r="K990" i="1"/>
  <c r="N990" i="1" s="1"/>
  <c r="G901" i="13"/>
  <c r="J898" i="13"/>
  <c r="J901" i="13" s="1"/>
  <c r="G1014" i="13"/>
  <c r="K1008" i="1"/>
  <c r="O1008" i="1" s="1"/>
  <c r="L1011" i="1"/>
  <c r="G1018" i="13"/>
  <c r="L1016" i="1"/>
  <c r="K1012" i="1"/>
  <c r="O1012" i="1" s="1"/>
  <c r="L991" i="1"/>
  <c r="G990" i="13"/>
  <c r="K984" i="1"/>
  <c r="N857" i="1"/>
  <c r="K867" i="1"/>
  <c r="G873" i="13"/>
  <c r="J863" i="13"/>
  <c r="J873" i="13" s="1"/>
  <c r="K1022" i="1"/>
  <c r="N1022" i="1" s="1"/>
  <c r="G1028" i="13"/>
  <c r="J1028" i="13" s="1"/>
  <c r="K979" i="1"/>
  <c r="N979" i="1" s="1"/>
  <c r="G985" i="13"/>
  <c r="J985" i="13" s="1"/>
  <c r="G993" i="13"/>
  <c r="J993" i="13" s="1"/>
  <c r="K987" i="1"/>
  <c r="K998" i="1"/>
  <c r="N998" i="1" s="1"/>
  <c r="G1004" i="13"/>
  <c r="J1004" i="13" s="1"/>
  <c r="G1006" i="13"/>
  <c r="J1006" i="13" s="1"/>
  <c r="K1000" i="1"/>
  <c r="N1000" i="1" s="1"/>
  <c r="K1002" i="1"/>
  <c r="N1002" i="1" s="1"/>
  <c r="G1008" i="13"/>
  <c r="J1008" i="13" s="1"/>
  <c r="O857" i="1"/>
  <c r="G982" i="13"/>
  <c r="J982" i="13" s="1"/>
  <c r="K976" i="1"/>
  <c r="N976" i="1" s="1"/>
  <c r="N927" i="1"/>
  <c r="O927" i="1"/>
  <c r="N954" i="1"/>
  <c r="O954" i="1"/>
  <c r="K999" i="1"/>
  <c r="N999" i="1" s="1"/>
  <c r="G1005" i="13"/>
  <c r="J1005" i="13" s="1"/>
  <c r="G1007" i="13"/>
  <c r="J1007" i="13" s="1"/>
  <c r="K1001" i="1"/>
  <c r="N1001" i="1" s="1"/>
  <c r="O885" i="1"/>
  <c r="G1016" i="13"/>
  <c r="J1016" i="13" s="1"/>
  <c r="K1010" i="1"/>
  <c r="N1010" i="1" s="1"/>
  <c r="O869" i="1"/>
  <c r="O870" i="1"/>
  <c r="M996" i="1"/>
  <c r="K975" i="1"/>
  <c r="N975" i="1" s="1"/>
  <c r="G981" i="13"/>
  <c r="J981" i="13" s="1"/>
  <c r="O1000" i="1"/>
  <c r="N901" i="1"/>
  <c r="K903" i="1"/>
  <c r="N903" i="1" s="1"/>
  <c r="O901" i="1"/>
  <c r="N944" i="1"/>
  <c r="K950" i="1"/>
  <c r="K955" i="1" s="1"/>
  <c r="O944" i="1"/>
  <c r="N960" i="1"/>
  <c r="K971" i="1"/>
  <c r="O960" i="1"/>
  <c r="J862" i="13"/>
  <c r="I120" i="15"/>
  <c r="I123" i="15" s="1"/>
  <c r="K977" i="1"/>
  <c r="N977" i="1" s="1"/>
  <c r="G983" i="13"/>
  <c r="J983" i="13" s="1"/>
  <c r="G991" i="13"/>
  <c r="J991" i="13" s="1"/>
  <c r="K985" i="1"/>
  <c r="N985" i="1" s="1"/>
  <c r="G988" i="13"/>
  <c r="J988" i="13" s="1"/>
  <c r="K982" i="1"/>
  <c r="N982" i="1" s="1"/>
  <c r="K989" i="1"/>
  <c r="G995" i="13"/>
  <c r="J995" i="13" s="1"/>
  <c r="M1029" i="1"/>
  <c r="O904" i="1"/>
  <c r="K909" i="1"/>
  <c r="N909" i="1" s="1"/>
  <c r="N904" i="1"/>
  <c r="L1025" i="1"/>
  <c r="G1026" i="13"/>
  <c r="K1020" i="1"/>
  <c r="O1024" i="1"/>
  <c r="G980" i="13"/>
  <c r="J980" i="13" s="1"/>
  <c r="K974" i="1"/>
  <c r="N974" i="1" s="1"/>
  <c r="K995" i="1"/>
  <c r="N995" i="1" s="1"/>
  <c r="G1001" i="13"/>
  <c r="J1001" i="13" s="1"/>
  <c r="G984" i="13"/>
  <c r="J984" i="13" s="1"/>
  <c r="K978" i="1"/>
  <c r="N978" i="1" s="1"/>
  <c r="G992" i="13"/>
  <c r="J992" i="13" s="1"/>
  <c r="K986" i="1"/>
  <c r="N986" i="1" s="1"/>
  <c r="O995" i="1"/>
  <c r="L917" i="1"/>
  <c r="L918" i="1" s="1"/>
  <c r="K900" i="1"/>
  <c r="N900" i="1" s="1"/>
  <c r="N896" i="1"/>
  <c r="G906" i="13"/>
  <c r="J902" i="13"/>
  <c r="J906" i="13" s="1"/>
  <c r="O868" i="1"/>
  <c r="N868" i="1"/>
  <c r="K875" i="1"/>
  <c r="N875" i="1" s="1"/>
  <c r="G881" i="13"/>
  <c r="J874" i="13"/>
  <c r="J881" i="13" s="1"/>
  <c r="G1027" i="13"/>
  <c r="J1027" i="13" s="1"/>
  <c r="K1021" i="1"/>
  <c r="N1021" i="1" s="1"/>
  <c r="L876" i="1"/>
  <c r="L983" i="1"/>
  <c r="G979" i="13"/>
  <c r="K973" i="1"/>
  <c r="N914" i="1"/>
  <c r="K916" i="1"/>
  <c r="N916" i="1" s="1"/>
  <c r="G1035" i="13"/>
  <c r="L1032" i="1"/>
  <c r="K1030" i="1"/>
  <c r="O867" i="1"/>
  <c r="N855" i="1"/>
  <c r="D121" i="15"/>
  <c r="E121" i="15" s="1"/>
  <c r="O855" i="1"/>
  <c r="G961" i="13"/>
  <c r="N970" i="1"/>
  <c r="O970" i="1"/>
  <c r="O866" i="1"/>
  <c r="O914" i="1"/>
  <c r="M1032" i="1"/>
  <c r="O1030" i="1"/>
  <c r="M983" i="1"/>
  <c r="O974" i="1"/>
  <c r="O1001" i="1"/>
  <c r="M876" i="1"/>
  <c r="O985" i="1"/>
  <c r="M991" i="1"/>
  <c r="M888" i="1"/>
  <c r="O883" i="1"/>
  <c r="O884" i="1"/>
  <c r="G1023" i="13"/>
  <c r="K1017" i="1"/>
  <c r="L1019" i="1"/>
  <c r="G1029" i="13"/>
  <c r="J1029" i="13" s="1"/>
  <c r="K1023" i="1"/>
  <c r="N1023" i="1" s="1"/>
  <c r="O861" i="1"/>
  <c r="O979" i="1"/>
  <c r="O874" i="1"/>
  <c r="G918" i="13"/>
  <c r="J915" i="13"/>
  <c r="J918" i="13" s="1"/>
  <c r="N881" i="1"/>
  <c r="K887" i="1"/>
  <c r="N887" i="1" s="1"/>
  <c r="M1003" i="1"/>
  <c r="O896" i="1"/>
  <c r="M1016" i="1"/>
  <c r="M1025" i="1"/>
  <c r="O1027" i="1"/>
  <c r="K1014" i="1"/>
  <c r="N1014" i="1" s="1"/>
  <c r="G1020" i="13"/>
  <c r="J1020" i="13" s="1"/>
  <c r="G1021" i="13"/>
  <c r="J1021" i="13" s="1"/>
  <c r="K1015" i="1"/>
  <c r="N1015" i="1" s="1"/>
  <c r="O998" i="1"/>
  <c r="O1018" i="1"/>
  <c r="O1022" i="1"/>
  <c r="G1037" i="13"/>
  <c r="G1036" i="13"/>
  <c r="K1031" i="1"/>
  <c r="N1031" i="1" s="1"/>
  <c r="K988" i="1"/>
  <c r="N988" i="1" s="1"/>
  <c r="G994" i="13"/>
  <c r="J994" i="13" s="1"/>
  <c r="O978" i="1"/>
  <c r="O892" i="1"/>
  <c r="M1011" i="1"/>
  <c r="G1033" i="13"/>
  <c r="J1033" i="13" s="1"/>
  <c r="K1028" i="1"/>
  <c r="N1028" i="1" s="1"/>
  <c r="L888" i="1"/>
  <c r="K993" i="1"/>
  <c r="O993" i="1" s="1"/>
  <c r="G999" i="13"/>
  <c r="L996" i="1"/>
  <c r="G1000" i="13"/>
  <c r="J1000" i="13" s="1"/>
  <c r="K994" i="1"/>
  <c r="N994" i="1" s="1"/>
  <c r="G909" i="13"/>
  <c r="J907" i="13"/>
  <c r="J909" i="13" s="1"/>
  <c r="G1019" i="13"/>
  <c r="J1019" i="13" s="1"/>
  <c r="K1013" i="1"/>
  <c r="N1013" i="1" s="1"/>
  <c r="K981" i="1"/>
  <c r="N981" i="1" s="1"/>
  <c r="G987" i="13"/>
  <c r="J987" i="13" s="1"/>
  <c r="O1014" i="1"/>
  <c r="O863" i="1"/>
  <c r="N910" i="1"/>
  <c r="K913" i="1"/>
  <c r="N913" i="1" s="1"/>
  <c r="L1029" i="1"/>
  <c r="G1031" i="13"/>
  <c r="K1026" i="1"/>
  <c r="G893" i="13"/>
  <c r="J887" i="13"/>
  <c r="J893" i="13" s="1"/>
  <c r="G1003" i="13"/>
  <c r="K997" i="1"/>
  <c r="L1003" i="1"/>
  <c r="O881" i="1"/>
  <c r="O887" i="1"/>
  <c r="O900" i="1"/>
  <c r="O909" i="1"/>
  <c r="O911" i="1"/>
  <c r="O859" i="1"/>
  <c r="O882" i="1"/>
  <c r="O902" i="1"/>
  <c r="O906" i="1"/>
  <c r="O862" i="1"/>
  <c r="O865" i="1"/>
  <c r="M917" i="1"/>
  <c r="O905" i="1"/>
  <c r="K895" i="1"/>
  <c r="O895" i="1" s="1"/>
  <c r="N893" i="1"/>
  <c r="K1009" i="1"/>
  <c r="N1009" i="1" s="1"/>
  <c r="G1015" i="13"/>
  <c r="J1015" i="13" s="1"/>
  <c r="O899" i="1"/>
  <c r="G986" i="13"/>
  <c r="J986" i="13" s="1"/>
  <c r="K980" i="1"/>
  <c r="N980" i="1" s="1"/>
  <c r="G886" i="13"/>
  <c r="J883" i="13"/>
  <c r="J886" i="13" s="1"/>
  <c r="K880" i="1"/>
  <c r="N877" i="1"/>
  <c r="G551" i="13"/>
  <c r="G552" i="13" s="1"/>
  <c r="F79" i="15" s="1"/>
  <c r="F81" i="15" s="1"/>
  <c r="F85" i="15" s="1"/>
  <c r="O645" i="1"/>
  <c r="J465" i="13"/>
  <c r="O792" i="1"/>
  <c r="O543" i="1"/>
  <c r="J551" i="13"/>
  <c r="J552" i="13" s="1"/>
  <c r="I79" i="15" s="1"/>
  <c r="I81" i="15" s="1"/>
  <c r="I85" i="15" s="1"/>
  <c r="O683" i="1"/>
  <c r="O745" i="1"/>
  <c r="O755" i="1"/>
  <c r="L773" i="1"/>
  <c r="G652" i="13"/>
  <c r="G666" i="13" s="1"/>
  <c r="G667" i="13" s="1"/>
  <c r="F94" i="15" s="1"/>
  <c r="F96" i="15" s="1"/>
  <c r="O749" i="1"/>
  <c r="O779" i="1"/>
  <c r="O797" i="1"/>
  <c r="O791" i="1"/>
  <c r="O784" i="1"/>
  <c r="O771" i="1"/>
  <c r="O793" i="1"/>
  <c r="O800" i="1"/>
  <c r="O670" i="1"/>
  <c r="O787" i="1"/>
  <c r="E67" i="15"/>
  <c r="D69" i="15"/>
  <c r="E69" i="15" s="1"/>
  <c r="M546" i="1"/>
  <c r="M574" i="1" s="1"/>
  <c r="N740" i="1"/>
  <c r="D106" i="15"/>
  <c r="E106" i="15" s="1"/>
  <c r="O740" i="1"/>
  <c r="M773" i="1"/>
  <c r="K788" i="1"/>
  <c r="N788" i="1" s="1"/>
  <c r="N786" i="1"/>
  <c r="O786" i="1"/>
  <c r="J792" i="13"/>
  <c r="J794" i="13" s="1"/>
  <c r="G794" i="13"/>
  <c r="N673" i="1"/>
  <c r="O673" i="1"/>
  <c r="O744" i="1"/>
  <c r="O790" i="1"/>
  <c r="K780" i="1"/>
  <c r="O780" i="1" s="1"/>
  <c r="N778" i="1"/>
  <c r="G771" i="13"/>
  <c r="J768" i="13"/>
  <c r="J771" i="13" s="1"/>
  <c r="O679" i="1"/>
  <c r="O235" i="1"/>
  <c r="N235" i="1"/>
  <c r="F105" i="15"/>
  <c r="F108" i="15" s="1"/>
  <c r="G747" i="13"/>
  <c r="O789" i="1"/>
  <c r="N789" i="1"/>
  <c r="K794" i="1"/>
  <c r="J692" i="13"/>
  <c r="J693" i="13" s="1"/>
  <c r="I97" i="15" s="1"/>
  <c r="I99" i="15" s="1"/>
  <c r="O754" i="1"/>
  <c r="O764" i="1"/>
  <c r="L802" i="1"/>
  <c r="L803" i="1" s="1"/>
  <c r="O753" i="1"/>
  <c r="K760" i="1"/>
  <c r="N760" i="1" s="1"/>
  <c r="N753" i="1"/>
  <c r="G766" i="13"/>
  <c r="J759" i="13"/>
  <c r="J766" i="13" s="1"/>
  <c r="K752" i="1"/>
  <c r="N742" i="1"/>
  <c r="G758" i="13"/>
  <c r="G767" i="13" s="1"/>
  <c r="J748" i="13"/>
  <c r="J758" i="13" s="1"/>
  <c r="J767" i="13" s="1"/>
  <c r="N799" i="1"/>
  <c r="K801" i="1"/>
  <c r="N801" i="1" s="1"/>
  <c r="O742" i="1"/>
  <c r="O746" i="1"/>
  <c r="M688" i="1"/>
  <c r="G803" i="13"/>
  <c r="J800" i="13"/>
  <c r="J803" i="13" s="1"/>
  <c r="K658" i="1"/>
  <c r="N658" i="1" s="1"/>
  <c r="N650" i="1"/>
  <c r="G778" i="13"/>
  <c r="J772" i="13"/>
  <c r="J778" i="13" s="1"/>
  <c r="J747" i="13"/>
  <c r="I105" i="15"/>
  <c r="I108" i="15" s="1"/>
  <c r="N531" i="1"/>
  <c r="K545" i="1"/>
  <c r="O545" i="1" s="1"/>
  <c r="O546" i="1" s="1"/>
  <c r="O751" i="1"/>
  <c r="O531" i="1"/>
  <c r="O770" i="1"/>
  <c r="O572" i="1"/>
  <c r="O573" i="1" s="1"/>
  <c r="K573" i="1"/>
  <c r="D82" i="15" s="1"/>
  <c r="N572" i="1"/>
  <c r="N573" i="1" s="1"/>
  <c r="N665" i="1"/>
  <c r="K687" i="1"/>
  <c r="E78" i="15"/>
  <c r="D49" i="15"/>
  <c r="K348" i="1"/>
  <c r="K646" i="1"/>
  <c r="O646" i="1" s="1"/>
  <c r="N637" i="1"/>
  <c r="L689" i="1"/>
  <c r="M660" i="1"/>
  <c r="O782" i="1"/>
  <c r="K741" i="1"/>
  <c r="N724" i="1"/>
  <c r="D105" i="15"/>
  <c r="O724" i="1"/>
  <c r="O767" i="1"/>
  <c r="K433" i="1"/>
  <c r="N432" i="1"/>
  <c r="N433" i="1" s="1"/>
  <c r="M802" i="1"/>
  <c r="M803" i="1" s="1"/>
  <c r="K765" i="1"/>
  <c r="N762" i="1"/>
  <c r="O796" i="1"/>
  <c r="D36" i="15"/>
  <c r="E34" i="15"/>
  <c r="O763" i="1"/>
  <c r="J795" i="13"/>
  <c r="J799" i="13" s="1"/>
  <c r="G799" i="13"/>
  <c r="M761" i="1"/>
  <c r="O650" i="1"/>
  <c r="O768" i="1"/>
  <c r="J783" i="13"/>
  <c r="J786" i="13" s="1"/>
  <c r="G786" i="13"/>
  <c r="K785" i="1"/>
  <c r="N785" i="1" s="1"/>
  <c r="N781" i="1"/>
  <c r="G791" i="13"/>
  <c r="J787" i="13"/>
  <c r="J791" i="13" s="1"/>
  <c r="N626" i="1"/>
  <c r="O626" i="1"/>
  <c r="E90" i="15"/>
  <c r="D93" i="15"/>
  <c r="O757" i="1"/>
  <c r="L761" i="1"/>
  <c r="J652" i="13"/>
  <c r="J666" i="13" s="1"/>
  <c r="J667" i="13" s="1"/>
  <c r="G692" i="13"/>
  <c r="G693" i="13" s="1"/>
  <c r="F97" i="15" s="1"/>
  <c r="F99" i="15" s="1"/>
  <c r="O783" i="1"/>
  <c r="O747" i="1"/>
  <c r="O759" i="1"/>
  <c r="O665" i="1"/>
  <c r="N795" i="1"/>
  <c r="K798" i="1"/>
  <c r="N798" i="1" s="1"/>
  <c r="K772" i="1"/>
  <c r="N772" i="1" s="1"/>
  <c r="N766" i="1"/>
  <c r="O772" i="1"/>
  <c r="F123" i="13"/>
  <c r="N28" i="17"/>
  <c r="I52" i="16"/>
  <c r="I123" i="13"/>
  <c r="G88" i="13"/>
  <c r="J88" i="13" s="1"/>
  <c r="G87" i="13"/>
  <c r="J87" i="13" s="1"/>
  <c r="T334" i="14"/>
  <c r="M37" i="17"/>
  <c r="N37" i="17"/>
  <c r="G94" i="1"/>
  <c r="J93" i="1"/>
  <c r="J94" i="1" s="1"/>
  <c r="G122" i="1"/>
  <c r="J122" i="1" s="1"/>
  <c r="J59" i="1"/>
  <c r="K1206" i="1" l="1"/>
  <c r="N1189" i="1"/>
  <c r="D165" i="15"/>
  <c r="O1189" i="1"/>
  <c r="F742" i="16"/>
  <c r="M1323" i="1"/>
  <c r="N1434" i="1"/>
  <c r="O1434" i="1"/>
  <c r="N1425" i="1"/>
  <c r="O1425" i="1"/>
  <c r="M1748" i="1"/>
  <c r="N1408" i="1"/>
  <c r="O1408" i="1"/>
  <c r="J1212" i="13"/>
  <c r="I165" i="15"/>
  <c r="I168" i="15" s="1"/>
  <c r="L1655" i="1"/>
  <c r="G1544" i="13"/>
  <c r="J1544" i="13" s="1"/>
  <c r="K1538" i="1"/>
  <c r="N1391" i="1"/>
  <c r="O1391" i="1"/>
  <c r="N1433" i="1"/>
  <c r="O1433" i="1"/>
  <c r="K1379" i="1"/>
  <c r="N1379" i="1" s="1"/>
  <c r="L1496" i="1"/>
  <c r="G1384" i="13"/>
  <c r="J1384" i="13" s="1"/>
  <c r="G1243" i="13"/>
  <c r="J1237" i="13"/>
  <c r="J1243" i="13" s="1"/>
  <c r="O1265" i="1"/>
  <c r="G1332" i="13"/>
  <c r="J1332" i="13" s="1"/>
  <c r="L1443" i="1"/>
  <c r="K1326" i="1"/>
  <c r="N1326" i="1" s="1"/>
  <c r="M1441" i="1"/>
  <c r="M1334" i="1"/>
  <c r="M1492" i="1"/>
  <c r="L1453" i="1"/>
  <c r="G1342" i="13"/>
  <c r="J1342" i="13" s="1"/>
  <c r="K1336" i="1"/>
  <c r="N1336" i="1" s="1"/>
  <c r="N1426" i="1"/>
  <c r="O1426" i="1"/>
  <c r="N1404" i="1"/>
  <c r="O1404" i="1"/>
  <c r="J1401" i="13"/>
  <c r="J1408" i="13" s="1"/>
  <c r="G1408" i="13"/>
  <c r="M1751" i="1"/>
  <c r="N1407" i="1"/>
  <c r="O1407" i="1"/>
  <c r="L1651" i="1"/>
  <c r="G1540" i="13"/>
  <c r="J1540" i="13" s="1"/>
  <c r="K1534" i="1"/>
  <c r="G1128" i="13"/>
  <c r="J1128" i="13" s="1"/>
  <c r="L1239" i="1"/>
  <c r="K1122" i="1"/>
  <c r="N1122" i="1" s="1"/>
  <c r="K1510" i="1"/>
  <c r="L1627" i="1"/>
  <c r="G1516" i="13"/>
  <c r="J1516" i="13" s="1"/>
  <c r="M1880" i="1"/>
  <c r="M1603" i="1"/>
  <c r="L1481" i="1"/>
  <c r="G1370" i="13"/>
  <c r="J1370" i="13" s="1"/>
  <c r="K1364" i="1"/>
  <c r="N1364" i="1" s="1"/>
  <c r="K1361" i="1"/>
  <c r="N1361" i="1" s="1"/>
  <c r="L1478" i="1"/>
  <c r="G1367" i="13"/>
  <c r="J1367" i="13" s="1"/>
  <c r="M1462" i="1"/>
  <c r="O1345" i="1"/>
  <c r="M1496" i="1"/>
  <c r="O1379" i="1"/>
  <c r="O1244" i="1"/>
  <c r="K1328" i="1"/>
  <c r="N1328" i="1" s="1"/>
  <c r="L1445" i="1"/>
  <c r="G1334" i="13"/>
  <c r="J1334" i="13" s="1"/>
  <c r="N1277" i="1"/>
  <c r="O1277" i="1"/>
  <c r="N1398" i="1"/>
  <c r="O1398" i="1"/>
  <c r="M1741" i="1"/>
  <c r="M1628" i="1"/>
  <c r="M1757" i="1"/>
  <c r="M2159" i="1"/>
  <c r="K1549" i="1"/>
  <c r="L1666" i="1"/>
  <c r="G1555" i="13"/>
  <c r="J1555" i="13" s="1"/>
  <c r="O1214" i="1"/>
  <c r="K1339" i="1"/>
  <c r="N1339" i="1" s="1"/>
  <c r="L1456" i="1"/>
  <c r="G1345" i="13"/>
  <c r="J1345" i="13" s="1"/>
  <c r="K1366" i="1"/>
  <c r="N1366" i="1" s="1"/>
  <c r="L1483" i="1"/>
  <c r="G1372" i="13"/>
  <c r="J1372" i="13" s="1"/>
  <c r="L1482" i="1"/>
  <c r="G1371" i="13"/>
  <c r="J1371" i="13" s="1"/>
  <c r="K1365" i="1"/>
  <c r="N1365" i="1" s="1"/>
  <c r="M1450" i="1"/>
  <c r="O1207" i="1"/>
  <c r="K1217" i="1"/>
  <c r="N1207" i="1"/>
  <c r="K1378" i="1"/>
  <c r="N1378" i="1" s="1"/>
  <c r="L1495" i="1"/>
  <c r="G1383" i="13"/>
  <c r="J1383" i="13" s="1"/>
  <c r="L1486" i="1"/>
  <c r="G1375" i="13"/>
  <c r="J1375" i="13" s="1"/>
  <c r="K1369" i="1"/>
  <c r="L1488" i="1"/>
  <c r="G1377" i="13"/>
  <c r="K1371" i="1"/>
  <c r="M1644" i="1"/>
  <c r="M1754" i="1"/>
  <c r="L1633" i="1"/>
  <c r="G1522" i="13"/>
  <c r="J1522" i="13" s="1"/>
  <c r="K1516" i="1"/>
  <c r="N1409" i="1"/>
  <c r="O1409" i="1"/>
  <c r="N1397" i="1"/>
  <c r="O1397" i="1"/>
  <c r="M1764" i="1"/>
  <c r="M1782" i="1"/>
  <c r="M1545" i="1"/>
  <c r="M1658" i="1"/>
  <c r="N1293" i="1"/>
  <c r="O1293" i="1"/>
  <c r="K1547" i="1"/>
  <c r="L1664" i="1"/>
  <c r="G1553" i="13"/>
  <c r="J1553" i="13" s="1"/>
  <c r="M1771" i="1"/>
  <c r="M1759" i="1"/>
  <c r="N1435" i="1"/>
  <c r="O1435" i="1"/>
  <c r="L1477" i="1"/>
  <c r="G1366" i="13"/>
  <c r="J1366" i="13" s="1"/>
  <c r="M1362" i="1"/>
  <c r="M1476" i="1"/>
  <c r="L1449" i="1"/>
  <c r="G1338" i="13"/>
  <c r="J1338" i="13" s="1"/>
  <c r="K1332" i="1"/>
  <c r="N1332" i="1" s="1"/>
  <c r="O1219" i="1"/>
  <c r="G1358" i="13"/>
  <c r="J1358" i="13" s="1"/>
  <c r="L1469" i="1"/>
  <c r="K1352" i="1"/>
  <c r="N1352" i="1" s="1"/>
  <c r="K1338" i="1"/>
  <c r="L1455" i="1"/>
  <c r="G1344" i="13"/>
  <c r="J1344" i="13" s="1"/>
  <c r="L1447" i="1"/>
  <c r="G1336" i="13"/>
  <c r="J1336" i="13" s="1"/>
  <c r="K1330" i="1"/>
  <c r="N1330" i="1" s="1"/>
  <c r="K1245" i="1"/>
  <c r="N1242" i="1"/>
  <c r="L1463" i="1"/>
  <c r="G1352" i="13"/>
  <c r="J1352" i="13" s="1"/>
  <c r="K1346" i="1"/>
  <c r="N1346" i="1" s="1"/>
  <c r="O977" i="1"/>
  <c r="O1131" i="1"/>
  <c r="K1141" i="1"/>
  <c r="N1141" i="1" s="1"/>
  <c r="L1258" i="1"/>
  <c r="K1551" i="1"/>
  <c r="L1668" i="1"/>
  <c r="G1557" i="13"/>
  <c r="J1557" i="13" s="1"/>
  <c r="K1542" i="1"/>
  <c r="L1659" i="1"/>
  <c r="G1548" i="13"/>
  <c r="J1548" i="13" s="1"/>
  <c r="N1184" i="1"/>
  <c r="O1184" i="1"/>
  <c r="G1444" i="13"/>
  <c r="J1435" i="13"/>
  <c r="J1444" i="13" s="1"/>
  <c r="M1901" i="1"/>
  <c r="G1428" i="13"/>
  <c r="J1425" i="13"/>
  <c r="J1428" i="13" s="1"/>
  <c r="N1421" i="1"/>
  <c r="O1421" i="1"/>
  <c r="M1786" i="1"/>
  <c r="M1490" i="1"/>
  <c r="M1495" i="1"/>
  <c r="O1378" i="1"/>
  <c r="K1348" i="1"/>
  <c r="L1465" i="1"/>
  <c r="G1354" i="13"/>
  <c r="L1354" i="1"/>
  <c r="G1259" i="13"/>
  <c r="J1257" i="13"/>
  <c r="J1259" i="13" s="1"/>
  <c r="K1382" i="1"/>
  <c r="N1382" i="1" s="1"/>
  <c r="M1499" i="1"/>
  <c r="O1382" i="1"/>
  <c r="O1210" i="1"/>
  <c r="K1333" i="1"/>
  <c r="N1333" i="1" s="1"/>
  <c r="L1450" i="1"/>
  <c r="G1339" i="13"/>
  <c r="J1339" i="13" s="1"/>
  <c r="K1402" i="1"/>
  <c r="N1395" i="1"/>
  <c r="O1395" i="1"/>
  <c r="M1535" i="1"/>
  <c r="M1645" i="1"/>
  <c r="L1624" i="1"/>
  <c r="G1513" i="13"/>
  <c r="L1511" i="1"/>
  <c r="K1507" i="1"/>
  <c r="K1646" i="1"/>
  <c r="L1763" i="1"/>
  <c r="G1652" i="13"/>
  <c r="J1652" i="13" s="1"/>
  <c r="K1524" i="1"/>
  <c r="L1641" i="1"/>
  <c r="G1530" i="13"/>
  <c r="J1530" i="13" s="1"/>
  <c r="G1212" i="13"/>
  <c r="F165" i="15"/>
  <c r="F168" i="15" s="1"/>
  <c r="N1417" i="1"/>
  <c r="O1417" i="1"/>
  <c r="M1239" i="1"/>
  <c r="M1785" i="1"/>
  <c r="N1393" i="1"/>
  <c r="O1393" i="1"/>
  <c r="L1635" i="1"/>
  <c r="G1524" i="13"/>
  <c r="J1524" i="13" s="1"/>
  <c r="K1518" i="1"/>
  <c r="N1403" i="1"/>
  <c r="K1410" i="1"/>
  <c r="O1403" i="1"/>
  <c r="M1781" i="1"/>
  <c r="G1236" i="13"/>
  <c r="G1244" i="13" s="1"/>
  <c r="J1233" i="13"/>
  <c r="J1236" i="13" s="1"/>
  <c r="J1244" i="13" s="1"/>
  <c r="O1209" i="1"/>
  <c r="M1376" i="1"/>
  <c r="M1488" i="1"/>
  <c r="M1482" i="1"/>
  <c r="O1365" i="1"/>
  <c r="M1478" i="1"/>
  <c r="M1873" i="1"/>
  <c r="M1777" i="1"/>
  <c r="K1537" i="1"/>
  <c r="L1654" i="1"/>
  <c r="G1543" i="13"/>
  <c r="J1543" i="13" s="1"/>
  <c r="M1860" i="1"/>
  <c r="J1300" i="13"/>
  <c r="J1307" i="13" s="1"/>
  <c r="G1307" i="13"/>
  <c r="D166" i="15"/>
  <c r="E166" i="15" s="1"/>
  <c r="N1205" i="1"/>
  <c r="L1626" i="1"/>
  <c r="G1515" i="13"/>
  <c r="J1515" i="13" s="1"/>
  <c r="K1509" i="1"/>
  <c r="M1656" i="1"/>
  <c r="M1770" i="1"/>
  <c r="K1517" i="1"/>
  <c r="L1634" i="1"/>
  <c r="G1523" i="13"/>
  <c r="J1523" i="13" s="1"/>
  <c r="L1671" i="1"/>
  <c r="K1554" i="1"/>
  <c r="G1560" i="13"/>
  <c r="J1560" i="13" s="1"/>
  <c r="K1331" i="1"/>
  <c r="N1331" i="1" s="1"/>
  <c r="M1448" i="1"/>
  <c r="O1331" i="1"/>
  <c r="O1237" i="1"/>
  <c r="G1268" i="13"/>
  <c r="J1265" i="13"/>
  <c r="J1268" i="13" s="1"/>
  <c r="L1491" i="1"/>
  <c r="G1380" i="13"/>
  <c r="J1380" i="13" s="1"/>
  <c r="K1374" i="1"/>
  <c r="N1374" i="1" s="1"/>
  <c r="M1467" i="1"/>
  <c r="O1247" i="1"/>
  <c r="G1223" i="13"/>
  <c r="J1213" i="13"/>
  <c r="J1223" i="13" s="1"/>
  <c r="J1232" i="13" s="1"/>
  <c r="K1372" i="1"/>
  <c r="L1489" i="1"/>
  <c r="G1378" i="13"/>
  <c r="J1378" i="13" s="1"/>
  <c r="M1463" i="1"/>
  <c r="K1263" i="1"/>
  <c r="N1263" i="1" s="1"/>
  <c r="N1261" i="1"/>
  <c r="O1263" i="1"/>
  <c r="N1223" i="1"/>
  <c r="O1223" i="1"/>
  <c r="G1312" i="13"/>
  <c r="J1430" i="13"/>
  <c r="J1434" i="13" s="1"/>
  <c r="J1445" i="13" s="1"/>
  <c r="I196" i="15" s="1"/>
  <c r="G1434" i="13"/>
  <c r="G1445" i="13" s="1"/>
  <c r="F196" i="15" s="1"/>
  <c r="L1631" i="1"/>
  <c r="K1514" i="1"/>
  <c r="G1520" i="13"/>
  <c r="J1520" i="13" s="1"/>
  <c r="M1755" i="1"/>
  <c r="N1405" i="1"/>
  <c r="O1405" i="1"/>
  <c r="O1249" i="1"/>
  <c r="M1447" i="1"/>
  <c r="O1330" i="1"/>
  <c r="M1453" i="1"/>
  <c r="O1336" i="1"/>
  <c r="M1342" i="1"/>
  <c r="N1221" i="1"/>
  <c r="O1221" i="1"/>
  <c r="G1231" i="13"/>
  <c r="J1224" i="13"/>
  <c r="J1231" i="13" s="1"/>
  <c r="N1246" i="1"/>
  <c r="K1250" i="1"/>
  <c r="N1250" i="1" s="1"/>
  <c r="K1329" i="1"/>
  <c r="N1329" i="1" s="1"/>
  <c r="L1446" i="1"/>
  <c r="G1335" i="13"/>
  <c r="J1335" i="13" s="1"/>
  <c r="O1236" i="1"/>
  <c r="O1021" i="1"/>
  <c r="O1116" i="1"/>
  <c r="K1513" i="1"/>
  <c r="L1630" i="1"/>
  <c r="G1519" i="13"/>
  <c r="J1519" i="13" s="1"/>
  <c r="L1665" i="1"/>
  <c r="K1548" i="1"/>
  <c r="G1554" i="13"/>
  <c r="J1554" i="13" s="1"/>
  <c r="L1663" i="1"/>
  <c r="K1546" i="1"/>
  <c r="G1552" i="13"/>
  <c r="L1539" i="1"/>
  <c r="L1653" i="1"/>
  <c r="G1542" i="13"/>
  <c r="K1536" i="1"/>
  <c r="F995" i="16"/>
  <c r="I901" i="16"/>
  <c r="M2157" i="1"/>
  <c r="N1427" i="1"/>
  <c r="O1427" i="1"/>
  <c r="L1448" i="1"/>
  <c r="G1337" i="13"/>
  <c r="J1337" i="13" s="1"/>
  <c r="O1231" i="1"/>
  <c r="K1237" i="1"/>
  <c r="N1237" i="1" s="1"/>
  <c r="N1231" i="1"/>
  <c r="N1251" i="1"/>
  <c r="K1253" i="1"/>
  <c r="O1251" i="1"/>
  <c r="M1469" i="1"/>
  <c r="O1352" i="1"/>
  <c r="L1444" i="1"/>
  <c r="G1333" i="13"/>
  <c r="J1333" i="13" s="1"/>
  <c r="K1327" i="1"/>
  <c r="M1444" i="1"/>
  <c r="M1491" i="1"/>
  <c r="O1374" i="1"/>
  <c r="L1647" i="1"/>
  <c r="G1536" i="13"/>
  <c r="J1536" i="13" s="1"/>
  <c r="K1530" i="1"/>
  <c r="L1519" i="1"/>
  <c r="L1629" i="1"/>
  <c r="G1518" i="13"/>
  <c r="K1512" i="1"/>
  <c r="G1400" i="13"/>
  <c r="J1396" i="13"/>
  <c r="J1400" i="13" s="1"/>
  <c r="M1780" i="1"/>
  <c r="M1747" i="1"/>
  <c r="N1529" i="1"/>
  <c r="O1529" i="1"/>
  <c r="M1746" i="1"/>
  <c r="M1636" i="1"/>
  <c r="M1439" i="1"/>
  <c r="O1428" i="1"/>
  <c r="N1401" i="1"/>
  <c r="O1401" i="1"/>
  <c r="G1416" i="13"/>
  <c r="J1409" i="13"/>
  <c r="J1416" i="13" s="1"/>
  <c r="N1227" i="1"/>
  <c r="K1230" i="1"/>
  <c r="M1449" i="1"/>
  <c r="O1332" i="1"/>
  <c r="M1443" i="1"/>
  <c r="O1326" i="1"/>
  <c r="M1442" i="1"/>
  <c r="L1466" i="1"/>
  <c r="G1355" i="13"/>
  <c r="J1355" i="13" s="1"/>
  <c r="K1349" i="1"/>
  <c r="N1349" i="1" s="1"/>
  <c r="O1311" i="1"/>
  <c r="K1322" i="1"/>
  <c r="N1311" i="1"/>
  <c r="O1294" i="1"/>
  <c r="K1301" i="1"/>
  <c r="K1306" i="1" s="1"/>
  <c r="N1294" i="1"/>
  <c r="M1487" i="1"/>
  <c r="M1602" i="1"/>
  <c r="N1321" i="1"/>
  <c r="O1321" i="1"/>
  <c r="N1437" i="1"/>
  <c r="O1437" i="1"/>
  <c r="K1360" i="1"/>
  <c r="N1360" i="1" s="1"/>
  <c r="M1477" i="1"/>
  <c r="O1360" i="1"/>
  <c r="M1465" i="1"/>
  <c r="O1348" i="1"/>
  <c r="M1354" i="1"/>
  <c r="L1494" i="1"/>
  <c r="G1382" i="13"/>
  <c r="K1377" i="1"/>
  <c r="L1380" i="1"/>
  <c r="O1234" i="1"/>
  <c r="O1220" i="1"/>
  <c r="M1383" i="1"/>
  <c r="M1498" i="1"/>
  <c r="M1481" i="1"/>
  <c r="O1364" i="1"/>
  <c r="L1383" i="1"/>
  <c r="L1498" i="1"/>
  <c r="G1386" i="13"/>
  <c r="K1381" i="1"/>
  <c r="L1441" i="1"/>
  <c r="G1330" i="13"/>
  <c r="K1324" i="1"/>
  <c r="O1324" i="1" s="1"/>
  <c r="L1334" i="1"/>
  <c r="M1238" i="1"/>
  <c r="N1254" i="1"/>
  <c r="L1457" i="1"/>
  <c r="G1346" i="13"/>
  <c r="J1346" i="13" s="1"/>
  <c r="K1340" i="1"/>
  <c r="M1776" i="1"/>
  <c r="N1436" i="1"/>
  <c r="O1436" i="1"/>
  <c r="K1526" i="1"/>
  <c r="L1643" i="1"/>
  <c r="G1532" i="13"/>
  <c r="J1532" i="13" s="1"/>
  <c r="J1312" i="13"/>
  <c r="L1545" i="1"/>
  <c r="L1556" i="1" s="1"/>
  <c r="L1658" i="1"/>
  <c r="G1547" i="13"/>
  <c r="K1541" i="1"/>
  <c r="O1541" i="1" s="1"/>
  <c r="M1750" i="1"/>
  <c r="O1205" i="1"/>
  <c r="L1640" i="1"/>
  <c r="G1529" i="13"/>
  <c r="J1529" i="13" s="1"/>
  <c r="K1523" i="1"/>
  <c r="M1744" i="1"/>
  <c r="M1483" i="1"/>
  <c r="O1366" i="1"/>
  <c r="O1250" i="1"/>
  <c r="M1461" i="1"/>
  <c r="M1347" i="1"/>
  <c r="K1353" i="1"/>
  <c r="N1353" i="1" s="1"/>
  <c r="L1470" i="1"/>
  <c r="G1359" i="13"/>
  <c r="J1359" i="13" s="1"/>
  <c r="O1218" i="1"/>
  <c r="N1218" i="1"/>
  <c r="K1225" i="1"/>
  <c r="N1225" i="1" s="1"/>
  <c r="G1256" i="13"/>
  <c r="J1252" i="13"/>
  <c r="J1256" i="13" s="1"/>
  <c r="G1251" i="13"/>
  <c r="G1272" i="13" s="1"/>
  <c r="G1273" i="13" s="1"/>
  <c r="F172" i="15" s="1"/>
  <c r="F174" i="15" s="1"/>
  <c r="J1248" i="13"/>
  <c r="J1251" i="13" s="1"/>
  <c r="L1458" i="1"/>
  <c r="G1347" i="13"/>
  <c r="J1347" i="13" s="1"/>
  <c r="K1341" i="1"/>
  <c r="N1341" i="1" s="1"/>
  <c r="M1470" i="1"/>
  <c r="J894" i="13"/>
  <c r="O990" i="1"/>
  <c r="O1015" i="1"/>
  <c r="O975" i="1"/>
  <c r="O875" i="1"/>
  <c r="O999" i="1"/>
  <c r="O1092" i="1"/>
  <c r="O1140" i="1"/>
  <c r="O1117" i="1"/>
  <c r="O1103" i="1"/>
  <c r="N1396" i="1"/>
  <c r="O1396" i="1"/>
  <c r="N1285" i="1"/>
  <c r="O1285" i="1"/>
  <c r="N1431" i="1"/>
  <c r="O1431" i="1"/>
  <c r="K1438" i="1"/>
  <c r="N1429" i="1"/>
  <c r="O1429" i="1"/>
  <c r="L1642" i="1"/>
  <c r="G1531" i="13"/>
  <c r="J1531" i="13" s="1"/>
  <c r="K1525" i="1"/>
  <c r="K1422" i="1"/>
  <c r="N1419" i="1"/>
  <c r="O1419" i="1"/>
  <c r="K1508" i="1"/>
  <c r="L1625" i="1"/>
  <c r="G1514" i="13"/>
  <c r="J1514" i="13" s="1"/>
  <c r="L1667" i="1"/>
  <c r="K1550" i="1"/>
  <c r="G1556" i="13"/>
  <c r="J1556" i="13" s="1"/>
  <c r="K1544" i="1"/>
  <c r="L1661" i="1"/>
  <c r="G1550" i="13"/>
  <c r="J1550" i="13" s="1"/>
  <c r="M1749" i="1"/>
  <c r="M1446" i="1"/>
  <c r="O1329" i="1"/>
  <c r="L1499" i="1"/>
  <c r="G1388" i="13"/>
  <c r="G1387" i="13"/>
  <c r="M1466" i="1"/>
  <c r="M1445" i="1"/>
  <c r="L1485" i="1"/>
  <c r="G1374" i="13"/>
  <c r="L1370" i="1"/>
  <c r="K1368" i="1"/>
  <c r="M1226" i="1"/>
  <c r="O1217" i="1"/>
  <c r="L1660" i="1"/>
  <c r="G1549" i="13"/>
  <c r="J1549" i="13" s="1"/>
  <c r="K1543" i="1"/>
  <c r="N1413" i="1"/>
  <c r="O1413" i="1"/>
  <c r="L1638" i="1"/>
  <c r="G1527" i="13"/>
  <c r="J1527" i="13" s="1"/>
  <c r="K1521" i="1"/>
  <c r="K1394" i="1"/>
  <c r="N1390" i="1"/>
  <c r="O1390" i="1"/>
  <c r="M1760" i="1"/>
  <c r="M1788" i="1"/>
  <c r="K1520" i="1"/>
  <c r="L1637" i="1"/>
  <c r="G1526" i="13"/>
  <c r="L1527" i="1"/>
  <c r="M1752" i="1"/>
  <c r="K1345" i="1"/>
  <c r="N1345" i="1" s="1"/>
  <c r="L1462" i="1"/>
  <c r="G1351" i="13"/>
  <c r="J1351" i="13" s="1"/>
  <c r="L1461" i="1"/>
  <c r="G1350" i="13"/>
  <c r="L1347" i="1"/>
  <c r="L1355" i="1" s="1"/>
  <c r="K1344" i="1"/>
  <c r="O1344" i="1" s="1"/>
  <c r="M1458" i="1"/>
  <c r="O1228" i="1"/>
  <c r="L1468" i="1"/>
  <c r="K1351" i="1"/>
  <c r="N1351" i="1" s="1"/>
  <c r="G1357" i="13"/>
  <c r="J1357" i="13" s="1"/>
  <c r="O1262" i="1"/>
  <c r="L1454" i="1"/>
  <c r="K1337" i="1"/>
  <c r="G1343" i="13"/>
  <c r="J1343" i="13" s="1"/>
  <c r="K1325" i="1"/>
  <c r="N1325" i="1" s="1"/>
  <c r="L1442" i="1"/>
  <c r="G1331" i="13"/>
  <c r="J1331" i="13" s="1"/>
  <c r="M1783" i="1"/>
  <c r="N1420" i="1"/>
  <c r="O1420" i="1"/>
  <c r="M1686" i="1"/>
  <c r="K1515" i="1"/>
  <c r="L1632" i="1"/>
  <c r="G1521" i="13"/>
  <c r="J1521" i="13" s="1"/>
  <c r="G1417" i="13"/>
  <c r="L1528" i="1"/>
  <c r="L1418" i="1"/>
  <c r="L1423" i="1" s="1"/>
  <c r="L1440" i="1" s="1"/>
  <c r="K1411" i="1"/>
  <c r="M1540" i="1"/>
  <c r="M1742" i="1"/>
  <c r="N1305" i="1"/>
  <c r="O1305" i="1"/>
  <c r="N1392" i="1"/>
  <c r="O1392" i="1"/>
  <c r="M1778" i="1"/>
  <c r="N1400" i="1"/>
  <c r="O1400" i="1"/>
  <c r="N1432" i="1"/>
  <c r="O1432" i="1"/>
  <c r="M1606" i="1"/>
  <c r="M1468" i="1"/>
  <c r="O1351" i="1"/>
  <c r="M1571" i="1"/>
  <c r="O1216" i="1"/>
  <c r="N1264" i="1"/>
  <c r="K1266" i="1"/>
  <c r="N1266" i="1" s="1"/>
  <c r="L1240" i="1"/>
  <c r="L1241" i="1" s="1"/>
  <c r="M1456" i="1"/>
  <c r="O1339" i="1"/>
  <c r="G1264" i="13"/>
  <c r="J1260" i="13"/>
  <c r="J1264" i="13" s="1"/>
  <c r="M1380" i="1"/>
  <c r="M1494" i="1"/>
  <c r="M1768" i="1"/>
  <c r="N1399" i="1"/>
  <c r="O1399" i="1"/>
  <c r="K1553" i="1"/>
  <c r="L1670" i="1"/>
  <c r="G1559" i="13"/>
  <c r="J1559" i="13" s="1"/>
  <c r="M1772" i="1"/>
  <c r="K1428" i="1"/>
  <c r="N1424" i="1"/>
  <c r="M1758" i="1"/>
  <c r="N1406" i="1"/>
  <c r="O1406" i="1"/>
  <c r="O1424" i="1"/>
  <c r="N1430" i="1"/>
  <c r="O1430" i="1"/>
  <c r="K1522" i="1"/>
  <c r="L1639" i="1"/>
  <c r="G1528" i="13"/>
  <c r="J1528" i="13" s="1"/>
  <c r="L1669" i="1"/>
  <c r="K1552" i="1"/>
  <c r="G1558" i="13"/>
  <c r="J1558" i="13" s="1"/>
  <c r="M1267" i="1"/>
  <c r="M1480" i="1"/>
  <c r="M1367" i="1"/>
  <c r="L1467" i="1"/>
  <c r="G1356" i="13"/>
  <c r="J1356" i="13" s="1"/>
  <c r="K1350" i="1"/>
  <c r="N1350" i="1" s="1"/>
  <c r="L1490" i="1"/>
  <c r="G1379" i="13"/>
  <c r="J1379" i="13" s="1"/>
  <c r="K1373" i="1"/>
  <c r="N1373" i="1" s="1"/>
  <c r="L1452" i="1"/>
  <c r="G1341" i="13"/>
  <c r="L1342" i="1"/>
  <c r="K1335" i="1"/>
  <c r="L1480" i="1"/>
  <c r="G1369" i="13"/>
  <c r="K1363" i="1"/>
  <c r="L1367" i="1"/>
  <c r="K1359" i="1"/>
  <c r="O1359" i="1" s="1"/>
  <c r="L1476" i="1"/>
  <c r="G1365" i="13"/>
  <c r="L1362" i="1"/>
  <c r="I740" i="16"/>
  <c r="J122" i="15" s="1"/>
  <c r="I735" i="16"/>
  <c r="J121" i="15" s="1"/>
  <c r="J108" i="15"/>
  <c r="I799" i="16"/>
  <c r="J127" i="15" s="1"/>
  <c r="J129" i="15" s="1"/>
  <c r="I772" i="16"/>
  <c r="J124" i="15" s="1"/>
  <c r="J126" i="15" s="1"/>
  <c r="I821" i="16"/>
  <c r="F915" i="16"/>
  <c r="I817" i="16"/>
  <c r="F911" i="16"/>
  <c r="I815" i="16"/>
  <c r="F909" i="16"/>
  <c r="I827" i="16"/>
  <c r="F921" i="16"/>
  <c r="F923" i="16" s="1"/>
  <c r="I825" i="16"/>
  <c r="F919" i="16"/>
  <c r="I892" i="16"/>
  <c r="F986" i="16"/>
  <c r="I888" i="16"/>
  <c r="F982" i="16"/>
  <c r="I886" i="16"/>
  <c r="F980" i="16"/>
  <c r="I884" i="16"/>
  <c r="F978" i="16"/>
  <c r="I882" i="16"/>
  <c r="F976" i="16"/>
  <c r="I880" i="16"/>
  <c r="F974" i="16"/>
  <c r="I878" i="16"/>
  <c r="F972" i="16"/>
  <c r="I876" i="16"/>
  <c r="F970" i="16"/>
  <c r="I874" i="16"/>
  <c r="F968" i="16"/>
  <c r="I869" i="16"/>
  <c r="F963" i="16"/>
  <c r="I819" i="16"/>
  <c r="F913" i="16"/>
  <c r="I865" i="16"/>
  <c r="F959" i="16"/>
  <c r="I863" i="16"/>
  <c r="F957" i="16"/>
  <c r="I861" i="16"/>
  <c r="F955" i="16"/>
  <c r="I859" i="16"/>
  <c r="F953" i="16"/>
  <c r="I857" i="16"/>
  <c r="F951" i="16"/>
  <c r="I855" i="16"/>
  <c r="F949" i="16"/>
  <c r="I853" i="16"/>
  <c r="F947" i="16"/>
  <c r="I851" i="16"/>
  <c r="F945" i="16"/>
  <c r="I849" i="16"/>
  <c r="F943" i="16"/>
  <c r="I864" i="16"/>
  <c r="F958" i="16"/>
  <c r="I862" i="16"/>
  <c r="F956" i="16"/>
  <c r="I860" i="16"/>
  <c r="F954" i="16"/>
  <c r="I858" i="16"/>
  <c r="F952" i="16"/>
  <c r="I856" i="16"/>
  <c r="F950" i="16"/>
  <c r="I854" i="16"/>
  <c r="F948" i="16"/>
  <c r="I852" i="16"/>
  <c r="F946" i="16"/>
  <c r="I850" i="16"/>
  <c r="F944" i="16"/>
  <c r="I848" i="16"/>
  <c r="F942" i="16"/>
  <c r="I847" i="16"/>
  <c r="F941" i="16"/>
  <c r="I845" i="16"/>
  <c r="F939" i="16"/>
  <c r="I843" i="16"/>
  <c r="F937" i="16"/>
  <c r="I841" i="16"/>
  <c r="F935" i="16"/>
  <c r="I840" i="16"/>
  <c r="F934" i="16"/>
  <c r="I839" i="16"/>
  <c r="F933" i="16"/>
  <c r="I813" i="16"/>
  <c r="F907" i="16"/>
  <c r="I811" i="16"/>
  <c r="F905" i="16"/>
  <c r="I808" i="16"/>
  <c r="F902" i="16"/>
  <c r="F822" i="16"/>
  <c r="I891" i="16"/>
  <c r="F985" i="16"/>
  <c r="I889" i="16"/>
  <c r="F983" i="16"/>
  <c r="I887" i="16"/>
  <c r="F981" i="16"/>
  <c r="I885" i="16"/>
  <c r="F979" i="16"/>
  <c r="I883" i="16"/>
  <c r="F977" i="16"/>
  <c r="I881" i="16"/>
  <c r="F975" i="16"/>
  <c r="I879" i="16"/>
  <c r="F973" i="16"/>
  <c r="I877" i="16"/>
  <c r="F971" i="16"/>
  <c r="I875" i="16"/>
  <c r="F969" i="16"/>
  <c r="I873" i="16"/>
  <c r="F967" i="16"/>
  <c r="I870" i="16"/>
  <c r="F964" i="16"/>
  <c r="J115" i="15"/>
  <c r="F829" i="16"/>
  <c r="I903" i="16"/>
  <c r="F997" i="16"/>
  <c r="I648" i="16"/>
  <c r="I708" i="16" s="1"/>
  <c r="I828" i="16"/>
  <c r="F922" i="16"/>
  <c r="I826" i="16"/>
  <c r="F920" i="16"/>
  <c r="I846" i="16"/>
  <c r="F940" i="16"/>
  <c r="I844" i="16"/>
  <c r="F938" i="16"/>
  <c r="I842" i="16"/>
  <c r="F936" i="16"/>
  <c r="I838" i="16"/>
  <c r="F932" i="16"/>
  <c r="F834" i="16"/>
  <c r="F836" i="16" s="1"/>
  <c r="F927" i="16"/>
  <c r="I833" i="16"/>
  <c r="I831" i="16"/>
  <c r="F925" i="16"/>
  <c r="I820" i="16"/>
  <c r="F914" i="16"/>
  <c r="I818" i="16"/>
  <c r="F912" i="16"/>
  <c r="I816" i="16"/>
  <c r="F910" i="16"/>
  <c r="I832" i="16"/>
  <c r="F926" i="16"/>
  <c r="I1055" i="16"/>
  <c r="F1149" i="16"/>
  <c r="F802" i="16"/>
  <c r="I868" i="16"/>
  <c r="F962" i="16"/>
  <c r="F893" i="16"/>
  <c r="F1018" i="16"/>
  <c r="I924" i="16"/>
  <c r="I1025" i="16"/>
  <c r="F1119" i="16"/>
  <c r="I812" i="16"/>
  <c r="F906" i="16"/>
  <c r="I810" i="16"/>
  <c r="F904" i="16"/>
  <c r="I728" i="16"/>
  <c r="J120" i="15" s="1"/>
  <c r="I872" i="16"/>
  <c r="F966" i="16"/>
  <c r="I918" i="16"/>
  <c r="F1012" i="16"/>
  <c r="I908" i="16"/>
  <c r="F1002" i="16"/>
  <c r="F1011" i="16"/>
  <c r="I917" i="16"/>
  <c r="N489" i="17"/>
  <c r="N507" i="17"/>
  <c r="N480" i="17"/>
  <c r="G115" i="15"/>
  <c r="L1062" i="17"/>
  <c r="N501" i="17"/>
  <c r="L1126" i="17"/>
  <c r="L1192" i="17" s="1"/>
  <c r="J415" i="17"/>
  <c r="M415" i="17" s="1"/>
  <c r="N466" i="17"/>
  <c r="N493" i="17"/>
  <c r="N352" i="17"/>
  <c r="Q387" i="17"/>
  <c r="N473" i="17"/>
  <c r="K581" i="17"/>
  <c r="Q518" i="17"/>
  <c r="J518" i="17"/>
  <c r="M518" i="17" s="1"/>
  <c r="N503" i="17"/>
  <c r="N509" i="17"/>
  <c r="L581" i="17"/>
  <c r="N518" i="17"/>
  <c r="K626" i="17"/>
  <c r="J563" i="17"/>
  <c r="M563" i="17" s="1"/>
  <c r="Q563" i="17"/>
  <c r="K629" i="17"/>
  <c r="Q566" i="17"/>
  <c r="J566" i="17"/>
  <c r="M566" i="17" s="1"/>
  <c r="M495" i="17"/>
  <c r="N495" i="17"/>
  <c r="M494" i="17"/>
  <c r="N494" i="17"/>
  <c r="K620" i="17"/>
  <c r="J557" i="17"/>
  <c r="Q557" i="17"/>
  <c r="M487" i="17"/>
  <c r="N487" i="17"/>
  <c r="K613" i="17"/>
  <c r="Q550" i="17"/>
  <c r="J550" i="17"/>
  <c r="L608" i="17"/>
  <c r="L670" i="17"/>
  <c r="Q572" i="17"/>
  <c r="K635" i="17"/>
  <c r="J572" i="17"/>
  <c r="M572" i="17" s="1"/>
  <c r="H120" i="15"/>
  <c r="K625" i="17"/>
  <c r="Q562" i="17"/>
  <c r="J562" i="17"/>
  <c r="M562" i="17" s="1"/>
  <c r="L656" i="17"/>
  <c r="L590" i="17"/>
  <c r="K631" i="17"/>
  <c r="Q568" i="17"/>
  <c r="J568" i="17"/>
  <c r="M568" i="17" s="1"/>
  <c r="L676" i="17"/>
  <c r="M488" i="17"/>
  <c r="N488" i="17"/>
  <c r="K614" i="17"/>
  <c r="J551" i="17"/>
  <c r="Q551" i="17"/>
  <c r="L588" i="17"/>
  <c r="M491" i="17"/>
  <c r="N491" i="17"/>
  <c r="Q554" i="17"/>
  <c r="K617" i="17"/>
  <c r="J554" i="17"/>
  <c r="M458" i="17"/>
  <c r="N458" i="17"/>
  <c r="K584" i="17"/>
  <c r="Q521" i="17"/>
  <c r="J521" i="17"/>
  <c r="L697" i="17"/>
  <c r="L626" i="17"/>
  <c r="L625" i="17"/>
  <c r="L687" i="17"/>
  <c r="N497" i="17"/>
  <c r="L685" i="17"/>
  <c r="L683" i="17"/>
  <c r="L619" i="17"/>
  <c r="L679" i="17"/>
  <c r="L615" i="17"/>
  <c r="L677" i="17"/>
  <c r="L675" i="17"/>
  <c r="M463" i="17"/>
  <c r="N463" i="17"/>
  <c r="K589" i="17"/>
  <c r="Q526" i="17"/>
  <c r="J526" i="17"/>
  <c r="M397" i="17"/>
  <c r="J406" i="17"/>
  <c r="M406" i="17" s="1"/>
  <c r="L469" i="17"/>
  <c r="Q511" i="17"/>
  <c r="Q512" i="17" s="1"/>
  <c r="H127" i="15" s="1"/>
  <c r="H129" i="15" s="1"/>
  <c r="J449" i="17"/>
  <c r="N449" i="17" s="1"/>
  <c r="M448" i="17"/>
  <c r="L647" i="17"/>
  <c r="L583" i="17"/>
  <c r="M502" i="17"/>
  <c r="N502" i="17"/>
  <c r="M498" i="17"/>
  <c r="N498" i="17"/>
  <c r="K624" i="17"/>
  <c r="J561" i="17"/>
  <c r="Q561" i="17"/>
  <c r="K598" i="17"/>
  <c r="Q535" i="17"/>
  <c r="J535" i="17"/>
  <c r="Q552" i="17"/>
  <c r="K615" i="17"/>
  <c r="J552" i="17"/>
  <c r="M552" i="17" s="1"/>
  <c r="M475" i="17"/>
  <c r="N475" i="17"/>
  <c r="J468" i="17"/>
  <c r="M468" i="17" s="1"/>
  <c r="M461" i="17"/>
  <c r="K632" i="17"/>
  <c r="J569" i="17"/>
  <c r="Q569" i="17"/>
  <c r="K619" i="17"/>
  <c r="J556" i="17"/>
  <c r="M556" i="17" s="1"/>
  <c r="Q556" i="17"/>
  <c r="N448" i="17"/>
  <c r="L597" i="17"/>
  <c r="J537" i="17"/>
  <c r="N537" i="17" s="1"/>
  <c r="K600" i="17"/>
  <c r="Q537" i="17"/>
  <c r="K634" i="17"/>
  <c r="Q571" i="17"/>
  <c r="J571" i="17"/>
  <c r="L602" i="17"/>
  <c r="K523" i="17"/>
  <c r="J460" i="17"/>
  <c r="N343" i="17"/>
  <c r="Q564" i="17"/>
  <c r="K627" i="17"/>
  <c r="J564" i="17"/>
  <c r="M564" i="17" s="1"/>
  <c r="Q544" i="17"/>
  <c r="K607" i="17"/>
  <c r="J544" i="17"/>
  <c r="M459" i="17"/>
  <c r="N459" i="17"/>
  <c r="K585" i="17"/>
  <c r="Q522" i="17"/>
  <c r="J522" i="17"/>
  <c r="M504" i="17"/>
  <c r="N504" i="17"/>
  <c r="L478" i="17"/>
  <c r="L654" i="17"/>
  <c r="L631" i="17"/>
  <c r="K622" i="17"/>
  <c r="J559" i="17"/>
  <c r="Q559" i="17"/>
  <c r="Q548" i="17"/>
  <c r="K611" i="17"/>
  <c r="J548" i="17"/>
  <c r="N397" i="17"/>
  <c r="N405" i="17"/>
  <c r="M465" i="17"/>
  <c r="N465" i="17"/>
  <c r="K591" i="17"/>
  <c r="Q528" i="17"/>
  <c r="J528" i="17"/>
  <c r="M486" i="17"/>
  <c r="N486" i="17"/>
  <c r="Q549" i="17"/>
  <c r="K612" i="17"/>
  <c r="J549" i="17"/>
  <c r="K621" i="17"/>
  <c r="J558" i="17"/>
  <c r="Q558" i="17"/>
  <c r="Q546" i="17"/>
  <c r="K609" i="17"/>
  <c r="J546" i="17"/>
  <c r="L695" i="17"/>
  <c r="L693" i="17"/>
  <c r="L629" i="17"/>
  <c r="L691" i="17"/>
  <c r="Q406" i="17"/>
  <c r="Q450" i="17" s="1"/>
  <c r="H106" i="15"/>
  <c r="H108" i="15" s="1"/>
  <c r="H115" i="15" s="1"/>
  <c r="Q525" i="17"/>
  <c r="K588" i="17"/>
  <c r="J525" i="17"/>
  <c r="M525" i="17" s="1"/>
  <c r="N482" i="17"/>
  <c r="L627" i="17"/>
  <c r="K623" i="17"/>
  <c r="Q560" i="17"/>
  <c r="J560" i="17"/>
  <c r="M560" i="17" s="1"/>
  <c r="L652" i="17"/>
  <c r="K608" i="17"/>
  <c r="Q545" i="17"/>
  <c r="J545" i="17"/>
  <c r="M545" i="17" s="1"/>
  <c r="G120" i="15"/>
  <c r="G123" i="15" s="1"/>
  <c r="G130" i="15" s="1"/>
  <c r="K469" i="17"/>
  <c r="K513" i="17" s="1"/>
  <c r="N386" i="17"/>
  <c r="M386" i="17"/>
  <c r="J387" i="17"/>
  <c r="M387" i="17" s="1"/>
  <c r="N464" i="17"/>
  <c r="K597" i="17"/>
  <c r="Q534" i="17"/>
  <c r="J534" i="17"/>
  <c r="M534" i="17" s="1"/>
  <c r="K599" i="17"/>
  <c r="J536" i="17"/>
  <c r="M536" i="17" s="1"/>
  <c r="Q536" i="17"/>
  <c r="N414" i="17"/>
  <c r="N462" i="17"/>
  <c r="L592" i="17"/>
  <c r="M490" i="17"/>
  <c r="N490" i="17"/>
  <c r="K616" i="17"/>
  <c r="J553" i="17"/>
  <c r="Q553" i="17"/>
  <c r="N500" i="17"/>
  <c r="N499" i="17"/>
  <c r="L623" i="17"/>
  <c r="N560" i="17"/>
  <c r="K602" i="17"/>
  <c r="Q539" i="17"/>
  <c r="J539" i="17"/>
  <c r="M539" i="17" s="1"/>
  <c r="L599" i="17"/>
  <c r="L633" i="17"/>
  <c r="K590" i="17"/>
  <c r="Q527" i="17"/>
  <c r="J527" i="17"/>
  <c r="M527" i="17" s="1"/>
  <c r="L606" i="17"/>
  <c r="L582" i="17"/>
  <c r="J582" i="17" s="1"/>
  <c r="L523" i="17"/>
  <c r="M479" i="17"/>
  <c r="J511" i="17"/>
  <c r="N511" i="17" s="1"/>
  <c r="K605" i="17"/>
  <c r="J542" i="17"/>
  <c r="N542" i="17" s="1"/>
  <c r="Q542" i="17"/>
  <c r="K574" i="17"/>
  <c r="K575" i="17" s="1"/>
  <c r="L587" i="17"/>
  <c r="L531" i="17"/>
  <c r="N457" i="17"/>
  <c r="K628" i="17"/>
  <c r="J565" i="17"/>
  <c r="Q565" i="17"/>
  <c r="M484" i="17"/>
  <c r="N484" i="17"/>
  <c r="Q547" i="17"/>
  <c r="K610" i="17"/>
  <c r="J547" i="17"/>
  <c r="M472" i="17"/>
  <c r="N472" i="17"/>
  <c r="L680" i="17"/>
  <c r="M467" i="17"/>
  <c r="N467" i="17"/>
  <c r="K593" i="17"/>
  <c r="Q530" i="17"/>
  <c r="J530" i="17"/>
  <c r="K606" i="17"/>
  <c r="Q543" i="17"/>
  <c r="J543" i="17"/>
  <c r="M543" i="17" s="1"/>
  <c r="K601" i="17"/>
  <c r="Q538" i="17"/>
  <c r="J538" i="17"/>
  <c r="K592" i="17"/>
  <c r="Q529" i="17"/>
  <c r="J529" i="17"/>
  <c r="M529" i="17" s="1"/>
  <c r="Q468" i="17"/>
  <c r="H121" i="15" s="1"/>
  <c r="K587" i="17"/>
  <c r="K531" i="17"/>
  <c r="G136" i="15" s="1"/>
  <c r="J524" i="17"/>
  <c r="N524" i="17" s="1"/>
  <c r="Q524" i="17"/>
  <c r="M506" i="17"/>
  <c r="N506" i="17"/>
  <c r="L512" i="17"/>
  <c r="L605" i="17"/>
  <c r="L574" i="17"/>
  <c r="L575" i="17" s="1"/>
  <c r="L450" i="17"/>
  <c r="N471" i="17"/>
  <c r="L635" i="17"/>
  <c r="L745" i="17"/>
  <c r="Q477" i="17"/>
  <c r="L664" i="17"/>
  <c r="L600" i="17"/>
  <c r="L661" i="17"/>
  <c r="M508" i="17"/>
  <c r="N508" i="17"/>
  <c r="N492" i="17"/>
  <c r="M492" i="17"/>
  <c r="K618" i="17"/>
  <c r="Q555" i="17"/>
  <c r="J555" i="17"/>
  <c r="N476" i="17"/>
  <c r="J519" i="17"/>
  <c r="K645" i="17"/>
  <c r="Q582" i="17"/>
  <c r="M510" i="17"/>
  <c r="N510" i="17"/>
  <c r="K636" i="17"/>
  <c r="J573" i="17"/>
  <c r="Q573" i="17"/>
  <c r="M481" i="17"/>
  <c r="N481" i="17"/>
  <c r="K630" i="17"/>
  <c r="J567" i="17"/>
  <c r="Q567" i="17"/>
  <c r="L596" i="17"/>
  <c r="L540" i="17"/>
  <c r="N505" i="17"/>
  <c r="K633" i="17"/>
  <c r="Q570" i="17"/>
  <c r="J570" i="17"/>
  <c r="M570" i="17" s="1"/>
  <c r="L648" i="17"/>
  <c r="L684" i="17"/>
  <c r="M496" i="17"/>
  <c r="N496" i="17"/>
  <c r="L699" i="17"/>
  <c r="L673" i="17"/>
  <c r="K583" i="17"/>
  <c r="Q520" i="17"/>
  <c r="J520" i="17"/>
  <c r="M520" i="17" s="1"/>
  <c r="M470" i="17"/>
  <c r="J477" i="17"/>
  <c r="M477" i="17" s="1"/>
  <c r="K596" i="17"/>
  <c r="K540" i="17"/>
  <c r="K541" i="17" s="1"/>
  <c r="G139" i="15" s="1"/>
  <c r="G141" i="15" s="1"/>
  <c r="J533" i="17"/>
  <c r="Q533" i="17"/>
  <c r="H100" i="15"/>
  <c r="L1109" i="1"/>
  <c r="O1105" i="1"/>
  <c r="O986" i="1"/>
  <c r="L992" i="1"/>
  <c r="N1088" i="1"/>
  <c r="D151" i="15"/>
  <c r="E151" i="15" s="1"/>
  <c r="O1088" i="1"/>
  <c r="M1150" i="1"/>
  <c r="O1130" i="1"/>
  <c r="M1109" i="1"/>
  <c r="G1106" i="13"/>
  <c r="J1096" i="13"/>
  <c r="J1106" i="13" s="1"/>
  <c r="O1141" i="1"/>
  <c r="K1142" i="1"/>
  <c r="N1142" i="1" s="1"/>
  <c r="N1137" i="1"/>
  <c r="O1097" i="1"/>
  <c r="O1126" i="1"/>
  <c r="O1144" i="1"/>
  <c r="K1120" i="1"/>
  <c r="N1120" i="1" s="1"/>
  <c r="N1114" i="1"/>
  <c r="G1151" i="13"/>
  <c r="J1148" i="13"/>
  <c r="J1151" i="13" s="1"/>
  <c r="G1142" i="13"/>
  <c r="J1140" i="13"/>
  <c r="J1142" i="13" s="1"/>
  <c r="N1104" i="1"/>
  <c r="O1104" i="1"/>
  <c r="O1145" i="1"/>
  <c r="G1139" i="13"/>
  <c r="J1135" i="13"/>
  <c r="J1139" i="13" s="1"/>
  <c r="K1128" i="1"/>
  <c r="N1125" i="1"/>
  <c r="O1127" i="1"/>
  <c r="N1110" i="1"/>
  <c r="K1113" i="1"/>
  <c r="G1119" i="13"/>
  <c r="J1116" i="13"/>
  <c r="J1119" i="13" s="1"/>
  <c r="K1149" i="1"/>
  <c r="N1149" i="1" s="1"/>
  <c r="N1147" i="1"/>
  <c r="N1090" i="1"/>
  <c r="K1100" i="1"/>
  <c r="O1100" i="1" s="1"/>
  <c r="L1142" i="1"/>
  <c r="G1147" i="13"/>
  <c r="J1143" i="13"/>
  <c r="J1147" i="13" s="1"/>
  <c r="N1106" i="1"/>
  <c r="O1106" i="1"/>
  <c r="O1138" i="1"/>
  <c r="L1121" i="1"/>
  <c r="L1123" i="1" s="1"/>
  <c r="L1124" i="1" s="1"/>
  <c r="G1126" i="13"/>
  <c r="J1120" i="13"/>
  <c r="J1126" i="13" s="1"/>
  <c r="N1143" i="1"/>
  <c r="K1146" i="1"/>
  <c r="N1146" i="1" s="1"/>
  <c r="O1094" i="1"/>
  <c r="N1134" i="1"/>
  <c r="K1136" i="1"/>
  <c r="N1136" i="1" s="1"/>
  <c r="O1134" i="1"/>
  <c r="O1148" i="1"/>
  <c r="O1111" i="1"/>
  <c r="N1101" i="1"/>
  <c r="K1108" i="1"/>
  <c r="N1108" i="1" s="1"/>
  <c r="O1101" i="1"/>
  <c r="G1114" i="13"/>
  <c r="J1107" i="13"/>
  <c r="J1114" i="13" s="1"/>
  <c r="O1129" i="1"/>
  <c r="K1133" i="1"/>
  <c r="N1133" i="1" s="1"/>
  <c r="N1129" i="1"/>
  <c r="L1150" i="1"/>
  <c r="L1151" i="1" s="1"/>
  <c r="G1134" i="13"/>
  <c r="J1131" i="13"/>
  <c r="J1134" i="13" s="1"/>
  <c r="O1119" i="1"/>
  <c r="G1095" i="13"/>
  <c r="F150" i="15"/>
  <c r="F153" i="15" s="1"/>
  <c r="K1072" i="1"/>
  <c r="N1067" i="1"/>
  <c r="O1067" i="1"/>
  <c r="I150" i="15"/>
  <c r="I153" i="15" s="1"/>
  <c r="J1095" i="13"/>
  <c r="O980" i="1"/>
  <c r="G894" i="13"/>
  <c r="G922" i="13"/>
  <c r="G923" i="13" s="1"/>
  <c r="F127" i="15" s="1"/>
  <c r="F129" i="15" s="1"/>
  <c r="D135" i="15"/>
  <c r="N955" i="1"/>
  <c r="K972" i="1"/>
  <c r="O955" i="1"/>
  <c r="N880" i="1"/>
  <c r="K888" i="1"/>
  <c r="N888" i="1" s="1"/>
  <c r="K1003" i="1"/>
  <c r="N1003" i="1" s="1"/>
  <c r="N997" i="1"/>
  <c r="N1026" i="1"/>
  <c r="K1029" i="1"/>
  <c r="N1029" i="1" s="1"/>
  <c r="G1002" i="13"/>
  <c r="J999" i="13"/>
  <c r="J1002" i="13" s="1"/>
  <c r="M1033" i="1"/>
  <c r="O981" i="1"/>
  <c r="O1003" i="1"/>
  <c r="L1033" i="1"/>
  <c r="L1034" i="1" s="1"/>
  <c r="J1023" i="13"/>
  <c r="J1025" i="13" s="1"/>
  <c r="G1025" i="13"/>
  <c r="O888" i="1"/>
  <c r="M890" i="1"/>
  <c r="N1030" i="1"/>
  <c r="K1032" i="1"/>
  <c r="N1032" i="1" s="1"/>
  <c r="G989" i="13"/>
  <c r="J979" i="13"/>
  <c r="J989" i="13" s="1"/>
  <c r="L890" i="1"/>
  <c r="L891" i="1" s="1"/>
  <c r="L919" i="1" s="1"/>
  <c r="O1020" i="1"/>
  <c r="N1020" i="1"/>
  <c r="K1025" i="1"/>
  <c r="N1025" i="1" s="1"/>
  <c r="O1026" i="1"/>
  <c r="O1023" i="1"/>
  <c r="N989" i="1"/>
  <c r="O989" i="1"/>
  <c r="N971" i="1"/>
  <c r="D136" i="15"/>
  <c r="E136" i="15" s="1"/>
  <c r="O971" i="1"/>
  <c r="O982" i="1"/>
  <c r="O903" i="1"/>
  <c r="J882" i="13"/>
  <c r="J896" i="13" s="1"/>
  <c r="N867" i="1"/>
  <c r="K876" i="1"/>
  <c r="K991" i="1"/>
  <c r="N991" i="1" s="1"/>
  <c r="N984" i="1"/>
  <c r="O984" i="1"/>
  <c r="G1017" i="13"/>
  <c r="J1014" i="13"/>
  <c r="J1017" i="13" s="1"/>
  <c r="O976" i="1"/>
  <c r="O1010" i="1"/>
  <c r="O1002" i="1"/>
  <c r="G579" i="13"/>
  <c r="N895" i="1"/>
  <c r="K917" i="1"/>
  <c r="O917" i="1" s="1"/>
  <c r="O918" i="1" s="1"/>
  <c r="M918" i="1"/>
  <c r="G1009" i="13"/>
  <c r="J1003" i="13"/>
  <c r="J1009" i="13" s="1"/>
  <c r="G1034" i="13"/>
  <c r="J1031" i="13"/>
  <c r="J1034" i="13" s="1"/>
  <c r="L1004" i="1"/>
  <c r="N993" i="1"/>
  <c r="K996" i="1"/>
  <c r="O1009" i="1"/>
  <c r="O997" i="1"/>
  <c r="N1017" i="1"/>
  <c r="K1019" i="1"/>
  <c r="O1017" i="1"/>
  <c r="O1031" i="1"/>
  <c r="O880" i="1"/>
  <c r="M992" i="1"/>
  <c r="O1032" i="1"/>
  <c r="O994" i="1"/>
  <c r="F135" i="15"/>
  <c r="F138" i="15" s="1"/>
  <c r="G978" i="13"/>
  <c r="O973" i="1"/>
  <c r="K983" i="1"/>
  <c r="N973" i="1"/>
  <c r="O988" i="1"/>
  <c r="G1030" i="13"/>
  <c r="J1026" i="13"/>
  <c r="J1030" i="13" s="1"/>
  <c r="O1029" i="1"/>
  <c r="N950" i="1"/>
  <c r="O950" i="1"/>
  <c r="M1004" i="1"/>
  <c r="O916" i="1"/>
  <c r="J978" i="13"/>
  <c r="I135" i="15"/>
  <c r="I138" i="15" s="1"/>
  <c r="O1013" i="1"/>
  <c r="N987" i="1"/>
  <c r="O987" i="1"/>
  <c r="O1028" i="1"/>
  <c r="G882" i="13"/>
  <c r="G997" i="13"/>
  <c r="J990" i="13"/>
  <c r="J997" i="13" s="1"/>
  <c r="K1016" i="1"/>
  <c r="N1016" i="1" s="1"/>
  <c r="N1012" i="1"/>
  <c r="G1022" i="13"/>
  <c r="J1018" i="13"/>
  <c r="J1022" i="13" s="1"/>
  <c r="N1008" i="1"/>
  <c r="K1011" i="1"/>
  <c r="J922" i="13"/>
  <c r="J923" i="13" s="1"/>
  <c r="I127" i="15" s="1"/>
  <c r="I129" i="15" s="1"/>
  <c r="O913" i="1"/>
  <c r="D120" i="15"/>
  <c r="K856" i="1"/>
  <c r="N839" i="1"/>
  <c r="O839" i="1"/>
  <c r="O788" i="1"/>
  <c r="O801" i="1"/>
  <c r="J579" i="13"/>
  <c r="F100" i="15"/>
  <c r="L775" i="1"/>
  <c r="L776" i="1" s="1"/>
  <c r="L804" i="1" s="1"/>
  <c r="O798" i="1"/>
  <c r="J807" i="13"/>
  <c r="J808" i="13" s="1"/>
  <c r="I112" i="15" s="1"/>
  <c r="I114" i="15" s="1"/>
  <c r="E93" i="15"/>
  <c r="M775" i="1"/>
  <c r="D108" i="15"/>
  <c r="E105" i="15"/>
  <c r="N741" i="1"/>
  <c r="O741" i="1"/>
  <c r="K660" i="1"/>
  <c r="N646" i="1"/>
  <c r="D51" i="15"/>
  <c r="E49" i="15"/>
  <c r="K688" i="1"/>
  <c r="D97" i="15" s="1"/>
  <c r="N687" i="1"/>
  <c r="N688" i="1" s="1"/>
  <c r="O687" i="1"/>
  <c r="O688" i="1" s="1"/>
  <c r="K761" i="1"/>
  <c r="O761" i="1" s="1"/>
  <c r="N752" i="1"/>
  <c r="O658" i="1"/>
  <c r="G779" i="13"/>
  <c r="G781" i="13" s="1"/>
  <c r="G782" i="13" s="1"/>
  <c r="N780" i="1"/>
  <c r="K802" i="1"/>
  <c r="G694" i="13"/>
  <c r="O752" i="1"/>
  <c r="I94" i="15"/>
  <c r="I96" i="15" s="1"/>
  <c r="I100" i="15" s="1"/>
  <c r="J694" i="13"/>
  <c r="O760" i="1"/>
  <c r="E36" i="15"/>
  <c r="D40" i="15"/>
  <c r="E40" i="15" s="1"/>
  <c r="O785" i="1"/>
  <c r="N765" i="1"/>
  <c r="K773" i="1"/>
  <c r="N773" i="1" s="1"/>
  <c r="D64" i="15"/>
  <c r="K461" i="1"/>
  <c r="M661" i="1"/>
  <c r="M689" i="1" s="1"/>
  <c r="O348" i="1"/>
  <c r="N348" i="1"/>
  <c r="E82" i="15"/>
  <c r="D84" i="15"/>
  <c r="E84" i="15" s="1"/>
  <c r="N545" i="1"/>
  <c r="N546" i="1" s="1"/>
  <c r="K546" i="1"/>
  <c r="N794" i="1"/>
  <c r="O794" i="1"/>
  <c r="J779" i="13"/>
  <c r="J781" i="13" s="1"/>
  <c r="J782" i="13" s="1"/>
  <c r="G807" i="13"/>
  <c r="G808" i="13" s="1"/>
  <c r="F112" i="15" s="1"/>
  <c r="F114" i="15" s="1"/>
  <c r="O765" i="1"/>
  <c r="I22" i="16"/>
  <c r="D180" i="15" l="1"/>
  <c r="K1323" i="1"/>
  <c r="N1306" i="1"/>
  <c r="O1306" i="1"/>
  <c r="N1335" i="1"/>
  <c r="K1342" i="1"/>
  <c r="N1342" i="1" s="1"/>
  <c r="O1335" i="1"/>
  <c r="M1484" i="1"/>
  <c r="M1597" i="1"/>
  <c r="N1552" i="1"/>
  <c r="O1552" i="1"/>
  <c r="N1522" i="1"/>
  <c r="O1522" i="1"/>
  <c r="M1573" i="1"/>
  <c r="M1585" i="1"/>
  <c r="M1895" i="1"/>
  <c r="K1418" i="1"/>
  <c r="N1411" i="1"/>
  <c r="O1411" i="1"/>
  <c r="L1579" i="1"/>
  <c r="G1468" i="13"/>
  <c r="J1468" i="13" s="1"/>
  <c r="K1462" i="1"/>
  <c r="N1462" i="1" s="1"/>
  <c r="M1905" i="1"/>
  <c r="N1543" i="1"/>
  <c r="O1543" i="1"/>
  <c r="M1240" i="1"/>
  <c r="L1602" i="1"/>
  <c r="K1485" i="1"/>
  <c r="G1491" i="13"/>
  <c r="L1487" i="1"/>
  <c r="M1583" i="1"/>
  <c r="N1550" i="1"/>
  <c r="O1550" i="1"/>
  <c r="N1508" i="1"/>
  <c r="O1508" i="1"/>
  <c r="N1525" i="1"/>
  <c r="O1525" i="1"/>
  <c r="G1551" i="13"/>
  <c r="J1547" i="13"/>
  <c r="J1551" i="13" s="1"/>
  <c r="N1340" i="1"/>
  <c r="O1340" i="1"/>
  <c r="J1330" i="13"/>
  <c r="J1340" i="13" s="1"/>
  <c r="G1340" i="13"/>
  <c r="L1615" i="1"/>
  <c r="G1503" i="13"/>
  <c r="L1500" i="1"/>
  <c r="K1498" i="1"/>
  <c r="M1615" i="1"/>
  <c r="M1500" i="1"/>
  <c r="M1594" i="1"/>
  <c r="M1604" i="1"/>
  <c r="M1719" i="1"/>
  <c r="M1559" i="1"/>
  <c r="M1566" i="1"/>
  <c r="L1636" i="1"/>
  <c r="L1746" i="1"/>
  <c r="G1635" i="13"/>
  <c r="K1629" i="1"/>
  <c r="L1764" i="1"/>
  <c r="K1647" i="1"/>
  <c r="G1653" i="13"/>
  <c r="J1653" i="13" s="1"/>
  <c r="O1327" i="1"/>
  <c r="N1327" i="1"/>
  <c r="M1586" i="1"/>
  <c r="K1448" i="1"/>
  <c r="N1448" i="1" s="1"/>
  <c r="L1565" i="1"/>
  <c r="G1454" i="13"/>
  <c r="J1454" i="13" s="1"/>
  <c r="M2274" i="1"/>
  <c r="G1545" i="13"/>
  <c r="J1542" i="13"/>
  <c r="J1545" i="13" s="1"/>
  <c r="K1555" i="1"/>
  <c r="N1546" i="1"/>
  <c r="O1546" i="1"/>
  <c r="L1782" i="1"/>
  <c r="G1671" i="13"/>
  <c r="J1671" i="13" s="1"/>
  <c r="K1665" i="1"/>
  <c r="K1446" i="1"/>
  <c r="N1446" i="1" s="1"/>
  <c r="L1563" i="1"/>
  <c r="G1452" i="13"/>
  <c r="J1452" i="13" s="1"/>
  <c r="N1514" i="1"/>
  <c r="O1514" i="1"/>
  <c r="F180" i="15"/>
  <c r="F183" i="15" s="1"/>
  <c r="G1329" i="13"/>
  <c r="M1580" i="1"/>
  <c r="O1350" i="1"/>
  <c r="L1608" i="1"/>
  <c r="K1491" i="1"/>
  <c r="N1491" i="1" s="1"/>
  <c r="G1497" i="13"/>
  <c r="J1497" i="13" s="1"/>
  <c r="N1554" i="1"/>
  <c r="O1554" i="1"/>
  <c r="N1517" i="1"/>
  <c r="O1517" i="1"/>
  <c r="N1509" i="1"/>
  <c r="O1509" i="1"/>
  <c r="N1537" i="1"/>
  <c r="O1537" i="1"/>
  <c r="M1599" i="1"/>
  <c r="L1880" i="1"/>
  <c r="K1763" i="1"/>
  <c r="G1769" i="13"/>
  <c r="J1769" i="13" s="1"/>
  <c r="G1517" i="13"/>
  <c r="J1513" i="13"/>
  <c r="J1517" i="13" s="1"/>
  <c r="L1582" i="1"/>
  <c r="G1471" i="13"/>
  <c r="K1465" i="1"/>
  <c r="L1471" i="1"/>
  <c r="O1373" i="1"/>
  <c r="N1542" i="1"/>
  <c r="O1542" i="1"/>
  <c r="K1258" i="1"/>
  <c r="L1375" i="1"/>
  <c r="L1259" i="1"/>
  <c r="L1267" i="1" s="1"/>
  <c r="L1268" i="1" s="1"/>
  <c r="N1245" i="1"/>
  <c r="L1586" i="1"/>
  <c r="G1475" i="13"/>
  <c r="J1475" i="13" s="1"/>
  <c r="K1469" i="1"/>
  <c r="N1469" i="1" s="1"/>
  <c r="M1888" i="1"/>
  <c r="M1556" i="1"/>
  <c r="M1761" i="1"/>
  <c r="M1871" i="1"/>
  <c r="J1377" i="13"/>
  <c r="J1381" i="13" s="1"/>
  <c r="G1381" i="13"/>
  <c r="K1486" i="1"/>
  <c r="L1603" i="1"/>
  <c r="G1492" i="13"/>
  <c r="J1492" i="13" s="1"/>
  <c r="M1567" i="1"/>
  <c r="L1573" i="1"/>
  <c r="G1462" i="13"/>
  <c r="J1462" i="13" s="1"/>
  <c r="K1456" i="1"/>
  <c r="N1456" i="1" s="1"/>
  <c r="K1666" i="1"/>
  <c r="L1783" i="1"/>
  <c r="G1672" i="13"/>
  <c r="J1672" i="13" s="1"/>
  <c r="M1874" i="1"/>
  <c r="M1997" i="1"/>
  <c r="K1453" i="1"/>
  <c r="N1453" i="1" s="1"/>
  <c r="L1570" i="1"/>
  <c r="G1459" i="13"/>
  <c r="J1459" i="13" s="1"/>
  <c r="G896" i="13"/>
  <c r="L1006" i="1"/>
  <c r="L1007" i="1" s="1"/>
  <c r="L1035" i="1" s="1"/>
  <c r="L1258" i="17"/>
  <c r="J1365" i="13"/>
  <c r="J1368" i="13" s="1"/>
  <c r="G1368" i="13"/>
  <c r="O1363" i="1"/>
  <c r="N1363" i="1"/>
  <c r="K1367" i="1"/>
  <c r="N1367" i="1" s="1"/>
  <c r="L1584" i="1"/>
  <c r="G1473" i="13"/>
  <c r="J1473" i="13" s="1"/>
  <c r="K1467" i="1"/>
  <c r="N1467" i="1" s="1"/>
  <c r="M1268" i="1"/>
  <c r="L1786" i="1"/>
  <c r="K1669" i="1"/>
  <c r="G1675" i="13"/>
  <c r="J1675" i="13" s="1"/>
  <c r="N1428" i="1"/>
  <c r="K1439" i="1"/>
  <c r="K1670" i="1"/>
  <c r="L1787" i="1"/>
  <c r="G1676" i="13"/>
  <c r="J1676" i="13" s="1"/>
  <c r="M1885" i="1"/>
  <c r="L1269" i="1"/>
  <c r="M1688" i="1"/>
  <c r="M1723" i="1"/>
  <c r="M1859" i="1"/>
  <c r="K1632" i="1"/>
  <c r="L1749" i="1"/>
  <c r="G1638" i="13"/>
  <c r="J1638" i="13" s="1"/>
  <c r="M1803" i="1"/>
  <c r="M1900" i="1"/>
  <c r="O1341" i="1"/>
  <c r="J1350" i="13"/>
  <c r="J1353" i="13" s="1"/>
  <c r="G1353" i="13"/>
  <c r="G1533" i="13"/>
  <c r="J1526" i="13"/>
  <c r="J1533" i="13" s="1"/>
  <c r="L1755" i="1"/>
  <c r="G1644" i="13"/>
  <c r="J1644" i="13" s="1"/>
  <c r="K1638" i="1"/>
  <c r="O1368" i="1"/>
  <c r="N1368" i="1"/>
  <c r="K1370" i="1"/>
  <c r="O1328" i="1"/>
  <c r="M1563" i="1"/>
  <c r="O1446" i="1"/>
  <c r="K1661" i="1"/>
  <c r="L1778" i="1"/>
  <c r="G1667" i="13"/>
  <c r="J1667" i="13" s="1"/>
  <c r="L1784" i="1"/>
  <c r="K1667" i="1"/>
  <c r="G1673" i="13"/>
  <c r="J1673" i="13" s="1"/>
  <c r="N1438" i="1"/>
  <c r="O1438" i="1"/>
  <c r="M1355" i="1"/>
  <c r="N1523" i="1"/>
  <c r="O1523" i="1"/>
  <c r="M1867" i="1"/>
  <c r="L1775" i="1"/>
  <c r="G1664" i="13"/>
  <c r="K1658" i="1"/>
  <c r="K1643" i="1"/>
  <c r="L1760" i="1"/>
  <c r="G1649" i="13"/>
  <c r="J1649" i="13" s="1"/>
  <c r="L1558" i="1"/>
  <c r="K1441" i="1"/>
  <c r="G1447" i="13"/>
  <c r="L1451" i="1"/>
  <c r="O1377" i="1"/>
  <c r="K1380" i="1"/>
  <c r="N1380" i="1" s="1"/>
  <c r="N1377" i="1"/>
  <c r="O1230" i="1"/>
  <c r="N1230" i="1"/>
  <c r="K1238" i="1"/>
  <c r="N1238" i="1" s="1"/>
  <c r="M1440" i="1"/>
  <c r="M1864" i="1"/>
  <c r="L1656" i="1"/>
  <c r="L1770" i="1"/>
  <c r="K1653" i="1"/>
  <c r="G1659" i="13"/>
  <c r="L1780" i="1"/>
  <c r="G1669" i="13"/>
  <c r="K1663" i="1"/>
  <c r="O1342" i="1"/>
  <c r="M1564" i="1"/>
  <c r="M1872" i="1"/>
  <c r="L1748" i="1"/>
  <c r="K1631" i="1"/>
  <c r="G1637" i="13"/>
  <c r="J1637" i="13" s="1"/>
  <c r="G1232" i="13"/>
  <c r="G1246" i="13" s="1"/>
  <c r="G1247" i="13" s="1"/>
  <c r="M1584" i="1"/>
  <c r="O1467" i="1"/>
  <c r="M1565" i="1"/>
  <c r="O1448" i="1"/>
  <c r="L1788" i="1"/>
  <c r="K1671" i="1"/>
  <c r="G1677" i="13"/>
  <c r="J1677" i="13" s="1"/>
  <c r="M1977" i="1"/>
  <c r="M1894" i="1"/>
  <c r="O1361" i="1"/>
  <c r="M1493" i="1"/>
  <c r="M1605" i="1"/>
  <c r="N1410" i="1"/>
  <c r="O1410" i="1"/>
  <c r="L1752" i="1"/>
  <c r="K1635" i="1"/>
  <c r="G1641" i="13"/>
  <c r="J1641" i="13" s="1"/>
  <c r="M1902" i="1"/>
  <c r="K1641" i="1"/>
  <c r="L1758" i="1"/>
  <c r="G1647" i="13"/>
  <c r="J1647" i="13" s="1"/>
  <c r="N1646" i="1"/>
  <c r="O1646" i="1"/>
  <c r="L1628" i="1"/>
  <c r="L1741" i="1"/>
  <c r="G1630" i="13"/>
  <c r="K1624" i="1"/>
  <c r="N1348" i="1"/>
  <c r="K1354" i="1"/>
  <c r="N1354" i="1" s="1"/>
  <c r="M1607" i="1"/>
  <c r="M2018" i="1"/>
  <c r="K1455" i="1"/>
  <c r="L1572" i="1"/>
  <c r="G1461" i="13"/>
  <c r="J1461" i="13" s="1"/>
  <c r="G1455" i="13"/>
  <c r="J1455" i="13" s="1"/>
  <c r="L1566" i="1"/>
  <c r="K1449" i="1"/>
  <c r="N1449" i="1" s="1"/>
  <c r="M1876" i="1"/>
  <c r="M1899" i="1"/>
  <c r="N1516" i="1"/>
  <c r="O1516" i="1"/>
  <c r="L1605" i="1"/>
  <c r="K1488" i="1"/>
  <c r="G1494" i="13"/>
  <c r="K1226" i="1"/>
  <c r="O1226" i="1" s="1"/>
  <c r="N1217" i="1"/>
  <c r="K1483" i="1"/>
  <c r="N1483" i="1" s="1"/>
  <c r="L1600" i="1"/>
  <c r="G1489" i="13"/>
  <c r="J1489" i="13" s="1"/>
  <c r="N1549" i="1"/>
  <c r="O1549" i="1"/>
  <c r="M1579" i="1"/>
  <c r="O1462" i="1"/>
  <c r="M1720" i="1"/>
  <c r="L1356" i="1"/>
  <c r="G1245" i="13"/>
  <c r="J1245" i="13" s="1"/>
  <c r="J1246" i="13" s="1"/>
  <c r="J1247" i="13" s="1"/>
  <c r="K1239" i="1"/>
  <c r="N1239" i="1" s="1"/>
  <c r="L1768" i="1"/>
  <c r="K1651" i="1"/>
  <c r="G1657" i="13"/>
  <c r="J1657" i="13" s="1"/>
  <c r="M1558" i="1"/>
  <c r="M1451" i="1"/>
  <c r="O1441" i="1"/>
  <c r="L1613" i="1"/>
  <c r="K1496" i="1"/>
  <c r="N1496" i="1" s="1"/>
  <c r="G1501" i="13"/>
  <c r="J1501" i="13" s="1"/>
  <c r="L1772" i="1"/>
  <c r="K1655" i="1"/>
  <c r="G1661" i="13"/>
  <c r="J1661" i="13" s="1"/>
  <c r="D168" i="15"/>
  <c r="E165" i="15"/>
  <c r="J1155" i="13"/>
  <c r="J1156" i="13" s="1"/>
  <c r="I157" i="15" s="1"/>
  <c r="I159" i="15" s="1"/>
  <c r="O1142" i="1"/>
  <c r="I834" i="16"/>
  <c r="J137" i="15" s="1"/>
  <c r="I866" i="16"/>
  <c r="J139" i="15" s="1"/>
  <c r="J141" i="15" s="1"/>
  <c r="K1476" i="1"/>
  <c r="L1593" i="1"/>
  <c r="G1482" i="13"/>
  <c r="L1479" i="1"/>
  <c r="J1369" i="13"/>
  <c r="J1373" i="13" s="1"/>
  <c r="G1373" i="13"/>
  <c r="J1341" i="13"/>
  <c r="J1348" i="13" s="1"/>
  <c r="G1348" i="13"/>
  <c r="K1490" i="1"/>
  <c r="N1490" i="1" s="1"/>
  <c r="L1607" i="1"/>
  <c r="G1496" i="13"/>
  <c r="J1496" i="13" s="1"/>
  <c r="O1225" i="1"/>
  <c r="O1245" i="1"/>
  <c r="M1875" i="1"/>
  <c r="M1889" i="1"/>
  <c r="N1553" i="1"/>
  <c r="O1553" i="1"/>
  <c r="L1535" i="1"/>
  <c r="L1645" i="1"/>
  <c r="K1528" i="1"/>
  <c r="G1534" i="13"/>
  <c r="N1515" i="1"/>
  <c r="O1515" i="1"/>
  <c r="O1337" i="1"/>
  <c r="N1337" i="1"/>
  <c r="M1575" i="1"/>
  <c r="G1467" i="13"/>
  <c r="L1578" i="1"/>
  <c r="K1461" i="1"/>
  <c r="L1464" i="1"/>
  <c r="L1472" i="1" s="1"/>
  <c r="M1869" i="1"/>
  <c r="L1644" i="1"/>
  <c r="L1754" i="1"/>
  <c r="G1643" i="13"/>
  <c r="K1637" i="1"/>
  <c r="M1877" i="1"/>
  <c r="N1394" i="1"/>
  <c r="K1423" i="1"/>
  <c r="O1394" i="1"/>
  <c r="L1777" i="1"/>
  <c r="G1666" i="13"/>
  <c r="J1666" i="13" s="1"/>
  <c r="K1660" i="1"/>
  <c r="M1562" i="1"/>
  <c r="N1544" i="1"/>
  <c r="O1544" i="1"/>
  <c r="L1759" i="1"/>
  <c r="G1648" i="13"/>
  <c r="J1648" i="13" s="1"/>
  <c r="K1642" i="1"/>
  <c r="O1353" i="1"/>
  <c r="K1458" i="1"/>
  <c r="N1458" i="1" s="1"/>
  <c r="L1575" i="1"/>
  <c r="G1464" i="13"/>
  <c r="J1464" i="13" s="1"/>
  <c r="O1483" i="1"/>
  <c r="M1600" i="1"/>
  <c r="N1526" i="1"/>
  <c r="O1526" i="1"/>
  <c r="L1574" i="1"/>
  <c r="K1457" i="1"/>
  <c r="G1463" i="13"/>
  <c r="J1463" i="13" s="1"/>
  <c r="L1343" i="1"/>
  <c r="L1357" i="1" s="1"/>
  <c r="L1358" i="1" s="1"/>
  <c r="O1381" i="1"/>
  <c r="N1381" i="1"/>
  <c r="K1383" i="1"/>
  <c r="N1383" i="1" s="1"/>
  <c r="J1382" i="13"/>
  <c r="J1385" i="13" s="1"/>
  <c r="G1385" i="13"/>
  <c r="M1582" i="1"/>
  <c r="O1465" i="1"/>
  <c r="M1471" i="1"/>
  <c r="N1322" i="1"/>
  <c r="D181" i="15"/>
  <c r="E181" i="15" s="1"/>
  <c r="O1322" i="1"/>
  <c r="L1583" i="1"/>
  <c r="G1472" i="13"/>
  <c r="J1472" i="13" s="1"/>
  <c r="K1466" i="1"/>
  <c r="N1466" i="1" s="1"/>
  <c r="M1560" i="1"/>
  <c r="M1897" i="1"/>
  <c r="N1512" i="1"/>
  <c r="K1519" i="1"/>
  <c r="O1512" i="1"/>
  <c r="N1530" i="1"/>
  <c r="O1530" i="1"/>
  <c r="M1608" i="1"/>
  <c r="O1491" i="1"/>
  <c r="K1444" i="1"/>
  <c r="N1444" i="1" s="1"/>
  <c r="L1561" i="1"/>
  <c r="G1450" i="13"/>
  <c r="J1450" i="13" s="1"/>
  <c r="N1253" i="1"/>
  <c r="O1253" i="1"/>
  <c r="F1089" i="16"/>
  <c r="I995" i="16"/>
  <c r="K1630" i="1"/>
  <c r="L1747" i="1"/>
  <c r="G1636" i="13"/>
  <c r="J1636" i="13" s="1"/>
  <c r="K1489" i="1"/>
  <c r="L1606" i="1"/>
  <c r="G1495" i="13"/>
  <c r="J1495" i="13" s="1"/>
  <c r="M1887" i="1"/>
  <c r="M1773" i="1"/>
  <c r="L1743" i="1"/>
  <c r="G1632" i="13"/>
  <c r="J1632" i="13" s="1"/>
  <c r="K1626" i="1"/>
  <c r="M1595" i="1"/>
  <c r="O1122" i="1"/>
  <c r="N1524" i="1"/>
  <c r="O1524" i="1"/>
  <c r="O1507" i="1"/>
  <c r="K1511" i="1"/>
  <c r="N1507" i="1"/>
  <c r="K1450" i="1"/>
  <c r="N1450" i="1" s="1"/>
  <c r="L1567" i="1"/>
  <c r="G1456" i="13"/>
  <c r="J1456" i="13" s="1"/>
  <c r="M1616" i="1"/>
  <c r="O1499" i="1"/>
  <c r="M1903" i="1"/>
  <c r="K1668" i="1"/>
  <c r="L1785" i="1"/>
  <c r="G1674" i="13"/>
  <c r="J1674" i="13" s="1"/>
  <c r="K1463" i="1"/>
  <c r="N1463" i="1" s="1"/>
  <c r="L1580" i="1"/>
  <c r="G1469" i="13"/>
  <c r="J1469" i="13" s="1"/>
  <c r="N1338" i="1"/>
  <c r="O1338" i="1"/>
  <c r="L1594" i="1"/>
  <c r="G1483" i="13"/>
  <c r="J1483" i="13" s="1"/>
  <c r="K1477" i="1"/>
  <c r="N1477" i="1" s="1"/>
  <c r="K1664" i="1"/>
  <c r="L1781" i="1"/>
  <c r="G1670" i="13"/>
  <c r="J1670" i="13" s="1"/>
  <c r="O1369" i="1"/>
  <c r="N1369" i="1"/>
  <c r="K1495" i="1"/>
  <c r="N1495" i="1" s="1"/>
  <c r="L1612" i="1"/>
  <c r="G1500" i="13"/>
  <c r="J1500" i="13" s="1"/>
  <c r="M2276" i="1"/>
  <c r="K1627" i="1"/>
  <c r="L1744" i="1"/>
  <c r="G1633" i="13"/>
  <c r="J1633" i="13" s="1"/>
  <c r="M1868" i="1"/>
  <c r="M1609" i="1"/>
  <c r="G1155" i="13"/>
  <c r="G1156" i="13" s="1"/>
  <c r="F157" i="15" s="1"/>
  <c r="F159" i="15" s="1"/>
  <c r="L1152" i="1"/>
  <c r="N1359" i="1"/>
  <c r="K1362" i="1"/>
  <c r="L1597" i="1"/>
  <c r="K1480" i="1"/>
  <c r="G1486" i="13"/>
  <c r="L1484" i="1"/>
  <c r="L1569" i="1"/>
  <c r="G1458" i="13"/>
  <c r="K1452" i="1"/>
  <c r="L1459" i="1"/>
  <c r="M1384" i="1"/>
  <c r="O1367" i="1"/>
  <c r="K1639" i="1"/>
  <c r="L1756" i="1"/>
  <c r="G1645" i="13"/>
  <c r="J1645" i="13" s="1"/>
  <c r="M1611" i="1"/>
  <c r="M1497" i="1"/>
  <c r="O1494" i="1"/>
  <c r="M1557" i="1"/>
  <c r="G1424" i="13"/>
  <c r="G1429" i="13" s="1"/>
  <c r="J1417" i="13"/>
  <c r="J1424" i="13" s="1"/>
  <c r="J1429" i="13" s="1"/>
  <c r="K1442" i="1"/>
  <c r="N1442" i="1" s="1"/>
  <c r="L1559" i="1"/>
  <c r="G1448" i="13"/>
  <c r="J1448" i="13" s="1"/>
  <c r="L1571" i="1"/>
  <c r="G1460" i="13"/>
  <c r="J1460" i="13" s="1"/>
  <c r="K1454" i="1"/>
  <c r="K1468" i="1"/>
  <c r="N1468" i="1" s="1"/>
  <c r="L1585" i="1"/>
  <c r="G1474" i="13"/>
  <c r="J1474" i="13" s="1"/>
  <c r="K1347" i="1"/>
  <c r="N1344" i="1"/>
  <c r="K1527" i="1"/>
  <c r="N1520" i="1"/>
  <c r="O1520" i="1"/>
  <c r="N1521" i="1"/>
  <c r="O1521" i="1"/>
  <c r="J1374" i="13"/>
  <c r="J1376" i="13" s="1"/>
  <c r="J1389" i="13" s="1"/>
  <c r="J1390" i="13" s="1"/>
  <c r="I187" i="15" s="1"/>
  <c r="I189" i="15" s="1"/>
  <c r="G1376" i="13"/>
  <c r="O1349" i="1"/>
  <c r="L1616" i="1"/>
  <c r="G1505" i="13"/>
  <c r="G1504" i="13"/>
  <c r="K1499" i="1"/>
  <c r="N1499" i="1" s="1"/>
  <c r="M1866" i="1"/>
  <c r="K1625" i="1"/>
  <c r="L1742" i="1"/>
  <c r="G1631" i="13"/>
  <c r="J1631" i="13" s="1"/>
  <c r="N1422" i="1"/>
  <c r="O1422" i="1"/>
  <c r="M1587" i="1"/>
  <c r="O1470" i="1"/>
  <c r="J1272" i="13"/>
  <c r="J1273" i="13" s="1"/>
  <c r="I172" i="15" s="1"/>
  <c r="I174" i="15" s="1"/>
  <c r="K1470" i="1"/>
  <c r="N1470" i="1" s="1"/>
  <c r="L1587" i="1"/>
  <c r="G1476" i="13"/>
  <c r="J1476" i="13" s="1"/>
  <c r="M1578" i="1"/>
  <c r="O1461" i="1"/>
  <c r="M1464" i="1"/>
  <c r="M1472" i="1" s="1"/>
  <c r="M1861" i="1"/>
  <c r="L1757" i="1"/>
  <c r="G1646" i="13"/>
  <c r="J1646" i="13" s="1"/>
  <c r="K1640" i="1"/>
  <c r="N1541" i="1"/>
  <c r="K1545" i="1"/>
  <c r="I180" i="15"/>
  <c r="I183" i="15" s="1"/>
  <c r="J1329" i="13"/>
  <c r="M1893" i="1"/>
  <c r="N1324" i="1"/>
  <c r="K1334" i="1"/>
  <c r="M1598" i="1"/>
  <c r="L1497" i="1"/>
  <c r="L1611" i="1"/>
  <c r="K1494" i="1"/>
  <c r="G1499" i="13"/>
  <c r="N1301" i="1"/>
  <c r="O1301" i="1"/>
  <c r="O1325" i="1"/>
  <c r="M1863" i="1"/>
  <c r="M1753" i="1"/>
  <c r="J1518" i="13"/>
  <c r="J1525" i="13" s="1"/>
  <c r="G1525" i="13"/>
  <c r="M1561" i="1"/>
  <c r="O1444" i="1"/>
  <c r="N1536" i="1"/>
  <c r="K1539" i="1"/>
  <c r="O1536" i="1"/>
  <c r="G1561" i="13"/>
  <c r="J1552" i="13"/>
  <c r="J1561" i="13" s="1"/>
  <c r="N1548" i="1"/>
  <c r="O1548" i="1"/>
  <c r="N1513" i="1"/>
  <c r="O1513" i="1"/>
  <c r="M1570" i="1"/>
  <c r="O1453" i="1"/>
  <c r="M1459" i="1"/>
  <c r="O1346" i="1"/>
  <c r="O1372" i="1"/>
  <c r="N1372" i="1"/>
  <c r="O1266" i="1"/>
  <c r="K1634" i="1"/>
  <c r="L1751" i="1"/>
  <c r="G1640" i="13"/>
  <c r="J1640" i="13" s="1"/>
  <c r="K1654" i="1"/>
  <c r="L1771" i="1"/>
  <c r="G1660" i="13"/>
  <c r="J1660" i="13" s="1"/>
  <c r="M1990" i="1"/>
  <c r="M1898" i="1"/>
  <c r="N1518" i="1"/>
  <c r="O1518" i="1"/>
  <c r="M1356" i="1"/>
  <c r="O1239" i="1"/>
  <c r="L1540" i="1"/>
  <c r="L1557" i="1" s="1"/>
  <c r="M1762" i="1"/>
  <c r="M1652" i="1"/>
  <c r="N1402" i="1"/>
  <c r="O1402" i="1"/>
  <c r="J1354" i="13"/>
  <c r="J1360" i="13" s="1"/>
  <c r="G1360" i="13"/>
  <c r="O1495" i="1"/>
  <c r="M1612" i="1"/>
  <c r="L1662" i="1"/>
  <c r="L1673" i="1" s="1"/>
  <c r="L1776" i="1"/>
  <c r="G1665" i="13"/>
  <c r="J1665" i="13" s="1"/>
  <c r="K1659" i="1"/>
  <c r="N1551" i="1"/>
  <c r="O1551" i="1"/>
  <c r="L1564" i="1"/>
  <c r="K1447" i="1"/>
  <c r="N1447" i="1" s="1"/>
  <c r="G1453" i="13"/>
  <c r="J1453" i="13" s="1"/>
  <c r="M1479" i="1"/>
  <c r="M1593" i="1"/>
  <c r="O1476" i="1"/>
  <c r="N1547" i="1"/>
  <c r="O1547" i="1"/>
  <c r="O1658" i="1"/>
  <c r="M1775" i="1"/>
  <c r="M1662" i="1"/>
  <c r="M1881" i="1"/>
  <c r="L1750" i="1"/>
  <c r="G1639" i="13"/>
  <c r="J1639" i="13" s="1"/>
  <c r="K1633" i="1"/>
  <c r="O1371" i="1"/>
  <c r="N1371" i="1"/>
  <c r="O1333" i="1"/>
  <c r="L1599" i="1"/>
  <c r="K1482" i="1"/>
  <c r="N1482" i="1" s="1"/>
  <c r="G1488" i="13"/>
  <c r="J1488" i="13" s="1"/>
  <c r="M1745" i="1"/>
  <c r="M1858" i="1"/>
  <c r="L1562" i="1"/>
  <c r="K1445" i="1"/>
  <c r="N1445" i="1" s="1"/>
  <c r="G1451" i="13"/>
  <c r="J1451" i="13" s="1"/>
  <c r="M1613" i="1"/>
  <c r="O1496" i="1"/>
  <c r="K1478" i="1"/>
  <c r="N1478" i="1" s="1"/>
  <c r="L1595" i="1"/>
  <c r="G1484" i="13"/>
  <c r="J1484" i="13" s="1"/>
  <c r="K1481" i="1"/>
  <c r="N1481" i="1" s="1"/>
  <c r="L1598" i="1"/>
  <c r="G1487" i="13"/>
  <c r="J1487" i="13" s="1"/>
  <c r="N1510" i="1"/>
  <c r="O1510" i="1"/>
  <c r="N1534" i="1"/>
  <c r="O1534" i="1"/>
  <c r="M1343" i="1"/>
  <c r="M1357" i="1" s="1"/>
  <c r="L1560" i="1"/>
  <c r="K1443" i="1"/>
  <c r="N1443" i="1" s="1"/>
  <c r="G1449" i="13"/>
  <c r="J1449" i="13" s="1"/>
  <c r="N1538" i="1"/>
  <c r="O1538" i="1"/>
  <c r="M1865" i="1"/>
  <c r="O1206" i="1"/>
  <c r="N1206" i="1"/>
  <c r="F928" i="16"/>
  <c r="J123" i="15"/>
  <c r="J130" i="15" s="1"/>
  <c r="F896" i="16"/>
  <c r="I829" i="16"/>
  <c r="I742" i="16"/>
  <c r="I802" i="16" s="1"/>
  <c r="J136" i="15"/>
  <c r="F1105" i="16"/>
  <c r="I1011" i="16"/>
  <c r="I904" i="16"/>
  <c r="F998" i="16"/>
  <c r="I906" i="16"/>
  <c r="F1000" i="16"/>
  <c r="I1119" i="16"/>
  <c r="F1213" i="16"/>
  <c r="F987" i="16"/>
  <c r="F1056" i="16"/>
  <c r="I962" i="16"/>
  <c r="F1243" i="16"/>
  <c r="I1149" i="16"/>
  <c r="I926" i="16"/>
  <c r="F1020" i="16"/>
  <c r="I910" i="16"/>
  <c r="F1004" i="16"/>
  <c r="I912" i="16"/>
  <c r="F1006" i="16"/>
  <c r="I914" i="16"/>
  <c r="F1008" i="16"/>
  <c r="I925" i="16"/>
  <c r="F1019" i="16"/>
  <c r="I997" i="16"/>
  <c r="F1091" i="16"/>
  <c r="I902" i="16"/>
  <c r="F996" i="16"/>
  <c r="F916" i="16"/>
  <c r="F930" i="16" s="1"/>
  <c r="F990" i="16" s="1"/>
  <c r="I1002" i="16"/>
  <c r="F1096" i="16"/>
  <c r="I1012" i="16"/>
  <c r="F1106" i="16"/>
  <c r="I966" i="16"/>
  <c r="F1060" i="16"/>
  <c r="F1112" i="16"/>
  <c r="I1018" i="16"/>
  <c r="I893" i="16"/>
  <c r="J142" i="15" s="1"/>
  <c r="J144" i="15" s="1"/>
  <c r="I927" i="16"/>
  <c r="F1021" i="16"/>
  <c r="I932" i="16"/>
  <c r="F1026" i="16"/>
  <c r="I936" i="16"/>
  <c r="F1030" i="16"/>
  <c r="I938" i="16"/>
  <c r="F1032" i="16"/>
  <c r="I940" i="16"/>
  <c r="F1034" i="16"/>
  <c r="I920" i="16"/>
  <c r="F1014" i="16"/>
  <c r="I922" i="16"/>
  <c r="F1016" i="16"/>
  <c r="I964" i="16"/>
  <c r="F1058" i="16"/>
  <c r="I967" i="16"/>
  <c r="F1061" i="16"/>
  <c r="I969" i="16"/>
  <c r="F1063" i="16"/>
  <c r="I971" i="16"/>
  <c r="F1065" i="16"/>
  <c r="I973" i="16"/>
  <c r="F1067" i="16"/>
  <c r="I975" i="16"/>
  <c r="F1069" i="16"/>
  <c r="I977" i="16"/>
  <c r="F1071" i="16"/>
  <c r="I979" i="16"/>
  <c r="F1073" i="16"/>
  <c r="I981" i="16"/>
  <c r="F1075" i="16"/>
  <c r="I983" i="16"/>
  <c r="F1077" i="16"/>
  <c r="I985" i="16"/>
  <c r="F1079" i="16"/>
  <c r="I822" i="16"/>
  <c r="J135" i="15" s="1"/>
  <c r="I905" i="16"/>
  <c r="F999" i="16"/>
  <c r="I907" i="16"/>
  <c r="F1001" i="16"/>
  <c r="I933" i="16"/>
  <c r="F1027" i="16"/>
  <c r="I934" i="16"/>
  <c r="F1028" i="16"/>
  <c r="I935" i="16"/>
  <c r="F1029" i="16"/>
  <c r="I937" i="16"/>
  <c r="F1031" i="16"/>
  <c r="I939" i="16"/>
  <c r="F1033" i="16"/>
  <c r="I941" i="16"/>
  <c r="F1035" i="16"/>
  <c r="I942" i="16"/>
  <c r="F1036" i="16"/>
  <c r="I944" i="16"/>
  <c r="F1038" i="16"/>
  <c r="I946" i="16"/>
  <c r="F1040" i="16"/>
  <c r="I948" i="16"/>
  <c r="F1042" i="16"/>
  <c r="I950" i="16"/>
  <c r="F1044" i="16"/>
  <c r="I952" i="16"/>
  <c r="F1046" i="16"/>
  <c r="I954" i="16"/>
  <c r="F1048" i="16"/>
  <c r="I956" i="16"/>
  <c r="F1050" i="16"/>
  <c r="I958" i="16"/>
  <c r="F1052" i="16"/>
  <c r="I943" i="16"/>
  <c r="F1037" i="16"/>
  <c r="I945" i="16"/>
  <c r="F1039" i="16"/>
  <c r="I947" i="16"/>
  <c r="F1041" i="16"/>
  <c r="I949" i="16"/>
  <c r="F1043" i="16"/>
  <c r="I951" i="16"/>
  <c r="F1045" i="16"/>
  <c r="I953" i="16"/>
  <c r="F1047" i="16"/>
  <c r="I955" i="16"/>
  <c r="F1049" i="16"/>
  <c r="I957" i="16"/>
  <c r="F1051" i="16"/>
  <c r="I959" i="16"/>
  <c r="F1053" i="16"/>
  <c r="I913" i="16"/>
  <c r="F1007" i="16"/>
  <c r="I963" i="16"/>
  <c r="F1057" i="16"/>
  <c r="I968" i="16"/>
  <c r="F1062" i="16"/>
  <c r="I970" i="16"/>
  <c r="F1064" i="16"/>
  <c r="I972" i="16"/>
  <c r="F1066" i="16"/>
  <c r="I974" i="16"/>
  <c r="F1068" i="16"/>
  <c r="I976" i="16"/>
  <c r="F1070" i="16"/>
  <c r="I978" i="16"/>
  <c r="F1072" i="16"/>
  <c r="I980" i="16"/>
  <c r="F1074" i="16"/>
  <c r="I982" i="16"/>
  <c r="F1076" i="16"/>
  <c r="I986" i="16"/>
  <c r="F1080" i="16"/>
  <c r="I919" i="16"/>
  <c r="F1013" i="16"/>
  <c r="I921" i="16"/>
  <c r="F1015" i="16"/>
  <c r="I909" i="16"/>
  <c r="F1003" i="16"/>
  <c r="I911" i="16"/>
  <c r="F1005" i="16"/>
  <c r="I915" i="16"/>
  <c r="F1009" i="16"/>
  <c r="N564" i="17"/>
  <c r="H123" i="15"/>
  <c r="N568" i="17"/>
  <c r="N415" i="17"/>
  <c r="L1128" i="17"/>
  <c r="L1194" i="17" s="1"/>
  <c r="N406" i="17"/>
  <c r="N572" i="17"/>
  <c r="Q531" i="17"/>
  <c r="H136" i="15" s="1"/>
  <c r="N543" i="17"/>
  <c r="N529" i="17"/>
  <c r="N545" i="17"/>
  <c r="K644" i="17"/>
  <c r="J581" i="17"/>
  <c r="M581" i="17" s="1"/>
  <c r="Q581" i="17"/>
  <c r="J478" i="17"/>
  <c r="M478" i="17" s="1"/>
  <c r="L644" i="17"/>
  <c r="N581" i="17"/>
  <c r="J540" i="17"/>
  <c r="M540" i="17" s="1"/>
  <c r="M533" i="17"/>
  <c r="K659" i="17"/>
  <c r="Q596" i="17"/>
  <c r="J596" i="17"/>
  <c r="K603" i="17"/>
  <c r="K696" i="17"/>
  <c r="Q633" i="17"/>
  <c r="J633" i="17"/>
  <c r="M633" i="17" s="1"/>
  <c r="N533" i="17"/>
  <c r="L603" i="17"/>
  <c r="L659" i="17"/>
  <c r="N596" i="17"/>
  <c r="M567" i="17"/>
  <c r="N567" i="17"/>
  <c r="K699" i="17"/>
  <c r="Q636" i="17"/>
  <c r="J636" i="17"/>
  <c r="M582" i="17"/>
  <c r="K709" i="17"/>
  <c r="Q645" i="17"/>
  <c r="L725" i="17"/>
  <c r="M538" i="17"/>
  <c r="N538" i="17"/>
  <c r="Q601" i="17"/>
  <c r="K664" i="17"/>
  <c r="J601" i="17"/>
  <c r="M530" i="17"/>
  <c r="N530" i="17"/>
  <c r="K656" i="17"/>
  <c r="Q593" i="17"/>
  <c r="J593" i="17"/>
  <c r="L744" i="17"/>
  <c r="K673" i="17"/>
  <c r="J610" i="17"/>
  <c r="Q610" i="17"/>
  <c r="K691" i="17"/>
  <c r="Q628" i="17"/>
  <c r="J628" i="17"/>
  <c r="L650" i="17"/>
  <c r="L594" i="17"/>
  <c r="Q574" i="17"/>
  <c r="Q575" i="17" s="1"/>
  <c r="K668" i="17"/>
  <c r="K637" i="17"/>
  <c r="K638" i="17" s="1"/>
  <c r="G157" i="15" s="1"/>
  <c r="G159" i="15" s="1"/>
  <c r="J605" i="17"/>
  <c r="N605" i="17" s="1"/>
  <c r="Q605" i="17"/>
  <c r="L532" i="17"/>
  <c r="K653" i="17"/>
  <c r="J590" i="17"/>
  <c r="M590" i="17" s="1"/>
  <c r="Q590" i="17"/>
  <c r="L696" i="17"/>
  <c r="L662" i="17"/>
  <c r="K679" i="17"/>
  <c r="J616" i="17"/>
  <c r="Q616" i="17"/>
  <c r="Q597" i="17"/>
  <c r="K660" i="17"/>
  <c r="J597" i="17"/>
  <c r="M597" i="17" s="1"/>
  <c r="J623" i="17"/>
  <c r="M623" i="17" s="1"/>
  <c r="K686" i="17"/>
  <c r="Q623" i="17"/>
  <c r="L690" i="17"/>
  <c r="L755" i="17"/>
  <c r="L692" i="17"/>
  <c r="L757" i="17"/>
  <c r="L821" i="17" s="1"/>
  <c r="L885" i="17" s="1"/>
  <c r="L759" i="17"/>
  <c r="Q609" i="17"/>
  <c r="K672" i="17"/>
  <c r="J609" i="17"/>
  <c r="K684" i="17"/>
  <c r="Q621" i="17"/>
  <c r="J621" i="17"/>
  <c r="K675" i="17"/>
  <c r="J612" i="17"/>
  <c r="Q612" i="17"/>
  <c r="M528" i="17"/>
  <c r="N528" i="17"/>
  <c r="Q591" i="17"/>
  <c r="K654" i="17"/>
  <c r="J591" i="17"/>
  <c r="J611" i="17"/>
  <c r="K674" i="17"/>
  <c r="Q611" i="17"/>
  <c r="K685" i="17"/>
  <c r="J622" i="17"/>
  <c r="Q622" i="17"/>
  <c r="L718" i="17"/>
  <c r="M544" i="17"/>
  <c r="N544" i="17"/>
  <c r="K690" i="17"/>
  <c r="J627" i="17"/>
  <c r="M627" i="17" s="1"/>
  <c r="Q627" i="17"/>
  <c r="G135" i="15"/>
  <c r="G138" i="15" s="1"/>
  <c r="K532" i="17"/>
  <c r="K576" i="17" s="1"/>
  <c r="L665" i="17"/>
  <c r="M537" i="17"/>
  <c r="N534" i="17"/>
  <c r="N387" i="17"/>
  <c r="K695" i="17"/>
  <c r="J632" i="17"/>
  <c r="Q632" i="17"/>
  <c r="K687" i="17"/>
  <c r="Q624" i="17"/>
  <c r="J624" i="17"/>
  <c r="L646" i="17"/>
  <c r="L711" i="17"/>
  <c r="N552" i="17"/>
  <c r="N556" i="17"/>
  <c r="L751" i="17"/>
  <c r="L688" i="17"/>
  <c r="L689" i="17"/>
  <c r="L761" i="17"/>
  <c r="L825" i="17" s="1"/>
  <c r="L889" i="17" s="1"/>
  <c r="Q523" i="17"/>
  <c r="M554" i="17"/>
  <c r="N554" i="17"/>
  <c r="L651" i="17"/>
  <c r="K677" i="17"/>
  <c r="J614" i="17"/>
  <c r="Q614" i="17"/>
  <c r="L740" i="17"/>
  <c r="N527" i="17"/>
  <c r="L720" i="17"/>
  <c r="Q625" i="17"/>
  <c r="K688" i="17"/>
  <c r="J625" i="17"/>
  <c r="M625" i="17" s="1"/>
  <c r="K698" i="17"/>
  <c r="Q635" i="17"/>
  <c r="J635" i="17"/>
  <c r="M635" i="17" s="1"/>
  <c r="M550" i="17"/>
  <c r="N550" i="17"/>
  <c r="Q613" i="17"/>
  <c r="K676" i="17"/>
  <c r="J613" i="17"/>
  <c r="M557" i="17"/>
  <c r="N557" i="17"/>
  <c r="K692" i="17"/>
  <c r="Q629" i="17"/>
  <c r="J629" i="17"/>
  <c r="M629" i="17" s="1"/>
  <c r="Q540" i="17"/>
  <c r="Q541" i="17" s="1"/>
  <c r="H139" i="15" s="1"/>
  <c r="H141" i="15" s="1"/>
  <c r="K646" i="17"/>
  <c r="J583" i="17"/>
  <c r="M583" i="17" s="1"/>
  <c r="Q583" i="17"/>
  <c r="L737" i="17"/>
  <c r="L763" i="17"/>
  <c r="L748" i="17"/>
  <c r="L712" i="17"/>
  <c r="L541" i="17"/>
  <c r="K693" i="17"/>
  <c r="Q630" i="17"/>
  <c r="J630" i="17"/>
  <c r="M573" i="17"/>
  <c r="N573" i="17"/>
  <c r="K586" i="17"/>
  <c r="M519" i="17"/>
  <c r="J523" i="17"/>
  <c r="M555" i="17"/>
  <c r="N555" i="17"/>
  <c r="K681" i="17"/>
  <c r="Q618" i="17"/>
  <c r="J618" i="17"/>
  <c r="L663" i="17"/>
  <c r="L728" i="17"/>
  <c r="Q478" i="17"/>
  <c r="H124" i="15"/>
  <c r="H126" i="15" s="1"/>
  <c r="H130" i="15" s="1"/>
  <c r="L809" i="17"/>
  <c r="L873" i="17" s="1"/>
  <c r="L698" i="17"/>
  <c r="L668" i="17"/>
  <c r="L637" i="17"/>
  <c r="L513" i="17"/>
  <c r="M524" i="17"/>
  <c r="J531" i="17"/>
  <c r="M531" i="17" s="1"/>
  <c r="K594" i="17"/>
  <c r="G151" i="15" s="1"/>
  <c r="K650" i="17"/>
  <c r="Q587" i="17"/>
  <c r="J587" i="17"/>
  <c r="N587" i="17" s="1"/>
  <c r="K655" i="17"/>
  <c r="Q592" i="17"/>
  <c r="J592" i="17"/>
  <c r="M592" i="17" s="1"/>
  <c r="K669" i="17"/>
  <c r="Q606" i="17"/>
  <c r="J606" i="17"/>
  <c r="M606" i="17" s="1"/>
  <c r="M547" i="17"/>
  <c r="N547" i="17"/>
  <c r="M565" i="17"/>
  <c r="N565" i="17"/>
  <c r="G142" i="15"/>
  <c r="G144" i="15" s="1"/>
  <c r="M542" i="17"/>
  <c r="J574" i="17"/>
  <c r="J512" i="17"/>
  <c r="M511" i="17"/>
  <c r="N519" i="17"/>
  <c r="N582" i="17"/>
  <c r="L645" i="17"/>
  <c r="L586" i="17"/>
  <c r="N606" i="17"/>
  <c r="L669" i="17"/>
  <c r="N570" i="17"/>
  <c r="N536" i="17"/>
  <c r="K665" i="17"/>
  <c r="Q602" i="17"/>
  <c r="J602" i="17"/>
  <c r="M602" i="17" s="1"/>
  <c r="L686" i="17"/>
  <c r="M553" i="17"/>
  <c r="N553" i="17"/>
  <c r="L655" i="17"/>
  <c r="Q599" i="17"/>
  <c r="K662" i="17"/>
  <c r="J599" i="17"/>
  <c r="M599" i="17" s="1"/>
  <c r="K671" i="17"/>
  <c r="Q608" i="17"/>
  <c r="J608" i="17"/>
  <c r="M608" i="17" s="1"/>
  <c r="L716" i="17"/>
  <c r="K651" i="17"/>
  <c r="J588" i="17"/>
  <c r="M588" i="17" s="1"/>
  <c r="Q588" i="17"/>
  <c r="N566" i="17"/>
  <c r="M546" i="17"/>
  <c r="N546" i="17"/>
  <c r="M558" i="17"/>
  <c r="N558" i="17"/>
  <c r="M549" i="17"/>
  <c r="N549" i="17"/>
  <c r="M548" i="17"/>
  <c r="N548" i="17"/>
  <c r="M559" i="17"/>
  <c r="N559" i="17"/>
  <c r="L694" i="17"/>
  <c r="N477" i="17"/>
  <c r="M522" i="17"/>
  <c r="N522" i="17"/>
  <c r="K648" i="17"/>
  <c r="J585" i="17"/>
  <c r="Q585" i="17"/>
  <c r="Q607" i="17"/>
  <c r="K670" i="17"/>
  <c r="J607" i="17"/>
  <c r="M460" i="17"/>
  <c r="J469" i="17"/>
  <c r="M469" i="17" s="1"/>
  <c r="N539" i="17"/>
  <c r="M571" i="17"/>
  <c r="N571" i="17"/>
  <c r="K697" i="17"/>
  <c r="Q634" i="17"/>
  <c r="J634" i="17"/>
  <c r="K663" i="17"/>
  <c r="Q600" i="17"/>
  <c r="J600" i="17"/>
  <c r="L660" i="17"/>
  <c r="Q619" i="17"/>
  <c r="K682" i="17"/>
  <c r="J619" i="17"/>
  <c r="M619" i="17" s="1"/>
  <c r="M569" i="17"/>
  <c r="N569" i="17"/>
  <c r="K678" i="17"/>
  <c r="J615" i="17"/>
  <c r="M615" i="17" s="1"/>
  <c r="Q615" i="17"/>
  <c r="M535" i="17"/>
  <c r="N535" i="17"/>
  <c r="K661" i="17"/>
  <c r="Q598" i="17"/>
  <c r="J598" i="17"/>
  <c r="M561" i="17"/>
  <c r="N561" i="17"/>
  <c r="N520" i="17"/>
  <c r="N468" i="17"/>
  <c r="J450" i="17"/>
  <c r="M450" i="17" s="1"/>
  <c r="M449" i="17"/>
  <c r="N460" i="17"/>
  <c r="M526" i="17"/>
  <c r="N526" i="17"/>
  <c r="Q589" i="17"/>
  <c r="K652" i="17"/>
  <c r="J589" i="17"/>
  <c r="L739" i="17"/>
  <c r="L741" i="17"/>
  <c r="L678" i="17"/>
  <c r="N615" i="17"/>
  <c r="L743" i="17"/>
  <c r="L682" i="17"/>
  <c r="L747" i="17"/>
  <c r="L749" i="17"/>
  <c r="N562" i="17"/>
  <c r="N563" i="17"/>
  <c r="M521" i="17"/>
  <c r="N521" i="17"/>
  <c r="Q584" i="17"/>
  <c r="K647" i="17"/>
  <c r="J584" i="17"/>
  <c r="Q617" i="17"/>
  <c r="K680" i="17"/>
  <c r="J617" i="17"/>
  <c r="N525" i="17"/>
  <c r="M551" i="17"/>
  <c r="N551" i="17"/>
  <c r="K694" i="17"/>
  <c r="J631" i="17"/>
  <c r="M631" i="17" s="1"/>
  <c r="Q631" i="17"/>
  <c r="L653" i="17"/>
  <c r="Q469" i="17"/>
  <c r="L734" i="17"/>
  <c r="L671" i="17"/>
  <c r="K683" i="17"/>
  <c r="J620" i="17"/>
  <c r="Q620" i="17"/>
  <c r="K689" i="17"/>
  <c r="J626" i="17"/>
  <c r="M626" i="17" s="1"/>
  <c r="Q626" i="17"/>
  <c r="O991" i="1"/>
  <c r="G1127" i="13"/>
  <c r="G1115" i="13"/>
  <c r="O1108" i="1"/>
  <c r="M1151" i="1"/>
  <c r="J998" i="13"/>
  <c r="N1100" i="1"/>
  <c r="K1109" i="1"/>
  <c r="O1109" i="1" s="1"/>
  <c r="J1127" i="13"/>
  <c r="O1113" i="1"/>
  <c r="K1121" i="1"/>
  <c r="N1113" i="1"/>
  <c r="N1128" i="1"/>
  <c r="K1150" i="1"/>
  <c r="O1120" i="1"/>
  <c r="O1146" i="1"/>
  <c r="J1115" i="13"/>
  <c r="M1123" i="1"/>
  <c r="O1149" i="1"/>
  <c r="O1133" i="1"/>
  <c r="O1128" i="1"/>
  <c r="O1136" i="1"/>
  <c r="D150" i="15"/>
  <c r="K1089" i="1"/>
  <c r="N1072" i="1"/>
  <c r="O1072" i="1"/>
  <c r="D123" i="15"/>
  <c r="E120" i="15"/>
  <c r="M1006" i="1"/>
  <c r="O1016" i="1"/>
  <c r="N917" i="1"/>
  <c r="N918" i="1" s="1"/>
  <c r="K918" i="1"/>
  <c r="D127" i="15" s="1"/>
  <c r="K890" i="1"/>
  <c r="O890" i="1" s="1"/>
  <c r="O891" i="1" s="1"/>
  <c r="N876" i="1"/>
  <c r="I124" i="15"/>
  <c r="I126" i="15" s="1"/>
  <c r="I130" i="15" s="1"/>
  <c r="J897" i="13"/>
  <c r="J924" i="13" s="1"/>
  <c r="O876" i="1"/>
  <c r="M1034" i="1"/>
  <c r="J1010" i="13"/>
  <c r="N856" i="1"/>
  <c r="O856" i="1"/>
  <c r="N1011" i="1"/>
  <c r="K1033" i="1"/>
  <c r="F124" i="15"/>
  <c r="F126" i="15" s="1"/>
  <c r="F130" i="15" s="1"/>
  <c r="G897" i="13"/>
  <c r="G924" i="13" s="1"/>
  <c r="N983" i="1"/>
  <c r="K992" i="1"/>
  <c r="O983" i="1"/>
  <c r="O1019" i="1"/>
  <c r="N1019" i="1"/>
  <c r="O1025" i="1"/>
  <c r="O996" i="1"/>
  <c r="N996" i="1"/>
  <c r="K1004" i="1"/>
  <c r="N1004" i="1" s="1"/>
  <c r="J1038" i="13"/>
  <c r="J1039" i="13" s="1"/>
  <c r="I142" i="15" s="1"/>
  <c r="I144" i="15" s="1"/>
  <c r="G998" i="13"/>
  <c r="M891" i="1"/>
  <c r="M919" i="1" s="1"/>
  <c r="G1038" i="13"/>
  <c r="G1039" i="13" s="1"/>
  <c r="F142" i="15" s="1"/>
  <c r="F144" i="15" s="1"/>
  <c r="O1011" i="1"/>
  <c r="G1010" i="13"/>
  <c r="N972" i="1"/>
  <c r="O972" i="1"/>
  <c r="D138" i="15"/>
  <c r="E135" i="15"/>
  <c r="F109" i="15"/>
  <c r="F111" i="15" s="1"/>
  <c r="F115" i="15" s="1"/>
  <c r="G809" i="13"/>
  <c r="I109" i="15"/>
  <c r="I111" i="15" s="1"/>
  <c r="I115" i="15" s="1"/>
  <c r="J809" i="13"/>
  <c r="D79" i="15"/>
  <c r="K574" i="1"/>
  <c r="N461" i="1"/>
  <c r="O461" i="1"/>
  <c r="D99" i="15"/>
  <c r="E99" i="15" s="1"/>
  <c r="E97" i="15"/>
  <c r="E51" i="15"/>
  <c r="D55" i="15"/>
  <c r="E55" i="15" s="1"/>
  <c r="N660" i="1"/>
  <c r="N661" i="1" s="1"/>
  <c r="K661" i="1"/>
  <c r="O660" i="1"/>
  <c r="O661" i="1" s="1"/>
  <c r="E64" i="15"/>
  <c r="D66" i="15"/>
  <c r="O773" i="1"/>
  <c r="O802" i="1"/>
  <c r="O803" i="1" s="1"/>
  <c r="N802" i="1"/>
  <c r="N803" i="1" s="1"/>
  <c r="K803" i="1"/>
  <c r="D112" i="15" s="1"/>
  <c r="K775" i="1"/>
  <c r="O775" i="1" s="1"/>
  <c r="O776" i="1" s="1"/>
  <c r="N761" i="1"/>
  <c r="E108" i="15"/>
  <c r="M776" i="1"/>
  <c r="M804" i="1" s="1"/>
  <c r="I43" i="16"/>
  <c r="I195" i="15" l="1"/>
  <c r="I198" i="15" s="1"/>
  <c r="I205" i="15" s="1"/>
  <c r="J1446" i="13"/>
  <c r="F195" i="15"/>
  <c r="F198" i="15" s="1"/>
  <c r="F205" i="15" s="1"/>
  <c r="G1446" i="13"/>
  <c r="I169" i="15"/>
  <c r="I171" i="15" s="1"/>
  <c r="I175" i="15" s="1"/>
  <c r="J1274" i="13"/>
  <c r="F169" i="15"/>
  <c r="F171" i="15" s="1"/>
  <c r="F175" i="15" s="1"/>
  <c r="G1274" i="13"/>
  <c r="N633" i="17"/>
  <c r="J138" i="15"/>
  <c r="M1982" i="1"/>
  <c r="M1358" i="1"/>
  <c r="M1730" i="1"/>
  <c r="K1750" i="1"/>
  <c r="L1867" i="1"/>
  <c r="G1756" i="13"/>
  <c r="J1756" i="13" s="1"/>
  <c r="M1892" i="1"/>
  <c r="M1779" i="1"/>
  <c r="N1659" i="1"/>
  <c r="O1659" i="1"/>
  <c r="M1729" i="1"/>
  <c r="M1769" i="1"/>
  <c r="M1879" i="1"/>
  <c r="M1473" i="1"/>
  <c r="L1888" i="1"/>
  <c r="G1777" i="13"/>
  <c r="J1777" i="13" s="1"/>
  <c r="K1771" i="1"/>
  <c r="L1868" i="1"/>
  <c r="G1757" i="13"/>
  <c r="J1757" i="13" s="1"/>
  <c r="K1751" i="1"/>
  <c r="M1687" i="1"/>
  <c r="M1576" i="1"/>
  <c r="N1539" i="1"/>
  <c r="O1539" i="1"/>
  <c r="M1980" i="1"/>
  <c r="M1870" i="1"/>
  <c r="G1502" i="13"/>
  <c r="J1499" i="13"/>
  <c r="J1502" i="13" s="1"/>
  <c r="O1481" i="1"/>
  <c r="K1556" i="1"/>
  <c r="N1545" i="1"/>
  <c r="K1757" i="1"/>
  <c r="L1874" i="1"/>
  <c r="G1763" i="13"/>
  <c r="J1763" i="13" s="1"/>
  <c r="N1625" i="1"/>
  <c r="O1625" i="1"/>
  <c r="N1347" i="1"/>
  <c r="K1355" i="1"/>
  <c r="N1355" i="1" s="1"/>
  <c r="N1454" i="1"/>
  <c r="O1454" i="1"/>
  <c r="L1676" i="1"/>
  <c r="K1559" i="1"/>
  <c r="N1559" i="1" s="1"/>
  <c r="G1565" i="13"/>
  <c r="J1565" i="13" s="1"/>
  <c r="M1614" i="1"/>
  <c r="M1728" i="1"/>
  <c r="G1465" i="13"/>
  <c r="J1458" i="13"/>
  <c r="J1465" i="13" s="1"/>
  <c r="K1484" i="1"/>
  <c r="N1484" i="1" s="1"/>
  <c r="N1480" i="1"/>
  <c r="M1985" i="1"/>
  <c r="N1627" i="1"/>
  <c r="O1627" i="1"/>
  <c r="N1664" i="1"/>
  <c r="O1664" i="1"/>
  <c r="O1511" i="1"/>
  <c r="N1511" i="1"/>
  <c r="O1478" i="1"/>
  <c r="K1606" i="1"/>
  <c r="L1723" i="1"/>
  <c r="G1612" i="13"/>
  <c r="J1612" i="13" s="1"/>
  <c r="N1630" i="1"/>
  <c r="O1630" i="1"/>
  <c r="M2014" i="1"/>
  <c r="M1699" i="1"/>
  <c r="M1588" i="1"/>
  <c r="N1457" i="1"/>
  <c r="O1457" i="1"/>
  <c r="M1717" i="1"/>
  <c r="K1759" i="1"/>
  <c r="L1876" i="1"/>
  <c r="G1765" i="13"/>
  <c r="J1765" i="13" s="1"/>
  <c r="O1445" i="1"/>
  <c r="N1461" i="1"/>
  <c r="K1464" i="1"/>
  <c r="M1692" i="1"/>
  <c r="M2006" i="1"/>
  <c r="K1772" i="1"/>
  <c r="L1889" i="1"/>
  <c r="G1778" i="13"/>
  <c r="J1778" i="13" s="1"/>
  <c r="N1651" i="1"/>
  <c r="O1651" i="1"/>
  <c r="K1356" i="1"/>
  <c r="N1356" i="1" s="1"/>
  <c r="L1473" i="1"/>
  <c r="G1362" i="13"/>
  <c r="J1362" i="13" s="1"/>
  <c r="M1696" i="1"/>
  <c r="K1600" i="1"/>
  <c r="N1600" i="1" s="1"/>
  <c r="L1717" i="1"/>
  <c r="G1606" i="13"/>
  <c r="J1606" i="13" s="1"/>
  <c r="G1498" i="13"/>
  <c r="J1494" i="13"/>
  <c r="J1498" i="13" s="1"/>
  <c r="M2016" i="1"/>
  <c r="L1683" i="1"/>
  <c r="G1572" i="13"/>
  <c r="J1572" i="13" s="1"/>
  <c r="K1566" i="1"/>
  <c r="N1566" i="1" s="1"/>
  <c r="N1455" i="1"/>
  <c r="O1455" i="1"/>
  <c r="O1490" i="1"/>
  <c r="J1630" i="13"/>
  <c r="J1634" i="13" s="1"/>
  <c r="G1634" i="13"/>
  <c r="M2019" i="1"/>
  <c r="K1752" i="1"/>
  <c r="L1869" i="1"/>
  <c r="G1758" i="13"/>
  <c r="J1758" i="13" s="1"/>
  <c r="M1722" i="1"/>
  <c r="M1610" i="1"/>
  <c r="M2011" i="1"/>
  <c r="N1671" i="1"/>
  <c r="O1671" i="1"/>
  <c r="N1631" i="1"/>
  <c r="O1631" i="1"/>
  <c r="M1681" i="1"/>
  <c r="G1678" i="13"/>
  <c r="J1669" i="13"/>
  <c r="J1678" i="13" s="1"/>
  <c r="K1770" i="1"/>
  <c r="L1887" i="1"/>
  <c r="G1776" i="13"/>
  <c r="L1773" i="1"/>
  <c r="O1383" i="1"/>
  <c r="L1675" i="1"/>
  <c r="G1564" i="13"/>
  <c r="K1558" i="1"/>
  <c r="L1568" i="1"/>
  <c r="N1643" i="1"/>
  <c r="O1643" i="1"/>
  <c r="O1355" i="1"/>
  <c r="L1895" i="1"/>
  <c r="G1784" i="13"/>
  <c r="J1784" i="13" s="1"/>
  <c r="K1778" i="1"/>
  <c r="N1638" i="1"/>
  <c r="O1638" i="1"/>
  <c r="M2017" i="1"/>
  <c r="D196" i="15"/>
  <c r="E196" i="15" s="1"/>
  <c r="N1439" i="1"/>
  <c r="K1786" i="1"/>
  <c r="L1903" i="1"/>
  <c r="G1792" i="13"/>
  <c r="J1792" i="13" s="1"/>
  <c r="L1687" i="1"/>
  <c r="K1570" i="1"/>
  <c r="N1570" i="1" s="1"/>
  <c r="G1576" i="13"/>
  <c r="J1576" i="13" s="1"/>
  <c r="L1900" i="1"/>
  <c r="G1789" i="13"/>
  <c r="J1789" i="13" s="1"/>
  <c r="K1783" i="1"/>
  <c r="K1573" i="1"/>
  <c r="N1573" i="1" s="1"/>
  <c r="L1690" i="1"/>
  <c r="G1579" i="13"/>
  <c r="J1579" i="13" s="1"/>
  <c r="K1603" i="1"/>
  <c r="L1720" i="1"/>
  <c r="G1609" i="13"/>
  <c r="J1609" i="13" s="1"/>
  <c r="O1556" i="1"/>
  <c r="K1471" i="1"/>
  <c r="N1471" i="1" s="1"/>
  <c r="N1465" i="1"/>
  <c r="K1880" i="1"/>
  <c r="L1997" i="1"/>
  <c r="G1886" i="13"/>
  <c r="J1886" i="13" s="1"/>
  <c r="O1463" i="1"/>
  <c r="L1682" i="1"/>
  <c r="K1565" i="1"/>
  <c r="N1565" i="1" s="1"/>
  <c r="G1571" i="13"/>
  <c r="J1571" i="13" s="1"/>
  <c r="K1764" i="1"/>
  <c r="L1881" i="1"/>
  <c r="G1770" i="13"/>
  <c r="J1770" i="13" s="1"/>
  <c r="M1683" i="1"/>
  <c r="O1566" i="1"/>
  <c r="M1721" i="1"/>
  <c r="M1836" i="1"/>
  <c r="O1354" i="1"/>
  <c r="K1500" i="1"/>
  <c r="N1500" i="1" s="1"/>
  <c r="N1498" i="1"/>
  <c r="G1349" i="13"/>
  <c r="J1562" i="13"/>
  <c r="I211" i="15" s="1"/>
  <c r="O1466" i="1"/>
  <c r="K1487" i="1"/>
  <c r="N1485" i="1"/>
  <c r="O1485" i="1"/>
  <c r="O1468" i="1"/>
  <c r="O1380" i="1"/>
  <c r="K1595" i="1"/>
  <c r="N1595" i="1" s="1"/>
  <c r="L1712" i="1"/>
  <c r="G1601" i="13"/>
  <c r="J1601" i="13" s="1"/>
  <c r="M1862" i="1"/>
  <c r="M1975" i="1"/>
  <c r="L1716" i="1"/>
  <c r="G1605" i="13"/>
  <c r="J1605" i="13" s="1"/>
  <c r="K1599" i="1"/>
  <c r="N1599" i="1" s="1"/>
  <c r="M1998" i="1"/>
  <c r="M1596" i="1"/>
  <c r="M1710" i="1"/>
  <c r="K1564" i="1"/>
  <c r="N1564" i="1" s="1"/>
  <c r="L1681" i="1"/>
  <c r="G1570" i="13"/>
  <c r="J1570" i="13" s="1"/>
  <c r="N1654" i="1"/>
  <c r="O1654" i="1"/>
  <c r="N1634" i="1"/>
  <c r="O1634" i="1"/>
  <c r="N1494" i="1"/>
  <c r="K1497" i="1"/>
  <c r="N1497" i="1" s="1"/>
  <c r="M1715" i="1"/>
  <c r="M2010" i="1"/>
  <c r="M1695" i="1"/>
  <c r="M1581" i="1"/>
  <c r="O1578" i="1"/>
  <c r="M1983" i="1"/>
  <c r="M1385" i="1"/>
  <c r="L1576" i="1"/>
  <c r="L1686" i="1"/>
  <c r="G1575" i="13"/>
  <c r="K1569" i="1"/>
  <c r="L1714" i="1"/>
  <c r="G1603" i="13"/>
  <c r="K1597" i="1"/>
  <c r="L1601" i="1"/>
  <c r="M2020" i="1"/>
  <c r="L1684" i="1"/>
  <c r="G1573" i="13"/>
  <c r="J1573" i="13" s="1"/>
  <c r="K1567" i="1"/>
  <c r="N1567" i="1" s="1"/>
  <c r="N1626" i="1"/>
  <c r="O1626" i="1"/>
  <c r="N1489" i="1"/>
  <c r="O1489" i="1"/>
  <c r="M1725" i="1"/>
  <c r="N1519" i="1"/>
  <c r="O1519" i="1"/>
  <c r="K1574" i="1"/>
  <c r="L1691" i="1"/>
  <c r="G1580" i="13"/>
  <c r="J1580" i="13" s="1"/>
  <c r="N1660" i="1"/>
  <c r="O1660" i="1"/>
  <c r="D195" i="15"/>
  <c r="K1440" i="1"/>
  <c r="O1440" i="1" s="1"/>
  <c r="N1423" i="1"/>
  <c r="O1423" i="1"/>
  <c r="O1637" i="1"/>
  <c r="N1637" i="1"/>
  <c r="K1644" i="1"/>
  <c r="G1584" i="13"/>
  <c r="L1695" i="1"/>
  <c r="L1581" i="1"/>
  <c r="K1578" i="1"/>
  <c r="G1541" i="13"/>
  <c r="J1534" i="13"/>
  <c r="J1541" i="13" s="1"/>
  <c r="J1546" i="13" s="1"/>
  <c r="M1992" i="1"/>
  <c r="G1485" i="13"/>
  <c r="J1482" i="13"/>
  <c r="J1485" i="13" s="1"/>
  <c r="E168" i="15"/>
  <c r="M1460" i="1"/>
  <c r="K1768" i="1"/>
  <c r="L1885" i="1"/>
  <c r="G1774" i="13"/>
  <c r="J1774" i="13" s="1"/>
  <c r="M2135" i="1"/>
  <c r="L1858" i="1"/>
  <c r="K1741" i="1"/>
  <c r="G1747" i="13"/>
  <c r="L1745" i="1"/>
  <c r="K1788" i="1"/>
  <c r="L1905" i="1"/>
  <c r="G1794" i="13"/>
  <c r="J1794" i="13" s="1"/>
  <c r="M1701" i="1"/>
  <c r="G1754" i="13"/>
  <c r="J1754" i="13" s="1"/>
  <c r="L1865" i="1"/>
  <c r="K1748" i="1"/>
  <c r="O1447" i="1"/>
  <c r="K1780" i="1"/>
  <c r="L1897" i="1"/>
  <c r="G1786" i="13"/>
  <c r="L1460" i="1"/>
  <c r="L1474" i="1" s="1"/>
  <c r="L1475" i="1" s="1"/>
  <c r="O1238" i="1"/>
  <c r="N1658" i="1"/>
  <c r="K1662" i="1"/>
  <c r="M1984" i="1"/>
  <c r="O1347" i="1"/>
  <c r="N1667" i="1"/>
  <c r="O1667" i="1"/>
  <c r="N1661" i="1"/>
  <c r="O1661" i="1"/>
  <c r="N1370" i="1"/>
  <c r="O1370" i="1"/>
  <c r="G1361" i="13"/>
  <c r="L1866" i="1"/>
  <c r="K1749" i="1"/>
  <c r="G1755" i="13"/>
  <c r="J1755" i="13" s="1"/>
  <c r="M1976" i="1"/>
  <c r="M1805" i="1"/>
  <c r="K1584" i="1"/>
  <c r="N1584" i="1" s="1"/>
  <c r="L1701" i="1"/>
  <c r="G1590" i="13"/>
  <c r="J1590" i="13" s="1"/>
  <c r="G1389" i="13"/>
  <c r="G1390" i="13" s="1"/>
  <c r="F187" i="15" s="1"/>
  <c r="F189" i="15" s="1"/>
  <c r="N1666" i="1"/>
  <c r="O1666" i="1"/>
  <c r="O1450" i="1"/>
  <c r="N1486" i="1"/>
  <c r="O1486" i="1"/>
  <c r="M1878" i="1"/>
  <c r="M1988" i="1"/>
  <c r="M2005" i="1"/>
  <c r="G1477" i="13"/>
  <c r="J1471" i="13"/>
  <c r="J1477" i="13" s="1"/>
  <c r="G1546" i="13"/>
  <c r="O1482" i="1"/>
  <c r="L1725" i="1"/>
  <c r="G1614" i="13"/>
  <c r="J1614" i="13" s="1"/>
  <c r="K1608" i="1"/>
  <c r="N1608" i="1" s="1"/>
  <c r="M1697" i="1"/>
  <c r="N1665" i="1"/>
  <c r="O1665" i="1"/>
  <c r="N1629" i="1"/>
  <c r="K1636" i="1"/>
  <c r="O1629" i="1"/>
  <c r="O1442" i="1"/>
  <c r="O1498" i="1"/>
  <c r="J1349" i="13"/>
  <c r="G1562" i="13"/>
  <c r="F211" i="15" s="1"/>
  <c r="M1700" i="1"/>
  <c r="L1719" i="1"/>
  <c r="K1602" i="1"/>
  <c r="G1608" i="13"/>
  <c r="L1604" i="1"/>
  <c r="N1418" i="1"/>
  <c r="O1418" i="1"/>
  <c r="M1702" i="1"/>
  <c r="O1480" i="1"/>
  <c r="K1560" i="1"/>
  <c r="N1560" i="1" s="1"/>
  <c r="L1677" i="1"/>
  <c r="G1566" i="13"/>
  <c r="J1566" i="13" s="1"/>
  <c r="L1715" i="1"/>
  <c r="K1598" i="1"/>
  <c r="N1598" i="1" s="1"/>
  <c r="G1604" i="13"/>
  <c r="J1604" i="13" s="1"/>
  <c r="M1774" i="1"/>
  <c r="N1633" i="1"/>
  <c r="O1633" i="1"/>
  <c r="M1501" i="1"/>
  <c r="L1893" i="1"/>
  <c r="K1776" i="1"/>
  <c r="G1782" i="13"/>
  <c r="J1782" i="13" s="1"/>
  <c r="M2107" i="1"/>
  <c r="L1614" i="1"/>
  <c r="L1728" i="1"/>
  <c r="K1611" i="1"/>
  <c r="G1616" i="13"/>
  <c r="K1343" i="1"/>
  <c r="N1334" i="1"/>
  <c r="N1640" i="1"/>
  <c r="O1640" i="1"/>
  <c r="M1978" i="1"/>
  <c r="L1733" i="1"/>
  <c r="G1622" i="13"/>
  <c r="K1616" i="1"/>
  <c r="N1616" i="1" s="1"/>
  <c r="G1621" i="13"/>
  <c r="N1527" i="1"/>
  <c r="O1527" i="1"/>
  <c r="L1702" i="1"/>
  <c r="G1591" i="13"/>
  <c r="J1591" i="13" s="1"/>
  <c r="K1585" i="1"/>
  <c r="N1585" i="1" s="1"/>
  <c r="K1571" i="1"/>
  <c r="L1688" i="1"/>
  <c r="G1577" i="13"/>
  <c r="J1577" i="13" s="1"/>
  <c r="L1873" i="1"/>
  <c r="K1756" i="1"/>
  <c r="G1762" i="13"/>
  <c r="J1762" i="13" s="1"/>
  <c r="N1362" i="1"/>
  <c r="M1726" i="1"/>
  <c r="M1657" i="1"/>
  <c r="K1612" i="1"/>
  <c r="N1612" i="1" s="1"/>
  <c r="L1729" i="1"/>
  <c r="G1617" i="13"/>
  <c r="J1617" i="13" s="1"/>
  <c r="L1902" i="1"/>
  <c r="G1791" i="13"/>
  <c r="J1791" i="13" s="1"/>
  <c r="K1785" i="1"/>
  <c r="M1890" i="1"/>
  <c r="M2004" i="1"/>
  <c r="F1183" i="16"/>
  <c r="I1089" i="16"/>
  <c r="L1678" i="1"/>
  <c r="K1561" i="1"/>
  <c r="N1561" i="1" s="1"/>
  <c r="G1567" i="13"/>
  <c r="J1567" i="13" s="1"/>
  <c r="O1443" i="1"/>
  <c r="L1700" i="1"/>
  <c r="G1589" i="13"/>
  <c r="J1589" i="13" s="1"/>
  <c r="K1583" i="1"/>
  <c r="N1583" i="1" s="1"/>
  <c r="O1471" i="1"/>
  <c r="N1642" i="1"/>
  <c r="O1642" i="1"/>
  <c r="G1650" i="13"/>
  <c r="J1643" i="13"/>
  <c r="J1650" i="13" s="1"/>
  <c r="M1986" i="1"/>
  <c r="G1470" i="13"/>
  <c r="J1467" i="13"/>
  <c r="J1470" i="13" s="1"/>
  <c r="J1478" i="13" s="1"/>
  <c r="K1535" i="1"/>
  <c r="N1528" i="1"/>
  <c r="O1528" i="1"/>
  <c r="K1607" i="1"/>
  <c r="N1607" i="1" s="1"/>
  <c r="L1724" i="1"/>
  <c r="G1613" i="13"/>
  <c r="J1613" i="13" s="1"/>
  <c r="L1710" i="1"/>
  <c r="G1599" i="13"/>
  <c r="K1593" i="1"/>
  <c r="O1593" i="1" s="1"/>
  <c r="L1596" i="1"/>
  <c r="M1675" i="1"/>
  <c r="M1568" i="1"/>
  <c r="M1577" i="1" s="1"/>
  <c r="M1837" i="1"/>
  <c r="O1488" i="1"/>
  <c r="N1488" i="1"/>
  <c r="M1993" i="1"/>
  <c r="L1875" i="1"/>
  <c r="K1758" i="1"/>
  <c r="G1764" i="13"/>
  <c r="J1764" i="13" s="1"/>
  <c r="M2094" i="1"/>
  <c r="G1662" i="13"/>
  <c r="J1659" i="13"/>
  <c r="J1662" i="13" s="1"/>
  <c r="M1981" i="1"/>
  <c r="J1447" i="13"/>
  <c r="J1457" i="13" s="1"/>
  <c r="J1466" i="13" s="1"/>
  <c r="G1457" i="13"/>
  <c r="G1466" i="13" s="1"/>
  <c r="J1664" i="13"/>
  <c r="J1668" i="13" s="1"/>
  <c r="J1679" i="13" s="1"/>
  <c r="I226" i="15" s="1"/>
  <c r="G1668" i="13"/>
  <c r="G1679" i="13" s="1"/>
  <c r="F226" i="15" s="1"/>
  <c r="K1784" i="1"/>
  <c r="L1901" i="1"/>
  <c r="G1790" i="13"/>
  <c r="J1790" i="13" s="1"/>
  <c r="K1755" i="1"/>
  <c r="L1872" i="1"/>
  <c r="G1761" i="13"/>
  <c r="J1761" i="13" s="1"/>
  <c r="J1361" i="13"/>
  <c r="N1632" i="1"/>
  <c r="O1632" i="1"/>
  <c r="M1840" i="1"/>
  <c r="L1904" i="1"/>
  <c r="G1793" i="13"/>
  <c r="J1793" i="13" s="1"/>
  <c r="K1787" i="1"/>
  <c r="M1991" i="1"/>
  <c r="O1567" i="1"/>
  <c r="M1684" i="1"/>
  <c r="K1586" i="1"/>
  <c r="N1586" i="1" s="1"/>
  <c r="L1703" i="1"/>
  <c r="G1592" i="13"/>
  <c r="J1592" i="13" s="1"/>
  <c r="L1492" i="1"/>
  <c r="K1375" i="1"/>
  <c r="L1376" i="1"/>
  <c r="L1384" i="1" s="1"/>
  <c r="L1385" i="1" s="1"/>
  <c r="L1386" i="1" s="1"/>
  <c r="L1699" i="1"/>
  <c r="G1588" i="13"/>
  <c r="L1588" i="1"/>
  <c r="K1582" i="1"/>
  <c r="O1599" i="1"/>
  <c r="M1716" i="1"/>
  <c r="N1555" i="1"/>
  <c r="O1555" i="1"/>
  <c r="O1469" i="1"/>
  <c r="J1635" i="13"/>
  <c r="G1642" i="13"/>
  <c r="O1439" i="1"/>
  <c r="O1559" i="1"/>
  <c r="M1676" i="1"/>
  <c r="O1477" i="1"/>
  <c r="O1500" i="1"/>
  <c r="K1579" i="1"/>
  <c r="N1579" i="1" s="1"/>
  <c r="L1696" i="1"/>
  <c r="G1585" i="13"/>
  <c r="J1585" i="13" s="1"/>
  <c r="M1690" i="1"/>
  <c r="O1573" i="1"/>
  <c r="M1714" i="1"/>
  <c r="O1597" i="1"/>
  <c r="M1601" i="1"/>
  <c r="O1323" i="1"/>
  <c r="N1323" i="1"/>
  <c r="L1260" i="17"/>
  <c r="O1334" i="1"/>
  <c r="K1562" i="1"/>
  <c r="N1562" i="1" s="1"/>
  <c r="L1679" i="1"/>
  <c r="G1568" i="13"/>
  <c r="J1568" i="13" s="1"/>
  <c r="M1673" i="1"/>
  <c r="O1662" i="1"/>
  <c r="M2015" i="1"/>
  <c r="O1561" i="1"/>
  <c r="M1678" i="1"/>
  <c r="M1474" i="1"/>
  <c r="L1704" i="1"/>
  <c r="G1593" i="13"/>
  <c r="J1593" i="13" s="1"/>
  <c r="K1587" i="1"/>
  <c r="N1587" i="1" s="1"/>
  <c r="M1704" i="1"/>
  <c r="K1742" i="1"/>
  <c r="L1859" i="1"/>
  <c r="G1748" i="13"/>
  <c r="J1748" i="13" s="1"/>
  <c r="O1497" i="1"/>
  <c r="N1639" i="1"/>
  <c r="O1639" i="1"/>
  <c r="K1459" i="1"/>
  <c r="N1459" i="1" s="1"/>
  <c r="N1452" i="1"/>
  <c r="O1452" i="1"/>
  <c r="G1490" i="13"/>
  <c r="J1486" i="13"/>
  <c r="J1490" i="13" s="1"/>
  <c r="K1744" i="1"/>
  <c r="L1861" i="1"/>
  <c r="G1750" i="13"/>
  <c r="J1750" i="13" s="1"/>
  <c r="L1898" i="1"/>
  <c r="K1781" i="1"/>
  <c r="G1787" i="13"/>
  <c r="J1787" i="13" s="1"/>
  <c r="L1711" i="1"/>
  <c r="K1594" i="1"/>
  <c r="N1594" i="1" s="1"/>
  <c r="G1600" i="13"/>
  <c r="J1600" i="13" s="1"/>
  <c r="L1697" i="1"/>
  <c r="G1586" i="13"/>
  <c r="J1586" i="13" s="1"/>
  <c r="K1580" i="1"/>
  <c r="N1580" i="1" s="1"/>
  <c r="N1668" i="1"/>
  <c r="O1668" i="1"/>
  <c r="O1616" i="1"/>
  <c r="M1733" i="1"/>
  <c r="M1712" i="1"/>
  <c r="O1595" i="1"/>
  <c r="G1749" i="13"/>
  <c r="J1749" i="13" s="1"/>
  <c r="L1860" i="1"/>
  <c r="K1743" i="1"/>
  <c r="K1747" i="1"/>
  <c r="L1864" i="1"/>
  <c r="G1753" i="13"/>
  <c r="J1753" i="13" s="1"/>
  <c r="O1560" i="1"/>
  <c r="M1677" i="1"/>
  <c r="L1692" i="1"/>
  <c r="G1581" i="13"/>
  <c r="J1581" i="13" s="1"/>
  <c r="K1575" i="1"/>
  <c r="N1575" i="1" s="1"/>
  <c r="O1562" i="1"/>
  <c r="M1679" i="1"/>
  <c r="L1894" i="1"/>
  <c r="G1783" i="13"/>
  <c r="J1783" i="13" s="1"/>
  <c r="K1777" i="1"/>
  <c r="M1994" i="1"/>
  <c r="L1871" i="1"/>
  <c r="K1754" i="1"/>
  <c r="G1760" i="13"/>
  <c r="L1761" i="1"/>
  <c r="O1458" i="1"/>
  <c r="L1652" i="1"/>
  <c r="L1657" i="1" s="1"/>
  <c r="L1674" i="1" s="1"/>
  <c r="L1762" i="1"/>
  <c r="K1645" i="1"/>
  <c r="G1651" i="13"/>
  <c r="K1479" i="1"/>
  <c r="N1476" i="1"/>
  <c r="N1655" i="1"/>
  <c r="O1655" i="1"/>
  <c r="L1730" i="1"/>
  <c r="K1613" i="1"/>
  <c r="N1613" i="1" s="1"/>
  <c r="G1618" i="13"/>
  <c r="J1618" i="13" s="1"/>
  <c r="N1226" i="1"/>
  <c r="K1240" i="1"/>
  <c r="L1722" i="1"/>
  <c r="G1611" i="13"/>
  <c r="K1605" i="1"/>
  <c r="L1689" i="1"/>
  <c r="K1572" i="1"/>
  <c r="G1578" i="13"/>
  <c r="J1578" i="13" s="1"/>
  <c r="M1724" i="1"/>
  <c r="O1607" i="1"/>
  <c r="K1628" i="1"/>
  <c r="N1624" i="1"/>
  <c r="O1624" i="1"/>
  <c r="N1641" i="1"/>
  <c r="O1641" i="1"/>
  <c r="N1635" i="1"/>
  <c r="O1635" i="1"/>
  <c r="O1565" i="1"/>
  <c r="M1682" i="1"/>
  <c r="J1642" i="13"/>
  <c r="M1989" i="1"/>
  <c r="K1672" i="1"/>
  <c r="N1663" i="1"/>
  <c r="O1663" i="1"/>
  <c r="K1656" i="1"/>
  <c r="N1653" i="1"/>
  <c r="O1653" i="1"/>
  <c r="N1441" i="1"/>
  <c r="K1451" i="1"/>
  <c r="L1877" i="1"/>
  <c r="K1760" i="1"/>
  <c r="G1766" i="13"/>
  <c r="J1766" i="13" s="1"/>
  <c r="L1892" i="1"/>
  <c r="G1781" i="13"/>
  <c r="L1779" i="1"/>
  <c r="L1790" i="1" s="1"/>
  <c r="K1775" i="1"/>
  <c r="O1563" i="1"/>
  <c r="M1680" i="1"/>
  <c r="M1920" i="1"/>
  <c r="M2002" i="1"/>
  <c r="N1670" i="1"/>
  <c r="O1670" i="1"/>
  <c r="N1669" i="1"/>
  <c r="O1669" i="1"/>
  <c r="M2114" i="1"/>
  <c r="O1545" i="1"/>
  <c r="O1362" i="1"/>
  <c r="N1258" i="1"/>
  <c r="O1258" i="1"/>
  <c r="K1259" i="1"/>
  <c r="N1763" i="1"/>
  <c r="O1763" i="1"/>
  <c r="L1680" i="1"/>
  <c r="K1563" i="1"/>
  <c r="N1563" i="1" s="1"/>
  <c r="G1569" i="13"/>
  <c r="J1569" i="13" s="1"/>
  <c r="K1782" i="1"/>
  <c r="L1899" i="1"/>
  <c r="G1788" i="13"/>
  <c r="J1788" i="13" s="1"/>
  <c r="M1703" i="1"/>
  <c r="O1586" i="1"/>
  <c r="N1647" i="1"/>
  <c r="O1647" i="1"/>
  <c r="L1863" i="1"/>
  <c r="K1746" i="1"/>
  <c r="G1752" i="13"/>
  <c r="L1753" i="1"/>
  <c r="O1449" i="1"/>
  <c r="O1594" i="1"/>
  <c r="M1711" i="1"/>
  <c r="M1732" i="1"/>
  <c r="M1617" i="1"/>
  <c r="L1617" i="1"/>
  <c r="L1732" i="1"/>
  <c r="G1620" i="13"/>
  <c r="K1615" i="1"/>
  <c r="G1493" i="13"/>
  <c r="J1491" i="13"/>
  <c r="J1493" i="13" s="1"/>
  <c r="M1241" i="1"/>
  <c r="M1269" i="1" s="1"/>
  <c r="O1240" i="1"/>
  <c r="O1241" i="1" s="1"/>
  <c r="M2022" i="1"/>
  <c r="M2012" i="1"/>
  <c r="O1456" i="1"/>
  <c r="O1484" i="1"/>
  <c r="D183" i="15"/>
  <c r="E180" i="15"/>
  <c r="I928" i="16"/>
  <c r="J152" i="15" s="1"/>
  <c r="I836" i="16"/>
  <c r="I923" i="16"/>
  <c r="J151" i="15" s="1"/>
  <c r="I1079" i="16"/>
  <c r="F1173" i="16"/>
  <c r="I1077" i="16"/>
  <c r="F1171" i="16"/>
  <c r="I1075" i="16"/>
  <c r="F1169" i="16"/>
  <c r="I1073" i="16"/>
  <c r="F1167" i="16"/>
  <c r="I1071" i="16"/>
  <c r="F1165" i="16"/>
  <c r="I1069" i="16"/>
  <c r="F1163" i="16"/>
  <c r="I1067" i="16"/>
  <c r="F1161" i="16"/>
  <c r="I1065" i="16"/>
  <c r="F1159" i="16"/>
  <c r="I1063" i="16"/>
  <c r="F1157" i="16"/>
  <c r="I1061" i="16"/>
  <c r="F1155" i="16"/>
  <c r="I1058" i="16"/>
  <c r="F1152" i="16"/>
  <c r="I1016" i="16"/>
  <c r="F1110" i="16"/>
  <c r="I1014" i="16"/>
  <c r="F1108" i="16"/>
  <c r="I1034" i="16"/>
  <c r="F1128" i="16"/>
  <c r="I1032" i="16"/>
  <c r="F1126" i="16"/>
  <c r="I1030" i="16"/>
  <c r="F1124" i="16"/>
  <c r="I1026" i="16"/>
  <c r="F1120" i="16"/>
  <c r="I1021" i="16"/>
  <c r="F1115" i="16"/>
  <c r="I1112" i="16"/>
  <c r="F1206" i="16"/>
  <c r="I916" i="16"/>
  <c r="J150" i="15" s="1"/>
  <c r="I987" i="16"/>
  <c r="J157" i="15" s="1"/>
  <c r="J159" i="15" s="1"/>
  <c r="I1213" i="16"/>
  <c r="F1307" i="16"/>
  <c r="I1000" i="16"/>
  <c r="F1094" i="16"/>
  <c r="I998" i="16"/>
  <c r="F1092" i="16"/>
  <c r="F1017" i="16"/>
  <c r="F1199" i="16"/>
  <c r="I1105" i="16"/>
  <c r="I896" i="16"/>
  <c r="I1009" i="16"/>
  <c r="F1103" i="16"/>
  <c r="I1005" i="16"/>
  <c r="F1099" i="16"/>
  <c r="I1003" i="16"/>
  <c r="F1097" i="16"/>
  <c r="I1015" i="16"/>
  <c r="F1109" i="16"/>
  <c r="I1013" i="16"/>
  <c r="I1017" i="16" s="1"/>
  <c r="F1107" i="16"/>
  <c r="I1080" i="16"/>
  <c r="F1174" i="16"/>
  <c r="I1076" i="16"/>
  <c r="F1170" i="16"/>
  <c r="I1074" i="16"/>
  <c r="F1168" i="16"/>
  <c r="I1072" i="16"/>
  <c r="F1166" i="16"/>
  <c r="I1070" i="16"/>
  <c r="F1164" i="16"/>
  <c r="I1068" i="16"/>
  <c r="F1162" i="16"/>
  <c r="I1066" i="16"/>
  <c r="F1160" i="16"/>
  <c r="I1064" i="16"/>
  <c r="F1158" i="16"/>
  <c r="I1062" i="16"/>
  <c r="F1156" i="16"/>
  <c r="I1057" i="16"/>
  <c r="F1151" i="16"/>
  <c r="I1007" i="16"/>
  <c r="F1101" i="16"/>
  <c r="I1053" i="16"/>
  <c r="F1147" i="16"/>
  <c r="I1051" i="16"/>
  <c r="F1145" i="16"/>
  <c r="I1049" i="16"/>
  <c r="F1143" i="16"/>
  <c r="I1047" i="16"/>
  <c r="F1141" i="16"/>
  <c r="I1045" i="16"/>
  <c r="F1139" i="16"/>
  <c r="I1043" i="16"/>
  <c r="F1137" i="16"/>
  <c r="I1041" i="16"/>
  <c r="F1135" i="16"/>
  <c r="I1039" i="16"/>
  <c r="F1133" i="16"/>
  <c r="I1037" i="16"/>
  <c r="F1131" i="16"/>
  <c r="I1052" i="16"/>
  <c r="F1146" i="16"/>
  <c r="I1050" i="16"/>
  <c r="F1144" i="16"/>
  <c r="I1048" i="16"/>
  <c r="F1142" i="16"/>
  <c r="I1046" i="16"/>
  <c r="F1140" i="16"/>
  <c r="I1044" i="16"/>
  <c r="F1138" i="16"/>
  <c r="I1042" i="16"/>
  <c r="F1136" i="16"/>
  <c r="I1040" i="16"/>
  <c r="F1134" i="16"/>
  <c r="I1038" i="16"/>
  <c r="F1132" i="16"/>
  <c r="I1036" i="16"/>
  <c r="F1130" i="16"/>
  <c r="I1035" i="16"/>
  <c r="F1129" i="16"/>
  <c r="I1033" i="16"/>
  <c r="F1127" i="16"/>
  <c r="I1031" i="16"/>
  <c r="F1125" i="16"/>
  <c r="I1029" i="16"/>
  <c r="F1123" i="16"/>
  <c r="I1028" i="16"/>
  <c r="F1122" i="16"/>
  <c r="I1027" i="16"/>
  <c r="F1121" i="16"/>
  <c r="I1001" i="16"/>
  <c r="F1095" i="16"/>
  <c r="I999" i="16"/>
  <c r="F1093" i="16"/>
  <c r="J145" i="15"/>
  <c r="I960" i="16"/>
  <c r="J154" i="15" s="1"/>
  <c r="J156" i="15" s="1"/>
  <c r="F1022" i="16"/>
  <c r="I1060" i="16"/>
  <c r="F1154" i="16"/>
  <c r="F1200" i="16"/>
  <c r="I1106" i="16"/>
  <c r="I1096" i="16"/>
  <c r="F1190" i="16"/>
  <c r="I996" i="16"/>
  <c r="F1090" i="16"/>
  <c r="F1010" i="16"/>
  <c r="I1091" i="16"/>
  <c r="F1185" i="16"/>
  <c r="I1019" i="16"/>
  <c r="F1113" i="16"/>
  <c r="I1008" i="16"/>
  <c r="F1102" i="16"/>
  <c r="I1006" i="16"/>
  <c r="F1100" i="16"/>
  <c r="I1004" i="16"/>
  <c r="F1098" i="16"/>
  <c r="I1020" i="16"/>
  <c r="F1114" i="16"/>
  <c r="I1243" i="16"/>
  <c r="F1337" i="16"/>
  <c r="F1150" i="16"/>
  <c r="I1056" i="16"/>
  <c r="F1081" i="16"/>
  <c r="L576" i="17"/>
  <c r="N590" i="17"/>
  <c r="N635" i="17"/>
  <c r="Q586" i="17"/>
  <c r="N540" i="17"/>
  <c r="J541" i="17"/>
  <c r="M541" i="17" s="1"/>
  <c r="N608" i="17"/>
  <c r="N619" i="17"/>
  <c r="N623" i="17"/>
  <c r="N541" i="17"/>
  <c r="L937" i="17"/>
  <c r="L953" i="17"/>
  <c r="L949" i="17"/>
  <c r="N531" i="17"/>
  <c r="N478" i="17"/>
  <c r="L707" i="17"/>
  <c r="K707" i="17"/>
  <c r="J644" i="17"/>
  <c r="M644" i="17" s="1"/>
  <c r="Q644" i="17"/>
  <c r="N602" i="17"/>
  <c r="K747" i="17"/>
  <c r="Q683" i="17"/>
  <c r="J683" i="17"/>
  <c r="L735" i="17"/>
  <c r="L798" i="17"/>
  <c r="L862" i="17" s="1"/>
  <c r="Q694" i="17"/>
  <c r="K758" i="17"/>
  <c r="J694" i="17"/>
  <c r="M694" i="17" s="1"/>
  <c r="M617" i="17"/>
  <c r="N617" i="17"/>
  <c r="Q647" i="17"/>
  <c r="K711" i="17"/>
  <c r="J647" i="17"/>
  <c r="M589" i="17"/>
  <c r="N589" i="17"/>
  <c r="M598" i="17"/>
  <c r="N598" i="17"/>
  <c r="K725" i="17"/>
  <c r="Q661" i="17"/>
  <c r="J661" i="17"/>
  <c r="L724" i="17"/>
  <c r="M634" i="17"/>
  <c r="N634" i="17"/>
  <c r="K761" i="17"/>
  <c r="J697" i="17"/>
  <c r="Q697" i="17"/>
  <c r="M607" i="17"/>
  <c r="N607" i="17"/>
  <c r="M585" i="17"/>
  <c r="N585" i="17"/>
  <c r="L758" i="17"/>
  <c r="K715" i="17"/>
  <c r="J651" i="17"/>
  <c r="M651" i="17" s="1"/>
  <c r="Q651" i="17"/>
  <c r="L719" i="17"/>
  <c r="L750" i="17"/>
  <c r="L733" i="17"/>
  <c r="N574" i="17"/>
  <c r="M574" i="17"/>
  <c r="J575" i="17"/>
  <c r="K719" i="17"/>
  <c r="Q655" i="17"/>
  <c r="J655" i="17"/>
  <c r="M655" i="17" s="1"/>
  <c r="Q594" i="17"/>
  <c r="H151" i="15" s="1"/>
  <c r="L762" i="17"/>
  <c r="L792" i="17"/>
  <c r="L856" i="17" s="1"/>
  <c r="L727" i="17"/>
  <c r="L791" i="17" s="1"/>
  <c r="L855" i="17" s="1"/>
  <c r="M523" i="17"/>
  <c r="J532" i="17"/>
  <c r="M532" i="17" s="1"/>
  <c r="H150" i="15"/>
  <c r="M630" i="17"/>
  <c r="N630" i="17"/>
  <c r="K757" i="17"/>
  <c r="J693" i="17"/>
  <c r="Q693" i="17"/>
  <c r="L776" i="17"/>
  <c r="L840" i="17" s="1"/>
  <c r="L812" i="17"/>
  <c r="L876" i="17" s="1"/>
  <c r="L827" i="17"/>
  <c r="L891" i="17" s="1"/>
  <c r="L801" i="17"/>
  <c r="L865" i="17" s="1"/>
  <c r="M613" i="17"/>
  <c r="N613" i="17"/>
  <c r="K741" i="17"/>
  <c r="J677" i="17"/>
  <c r="Q677" i="17"/>
  <c r="L715" i="17"/>
  <c r="N626" i="17"/>
  <c r="N625" i="17"/>
  <c r="N469" i="17"/>
  <c r="L775" i="17"/>
  <c r="L839" i="17" s="1"/>
  <c r="L710" i="17"/>
  <c r="K759" i="17"/>
  <c r="Q695" i="17"/>
  <c r="J695" i="17"/>
  <c r="L782" i="17"/>
  <c r="L846" i="17" s="1"/>
  <c r="M622" i="17"/>
  <c r="N622" i="17"/>
  <c r="M611" i="17"/>
  <c r="N611" i="17"/>
  <c r="Q654" i="17"/>
  <c r="K718" i="17"/>
  <c r="J654" i="17"/>
  <c r="K739" i="17"/>
  <c r="J675" i="17"/>
  <c r="Q675" i="17"/>
  <c r="M609" i="17"/>
  <c r="N609" i="17"/>
  <c r="L823" i="17"/>
  <c r="L887" i="17" s="1"/>
  <c r="L756" i="17"/>
  <c r="L819" i="17"/>
  <c r="L883" i="17" s="1"/>
  <c r="L754" i="17"/>
  <c r="Q686" i="17"/>
  <c r="K750" i="17"/>
  <c r="J686" i="17"/>
  <c r="M686" i="17" s="1"/>
  <c r="M616" i="17"/>
  <c r="N616" i="17"/>
  <c r="N599" i="17"/>
  <c r="L760" i="17"/>
  <c r="K717" i="17"/>
  <c r="J653" i="17"/>
  <c r="M653" i="17" s="1"/>
  <c r="Q653" i="17"/>
  <c r="M605" i="17"/>
  <c r="J637" i="17"/>
  <c r="K732" i="17"/>
  <c r="K700" i="17"/>
  <c r="K701" i="17" s="1"/>
  <c r="J668" i="17"/>
  <c r="N668" i="17" s="1"/>
  <c r="Q668" i="17"/>
  <c r="L714" i="17"/>
  <c r="L657" i="17"/>
  <c r="K737" i="17"/>
  <c r="J673" i="17"/>
  <c r="Q673" i="17"/>
  <c r="L808" i="17"/>
  <c r="L872" i="17" s="1"/>
  <c r="M601" i="17"/>
  <c r="N601" i="17"/>
  <c r="L789" i="17"/>
  <c r="L853" i="17" s="1"/>
  <c r="K649" i="17"/>
  <c r="J586" i="17"/>
  <c r="M636" i="17"/>
  <c r="N636" i="17"/>
  <c r="K763" i="17"/>
  <c r="J699" i="17"/>
  <c r="Q699" i="17"/>
  <c r="L666" i="17"/>
  <c r="L723" i="17"/>
  <c r="G154" i="15"/>
  <c r="G156" i="15" s="1"/>
  <c r="K604" i="17"/>
  <c r="Q603" i="17"/>
  <c r="Q604" i="17" s="1"/>
  <c r="H154" i="15" s="1"/>
  <c r="H156" i="15" s="1"/>
  <c r="K753" i="17"/>
  <c r="J689" i="17"/>
  <c r="M689" i="17" s="1"/>
  <c r="Q689" i="17"/>
  <c r="M620" i="17"/>
  <c r="N620" i="17"/>
  <c r="Q513" i="17"/>
  <c r="L717" i="17"/>
  <c r="K744" i="17"/>
  <c r="Q680" i="17"/>
  <c r="J680" i="17"/>
  <c r="M584" i="17"/>
  <c r="N584" i="17"/>
  <c r="L813" i="17"/>
  <c r="L877" i="17" s="1"/>
  <c r="L811" i="17"/>
  <c r="L875" i="17" s="1"/>
  <c r="L746" i="17"/>
  <c r="L807" i="17"/>
  <c r="L871" i="17" s="1"/>
  <c r="L742" i="17"/>
  <c r="L805" i="17"/>
  <c r="L869" i="17" s="1"/>
  <c r="L803" i="17"/>
  <c r="L867" i="17" s="1"/>
  <c r="K716" i="17"/>
  <c r="Q652" i="17"/>
  <c r="J652" i="17"/>
  <c r="Q678" i="17"/>
  <c r="K742" i="17"/>
  <c r="J678" i="17"/>
  <c r="M678" i="17" s="1"/>
  <c r="J682" i="17"/>
  <c r="M682" i="17" s="1"/>
  <c r="K746" i="17"/>
  <c r="Q682" i="17"/>
  <c r="N597" i="17"/>
  <c r="M600" i="17"/>
  <c r="K727" i="17"/>
  <c r="Q663" i="17"/>
  <c r="J663" i="17"/>
  <c r="Q670" i="17"/>
  <c r="K734" i="17"/>
  <c r="J670" i="17"/>
  <c r="K712" i="17"/>
  <c r="J648" i="17"/>
  <c r="Q648" i="17"/>
  <c r="N631" i="17"/>
  <c r="L780" i="17"/>
  <c r="L844" i="17" s="1"/>
  <c r="K735" i="17"/>
  <c r="Q671" i="17"/>
  <c r="J671" i="17"/>
  <c r="M671" i="17" s="1"/>
  <c r="Q662" i="17"/>
  <c r="K726" i="17"/>
  <c r="J662" i="17"/>
  <c r="M662" i="17" s="1"/>
  <c r="N592" i="17"/>
  <c r="K729" i="17"/>
  <c r="Q665" i="17"/>
  <c r="J665" i="17"/>
  <c r="M665" i="17" s="1"/>
  <c r="L709" i="17"/>
  <c r="J709" i="17" s="1"/>
  <c r="L649" i="17"/>
  <c r="M512" i="17"/>
  <c r="J513" i="17"/>
  <c r="M513" i="17" s="1"/>
  <c r="G145" i="15"/>
  <c r="Q669" i="17"/>
  <c r="K733" i="17"/>
  <c r="J669" i="17"/>
  <c r="M669" i="17" s="1"/>
  <c r="M587" i="17"/>
  <c r="J594" i="17"/>
  <c r="M594" i="17" s="1"/>
  <c r="K657" i="17"/>
  <c r="G166" i="15" s="1"/>
  <c r="K714" i="17"/>
  <c r="J650" i="17"/>
  <c r="N650" i="17" s="1"/>
  <c r="Q650" i="17"/>
  <c r="N512" i="17"/>
  <c r="L638" i="17"/>
  <c r="L732" i="17"/>
  <c r="L700" i="17"/>
  <c r="N600" i="17"/>
  <c r="M618" i="17"/>
  <c r="N618" i="17"/>
  <c r="K745" i="17"/>
  <c r="J681" i="17"/>
  <c r="Q681" i="17"/>
  <c r="G150" i="15"/>
  <c r="G153" i="15" s="1"/>
  <c r="K595" i="17"/>
  <c r="K710" i="17"/>
  <c r="J646" i="17"/>
  <c r="M646" i="17" s="1"/>
  <c r="Q646" i="17"/>
  <c r="Q692" i="17"/>
  <c r="K756" i="17"/>
  <c r="J692" i="17"/>
  <c r="M692" i="17" s="1"/>
  <c r="Q676" i="17"/>
  <c r="K740" i="17"/>
  <c r="J676" i="17"/>
  <c r="J698" i="17"/>
  <c r="M698" i="17" s="1"/>
  <c r="K762" i="17"/>
  <c r="Q698" i="17"/>
  <c r="K752" i="17"/>
  <c r="Q688" i="17"/>
  <c r="J688" i="17"/>
  <c r="M688" i="17" s="1"/>
  <c r="L784" i="17"/>
  <c r="L848" i="17" s="1"/>
  <c r="L804" i="17"/>
  <c r="L868" i="17" s="1"/>
  <c r="M614" i="17"/>
  <c r="N614" i="17"/>
  <c r="N588" i="17"/>
  <c r="H135" i="15"/>
  <c r="H138" i="15" s="1"/>
  <c r="Q532" i="17"/>
  <c r="Q576" i="17" s="1"/>
  <c r="L753" i="17"/>
  <c r="L752" i="17"/>
  <c r="N688" i="17"/>
  <c r="L815" i="17"/>
  <c r="L879" i="17" s="1"/>
  <c r="N583" i="17"/>
  <c r="M624" i="17"/>
  <c r="N624" i="17"/>
  <c r="K751" i="17"/>
  <c r="J687" i="17"/>
  <c r="Q687" i="17"/>
  <c r="M632" i="17"/>
  <c r="N632" i="17"/>
  <c r="L729" i="17"/>
  <c r="J690" i="17"/>
  <c r="M690" i="17" s="1"/>
  <c r="K754" i="17"/>
  <c r="Q690" i="17"/>
  <c r="K749" i="17"/>
  <c r="J685" i="17"/>
  <c r="Q685" i="17"/>
  <c r="J674" i="17"/>
  <c r="K738" i="17"/>
  <c r="Q674" i="17"/>
  <c r="M591" i="17"/>
  <c r="N591" i="17"/>
  <c r="M612" i="17"/>
  <c r="N612" i="17"/>
  <c r="M621" i="17"/>
  <c r="N621" i="17"/>
  <c r="Q684" i="17"/>
  <c r="K748" i="17"/>
  <c r="J684" i="17"/>
  <c r="Q672" i="17"/>
  <c r="K736" i="17"/>
  <c r="J672" i="17"/>
  <c r="N629" i="17"/>
  <c r="N627" i="17"/>
  <c r="Q660" i="17"/>
  <c r="K724" i="17"/>
  <c r="J660" i="17"/>
  <c r="M660" i="17" s="1"/>
  <c r="K743" i="17"/>
  <c r="J679" i="17"/>
  <c r="Q679" i="17"/>
  <c r="L726" i="17"/>
  <c r="L790" i="17" s="1"/>
  <c r="L854" i="17" s="1"/>
  <c r="N523" i="17"/>
  <c r="Q637" i="17"/>
  <c r="Q638" i="17" s="1"/>
  <c r="H142" i="15"/>
  <c r="H144" i="15" s="1"/>
  <c r="L595" i="17"/>
  <c r="M628" i="17"/>
  <c r="N628" i="17"/>
  <c r="K755" i="17"/>
  <c r="Q691" i="17"/>
  <c r="J691" i="17"/>
  <c r="M610" i="17"/>
  <c r="N610" i="17"/>
  <c r="M593" i="17"/>
  <c r="N593" i="17"/>
  <c r="K720" i="17"/>
  <c r="Q656" i="17"/>
  <c r="J656" i="17"/>
  <c r="Q664" i="17"/>
  <c r="K728" i="17"/>
  <c r="J664" i="17"/>
  <c r="N450" i="17"/>
  <c r="J645" i="17"/>
  <c r="N645" i="17" s="1"/>
  <c r="K773" i="17"/>
  <c r="Q709" i="17"/>
  <c r="L604" i="17"/>
  <c r="K760" i="17"/>
  <c r="Q696" i="17"/>
  <c r="J696" i="17"/>
  <c r="M696" i="17" s="1"/>
  <c r="M596" i="17"/>
  <c r="J603" i="17"/>
  <c r="M603" i="17" s="1"/>
  <c r="K723" i="17"/>
  <c r="Q659" i="17"/>
  <c r="J659" i="17"/>
  <c r="K666" i="17"/>
  <c r="K667" i="17" s="1"/>
  <c r="G169" i="15" s="1"/>
  <c r="G171" i="15" s="1"/>
  <c r="J1012" i="13"/>
  <c r="J1013" i="13" s="1"/>
  <c r="J1040" i="13" s="1"/>
  <c r="M1124" i="1"/>
  <c r="M1152" i="1" s="1"/>
  <c r="N1150" i="1"/>
  <c r="N1151" i="1" s="1"/>
  <c r="K1151" i="1"/>
  <c r="D157" i="15" s="1"/>
  <c r="N1109" i="1"/>
  <c r="K1123" i="1"/>
  <c r="N1121" i="1"/>
  <c r="O1121" i="1"/>
  <c r="J1129" i="13"/>
  <c r="J1130" i="13" s="1"/>
  <c r="O1150" i="1"/>
  <c r="O1151" i="1" s="1"/>
  <c r="G1129" i="13"/>
  <c r="G1130" i="13" s="1"/>
  <c r="D153" i="15"/>
  <c r="E150" i="15"/>
  <c r="N1089" i="1"/>
  <c r="O1089" i="1"/>
  <c r="G1012" i="13"/>
  <c r="G1013" i="13" s="1"/>
  <c r="K1006" i="1"/>
  <c r="O1006" i="1" s="1"/>
  <c r="O1007" i="1" s="1"/>
  <c r="N992" i="1"/>
  <c r="O1004" i="1"/>
  <c r="N890" i="1"/>
  <c r="N891" i="1" s="1"/>
  <c r="K891" i="1"/>
  <c r="O992" i="1"/>
  <c r="E138" i="15"/>
  <c r="K1034" i="1"/>
  <c r="D142" i="15" s="1"/>
  <c r="N1033" i="1"/>
  <c r="N1034" i="1" s="1"/>
  <c r="O1033" i="1"/>
  <c r="O1034" i="1" s="1"/>
  <c r="D129" i="15"/>
  <c r="E129" i="15" s="1"/>
  <c r="E127" i="15"/>
  <c r="M1007" i="1"/>
  <c r="M1035" i="1" s="1"/>
  <c r="E123" i="15"/>
  <c r="D114" i="15"/>
  <c r="E114" i="15" s="1"/>
  <c r="E112" i="15"/>
  <c r="E66" i="15"/>
  <c r="D70" i="15"/>
  <c r="E70" i="15" s="1"/>
  <c r="O574" i="1"/>
  <c r="N574" i="1"/>
  <c r="K776" i="1"/>
  <c r="N775" i="1"/>
  <c r="N776" i="1" s="1"/>
  <c r="D94" i="15"/>
  <c r="K689" i="1"/>
  <c r="E79" i="15"/>
  <c r="D81" i="15"/>
  <c r="G70" i="13"/>
  <c r="I210" i="15" l="1"/>
  <c r="I213" i="15" s="1"/>
  <c r="J1563" i="13"/>
  <c r="K1617" i="1"/>
  <c r="N1617" i="1" s="1"/>
  <c r="N1615" i="1"/>
  <c r="O1615" i="1"/>
  <c r="N1746" i="1"/>
  <c r="K1753" i="1"/>
  <c r="O1746" i="1"/>
  <c r="N1782" i="1"/>
  <c r="O1782" i="1"/>
  <c r="M2231" i="1"/>
  <c r="M2037" i="1"/>
  <c r="N1775" i="1"/>
  <c r="K1779" i="1"/>
  <c r="M1841" i="1"/>
  <c r="O1605" i="1"/>
  <c r="N1605" i="1"/>
  <c r="N1240" i="1"/>
  <c r="N1241" i="1" s="1"/>
  <c r="K1241" i="1"/>
  <c r="L1847" i="1"/>
  <c r="G1735" i="13"/>
  <c r="J1735" i="13" s="1"/>
  <c r="K1730" i="1"/>
  <c r="N1730" i="1" s="1"/>
  <c r="N1479" i="1"/>
  <c r="N1754" i="1"/>
  <c r="K1761" i="1"/>
  <c r="O1754" i="1"/>
  <c r="N1777" i="1"/>
  <c r="O1777" i="1"/>
  <c r="M1794" i="1"/>
  <c r="N1747" i="1"/>
  <c r="O1747" i="1"/>
  <c r="L1814" i="1"/>
  <c r="K1697" i="1"/>
  <c r="N1697" i="1" s="1"/>
  <c r="G1703" i="13"/>
  <c r="J1703" i="13" s="1"/>
  <c r="K1861" i="1"/>
  <c r="L1978" i="1"/>
  <c r="G1867" i="13"/>
  <c r="J1867" i="13" s="1"/>
  <c r="N1742" i="1"/>
  <c r="O1742" i="1"/>
  <c r="M2132" i="1"/>
  <c r="L1705" i="1"/>
  <c r="L1816" i="1"/>
  <c r="G1705" i="13"/>
  <c r="K1699" i="1"/>
  <c r="M1801" i="1"/>
  <c r="N1787" i="1"/>
  <c r="O1787" i="1"/>
  <c r="M1957" i="1"/>
  <c r="L2018" i="1"/>
  <c r="G1907" i="13"/>
  <c r="J1907" i="13" s="1"/>
  <c r="K1901" i="1"/>
  <c r="M2110" i="1"/>
  <c r="M1685" i="1"/>
  <c r="M1792" i="1"/>
  <c r="K1710" i="1"/>
  <c r="L1827" i="1"/>
  <c r="G1716" i="13"/>
  <c r="L1713" i="1"/>
  <c r="K1688" i="1"/>
  <c r="L1805" i="1"/>
  <c r="G1694" i="13"/>
  <c r="J1694" i="13" s="1"/>
  <c r="L1819" i="1"/>
  <c r="G1708" i="13"/>
  <c r="J1708" i="13" s="1"/>
  <c r="K1702" i="1"/>
  <c r="N1702" i="1" s="1"/>
  <c r="M2095" i="1"/>
  <c r="L1731" i="1"/>
  <c r="L1845" i="1"/>
  <c r="G1733" i="13"/>
  <c r="K1728" i="1"/>
  <c r="L2010" i="1"/>
  <c r="G1899" i="13"/>
  <c r="J1899" i="13" s="1"/>
  <c r="K1893" i="1"/>
  <c r="K1715" i="1"/>
  <c r="N1715" i="1" s="1"/>
  <c r="L1832" i="1"/>
  <c r="G1721" i="13"/>
  <c r="J1721" i="13" s="1"/>
  <c r="L1836" i="1"/>
  <c r="G1725" i="13"/>
  <c r="K1719" i="1"/>
  <c r="L1721" i="1"/>
  <c r="J1363" i="13"/>
  <c r="J1364" i="13" s="1"/>
  <c r="F210" i="15"/>
  <c r="F213" i="15" s="1"/>
  <c r="G1563" i="13"/>
  <c r="M1922" i="1"/>
  <c r="M1818" i="1"/>
  <c r="N1788" i="1"/>
  <c r="O1788" i="1"/>
  <c r="N1741" i="1"/>
  <c r="K1745" i="1"/>
  <c r="O1741" i="1"/>
  <c r="K1581" i="1"/>
  <c r="N1578" i="1"/>
  <c r="N1644" i="1"/>
  <c r="O1644" i="1"/>
  <c r="M2137" i="1"/>
  <c r="J1603" i="13"/>
  <c r="J1607" i="13" s="1"/>
  <c r="G1607" i="13"/>
  <c r="L1803" i="1"/>
  <c r="G1692" i="13"/>
  <c r="L1693" i="1"/>
  <c r="K1686" i="1"/>
  <c r="M1589" i="1"/>
  <c r="O1581" i="1"/>
  <c r="O1598" i="1"/>
  <c r="M2092" i="1"/>
  <c r="G1363" i="13"/>
  <c r="M1800" i="1"/>
  <c r="K1720" i="1"/>
  <c r="L1837" i="1"/>
  <c r="G1726" i="13"/>
  <c r="J1726" i="13" s="1"/>
  <c r="O1558" i="1"/>
  <c r="K1568" i="1"/>
  <c r="N1558" i="1"/>
  <c r="L1890" i="1"/>
  <c r="L2004" i="1"/>
  <c r="G1893" i="13"/>
  <c r="K1887" i="1"/>
  <c r="M1798" i="1"/>
  <c r="N1752" i="1"/>
  <c r="O1752" i="1"/>
  <c r="K1717" i="1"/>
  <c r="N1717" i="1" s="1"/>
  <c r="L1834" i="1"/>
  <c r="G1723" i="13"/>
  <c r="J1723" i="13" s="1"/>
  <c r="O1575" i="1"/>
  <c r="O1600" i="1"/>
  <c r="M1816" i="1"/>
  <c r="M1705" i="1"/>
  <c r="O1699" i="1"/>
  <c r="M1731" i="1"/>
  <c r="M1845" i="1"/>
  <c r="O1728" i="1"/>
  <c r="L1793" i="1"/>
  <c r="K1676" i="1"/>
  <c r="N1676" i="1" s="1"/>
  <c r="G1682" i="13"/>
  <c r="J1682" i="13" s="1"/>
  <c r="L1991" i="1"/>
  <c r="G1880" i="13"/>
  <c r="J1880" i="13" s="1"/>
  <c r="K1874" i="1"/>
  <c r="K1888" i="1"/>
  <c r="L2005" i="1"/>
  <c r="G1894" i="13"/>
  <c r="J1894" i="13" s="1"/>
  <c r="M1996" i="1"/>
  <c r="M1886" i="1"/>
  <c r="M2009" i="1"/>
  <c r="M1896" i="1"/>
  <c r="O1730" i="1"/>
  <c r="M1847" i="1"/>
  <c r="E183" i="15"/>
  <c r="M2129" i="1"/>
  <c r="O1617" i="1"/>
  <c r="L1870" i="1"/>
  <c r="L1980" i="1"/>
  <c r="G1869" i="13"/>
  <c r="K1863" i="1"/>
  <c r="M1820" i="1"/>
  <c r="M2119" i="1"/>
  <c r="N1760" i="1"/>
  <c r="O1760" i="1"/>
  <c r="G1658" i="13"/>
  <c r="J1651" i="13"/>
  <c r="J1658" i="13" s="1"/>
  <c r="J1663" i="13" s="1"/>
  <c r="L1878" i="1"/>
  <c r="L1988" i="1"/>
  <c r="G1877" i="13"/>
  <c r="K1871" i="1"/>
  <c r="N1743" i="1"/>
  <c r="O1743" i="1"/>
  <c r="M1829" i="1"/>
  <c r="N1781" i="1"/>
  <c r="O1781" i="1"/>
  <c r="N1744" i="1"/>
  <c r="O1744" i="1"/>
  <c r="M1821" i="1"/>
  <c r="L1821" i="1"/>
  <c r="G1710" i="13"/>
  <c r="J1710" i="13" s="1"/>
  <c r="K1704" i="1"/>
  <c r="N1704" i="1" s="1"/>
  <c r="K1679" i="1"/>
  <c r="N1679" i="1" s="1"/>
  <c r="L1796" i="1"/>
  <c r="G1685" i="13"/>
  <c r="J1685" i="13" s="1"/>
  <c r="M1807" i="1"/>
  <c r="O1582" i="1"/>
  <c r="K1588" i="1"/>
  <c r="N1588" i="1" s="1"/>
  <c r="N1582" i="1"/>
  <c r="K1703" i="1"/>
  <c r="N1703" i="1" s="1"/>
  <c r="L1820" i="1"/>
  <c r="G1709" i="13"/>
  <c r="J1709" i="13" s="1"/>
  <c r="L1989" i="1"/>
  <c r="G1878" i="13"/>
  <c r="J1878" i="13" s="1"/>
  <c r="K1872" i="1"/>
  <c r="N1784" i="1"/>
  <c r="O1784" i="1"/>
  <c r="N1758" i="1"/>
  <c r="O1758" i="1"/>
  <c r="M2103" i="1"/>
  <c r="F1277" i="16"/>
  <c r="I1183" i="16"/>
  <c r="N1785" i="1"/>
  <c r="O1785" i="1"/>
  <c r="K1729" i="1"/>
  <c r="N1729" i="1" s="1"/>
  <c r="L1846" i="1"/>
  <c r="G1734" i="13"/>
  <c r="J1734" i="13" s="1"/>
  <c r="M1843" i="1"/>
  <c r="N1756" i="1"/>
  <c r="O1756" i="1"/>
  <c r="N1571" i="1"/>
  <c r="O1571" i="1"/>
  <c r="O1343" i="1"/>
  <c r="K1357" i="1"/>
  <c r="N1343" i="1"/>
  <c r="O1479" i="1"/>
  <c r="O1702" i="1"/>
  <c r="M1819" i="1"/>
  <c r="M1817" i="1"/>
  <c r="N1636" i="1"/>
  <c r="O1636" i="1"/>
  <c r="M1995" i="1"/>
  <c r="M2105" i="1"/>
  <c r="N1749" i="1"/>
  <c r="O1749" i="1"/>
  <c r="N1662" i="1"/>
  <c r="K1673" i="1"/>
  <c r="G1795" i="13"/>
  <c r="J1786" i="13"/>
  <c r="J1795" i="13" s="1"/>
  <c r="N1748" i="1"/>
  <c r="O1748" i="1"/>
  <c r="O1584" i="1"/>
  <c r="L1975" i="1"/>
  <c r="G1864" i="13"/>
  <c r="K1858" i="1"/>
  <c r="L2002" i="1"/>
  <c r="G1891" i="13"/>
  <c r="J1891" i="13" s="1"/>
  <c r="K1885" i="1"/>
  <c r="M2109" i="1"/>
  <c r="L1589" i="1"/>
  <c r="N1440" i="1"/>
  <c r="L1831" i="1"/>
  <c r="K1714" i="1"/>
  <c r="G1720" i="13"/>
  <c r="L1718" i="1"/>
  <c r="M2100" i="1"/>
  <c r="M1812" i="1"/>
  <c r="M1698" i="1"/>
  <c r="M1832" i="1"/>
  <c r="O1715" i="1"/>
  <c r="M1713" i="1"/>
  <c r="M1827" i="1"/>
  <c r="O1710" i="1"/>
  <c r="M1891" i="1"/>
  <c r="N1487" i="1"/>
  <c r="O1487" i="1"/>
  <c r="M1838" i="1"/>
  <c r="M1953" i="1"/>
  <c r="L2114" i="1"/>
  <c r="K1997" i="1"/>
  <c r="G2003" i="13"/>
  <c r="J2003" i="13" s="1"/>
  <c r="N1603" i="1"/>
  <c r="O1603" i="1"/>
  <c r="N1783" i="1"/>
  <c r="O1783" i="1"/>
  <c r="L2020" i="1"/>
  <c r="G1909" i="13"/>
  <c r="J1909" i="13" s="1"/>
  <c r="K1903" i="1"/>
  <c r="M2134" i="1"/>
  <c r="N1778" i="1"/>
  <c r="O1778" i="1"/>
  <c r="J1564" i="13"/>
  <c r="G1574" i="13"/>
  <c r="K1773" i="1"/>
  <c r="N1770" i="1"/>
  <c r="O1770" i="1"/>
  <c r="O1564" i="1"/>
  <c r="M1727" i="1"/>
  <c r="M1839" i="1"/>
  <c r="M2136" i="1"/>
  <c r="J1574" i="13"/>
  <c r="L1590" i="1"/>
  <c r="K1473" i="1"/>
  <c r="N1473" i="1" s="1"/>
  <c r="G1479" i="13"/>
  <c r="J1479" i="13" s="1"/>
  <c r="J1480" i="13" s="1"/>
  <c r="J1481" i="13" s="1"/>
  <c r="J1508" i="13" s="1"/>
  <c r="M2123" i="1"/>
  <c r="O1464" i="1"/>
  <c r="N1464" i="1"/>
  <c r="K1472" i="1"/>
  <c r="L1993" i="1"/>
  <c r="G1882" i="13"/>
  <c r="J1882" i="13" s="1"/>
  <c r="K1876" i="1"/>
  <c r="M2131" i="1"/>
  <c r="M2102" i="1"/>
  <c r="N1757" i="1"/>
  <c r="O1757" i="1"/>
  <c r="M1987" i="1"/>
  <c r="M2097" i="1"/>
  <c r="M1804" i="1"/>
  <c r="M1693" i="1"/>
  <c r="K1868" i="1"/>
  <c r="L1985" i="1"/>
  <c r="G1874" i="13"/>
  <c r="J1874" i="13" s="1"/>
  <c r="O1356" i="1"/>
  <c r="O1613" i="1"/>
  <c r="M2099" i="1"/>
  <c r="N594" i="17"/>
  <c r="I1081" i="16"/>
  <c r="J172" i="15" s="1"/>
  <c r="J174" i="15" s="1"/>
  <c r="M2139" i="1"/>
  <c r="G1737" i="13"/>
  <c r="L1849" i="1"/>
  <c r="K1732" i="1"/>
  <c r="L1734" i="1"/>
  <c r="M1849" i="1"/>
  <c r="M1734" i="1"/>
  <c r="N1259" i="1"/>
  <c r="O1259" i="1"/>
  <c r="K1267" i="1"/>
  <c r="M1797" i="1"/>
  <c r="J1781" i="13"/>
  <c r="J1785" i="13" s="1"/>
  <c r="J1796" i="13" s="1"/>
  <c r="I241" i="15" s="1"/>
  <c r="G1785" i="13"/>
  <c r="G1796" i="13" s="1"/>
  <c r="F241" i="15" s="1"/>
  <c r="K1877" i="1"/>
  <c r="L1994" i="1"/>
  <c r="G1883" i="13"/>
  <c r="J1883" i="13" s="1"/>
  <c r="N1672" i="1"/>
  <c r="O1672" i="1"/>
  <c r="M1799" i="1"/>
  <c r="N1628" i="1"/>
  <c r="O1628" i="1"/>
  <c r="N1572" i="1"/>
  <c r="O1572" i="1"/>
  <c r="G1615" i="13"/>
  <c r="J1611" i="13"/>
  <c r="J1615" i="13" s="1"/>
  <c r="K1652" i="1"/>
  <c r="K1657" i="1" s="1"/>
  <c r="N1645" i="1"/>
  <c r="O1645" i="1"/>
  <c r="L2011" i="1"/>
  <c r="G1900" i="13"/>
  <c r="J1900" i="13" s="1"/>
  <c r="K1894" i="1"/>
  <c r="G1866" i="13"/>
  <c r="J1866" i="13" s="1"/>
  <c r="L1977" i="1"/>
  <c r="K1860" i="1"/>
  <c r="M1850" i="1"/>
  <c r="K1898" i="1"/>
  <c r="L2015" i="1"/>
  <c r="G1904" i="13"/>
  <c r="J1904" i="13" s="1"/>
  <c r="O1587" i="1"/>
  <c r="M1795" i="1"/>
  <c r="N1375" i="1"/>
  <c r="O1375" i="1"/>
  <c r="K1376" i="1"/>
  <c r="M2108" i="1"/>
  <c r="K1904" i="1"/>
  <c r="L2021" i="1"/>
  <c r="G1910" i="13"/>
  <c r="J1910" i="13" s="1"/>
  <c r="N1755" i="1"/>
  <c r="O1755" i="1"/>
  <c r="M2098" i="1"/>
  <c r="K1875" i="1"/>
  <c r="L1992" i="1"/>
  <c r="G1881" i="13"/>
  <c r="J1881" i="13" s="1"/>
  <c r="M1954" i="1"/>
  <c r="K1596" i="1"/>
  <c r="N1593" i="1"/>
  <c r="K1724" i="1"/>
  <c r="N1724" i="1" s="1"/>
  <c r="L1841" i="1"/>
  <c r="G1730" i="13"/>
  <c r="J1730" i="13" s="1"/>
  <c r="N1535" i="1"/>
  <c r="O1535" i="1"/>
  <c r="K1873" i="1"/>
  <c r="L1990" i="1"/>
  <c r="G1879" i="13"/>
  <c r="J1879" i="13" s="1"/>
  <c r="L1850" i="1"/>
  <c r="G1738" i="13"/>
  <c r="J1738" i="13" s="1"/>
  <c r="K1733" i="1"/>
  <c r="N1733" i="1" s="1"/>
  <c r="G1619" i="13"/>
  <c r="J1616" i="13"/>
  <c r="J1619" i="13" s="1"/>
  <c r="O1459" i="1"/>
  <c r="M1502" i="1"/>
  <c r="K1677" i="1"/>
  <c r="N1677" i="1" s="1"/>
  <c r="L1794" i="1"/>
  <c r="G1683" i="13"/>
  <c r="J1683" i="13" s="1"/>
  <c r="O1585" i="1"/>
  <c r="G1610" i="13"/>
  <c r="J1608" i="13"/>
  <c r="J1610" i="13" s="1"/>
  <c r="O1583" i="1"/>
  <c r="M1814" i="1"/>
  <c r="O1697" i="1"/>
  <c r="L1842" i="1"/>
  <c r="G1731" i="13"/>
  <c r="J1731" i="13" s="1"/>
  <c r="K1725" i="1"/>
  <c r="N1725" i="1" s="1"/>
  <c r="G1478" i="13"/>
  <c r="G1480" i="13" s="1"/>
  <c r="G1481" i="13" s="1"/>
  <c r="G1508" i="13" s="1"/>
  <c r="K1701" i="1"/>
  <c r="N1701" i="1" s="1"/>
  <c r="L1818" i="1"/>
  <c r="G1707" i="13"/>
  <c r="J1707" i="13" s="1"/>
  <c r="K1866" i="1"/>
  <c r="L1983" i="1"/>
  <c r="G1872" i="13"/>
  <c r="J1872" i="13" s="1"/>
  <c r="L2014" i="1"/>
  <c r="G1903" i="13"/>
  <c r="K1897" i="1"/>
  <c r="L1982" i="1"/>
  <c r="K1865" i="1"/>
  <c r="G1871" i="13"/>
  <c r="J1871" i="13" s="1"/>
  <c r="M2252" i="1"/>
  <c r="N1768" i="1"/>
  <c r="O1768" i="1"/>
  <c r="J1506" i="13"/>
  <c r="J1507" i="13" s="1"/>
  <c r="L1698" i="1"/>
  <c r="L1706" i="1" s="1"/>
  <c r="L1812" i="1"/>
  <c r="G1701" i="13"/>
  <c r="K1695" i="1"/>
  <c r="D198" i="15"/>
  <c r="E195" i="15"/>
  <c r="K1691" i="1"/>
  <c r="L1808" i="1"/>
  <c r="G1697" i="13"/>
  <c r="J1697" i="13" s="1"/>
  <c r="O1725" i="1"/>
  <c r="M1842" i="1"/>
  <c r="K1576" i="1"/>
  <c r="N1576" i="1" s="1"/>
  <c r="N1569" i="1"/>
  <c r="O1569" i="1"/>
  <c r="K1681" i="1"/>
  <c r="N1681" i="1" s="1"/>
  <c r="L1798" i="1"/>
  <c r="G1687" i="13"/>
  <c r="J1687" i="13" s="1"/>
  <c r="O1596" i="1"/>
  <c r="M1618" i="1"/>
  <c r="L1998" i="1"/>
  <c r="G1887" i="13"/>
  <c r="J1887" i="13" s="1"/>
  <c r="K1881" i="1"/>
  <c r="L1799" i="1"/>
  <c r="G1688" i="13"/>
  <c r="J1688" i="13" s="1"/>
  <c r="K1682" i="1"/>
  <c r="N1682" i="1" s="1"/>
  <c r="N1880" i="1"/>
  <c r="O1880" i="1"/>
  <c r="L1804" i="1"/>
  <c r="K1687" i="1"/>
  <c r="N1687" i="1" s="1"/>
  <c r="G1693" i="13"/>
  <c r="J1693" i="13" s="1"/>
  <c r="N1786" i="1"/>
  <c r="O1786" i="1"/>
  <c r="L1685" i="1"/>
  <c r="L1694" i="1" s="1"/>
  <c r="L1792" i="1"/>
  <c r="G1681" i="13"/>
  <c r="K1675" i="1"/>
  <c r="O1675" i="1" s="1"/>
  <c r="L1800" i="1"/>
  <c r="G1689" i="13"/>
  <c r="J1689" i="13" s="1"/>
  <c r="K1683" i="1"/>
  <c r="N1683" i="1" s="1"/>
  <c r="G1506" i="13"/>
  <c r="G1507" i="13" s="1"/>
  <c r="O1579" i="1"/>
  <c r="L2006" i="1"/>
  <c r="G1895" i="13"/>
  <c r="J1895" i="13" s="1"/>
  <c r="K1889" i="1"/>
  <c r="N1759" i="1"/>
  <c r="O1759" i="1"/>
  <c r="K1723" i="1"/>
  <c r="L1840" i="1"/>
  <c r="G1729" i="13"/>
  <c r="J1729" i="13" s="1"/>
  <c r="K1540" i="1"/>
  <c r="O1570" i="1"/>
  <c r="N1771" i="1"/>
  <c r="O1771" i="1"/>
  <c r="M1590" i="1"/>
  <c r="O1473" i="1"/>
  <c r="M1846" i="1"/>
  <c r="O1729" i="1"/>
  <c r="O1775" i="1"/>
  <c r="L1984" i="1"/>
  <c r="G1873" i="13"/>
  <c r="J1873" i="13" s="1"/>
  <c r="K1867" i="1"/>
  <c r="M1828" i="1"/>
  <c r="J1752" i="13"/>
  <c r="J1759" i="13" s="1"/>
  <c r="G1759" i="13"/>
  <c r="L2016" i="1"/>
  <c r="G1905" i="13"/>
  <c r="J1905" i="13" s="1"/>
  <c r="K1899" i="1"/>
  <c r="L1797" i="1"/>
  <c r="G1686" i="13"/>
  <c r="J1686" i="13" s="1"/>
  <c r="K1680" i="1"/>
  <c r="N1680" i="1" s="1"/>
  <c r="L2009" i="1"/>
  <c r="G1898" i="13"/>
  <c r="K1892" i="1"/>
  <c r="L1896" i="1"/>
  <c r="L1907" i="1" s="1"/>
  <c r="O1451" i="1"/>
  <c r="K1460" i="1"/>
  <c r="N1451" i="1"/>
  <c r="N1656" i="1"/>
  <c r="O1656" i="1"/>
  <c r="M2106" i="1"/>
  <c r="L1806" i="1"/>
  <c r="K1689" i="1"/>
  <c r="G1695" i="13"/>
  <c r="J1695" i="13" s="1"/>
  <c r="L1839" i="1"/>
  <c r="G1728" i="13"/>
  <c r="K1722" i="1"/>
  <c r="O1722" i="1" s="1"/>
  <c r="L1879" i="1"/>
  <c r="G1768" i="13"/>
  <c r="K1762" i="1"/>
  <c r="L1769" i="1"/>
  <c r="L1774" i="1" s="1"/>
  <c r="L1791" i="1" s="1"/>
  <c r="J1760" i="13"/>
  <c r="J1767" i="13" s="1"/>
  <c r="G1767" i="13"/>
  <c r="M2111" i="1"/>
  <c r="M1796" i="1"/>
  <c r="O1679" i="1"/>
  <c r="L1809" i="1"/>
  <c r="G1698" i="13"/>
  <c r="J1698" i="13" s="1"/>
  <c r="K1692" i="1"/>
  <c r="N1692" i="1" s="1"/>
  <c r="K1864" i="1"/>
  <c r="L1981" i="1"/>
  <c r="G1870" i="13"/>
  <c r="J1870" i="13" s="1"/>
  <c r="L1828" i="1"/>
  <c r="K1711" i="1"/>
  <c r="N1711" i="1" s="1"/>
  <c r="G1717" i="13"/>
  <c r="J1717" i="13" s="1"/>
  <c r="L1862" i="1"/>
  <c r="L1976" i="1"/>
  <c r="G1865" i="13"/>
  <c r="J1865" i="13" s="1"/>
  <c r="K1859" i="1"/>
  <c r="M1475" i="1"/>
  <c r="M1503" i="1" s="1"/>
  <c r="O1673" i="1"/>
  <c r="M1718" i="1"/>
  <c r="M1831" i="1"/>
  <c r="O1714" i="1"/>
  <c r="K1696" i="1"/>
  <c r="N1696" i="1" s="1"/>
  <c r="L1813" i="1"/>
  <c r="G1702" i="13"/>
  <c r="J1702" i="13" s="1"/>
  <c r="O1676" i="1"/>
  <c r="M1793" i="1"/>
  <c r="M1833" i="1"/>
  <c r="G1594" i="13"/>
  <c r="J1588" i="13"/>
  <c r="J1594" i="13" s="1"/>
  <c r="K1492" i="1"/>
  <c r="L1609" i="1"/>
  <c r="L1493" i="1"/>
  <c r="L1501" i="1" s="1"/>
  <c r="L1502" i="1" s="1"/>
  <c r="L1503" i="1" s="1"/>
  <c r="M2211" i="1"/>
  <c r="M1591" i="1"/>
  <c r="G1602" i="13"/>
  <c r="J1599" i="13"/>
  <c r="J1602" i="13" s="1"/>
  <c r="J1623" i="13" s="1"/>
  <c r="J1624" i="13" s="1"/>
  <c r="I217" i="15" s="1"/>
  <c r="I219" i="15" s="1"/>
  <c r="L1817" i="1"/>
  <c r="G1706" i="13"/>
  <c r="J1706" i="13" s="1"/>
  <c r="K1700" i="1"/>
  <c r="N1700" i="1" s="1"/>
  <c r="L1795" i="1"/>
  <c r="G1684" i="13"/>
  <c r="J1684" i="13" s="1"/>
  <c r="K1678" i="1"/>
  <c r="N1678" i="1" s="1"/>
  <c r="M2007" i="1"/>
  <c r="M2121" i="1"/>
  <c r="K1902" i="1"/>
  <c r="L2019" i="1"/>
  <c r="G1908" i="13"/>
  <c r="J1908" i="13" s="1"/>
  <c r="M1674" i="1"/>
  <c r="N1611" i="1"/>
  <c r="K1614" i="1"/>
  <c r="N1614" i="1" s="1"/>
  <c r="M2224" i="1"/>
  <c r="N1776" i="1"/>
  <c r="O1776" i="1"/>
  <c r="K1604" i="1"/>
  <c r="N1602" i="1"/>
  <c r="O1602" i="1"/>
  <c r="O1580" i="1"/>
  <c r="M2122" i="1"/>
  <c r="M1979" i="1"/>
  <c r="M2093" i="1"/>
  <c r="M2101" i="1"/>
  <c r="K1789" i="1"/>
  <c r="N1780" i="1"/>
  <c r="O1780" i="1"/>
  <c r="L2022" i="1"/>
  <c r="G1911" i="13"/>
  <c r="J1911" i="13" s="1"/>
  <c r="K1905" i="1"/>
  <c r="G1751" i="13"/>
  <c r="J1747" i="13"/>
  <c r="J1751" i="13" s="1"/>
  <c r="G1587" i="13"/>
  <c r="G1595" i="13" s="1"/>
  <c r="J1584" i="13"/>
  <c r="J1587" i="13" s="1"/>
  <c r="J1595" i="13" s="1"/>
  <c r="N1574" i="1"/>
  <c r="O1574" i="1"/>
  <c r="O1608" i="1"/>
  <c r="L1801" i="1"/>
  <c r="G1690" i="13"/>
  <c r="J1690" i="13" s="1"/>
  <c r="K1684" i="1"/>
  <c r="N1684" i="1" s="1"/>
  <c r="N1597" i="1"/>
  <c r="K1601" i="1"/>
  <c r="N1601" i="1" s="1"/>
  <c r="G1582" i="13"/>
  <c r="J1575" i="13"/>
  <c r="J1582" i="13" s="1"/>
  <c r="M2127" i="1"/>
  <c r="M2115" i="1"/>
  <c r="L1833" i="1"/>
  <c r="G1722" i="13"/>
  <c r="J1722" i="13" s="1"/>
  <c r="K1716" i="1"/>
  <c r="N1716" i="1" s="1"/>
  <c r="K1712" i="1"/>
  <c r="N1712" i="1" s="1"/>
  <c r="L1829" i="1"/>
  <c r="G1718" i="13"/>
  <c r="J1718" i="13" s="1"/>
  <c r="N1764" i="1"/>
  <c r="O1764" i="1"/>
  <c r="K1690" i="1"/>
  <c r="N1690" i="1" s="1"/>
  <c r="L1807" i="1"/>
  <c r="G1696" i="13"/>
  <c r="J1696" i="13" s="1"/>
  <c r="K1900" i="1"/>
  <c r="L2017" i="1"/>
  <c r="G1906" i="13"/>
  <c r="J1906" i="13" s="1"/>
  <c r="L2012" i="1"/>
  <c r="G1901" i="13"/>
  <c r="J1901" i="13" s="1"/>
  <c r="K1895" i="1"/>
  <c r="L1577" i="1"/>
  <c r="L1591" i="1" s="1"/>
  <c r="L1592" i="1" s="1"/>
  <c r="G1779" i="13"/>
  <c r="J1776" i="13"/>
  <c r="J1779" i="13" s="1"/>
  <c r="M2128" i="1"/>
  <c r="L1986" i="1"/>
  <c r="G1875" i="13"/>
  <c r="J1875" i="13" s="1"/>
  <c r="K1869" i="1"/>
  <c r="G1663" i="13"/>
  <c r="M2133" i="1"/>
  <c r="M1813" i="1"/>
  <c r="O1696" i="1"/>
  <c r="N1772" i="1"/>
  <c r="O1772" i="1"/>
  <c r="O1692" i="1"/>
  <c r="M1809" i="1"/>
  <c r="M1834" i="1"/>
  <c r="O1717" i="1"/>
  <c r="O1588" i="1"/>
  <c r="N1606" i="1"/>
  <c r="O1606" i="1"/>
  <c r="O1611" i="1"/>
  <c r="N1556" i="1"/>
  <c r="D211" i="15"/>
  <c r="E211" i="15" s="1"/>
  <c r="N1751" i="1"/>
  <c r="O1751" i="1"/>
  <c r="O1612" i="1"/>
  <c r="M1790" i="1"/>
  <c r="O1779" i="1"/>
  <c r="N1750" i="1"/>
  <c r="O1750" i="1"/>
  <c r="M1386" i="1"/>
  <c r="I1022" i="16"/>
  <c r="J167" i="15" s="1"/>
  <c r="I1337" i="16"/>
  <c r="F1431" i="16"/>
  <c r="F1184" i="16"/>
  <c r="F1104" i="16"/>
  <c r="I1090" i="16"/>
  <c r="I1190" i="16"/>
  <c r="F1284" i="16"/>
  <c r="I1154" i="16"/>
  <c r="F1248" i="16"/>
  <c r="F1187" i="16"/>
  <c r="I1093" i="16"/>
  <c r="F1189" i="16"/>
  <c r="I1095" i="16"/>
  <c r="F1215" i="16"/>
  <c r="I1121" i="16"/>
  <c r="F1216" i="16"/>
  <c r="I1122" i="16"/>
  <c r="I1123" i="16"/>
  <c r="F1217" i="16"/>
  <c r="F1219" i="16"/>
  <c r="I1125" i="16"/>
  <c r="I1127" i="16"/>
  <c r="F1221" i="16"/>
  <c r="F1223" i="16"/>
  <c r="I1129" i="16"/>
  <c r="F1224" i="16"/>
  <c r="I1130" i="16"/>
  <c r="I1132" i="16"/>
  <c r="F1226" i="16"/>
  <c r="F1228" i="16"/>
  <c r="I1134" i="16"/>
  <c r="I1136" i="16"/>
  <c r="F1230" i="16"/>
  <c r="F1232" i="16"/>
  <c r="I1138" i="16"/>
  <c r="I1140" i="16"/>
  <c r="F1234" i="16"/>
  <c r="F1236" i="16"/>
  <c r="I1142" i="16"/>
  <c r="I1144" i="16"/>
  <c r="F1238" i="16"/>
  <c r="F1240" i="16"/>
  <c r="I1146" i="16"/>
  <c r="I1131" i="16"/>
  <c r="F1225" i="16"/>
  <c r="F1227" i="16"/>
  <c r="I1133" i="16"/>
  <c r="I1135" i="16"/>
  <c r="F1229" i="16"/>
  <c r="F1231" i="16"/>
  <c r="I1137" i="16"/>
  <c r="I1139" i="16"/>
  <c r="F1233" i="16"/>
  <c r="F1235" i="16"/>
  <c r="I1141" i="16"/>
  <c r="I1143" i="16"/>
  <c r="F1237" i="16"/>
  <c r="F1239" i="16"/>
  <c r="I1145" i="16"/>
  <c r="I1147" i="16"/>
  <c r="F1241" i="16"/>
  <c r="F1195" i="16"/>
  <c r="I1101" i="16"/>
  <c r="F1245" i="16"/>
  <c r="I1151" i="16"/>
  <c r="I1156" i="16"/>
  <c r="F1250" i="16"/>
  <c r="F1252" i="16"/>
  <c r="I1158" i="16"/>
  <c r="I1160" i="16"/>
  <c r="F1254" i="16"/>
  <c r="F1256" i="16"/>
  <c r="I1162" i="16"/>
  <c r="I1164" i="16"/>
  <c r="F1258" i="16"/>
  <c r="F1260" i="16"/>
  <c r="I1166" i="16"/>
  <c r="I1168" i="16"/>
  <c r="F1262" i="16"/>
  <c r="F1264" i="16"/>
  <c r="I1170" i="16"/>
  <c r="F1268" i="16"/>
  <c r="I1174" i="16"/>
  <c r="I1107" i="16"/>
  <c r="F1201" i="16"/>
  <c r="F1203" i="16"/>
  <c r="I1109" i="16"/>
  <c r="F1191" i="16"/>
  <c r="I1097" i="16"/>
  <c r="I1099" i="16"/>
  <c r="F1193" i="16"/>
  <c r="I1103" i="16"/>
  <c r="F1197" i="16"/>
  <c r="F1293" i="16"/>
  <c r="I1199" i="16"/>
  <c r="F1024" i="16"/>
  <c r="F1300" i="16"/>
  <c r="I1206" i="16"/>
  <c r="F1209" i="16"/>
  <c r="I1115" i="16"/>
  <c r="I1120" i="16"/>
  <c r="F1214" i="16"/>
  <c r="I1124" i="16"/>
  <c r="F1218" i="16"/>
  <c r="F1220" i="16"/>
  <c r="I1126" i="16"/>
  <c r="I1128" i="16"/>
  <c r="F1222" i="16"/>
  <c r="I1108" i="16"/>
  <c r="F1202" i="16"/>
  <c r="F1204" i="16"/>
  <c r="I1110" i="16"/>
  <c r="I1152" i="16"/>
  <c r="F1246" i="16"/>
  <c r="F1249" i="16"/>
  <c r="I1155" i="16"/>
  <c r="I1157" i="16"/>
  <c r="F1251" i="16"/>
  <c r="F1253" i="16"/>
  <c r="I1159" i="16"/>
  <c r="I1161" i="16"/>
  <c r="F1255" i="16"/>
  <c r="F1257" i="16"/>
  <c r="I1163" i="16"/>
  <c r="J199" i="15" s="1"/>
  <c r="J201" i="15" s="1"/>
  <c r="I1165" i="16"/>
  <c r="F1259" i="16"/>
  <c r="F1261" i="16"/>
  <c r="I1167" i="16"/>
  <c r="I1169" i="16"/>
  <c r="F1263" i="16"/>
  <c r="F1265" i="16"/>
  <c r="I1171" i="16"/>
  <c r="I1173" i="16"/>
  <c r="F1267" i="16"/>
  <c r="I930" i="16"/>
  <c r="I990" i="16" s="1"/>
  <c r="J166" i="15"/>
  <c r="F1084" i="16"/>
  <c r="I1150" i="16"/>
  <c r="F1244" i="16"/>
  <c r="F1175" i="16"/>
  <c r="F1208" i="16"/>
  <c r="I1114" i="16"/>
  <c r="I1098" i="16"/>
  <c r="F1192" i="16"/>
  <c r="F1194" i="16"/>
  <c r="I1100" i="16"/>
  <c r="I1102" i="16"/>
  <c r="F1196" i="16"/>
  <c r="I1113" i="16"/>
  <c r="I1116" i="16" s="1"/>
  <c r="F1207" i="16"/>
  <c r="I1185" i="16"/>
  <c r="F1279" i="16"/>
  <c r="I1010" i="16"/>
  <c r="J165" i="15" s="1"/>
  <c r="J168" i="15" s="1"/>
  <c r="I1200" i="16"/>
  <c r="F1294" i="16"/>
  <c r="F1111" i="16"/>
  <c r="F1186" i="16"/>
  <c r="I1092" i="16"/>
  <c r="F1188" i="16"/>
  <c r="I1094" i="16"/>
  <c r="I1307" i="16"/>
  <c r="F1401" i="16"/>
  <c r="F1116" i="16"/>
  <c r="I1054" i="16"/>
  <c r="J169" i="15" s="1"/>
  <c r="J171" i="15" s="1"/>
  <c r="J153" i="15"/>
  <c r="J160" i="15" s="1"/>
  <c r="K713" i="17"/>
  <c r="G180" i="15" s="1"/>
  <c r="N662" i="17"/>
  <c r="N665" i="17"/>
  <c r="L918" i="17"/>
  <c r="L943" i="17"/>
  <c r="L912" i="17"/>
  <c r="L933" i="17"/>
  <c r="L935" i="17"/>
  <c r="L939" i="17"/>
  <c r="L917" i="17"/>
  <c r="L910" i="17"/>
  <c r="L929" i="17"/>
  <c r="L940" i="17"/>
  <c r="L919" i="17"/>
  <c r="K837" i="17"/>
  <c r="Q773" i="17"/>
  <c r="L932" i="17"/>
  <c r="L908" i="17"/>
  <c r="L931" i="17"/>
  <c r="L941" i="17"/>
  <c r="L936" i="17"/>
  <c r="N532" i="17"/>
  <c r="L947" i="17"/>
  <c r="L951" i="17"/>
  <c r="L903" i="17"/>
  <c r="N651" i="17"/>
  <c r="L957" i="17"/>
  <c r="L904" i="17"/>
  <c r="L920" i="17"/>
  <c r="N694" i="17"/>
  <c r="L926" i="17"/>
  <c r="L1015" i="17"/>
  <c r="L1019" i="17"/>
  <c r="L1003" i="17"/>
  <c r="Q666" i="17"/>
  <c r="Q667" i="17" s="1"/>
  <c r="H169" i="15" s="1"/>
  <c r="H171" i="15" s="1"/>
  <c r="H145" i="15"/>
  <c r="K639" i="17"/>
  <c r="N678" i="17"/>
  <c r="N653" i="17"/>
  <c r="Q649" i="17"/>
  <c r="H165" i="15" s="1"/>
  <c r="N655" i="17"/>
  <c r="N660" i="17"/>
  <c r="N644" i="17"/>
  <c r="K771" i="17"/>
  <c r="K835" i="17" s="1"/>
  <c r="Q707" i="17"/>
  <c r="J707" i="17"/>
  <c r="M707" i="17" s="1"/>
  <c r="L771" i="17"/>
  <c r="L835" i="17" s="1"/>
  <c r="N707" i="17"/>
  <c r="Q760" i="17"/>
  <c r="K824" i="17"/>
  <c r="K888" i="17" s="1"/>
  <c r="J760" i="17"/>
  <c r="M760" i="17" s="1"/>
  <c r="K792" i="17"/>
  <c r="K856" i="17" s="1"/>
  <c r="Q728" i="17"/>
  <c r="J728" i="17"/>
  <c r="M656" i="17"/>
  <c r="N656" i="17"/>
  <c r="K784" i="17"/>
  <c r="K848" i="17" s="1"/>
  <c r="J720" i="17"/>
  <c r="Q720" i="17"/>
  <c r="H157" i="15"/>
  <c r="H159" i="15" s="1"/>
  <c r="K807" i="17"/>
  <c r="K871" i="17" s="1"/>
  <c r="J743" i="17"/>
  <c r="Q743" i="17"/>
  <c r="K788" i="17"/>
  <c r="K852" i="17" s="1"/>
  <c r="Q724" i="17"/>
  <c r="J724" i="17"/>
  <c r="M724" i="17" s="1"/>
  <c r="M672" i="17"/>
  <c r="N672" i="17"/>
  <c r="K812" i="17"/>
  <c r="K876" i="17" s="1"/>
  <c r="Q748" i="17"/>
  <c r="J748" i="17"/>
  <c r="M674" i="17"/>
  <c r="N674" i="17"/>
  <c r="M685" i="17"/>
  <c r="N685" i="17"/>
  <c r="M687" i="17"/>
  <c r="N687" i="17"/>
  <c r="L816" i="17"/>
  <c r="L880" i="17" s="1"/>
  <c r="L817" i="17"/>
  <c r="L881" i="17" s="1"/>
  <c r="K804" i="17"/>
  <c r="K868" i="17" s="1"/>
  <c r="Q740" i="17"/>
  <c r="J740" i="17"/>
  <c r="Q745" i="17"/>
  <c r="K809" i="17"/>
  <c r="K873" i="17" s="1"/>
  <c r="J745" i="17"/>
  <c r="L701" i="17"/>
  <c r="L796" i="17"/>
  <c r="L860" i="17" s="1"/>
  <c r="L764" i="17"/>
  <c r="L639" i="17"/>
  <c r="Q714" i="17"/>
  <c r="K778" i="17"/>
  <c r="K842" i="17" s="1"/>
  <c r="J714" i="17"/>
  <c r="K721" i="17"/>
  <c r="G181" i="15" s="1"/>
  <c r="L658" i="17"/>
  <c r="K790" i="17"/>
  <c r="K854" i="17" s="1"/>
  <c r="J726" i="17"/>
  <c r="Q726" i="17"/>
  <c r="K799" i="17"/>
  <c r="K863" i="17" s="1"/>
  <c r="Q735" i="17"/>
  <c r="J735" i="17"/>
  <c r="M735" i="17" s="1"/>
  <c r="K776" i="17"/>
  <c r="Q712" i="17"/>
  <c r="J712" i="17"/>
  <c r="K798" i="17"/>
  <c r="K862" i="17" s="1"/>
  <c r="Q734" i="17"/>
  <c r="J734" i="17"/>
  <c r="M663" i="17"/>
  <c r="Q727" i="17"/>
  <c r="K791" i="17"/>
  <c r="K855" i="17" s="1"/>
  <c r="J727" i="17"/>
  <c r="K806" i="17"/>
  <c r="K870" i="17" s="1"/>
  <c r="Q742" i="17"/>
  <c r="J742" i="17"/>
  <c r="M742" i="17" s="1"/>
  <c r="M652" i="17"/>
  <c r="N652" i="17"/>
  <c r="K780" i="17"/>
  <c r="K844" i="17" s="1"/>
  <c r="J716" i="17"/>
  <c r="Q716" i="17"/>
  <c r="L810" i="17"/>
  <c r="L874" i="17" s="1"/>
  <c r="L787" i="17"/>
  <c r="L851" i="17" s="1"/>
  <c r="L730" i="17"/>
  <c r="K827" i="17"/>
  <c r="K891" i="17" s="1"/>
  <c r="Q763" i="17"/>
  <c r="J763" i="17"/>
  <c r="Q737" i="17"/>
  <c r="K801" i="17"/>
  <c r="K865" i="17" s="1"/>
  <c r="J737" i="17"/>
  <c r="Q700" i="17"/>
  <c r="Q701" i="17" s="1"/>
  <c r="G172" i="15"/>
  <c r="G174" i="15" s="1"/>
  <c r="M637" i="17"/>
  <c r="J638" i="17"/>
  <c r="N696" i="17"/>
  <c r="K814" i="17"/>
  <c r="K878" i="17" s="1"/>
  <c r="Q750" i="17"/>
  <c r="J750" i="17"/>
  <c r="M750" i="17" s="1"/>
  <c r="N690" i="17"/>
  <c r="N692" i="17"/>
  <c r="M675" i="17"/>
  <c r="N675" i="17"/>
  <c r="M654" i="17"/>
  <c r="N654" i="17"/>
  <c r="N646" i="17"/>
  <c r="L779" i="17"/>
  <c r="L843" i="17" s="1"/>
  <c r="M677" i="17"/>
  <c r="N677" i="17"/>
  <c r="Q757" i="17"/>
  <c r="K821" i="17"/>
  <c r="K885" i="17" s="1"/>
  <c r="J757" i="17"/>
  <c r="N698" i="17"/>
  <c r="H153" i="15"/>
  <c r="H160" i="15" s="1"/>
  <c r="N575" i="17"/>
  <c r="M575" i="17"/>
  <c r="J576" i="17"/>
  <c r="N669" i="17"/>
  <c r="L814" i="17"/>
  <c r="L878" i="17" s="1"/>
  <c r="Q657" i="17"/>
  <c r="H166" i="15" s="1"/>
  <c r="K779" i="17"/>
  <c r="K843" i="17" s="1"/>
  <c r="Q715" i="17"/>
  <c r="J715" i="17"/>
  <c r="M715" i="17" s="1"/>
  <c r="M697" i="17"/>
  <c r="N697" i="17"/>
  <c r="M661" i="17"/>
  <c r="N661" i="17"/>
  <c r="K789" i="17"/>
  <c r="K853" i="17" s="1"/>
  <c r="Q725" i="17"/>
  <c r="J725" i="17"/>
  <c r="K775" i="17"/>
  <c r="Q711" i="17"/>
  <c r="J711" i="17"/>
  <c r="L799" i="17"/>
  <c r="L863" i="17" s="1"/>
  <c r="M659" i="17"/>
  <c r="J666" i="17"/>
  <c r="M666" i="17" s="1"/>
  <c r="K787" i="17"/>
  <c r="K851" i="17" s="1"/>
  <c r="K730" i="17"/>
  <c r="K731" i="17" s="1"/>
  <c r="G184" i="15" s="1"/>
  <c r="G186" i="15" s="1"/>
  <c r="J723" i="17"/>
  <c r="Q723" i="17"/>
  <c r="N603" i="17"/>
  <c r="M709" i="17"/>
  <c r="M645" i="17"/>
  <c r="J649" i="17"/>
  <c r="M664" i="17"/>
  <c r="N664" i="17"/>
  <c r="M691" i="17"/>
  <c r="N691" i="17"/>
  <c r="K819" i="17"/>
  <c r="K883" i="17" s="1"/>
  <c r="J755" i="17"/>
  <c r="Q755" i="17"/>
  <c r="M679" i="17"/>
  <c r="N679" i="17"/>
  <c r="K800" i="17"/>
  <c r="K864" i="17" s="1"/>
  <c r="Q736" i="17"/>
  <c r="J736" i="17"/>
  <c r="M684" i="17"/>
  <c r="N684" i="17"/>
  <c r="K802" i="17"/>
  <c r="K866" i="17" s="1"/>
  <c r="Q738" i="17"/>
  <c r="J738" i="17"/>
  <c r="Q749" i="17"/>
  <c r="K813" i="17"/>
  <c r="K877" i="17" s="1"/>
  <c r="J749" i="17"/>
  <c r="K818" i="17"/>
  <c r="K882" i="17" s="1"/>
  <c r="Q754" i="17"/>
  <c r="J754" i="17"/>
  <c r="M754" i="17" s="1"/>
  <c r="L793" i="17"/>
  <c r="L857" i="17" s="1"/>
  <c r="K815" i="17"/>
  <c r="K879" i="17" s="1"/>
  <c r="J751" i="17"/>
  <c r="Q751" i="17"/>
  <c r="N689" i="17"/>
  <c r="Q752" i="17"/>
  <c r="K816" i="17"/>
  <c r="K880" i="17" s="1"/>
  <c r="J752" i="17"/>
  <c r="M752" i="17" s="1"/>
  <c r="J762" i="17"/>
  <c r="M762" i="17" s="1"/>
  <c r="K826" i="17"/>
  <c r="K890" i="17" s="1"/>
  <c r="Q762" i="17"/>
  <c r="M676" i="17"/>
  <c r="N676" i="17"/>
  <c r="Q756" i="17"/>
  <c r="K820" i="17"/>
  <c r="K884" i="17" s="1"/>
  <c r="K774" i="17"/>
  <c r="Q710" i="17"/>
  <c r="G160" i="15"/>
  <c r="M681" i="17"/>
  <c r="N681" i="17"/>
  <c r="N637" i="17"/>
  <c r="M650" i="17"/>
  <c r="J657" i="17"/>
  <c r="M657" i="17" s="1"/>
  <c r="Q733" i="17"/>
  <c r="K797" i="17"/>
  <c r="K861" i="17" s="1"/>
  <c r="J733" i="17"/>
  <c r="M733" i="17" s="1"/>
  <c r="L773" i="17"/>
  <c r="L837" i="17" s="1"/>
  <c r="L713" i="17"/>
  <c r="N709" i="17"/>
  <c r="K793" i="17"/>
  <c r="K857" i="17" s="1"/>
  <c r="J729" i="17"/>
  <c r="M729" i="17" s="1"/>
  <c r="Q729" i="17"/>
  <c r="M648" i="17"/>
  <c r="N648" i="17"/>
  <c r="M670" i="17"/>
  <c r="N670" i="17"/>
  <c r="J604" i="17"/>
  <c r="M604" i="17" s="1"/>
  <c r="Q746" i="17"/>
  <c r="K810" i="17"/>
  <c r="K874" i="17" s="1"/>
  <c r="J746" i="17"/>
  <c r="M746" i="17" s="1"/>
  <c r="L806" i="17"/>
  <c r="L870" i="17" s="1"/>
  <c r="N682" i="17"/>
  <c r="M680" i="17"/>
  <c r="N680" i="17"/>
  <c r="K808" i="17"/>
  <c r="K872" i="17" s="1"/>
  <c r="J744" i="17"/>
  <c r="Q744" i="17"/>
  <c r="L781" i="17"/>
  <c r="L845" i="17" s="1"/>
  <c r="Q753" i="17"/>
  <c r="K817" i="17"/>
  <c r="K881" i="17" s="1"/>
  <c r="J753" i="17"/>
  <c r="M753" i="17" s="1"/>
  <c r="N659" i="17"/>
  <c r="L667" i="17"/>
  <c r="M699" i="17"/>
  <c r="N699" i="17"/>
  <c r="J595" i="17"/>
  <c r="M595" i="17" s="1"/>
  <c r="M586" i="17"/>
  <c r="K658" i="17"/>
  <c r="K702" i="17" s="1"/>
  <c r="G165" i="15"/>
  <c r="G168" i="15" s="1"/>
  <c r="M673" i="17"/>
  <c r="N673" i="17"/>
  <c r="L778" i="17"/>
  <c r="L842" i="17" s="1"/>
  <c r="L721" i="17"/>
  <c r="J700" i="17"/>
  <c r="M668" i="17"/>
  <c r="Q732" i="17"/>
  <c r="K796" i="17"/>
  <c r="K860" i="17" s="1"/>
  <c r="J732" i="17"/>
  <c r="K764" i="17"/>
  <c r="K765" i="17" s="1"/>
  <c r="K781" i="17"/>
  <c r="K845" i="17" s="1"/>
  <c r="J717" i="17"/>
  <c r="M717" i="17" s="1"/>
  <c r="Q717" i="17"/>
  <c r="L824" i="17"/>
  <c r="L888" i="17" s="1"/>
  <c r="L818" i="17"/>
  <c r="L882" i="17" s="1"/>
  <c r="J756" i="17"/>
  <c r="M756" i="17" s="1"/>
  <c r="L820" i="17"/>
  <c r="L884" i="17" s="1"/>
  <c r="N756" i="17"/>
  <c r="K803" i="17"/>
  <c r="K867" i="17" s="1"/>
  <c r="J739" i="17"/>
  <c r="Q739" i="17"/>
  <c r="Q718" i="17"/>
  <c r="K782" i="17"/>
  <c r="K846" i="17" s="1"/>
  <c r="J718" i="17"/>
  <c r="M695" i="17"/>
  <c r="N695" i="17"/>
  <c r="K823" i="17"/>
  <c r="K887" i="17" s="1"/>
  <c r="Q759" i="17"/>
  <c r="J759" i="17"/>
  <c r="J710" i="17"/>
  <c r="M710" i="17" s="1"/>
  <c r="L774" i="17"/>
  <c r="L838" i="17" s="1"/>
  <c r="Q741" i="17"/>
  <c r="K805" i="17"/>
  <c r="K869" i="17" s="1"/>
  <c r="J741" i="17"/>
  <c r="M693" i="17"/>
  <c r="N693" i="17"/>
  <c r="Q595" i="17"/>
  <c r="Q639" i="17" s="1"/>
  <c r="N663" i="17"/>
  <c r="L826" i="17"/>
  <c r="L890" i="17" s="1"/>
  <c r="N513" i="17"/>
  <c r="K783" i="17"/>
  <c r="K847" i="17" s="1"/>
  <c r="Q719" i="17"/>
  <c r="J719" i="17"/>
  <c r="M719" i="17" s="1"/>
  <c r="N586" i="17"/>
  <c r="L797" i="17"/>
  <c r="L861" i="17" s="1"/>
  <c r="N686" i="17"/>
  <c r="L783" i="17"/>
  <c r="L847" i="17" s="1"/>
  <c r="L822" i="17"/>
  <c r="L886" i="17" s="1"/>
  <c r="Q761" i="17"/>
  <c r="K825" i="17"/>
  <c r="K889" i="17" s="1"/>
  <c r="J761" i="17"/>
  <c r="L788" i="17"/>
  <c r="L852" i="17" s="1"/>
  <c r="M647" i="17"/>
  <c r="N647" i="17"/>
  <c r="K822" i="17"/>
  <c r="K886" i="17" s="1"/>
  <c r="Q758" i="17"/>
  <c r="J758" i="17"/>
  <c r="M758" i="17" s="1"/>
  <c r="N671" i="17"/>
  <c r="M683" i="17"/>
  <c r="N683" i="17"/>
  <c r="K811" i="17"/>
  <c r="K875" i="17" s="1"/>
  <c r="Q747" i="17"/>
  <c r="J747" i="17"/>
  <c r="I139" i="15"/>
  <c r="I141" i="15" s="1"/>
  <c r="I145" i="15" s="1"/>
  <c r="K1124" i="1"/>
  <c r="N1123" i="1"/>
  <c r="N1124" i="1" s="1"/>
  <c r="D159" i="15"/>
  <c r="E159" i="15" s="1"/>
  <c r="E157" i="15"/>
  <c r="O1123" i="1"/>
  <c r="O1124" i="1" s="1"/>
  <c r="F154" i="15"/>
  <c r="F156" i="15" s="1"/>
  <c r="F160" i="15" s="1"/>
  <c r="G1157" i="13"/>
  <c r="I154" i="15"/>
  <c r="I156" i="15" s="1"/>
  <c r="I160" i="15" s="1"/>
  <c r="J1157" i="13"/>
  <c r="E153" i="15"/>
  <c r="D144" i="15"/>
  <c r="E144" i="15" s="1"/>
  <c r="E142" i="15"/>
  <c r="N1006" i="1"/>
  <c r="N1007" i="1" s="1"/>
  <c r="K1007" i="1"/>
  <c r="D124" i="15"/>
  <c r="K919" i="1"/>
  <c r="F139" i="15"/>
  <c r="F141" i="15" s="1"/>
  <c r="F145" i="15" s="1"/>
  <c r="G1040" i="13"/>
  <c r="E94" i="15"/>
  <c r="D96" i="15"/>
  <c r="D109" i="15"/>
  <c r="K804" i="1"/>
  <c r="E81" i="15"/>
  <c r="D85" i="15"/>
  <c r="E85" i="15" s="1"/>
  <c r="N689" i="1"/>
  <c r="O689" i="1"/>
  <c r="J70" i="13"/>
  <c r="K67" i="1"/>
  <c r="O67" i="1" s="1"/>
  <c r="K1674" i="1" l="1"/>
  <c r="N1674" i="1" s="1"/>
  <c r="D225" i="15"/>
  <c r="N1657" i="1"/>
  <c r="O1657" i="1"/>
  <c r="J1680" i="13"/>
  <c r="I225" i="15"/>
  <c r="I228" i="15" s="1"/>
  <c r="M2250" i="1"/>
  <c r="N1900" i="1"/>
  <c r="O1900" i="1"/>
  <c r="M2232" i="1"/>
  <c r="L2139" i="1"/>
  <c r="G2028" i="13"/>
  <c r="J2028" i="13" s="1"/>
  <c r="K2022" i="1"/>
  <c r="M2218" i="1"/>
  <c r="K2019" i="1"/>
  <c r="L2136" i="1"/>
  <c r="G2025" i="13"/>
  <c r="J2025" i="13" s="1"/>
  <c r="L2093" i="1"/>
  <c r="G1982" i="13"/>
  <c r="J1982" i="13" s="1"/>
  <c r="K1976" i="1"/>
  <c r="L1945" i="1"/>
  <c r="K1828" i="1"/>
  <c r="N1828" i="1" s="1"/>
  <c r="G1834" i="13"/>
  <c r="J1834" i="13" s="1"/>
  <c r="M1913" i="1"/>
  <c r="L1886" i="1"/>
  <c r="L1996" i="1"/>
  <c r="G1885" i="13"/>
  <c r="K1879" i="1"/>
  <c r="L1956" i="1"/>
  <c r="G1845" i="13"/>
  <c r="K1839" i="1"/>
  <c r="N1892" i="1"/>
  <c r="K1896" i="1"/>
  <c r="L2133" i="1"/>
  <c r="G2022" i="13"/>
  <c r="J2022" i="13" s="1"/>
  <c r="K2016" i="1"/>
  <c r="M1945" i="1"/>
  <c r="O1828" i="1"/>
  <c r="K1984" i="1"/>
  <c r="L2101" i="1"/>
  <c r="G1990" i="13"/>
  <c r="J1990" i="13" s="1"/>
  <c r="N1723" i="1"/>
  <c r="O1723" i="1"/>
  <c r="G1691" i="13"/>
  <c r="J1681" i="13"/>
  <c r="J1691" i="13" s="1"/>
  <c r="K1799" i="1"/>
  <c r="N1799" i="1" s="1"/>
  <c r="L1916" i="1"/>
  <c r="G1805" i="13"/>
  <c r="J1805" i="13" s="1"/>
  <c r="L1915" i="1"/>
  <c r="G1804" i="13"/>
  <c r="J1804" i="13" s="1"/>
  <c r="K1798" i="1"/>
  <c r="N1798" i="1" s="1"/>
  <c r="L1925" i="1"/>
  <c r="G1814" i="13"/>
  <c r="J1814" i="13" s="1"/>
  <c r="K1808" i="1"/>
  <c r="N1695" i="1"/>
  <c r="K1698" i="1"/>
  <c r="K1906" i="1"/>
  <c r="N1897" i="1"/>
  <c r="O1897" i="1"/>
  <c r="L2100" i="1"/>
  <c r="G1989" i="13"/>
  <c r="J1989" i="13" s="1"/>
  <c r="K1983" i="1"/>
  <c r="L2107" i="1"/>
  <c r="G1996" i="13"/>
  <c r="J1996" i="13" s="1"/>
  <c r="K1990" i="1"/>
  <c r="N1596" i="1"/>
  <c r="L2109" i="1"/>
  <c r="G1998" i="13"/>
  <c r="J1998" i="13" s="1"/>
  <c r="K1992" i="1"/>
  <c r="N1904" i="1"/>
  <c r="O1904" i="1"/>
  <c r="O1733" i="1"/>
  <c r="N1877" i="1"/>
  <c r="O1877" i="1"/>
  <c r="O1680" i="1"/>
  <c r="G1854" i="13"/>
  <c r="L1966" i="1"/>
  <c r="L1851" i="1"/>
  <c r="K1849" i="1"/>
  <c r="L2102" i="1"/>
  <c r="G1991" i="13"/>
  <c r="J1991" i="13" s="1"/>
  <c r="K1985" i="1"/>
  <c r="O1687" i="1"/>
  <c r="M2253" i="1"/>
  <c r="G1583" i="13"/>
  <c r="L2137" i="1"/>
  <c r="G2026" i="13"/>
  <c r="J2026" i="13" s="1"/>
  <c r="K2020" i="1"/>
  <c r="M1830" i="1"/>
  <c r="M1944" i="1"/>
  <c r="O1695" i="1"/>
  <c r="L1948" i="1"/>
  <c r="K1831" i="1"/>
  <c r="G1837" i="13"/>
  <c r="L1835" i="1"/>
  <c r="M2226" i="1"/>
  <c r="K2002" i="1"/>
  <c r="L2119" i="1"/>
  <c r="G2008" i="13"/>
  <c r="J2008" i="13" s="1"/>
  <c r="M1936" i="1"/>
  <c r="F1371" i="16"/>
  <c r="I1277" i="16"/>
  <c r="N1872" i="1"/>
  <c r="O1872" i="1"/>
  <c r="L1937" i="1"/>
  <c r="G1826" i="13"/>
  <c r="J1826" i="13" s="1"/>
  <c r="K1820" i="1"/>
  <c r="N1820" i="1" s="1"/>
  <c r="O1704" i="1"/>
  <c r="M1937" i="1"/>
  <c r="O1820" i="1"/>
  <c r="M2246" i="1"/>
  <c r="M1964" i="1"/>
  <c r="O1892" i="1"/>
  <c r="N1874" i="1"/>
  <c r="O1874" i="1"/>
  <c r="O1731" i="1"/>
  <c r="G1896" i="13"/>
  <c r="J1893" i="13"/>
  <c r="J1896" i="13" s="1"/>
  <c r="O1568" i="1"/>
  <c r="N1568" i="1"/>
  <c r="K1577" i="1"/>
  <c r="N1720" i="1"/>
  <c r="O1720" i="1"/>
  <c r="O1589" i="1"/>
  <c r="L1920" i="1"/>
  <c r="K1803" i="1"/>
  <c r="G1809" i="13"/>
  <c r="L1810" i="1"/>
  <c r="N1581" i="1"/>
  <c r="K1589" i="1"/>
  <c r="N1589" i="1" s="1"/>
  <c r="G1727" i="13"/>
  <c r="J1725" i="13"/>
  <c r="J1727" i="13" s="1"/>
  <c r="N1728" i="1"/>
  <c r="K1731" i="1"/>
  <c r="N1731" i="1" s="1"/>
  <c r="M2212" i="1"/>
  <c r="K1819" i="1"/>
  <c r="N1819" i="1" s="1"/>
  <c r="L1936" i="1"/>
  <c r="G1825" i="13"/>
  <c r="J1825" i="13" s="1"/>
  <c r="K1713" i="1"/>
  <c r="N1713" i="1" s="1"/>
  <c r="N1710" i="1"/>
  <c r="K1705" i="1"/>
  <c r="N1705" i="1" s="1"/>
  <c r="N1699" i="1"/>
  <c r="O1677" i="1"/>
  <c r="D169" i="15"/>
  <c r="N710" i="17"/>
  <c r="M1951" i="1"/>
  <c r="K1986" i="1"/>
  <c r="L2103" i="1"/>
  <c r="G1992" i="13"/>
  <c r="J1992" i="13" s="1"/>
  <c r="L2129" i="1"/>
  <c r="G2018" i="13"/>
  <c r="J2018" i="13" s="1"/>
  <c r="K2012" i="1"/>
  <c r="M2239" i="1"/>
  <c r="N1902" i="1"/>
  <c r="O1902" i="1"/>
  <c r="M1592" i="1"/>
  <c r="K1609" i="1"/>
  <c r="L1726" i="1"/>
  <c r="L1610" i="1"/>
  <c r="L1618" i="1" s="1"/>
  <c r="L1619" i="1" s="1"/>
  <c r="M1950" i="1"/>
  <c r="M1835" i="1"/>
  <c r="M1948" i="1"/>
  <c r="O1831" i="1"/>
  <c r="L1891" i="1"/>
  <c r="M2228" i="1"/>
  <c r="M2223" i="1"/>
  <c r="O1460" i="1"/>
  <c r="N1460" i="1"/>
  <c r="K1474" i="1"/>
  <c r="J1898" i="13"/>
  <c r="G1902" i="13"/>
  <c r="L1914" i="1"/>
  <c r="K1797" i="1"/>
  <c r="N1797" i="1" s="1"/>
  <c r="G1803" i="13"/>
  <c r="J1803" i="13" s="1"/>
  <c r="M1707" i="1"/>
  <c r="D210" i="15"/>
  <c r="K1557" i="1"/>
  <c r="N1540" i="1"/>
  <c r="O1540" i="1"/>
  <c r="K2006" i="1"/>
  <c r="L2123" i="1"/>
  <c r="G2012" i="13"/>
  <c r="J2012" i="13" s="1"/>
  <c r="L1909" i="1"/>
  <c r="G1798" i="13"/>
  <c r="K1792" i="1"/>
  <c r="L1802" i="1"/>
  <c r="L1811" i="1" s="1"/>
  <c r="N1881" i="1"/>
  <c r="O1881" i="1"/>
  <c r="M1619" i="1"/>
  <c r="M1959" i="1"/>
  <c r="N1691" i="1"/>
  <c r="O1691" i="1"/>
  <c r="G1704" i="13"/>
  <c r="J1701" i="13"/>
  <c r="J1704" i="13" s="1"/>
  <c r="G1912" i="13"/>
  <c r="J1903" i="13"/>
  <c r="J1912" i="13" s="1"/>
  <c r="N1866" i="1"/>
  <c r="O1866" i="1"/>
  <c r="L1959" i="1"/>
  <c r="K1842" i="1"/>
  <c r="N1842" i="1" s="1"/>
  <c r="G1848" i="13"/>
  <c r="J1848" i="13" s="1"/>
  <c r="L1911" i="1"/>
  <c r="G1800" i="13"/>
  <c r="J1800" i="13" s="1"/>
  <c r="K1794" i="1"/>
  <c r="N1794" i="1" s="1"/>
  <c r="N1873" i="1"/>
  <c r="O1873" i="1"/>
  <c r="K1841" i="1"/>
  <c r="N1841" i="1" s="1"/>
  <c r="L1958" i="1"/>
  <c r="G1847" i="13"/>
  <c r="J1847" i="13" s="1"/>
  <c r="M1955" i="1"/>
  <c r="M2071" i="1"/>
  <c r="N1875" i="1"/>
  <c r="O1875" i="1"/>
  <c r="M1967" i="1"/>
  <c r="N1894" i="1"/>
  <c r="O1894" i="1"/>
  <c r="N1267" i="1"/>
  <c r="N1268" i="1" s="1"/>
  <c r="K1268" i="1"/>
  <c r="D172" i="15" s="1"/>
  <c r="O1267" i="1"/>
  <c r="O1268" i="1" s="1"/>
  <c r="M1851" i="1"/>
  <c r="M1966" i="1"/>
  <c r="O1849" i="1"/>
  <c r="G1739" i="13"/>
  <c r="J1737" i="13"/>
  <c r="J1739" i="13" s="1"/>
  <c r="N1868" i="1"/>
  <c r="O1868" i="1"/>
  <c r="M2248" i="1"/>
  <c r="K1993" i="1"/>
  <c r="L2110" i="1"/>
  <c r="G1999" i="13"/>
  <c r="J1999" i="13" s="1"/>
  <c r="M2240" i="1"/>
  <c r="L1707" i="1"/>
  <c r="K1590" i="1"/>
  <c r="N1590" i="1" s="1"/>
  <c r="G1596" i="13"/>
  <c r="J1596" i="13" s="1"/>
  <c r="M2251" i="1"/>
  <c r="M2070" i="1"/>
  <c r="M1735" i="1"/>
  <c r="O1713" i="1"/>
  <c r="O1698" i="1"/>
  <c r="O1858" i="1"/>
  <c r="K1862" i="1"/>
  <c r="N1858" i="1"/>
  <c r="D226" i="15"/>
  <c r="E226" i="15" s="1"/>
  <c r="N1673" i="1"/>
  <c r="M1960" i="1"/>
  <c r="M2220" i="1"/>
  <c r="M1924" i="1"/>
  <c r="O1712" i="1"/>
  <c r="O1871" i="1"/>
  <c r="N1871" i="1"/>
  <c r="K1878" i="1"/>
  <c r="M2236" i="1"/>
  <c r="N1863" i="1"/>
  <c r="K1870" i="1"/>
  <c r="O1863" i="1"/>
  <c r="L2122" i="1"/>
  <c r="K2005" i="1"/>
  <c r="G2011" i="13"/>
  <c r="J2011" i="13" s="1"/>
  <c r="K1793" i="1"/>
  <c r="N1793" i="1" s="1"/>
  <c r="L1910" i="1"/>
  <c r="G1799" i="13"/>
  <c r="J1799" i="13" s="1"/>
  <c r="O1681" i="1"/>
  <c r="L2121" i="1"/>
  <c r="K2004" i="1"/>
  <c r="L2007" i="1"/>
  <c r="G2010" i="13"/>
  <c r="O1683" i="1"/>
  <c r="M2096" i="1"/>
  <c r="M2209" i="1"/>
  <c r="O1686" i="1"/>
  <c r="K1693" i="1"/>
  <c r="N1693" i="1" s="1"/>
  <c r="N1686" i="1"/>
  <c r="G1623" i="13"/>
  <c r="G1624" i="13" s="1"/>
  <c r="F217" i="15" s="1"/>
  <c r="F219" i="15" s="1"/>
  <c r="M2039" i="1"/>
  <c r="I184" i="15"/>
  <c r="I186" i="15" s="1"/>
  <c r="I190" i="15" s="1"/>
  <c r="J1391" i="13"/>
  <c r="L1953" i="1"/>
  <c r="K1836" i="1"/>
  <c r="L1838" i="1"/>
  <c r="G1842" i="13"/>
  <c r="N1893" i="1"/>
  <c r="O1893" i="1"/>
  <c r="G1736" i="13"/>
  <c r="J1733" i="13"/>
  <c r="J1736" i="13" s="1"/>
  <c r="M2227" i="1"/>
  <c r="L2135" i="1"/>
  <c r="G2024" i="13"/>
  <c r="J2024" i="13" s="1"/>
  <c r="K2018" i="1"/>
  <c r="G1711" i="13"/>
  <c r="J1705" i="13"/>
  <c r="J1711" i="13" s="1"/>
  <c r="M2249" i="1"/>
  <c r="L2095" i="1"/>
  <c r="K1978" i="1"/>
  <c r="G1984" i="13"/>
  <c r="J1984" i="13" s="1"/>
  <c r="L1931" i="1"/>
  <c r="G1820" i="13"/>
  <c r="J1820" i="13" s="1"/>
  <c r="K1814" i="1"/>
  <c r="N1814" i="1" s="1"/>
  <c r="O1794" i="1"/>
  <c r="M1911" i="1"/>
  <c r="N1761" i="1"/>
  <c r="O1761" i="1"/>
  <c r="O1724" i="1"/>
  <c r="N1753" i="1"/>
  <c r="O1753" i="1"/>
  <c r="M1926" i="1"/>
  <c r="G1680" i="13"/>
  <c r="F225" i="15"/>
  <c r="F228" i="15" s="1"/>
  <c r="L1620" i="1"/>
  <c r="L1924" i="1"/>
  <c r="K1807" i="1"/>
  <c r="N1807" i="1" s="1"/>
  <c r="G1813" i="13"/>
  <c r="J1813" i="13" s="1"/>
  <c r="K1801" i="1"/>
  <c r="N1801" i="1" s="1"/>
  <c r="L1918" i="1"/>
  <c r="G1807" i="13"/>
  <c r="J1807" i="13" s="1"/>
  <c r="N1905" i="1"/>
  <c r="O1905" i="1"/>
  <c r="N1604" i="1"/>
  <c r="O1604" i="1"/>
  <c r="O1674" i="1"/>
  <c r="L1934" i="1"/>
  <c r="G1823" i="13"/>
  <c r="J1823" i="13" s="1"/>
  <c r="K1817" i="1"/>
  <c r="N1817" i="1" s="1"/>
  <c r="N1492" i="1"/>
  <c r="O1492" i="1"/>
  <c r="K1493" i="1"/>
  <c r="O1716" i="1"/>
  <c r="L1930" i="1"/>
  <c r="K1813" i="1"/>
  <c r="N1813" i="1" s="1"/>
  <c r="G1819" i="13"/>
  <c r="J1819" i="13" s="1"/>
  <c r="N1859" i="1"/>
  <c r="O1859" i="1"/>
  <c r="L2098" i="1"/>
  <c r="G1987" i="13"/>
  <c r="J1987" i="13" s="1"/>
  <c r="K1981" i="1"/>
  <c r="K1809" i="1"/>
  <c r="N1809" i="1" s="1"/>
  <c r="L1926" i="1"/>
  <c r="G1815" i="13"/>
  <c r="J1815" i="13" s="1"/>
  <c r="N1762" i="1"/>
  <c r="K1769" i="1"/>
  <c r="O1762" i="1"/>
  <c r="N1722" i="1"/>
  <c r="N1689" i="1"/>
  <c r="O1689" i="1"/>
  <c r="L2126" i="1"/>
  <c r="K2009" i="1"/>
  <c r="G2015" i="13"/>
  <c r="L2013" i="1"/>
  <c r="L2024" i="1" s="1"/>
  <c r="N1899" i="1"/>
  <c r="O1899" i="1"/>
  <c r="N1867" i="1"/>
  <c r="O1867" i="1"/>
  <c r="L1917" i="1"/>
  <c r="G1806" i="13"/>
  <c r="J1806" i="13" s="1"/>
  <c r="K1800" i="1"/>
  <c r="N1800" i="1" s="1"/>
  <c r="L1708" i="1"/>
  <c r="L1709" i="1" s="1"/>
  <c r="G1818" i="13"/>
  <c r="L1929" i="1"/>
  <c r="K1812" i="1"/>
  <c r="L1815" i="1"/>
  <c r="N1865" i="1"/>
  <c r="O1865" i="1"/>
  <c r="L2131" i="1"/>
  <c r="G2020" i="13"/>
  <c r="K2014" i="1"/>
  <c r="L1967" i="1"/>
  <c r="K1850" i="1"/>
  <c r="N1850" i="1" s="1"/>
  <c r="G1855" i="13"/>
  <c r="J1855" i="13" s="1"/>
  <c r="M2215" i="1"/>
  <c r="M2225" i="1"/>
  <c r="M1912" i="1"/>
  <c r="K2015" i="1"/>
  <c r="L2132" i="1"/>
  <c r="G2021" i="13"/>
  <c r="J2021" i="13" s="1"/>
  <c r="N1860" i="1"/>
  <c r="O1860" i="1"/>
  <c r="J1902" i="13"/>
  <c r="J1913" i="13" s="1"/>
  <c r="I256" i="15" s="1"/>
  <c r="N1652" i="1"/>
  <c r="O1652" i="1"/>
  <c r="M1916" i="1"/>
  <c r="O1799" i="1"/>
  <c r="M2256" i="1"/>
  <c r="M1694" i="1"/>
  <c r="O1693" i="1"/>
  <c r="M2104" i="1"/>
  <c r="M2214" i="1"/>
  <c r="O1614" i="1"/>
  <c r="N1472" i="1"/>
  <c r="O1472" i="1"/>
  <c r="J1583" i="13"/>
  <c r="J1597" i="13" s="1"/>
  <c r="J1598" i="13" s="1"/>
  <c r="I214" i="15" s="1"/>
  <c r="I216" i="15" s="1"/>
  <c r="I220" i="15" s="1"/>
  <c r="M1844" i="1"/>
  <c r="M1956" i="1"/>
  <c r="N1903" i="1"/>
  <c r="O1903" i="1"/>
  <c r="N1997" i="1"/>
  <c r="O1997" i="1"/>
  <c r="M1929" i="1"/>
  <c r="O1812" i="1"/>
  <c r="M1815" i="1"/>
  <c r="J1720" i="13"/>
  <c r="J1724" i="13" s="1"/>
  <c r="G1724" i="13"/>
  <c r="N1885" i="1"/>
  <c r="O1885" i="1"/>
  <c r="J1864" i="13"/>
  <c r="J1868" i="13" s="1"/>
  <c r="G1868" i="13"/>
  <c r="M2112" i="1"/>
  <c r="M2222" i="1"/>
  <c r="M1934" i="1"/>
  <c r="O1817" i="1"/>
  <c r="K1358" i="1"/>
  <c r="N1357" i="1"/>
  <c r="N1358" i="1" s="1"/>
  <c r="O1357" i="1"/>
  <c r="O1358" i="1" s="1"/>
  <c r="K1989" i="1"/>
  <c r="L2106" i="1"/>
  <c r="G1995" i="13"/>
  <c r="J1995" i="13" s="1"/>
  <c r="O1690" i="1"/>
  <c r="L1913" i="1"/>
  <c r="G1802" i="13"/>
  <c r="J1802" i="13" s="1"/>
  <c r="K1796" i="1"/>
  <c r="N1796" i="1" s="1"/>
  <c r="K1821" i="1"/>
  <c r="N1821" i="1" s="1"/>
  <c r="L1938" i="1"/>
  <c r="G1827" i="13"/>
  <c r="J1827" i="13" s="1"/>
  <c r="M1946" i="1"/>
  <c r="J1877" i="13"/>
  <c r="J1884" i="13" s="1"/>
  <c r="G1884" i="13"/>
  <c r="J1869" i="13"/>
  <c r="J1876" i="13" s="1"/>
  <c r="G1876" i="13"/>
  <c r="M1907" i="1"/>
  <c r="M1908" i="1" s="1"/>
  <c r="O1896" i="1"/>
  <c r="N1888" i="1"/>
  <c r="O1888" i="1"/>
  <c r="K1991" i="1"/>
  <c r="L2108" i="1"/>
  <c r="G1997" i="13"/>
  <c r="J1997" i="13" s="1"/>
  <c r="M1706" i="1"/>
  <c r="O1705" i="1"/>
  <c r="O1798" i="1"/>
  <c r="M1915" i="1"/>
  <c r="O1800" i="1"/>
  <c r="M1917" i="1"/>
  <c r="O1745" i="1"/>
  <c r="N1745" i="1"/>
  <c r="K1774" i="1"/>
  <c r="M1935" i="1"/>
  <c r="L1848" i="1"/>
  <c r="L1962" i="1"/>
  <c r="G1850" i="13"/>
  <c r="K1845" i="1"/>
  <c r="L1922" i="1"/>
  <c r="K1805" i="1"/>
  <c r="G1811" i="13"/>
  <c r="J1811" i="13" s="1"/>
  <c r="G1719" i="13"/>
  <c r="J1716" i="13"/>
  <c r="J1719" i="13" s="1"/>
  <c r="M1909" i="1"/>
  <c r="O1792" i="1"/>
  <c r="M1802" i="1"/>
  <c r="M2074" i="1"/>
  <c r="M1918" i="1"/>
  <c r="O1801" i="1"/>
  <c r="L1933" i="1"/>
  <c r="K1816" i="1"/>
  <c r="G1822" i="13"/>
  <c r="L1822" i="1"/>
  <c r="N1861" i="1"/>
  <c r="O1861" i="1"/>
  <c r="O1841" i="1"/>
  <c r="M1958" i="1"/>
  <c r="M2154" i="1"/>
  <c r="J1625" i="13"/>
  <c r="M1930" i="1"/>
  <c r="O1813" i="1"/>
  <c r="N1869" i="1"/>
  <c r="O1869" i="1"/>
  <c r="M2245" i="1"/>
  <c r="N1895" i="1"/>
  <c r="O1895" i="1"/>
  <c r="K2017" i="1"/>
  <c r="L2134" i="1"/>
  <c r="G2023" i="13"/>
  <c r="J2023" i="13" s="1"/>
  <c r="K1829" i="1"/>
  <c r="N1829" i="1" s="1"/>
  <c r="L1946" i="1"/>
  <c r="G1835" i="13"/>
  <c r="J1835" i="13" s="1"/>
  <c r="L1950" i="1"/>
  <c r="K1833" i="1"/>
  <c r="N1833" i="1" s="1"/>
  <c r="G1839" i="13"/>
  <c r="J1839" i="13" s="1"/>
  <c r="M2244" i="1"/>
  <c r="N1789" i="1"/>
  <c r="O1789" i="1"/>
  <c r="M2210" i="1"/>
  <c r="M2124" i="1"/>
  <c r="M2238" i="1"/>
  <c r="K1795" i="1"/>
  <c r="N1795" i="1" s="1"/>
  <c r="L1912" i="1"/>
  <c r="G1801" i="13"/>
  <c r="J1801" i="13" s="1"/>
  <c r="M1910" i="1"/>
  <c r="O1793" i="1"/>
  <c r="N1864" i="1"/>
  <c r="O1864" i="1"/>
  <c r="G1775" i="13"/>
  <c r="G1780" i="13" s="1"/>
  <c r="J1768" i="13"/>
  <c r="J1775" i="13" s="1"/>
  <c r="J1780" i="13" s="1"/>
  <c r="G1732" i="13"/>
  <c r="J1728" i="13"/>
  <c r="J1732" i="13" s="1"/>
  <c r="K1806" i="1"/>
  <c r="L1923" i="1"/>
  <c r="G1812" i="13"/>
  <c r="J1812" i="13" s="1"/>
  <c r="L1908" i="1"/>
  <c r="O1711" i="1"/>
  <c r="M1963" i="1"/>
  <c r="K1840" i="1"/>
  <c r="L1957" i="1"/>
  <c r="G1846" i="13"/>
  <c r="J1846" i="13" s="1"/>
  <c r="N1889" i="1"/>
  <c r="O1889" i="1"/>
  <c r="N1675" i="1"/>
  <c r="K1685" i="1"/>
  <c r="K1804" i="1"/>
  <c r="N1804" i="1" s="1"/>
  <c r="L1921" i="1"/>
  <c r="G1810" i="13"/>
  <c r="J1810" i="13" s="1"/>
  <c r="K1998" i="1"/>
  <c r="L2115" i="1"/>
  <c r="G2004" i="13"/>
  <c r="J2004" i="13" s="1"/>
  <c r="E198" i="15"/>
  <c r="D205" i="15"/>
  <c r="E205" i="15" s="1"/>
  <c r="G1988" i="13"/>
  <c r="J1988" i="13" s="1"/>
  <c r="L2099" i="1"/>
  <c r="K1982" i="1"/>
  <c r="L1935" i="1"/>
  <c r="K1818" i="1"/>
  <c r="N1818" i="1" s="1"/>
  <c r="G1824" i="13"/>
  <c r="J1824" i="13" s="1"/>
  <c r="M1931" i="1"/>
  <c r="O1814" i="1"/>
  <c r="K2021" i="1"/>
  <c r="L2138" i="1"/>
  <c r="G2027" i="13"/>
  <c r="J2027" i="13" s="1"/>
  <c r="N1376" i="1"/>
  <c r="O1376" i="1"/>
  <c r="K1384" i="1"/>
  <c r="O1678" i="1"/>
  <c r="N1898" i="1"/>
  <c r="O1898" i="1"/>
  <c r="L2094" i="1"/>
  <c r="G1983" i="13"/>
  <c r="J1983" i="13" s="1"/>
  <c r="K1977" i="1"/>
  <c r="K2011" i="1"/>
  <c r="L2128" i="1"/>
  <c r="G2017" i="13"/>
  <c r="J2017" i="13" s="1"/>
  <c r="O1682" i="1"/>
  <c r="L2111" i="1"/>
  <c r="G2000" i="13"/>
  <c r="J2000" i="13" s="1"/>
  <c r="K1994" i="1"/>
  <c r="M1914" i="1"/>
  <c r="O1797" i="1"/>
  <c r="O1732" i="1"/>
  <c r="K1734" i="1"/>
  <c r="N1732" i="1"/>
  <c r="M2216" i="1"/>
  <c r="M1921" i="1"/>
  <c r="O1804" i="1"/>
  <c r="M1810" i="1"/>
  <c r="M2219" i="1"/>
  <c r="N1876" i="1"/>
  <c r="O1876" i="1"/>
  <c r="N1773" i="1"/>
  <c r="O1773" i="1"/>
  <c r="K2114" i="1"/>
  <c r="L2231" i="1"/>
  <c r="G2120" i="13"/>
  <c r="J2120" i="13" s="1"/>
  <c r="M1949" i="1"/>
  <c r="M2217" i="1"/>
  <c r="K1718" i="1"/>
  <c r="N1718" i="1" s="1"/>
  <c r="N1714" i="1"/>
  <c r="L2092" i="1"/>
  <c r="G1981" i="13"/>
  <c r="K1975" i="1"/>
  <c r="L1979" i="1"/>
  <c r="O1700" i="1"/>
  <c r="M1791" i="1"/>
  <c r="K1846" i="1"/>
  <c r="N1846" i="1" s="1"/>
  <c r="L1963" i="1"/>
  <c r="G1851" i="13"/>
  <c r="J1851" i="13" s="1"/>
  <c r="O1601" i="1"/>
  <c r="M1938" i="1"/>
  <c r="O1821" i="1"/>
  <c r="L1995" i="1"/>
  <c r="L2105" i="1"/>
  <c r="K1988" i="1"/>
  <c r="G1994" i="13"/>
  <c r="O1703" i="1"/>
  <c r="K1980" i="1"/>
  <c r="L2097" i="1"/>
  <c r="G1986" i="13"/>
  <c r="L1987" i="1"/>
  <c r="M2126" i="1"/>
  <c r="O2009" i="1"/>
  <c r="M2013" i="1"/>
  <c r="M2113" i="1"/>
  <c r="M2003" i="1"/>
  <c r="O1576" i="1"/>
  <c r="M1962" i="1"/>
  <c r="M1848" i="1"/>
  <c r="O1845" i="1"/>
  <c r="M1933" i="1"/>
  <c r="M1822" i="1"/>
  <c r="O1816" i="1"/>
  <c r="K1834" i="1"/>
  <c r="N1834" i="1" s="1"/>
  <c r="L1951" i="1"/>
  <c r="G1840" i="13"/>
  <c r="J1840" i="13" s="1"/>
  <c r="K1890" i="1"/>
  <c r="N1887" i="1"/>
  <c r="O1887" i="1"/>
  <c r="K1837" i="1"/>
  <c r="L1954" i="1"/>
  <c r="G1843" i="13"/>
  <c r="J1843" i="13" s="1"/>
  <c r="F184" i="15"/>
  <c r="F186" i="15" s="1"/>
  <c r="F190" i="15" s="1"/>
  <c r="G1364" i="13"/>
  <c r="G1391" i="13" s="1"/>
  <c r="G1699" i="13"/>
  <c r="J1692" i="13"/>
  <c r="J1699" i="13" s="1"/>
  <c r="M2254" i="1"/>
  <c r="O1701" i="1"/>
  <c r="K1721" i="1"/>
  <c r="N1719" i="1"/>
  <c r="O1719" i="1"/>
  <c r="L1949" i="1"/>
  <c r="G1838" i="13"/>
  <c r="J1838" i="13" s="1"/>
  <c r="K1832" i="1"/>
  <c r="N1832" i="1" s="1"/>
  <c r="K2010" i="1"/>
  <c r="L2127" i="1"/>
  <c r="G2016" i="13"/>
  <c r="J2016" i="13" s="1"/>
  <c r="N1688" i="1"/>
  <c r="O1688" i="1"/>
  <c r="K1827" i="1"/>
  <c r="L1944" i="1"/>
  <c r="G1833" i="13"/>
  <c r="L1830" i="1"/>
  <c r="O1685" i="1"/>
  <c r="N1901" i="1"/>
  <c r="O1901" i="1"/>
  <c r="O1684" i="1"/>
  <c r="L1964" i="1"/>
  <c r="G1852" i="13"/>
  <c r="J1852" i="13" s="1"/>
  <c r="K1847" i="1"/>
  <c r="N1847" i="1" s="1"/>
  <c r="N1779" i="1"/>
  <c r="K1790" i="1"/>
  <c r="J175" i="15"/>
  <c r="I1111" i="16"/>
  <c r="J196" i="15" s="1"/>
  <c r="J197" i="15"/>
  <c r="J182" i="15"/>
  <c r="I1401" i="16"/>
  <c r="F1495" i="16"/>
  <c r="I1294" i="16"/>
  <c r="F1388" i="16"/>
  <c r="I1194" i="16"/>
  <c r="F1288" i="16"/>
  <c r="I1208" i="16"/>
  <c r="F1302" i="16"/>
  <c r="F1269" i="16"/>
  <c r="F1338" i="16"/>
  <c r="I1244" i="16"/>
  <c r="I1267" i="16"/>
  <c r="F1361" i="16"/>
  <c r="I1263" i="16"/>
  <c r="F1357" i="16"/>
  <c r="I1259" i="16"/>
  <c r="F1353" i="16"/>
  <c r="I1255" i="16"/>
  <c r="F1349" i="16"/>
  <c r="I1251" i="16"/>
  <c r="F1345" i="16"/>
  <c r="I1246" i="16"/>
  <c r="F1340" i="16"/>
  <c r="I1202" i="16"/>
  <c r="F1296" i="16"/>
  <c r="I1222" i="16"/>
  <c r="F1316" i="16"/>
  <c r="I1218" i="16"/>
  <c r="F1312" i="16"/>
  <c r="I1214" i="16"/>
  <c r="F1308" i="16"/>
  <c r="F1210" i="16"/>
  <c r="F1205" i="16"/>
  <c r="I1197" i="16"/>
  <c r="F1291" i="16"/>
  <c r="I1193" i="16"/>
  <c r="F1287" i="16"/>
  <c r="I1201" i="16"/>
  <c r="F1295" i="16"/>
  <c r="I1262" i="16"/>
  <c r="F1356" i="16"/>
  <c r="I1258" i="16"/>
  <c r="F1352" i="16"/>
  <c r="I1254" i="16"/>
  <c r="F1348" i="16"/>
  <c r="I1250" i="16"/>
  <c r="F1344" i="16"/>
  <c r="I1241" i="16"/>
  <c r="F1335" i="16"/>
  <c r="I1237" i="16"/>
  <c r="F1331" i="16"/>
  <c r="I1233" i="16"/>
  <c r="F1327" i="16"/>
  <c r="I1229" i="16"/>
  <c r="F1323" i="16"/>
  <c r="I1225" i="16"/>
  <c r="F1319" i="16"/>
  <c r="I1238" i="16"/>
  <c r="F1332" i="16"/>
  <c r="I1234" i="16"/>
  <c r="F1328" i="16"/>
  <c r="I1230" i="16"/>
  <c r="F1324" i="16"/>
  <c r="I1226" i="16"/>
  <c r="F1320" i="16"/>
  <c r="I1221" i="16"/>
  <c r="F1315" i="16"/>
  <c r="I1217" i="16"/>
  <c r="F1311" i="16"/>
  <c r="I1248" i="16"/>
  <c r="F1342" i="16"/>
  <c r="I1284" i="16"/>
  <c r="F1378" i="16"/>
  <c r="I1104" i="16"/>
  <c r="I1184" i="16"/>
  <c r="F1278" i="16"/>
  <c r="F1198" i="16"/>
  <c r="I1431" i="16"/>
  <c r="F1525" i="16"/>
  <c r="F1118" i="16"/>
  <c r="F1178" i="16" s="1"/>
  <c r="F1282" i="16"/>
  <c r="I1188" i="16"/>
  <c r="I1186" i="16"/>
  <c r="F1280" i="16"/>
  <c r="I1279" i="16"/>
  <c r="F1373" i="16"/>
  <c r="I1207" i="16"/>
  <c r="F1301" i="16"/>
  <c r="I1196" i="16"/>
  <c r="F1290" i="16"/>
  <c r="I1192" i="16"/>
  <c r="F1286" i="16"/>
  <c r="I1175" i="16"/>
  <c r="J187" i="15" s="1"/>
  <c r="J189" i="15" s="1"/>
  <c r="I1024" i="16"/>
  <c r="I1084" i="16" s="1"/>
  <c r="I1265" i="16"/>
  <c r="F1359" i="16"/>
  <c r="I1261" i="16"/>
  <c r="F1355" i="16"/>
  <c r="I1257" i="16"/>
  <c r="F1351" i="16"/>
  <c r="I1253" i="16"/>
  <c r="F1347" i="16"/>
  <c r="I1249" i="16"/>
  <c r="F1343" i="16"/>
  <c r="I1204" i="16"/>
  <c r="F1298" i="16"/>
  <c r="I1220" i="16"/>
  <c r="F1314" i="16"/>
  <c r="I1148" i="16"/>
  <c r="J184" i="15" s="1"/>
  <c r="J186" i="15" s="1"/>
  <c r="I1209" i="16"/>
  <c r="F1303" i="16"/>
  <c r="F1394" i="16"/>
  <c r="I1300" i="16"/>
  <c r="F1387" i="16"/>
  <c r="I1293" i="16"/>
  <c r="I1191" i="16"/>
  <c r="F1285" i="16"/>
  <c r="I1203" i="16"/>
  <c r="F1297" i="16"/>
  <c r="F1299" i="16" s="1"/>
  <c r="I1268" i="16"/>
  <c r="F1362" i="16"/>
  <c r="I1264" i="16"/>
  <c r="F1358" i="16"/>
  <c r="I1260" i="16"/>
  <c r="F1354" i="16"/>
  <c r="I1256" i="16"/>
  <c r="F1350" i="16"/>
  <c r="I1252" i="16"/>
  <c r="F1346" i="16"/>
  <c r="I1245" i="16"/>
  <c r="F1339" i="16"/>
  <c r="I1195" i="16"/>
  <c r="F1289" i="16"/>
  <c r="I1239" i="16"/>
  <c r="F1333" i="16"/>
  <c r="I1235" i="16"/>
  <c r="F1329" i="16"/>
  <c r="I1231" i="16"/>
  <c r="F1325" i="16"/>
  <c r="I1227" i="16"/>
  <c r="F1321" i="16"/>
  <c r="I1240" i="16"/>
  <c r="F1334" i="16"/>
  <c r="I1236" i="16"/>
  <c r="F1330" i="16"/>
  <c r="I1232" i="16"/>
  <c r="F1326" i="16"/>
  <c r="I1228" i="16"/>
  <c r="F1322" i="16"/>
  <c r="I1224" i="16"/>
  <c r="F1318" i="16"/>
  <c r="I1223" i="16"/>
  <c r="F1317" i="16"/>
  <c r="I1219" i="16"/>
  <c r="F1313" i="16"/>
  <c r="I1216" i="16"/>
  <c r="F1310" i="16"/>
  <c r="I1215" i="16"/>
  <c r="F1309" i="16"/>
  <c r="F1283" i="16"/>
  <c r="I1189" i="16"/>
  <c r="I1187" i="16"/>
  <c r="F1281" i="16"/>
  <c r="K899" i="17"/>
  <c r="Q835" i="17"/>
  <c r="L899" i="17"/>
  <c r="J835" i="17"/>
  <c r="G175" i="15"/>
  <c r="N657" i="17"/>
  <c r="N760" i="17"/>
  <c r="N666" i="17"/>
  <c r="K939" i="17"/>
  <c r="Q875" i="17"/>
  <c r="J875" i="17"/>
  <c r="K950" i="17"/>
  <c r="Q886" i="17"/>
  <c r="J886" i="17"/>
  <c r="M886" i="17" s="1"/>
  <c r="L916" i="17"/>
  <c r="K953" i="17"/>
  <c r="J889" i="17"/>
  <c r="Q889" i="17"/>
  <c r="L950" i="17"/>
  <c r="L911" i="17"/>
  <c r="L925" i="17"/>
  <c r="K911" i="17"/>
  <c r="J847" i="17"/>
  <c r="M847" i="17" s="1"/>
  <c r="Q847" i="17"/>
  <c r="L956" i="17"/>
  <c r="K933" i="17"/>
  <c r="Q869" i="17"/>
  <c r="J869" i="17"/>
  <c r="K909" i="17"/>
  <c r="J845" i="17"/>
  <c r="M845" i="17" s="1"/>
  <c r="Q845" i="17"/>
  <c r="L906" i="17"/>
  <c r="L849" i="17"/>
  <c r="K945" i="17"/>
  <c r="J881" i="17"/>
  <c r="M881" i="17" s="1"/>
  <c r="Q881" i="17"/>
  <c r="L909" i="17"/>
  <c r="N845" i="17"/>
  <c r="Q857" i="17"/>
  <c r="K921" i="17"/>
  <c r="J857" i="17"/>
  <c r="M857" i="17" s="1"/>
  <c r="K838" i="17"/>
  <c r="Q774" i="17"/>
  <c r="K956" i="17"/>
  <c r="Q890" i="17"/>
  <c r="J890" i="17"/>
  <c r="M890" i="17" s="1"/>
  <c r="K943" i="17"/>
  <c r="Q879" i="17"/>
  <c r="J879" i="17"/>
  <c r="K946" i="17"/>
  <c r="Q882" i="17"/>
  <c r="J882" i="17"/>
  <c r="M882" i="17" s="1"/>
  <c r="K941" i="17"/>
  <c r="Q877" i="17"/>
  <c r="J877" i="17"/>
  <c r="Q866" i="17"/>
  <c r="K930" i="17"/>
  <c r="J866" i="17"/>
  <c r="K947" i="17"/>
  <c r="Q883" i="17"/>
  <c r="J883" i="17"/>
  <c r="Q851" i="17"/>
  <c r="K915" i="17"/>
  <c r="J851" i="17"/>
  <c r="K858" i="17"/>
  <c r="K859" i="17" s="1"/>
  <c r="G214" i="15" s="1"/>
  <c r="G216" i="15" s="1"/>
  <c r="L927" i="17"/>
  <c r="Q853" i="17"/>
  <c r="K917" i="17"/>
  <c r="J853" i="17"/>
  <c r="K929" i="17"/>
  <c r="Q865" i="17"/>
  <c r="J865" i="17"/>
  <c r="K957" i="17"/>
  <c r="Q891" i="17"/>
  <c r="J891" i="17"/>
  <c r="L915" i="17"/>
  <c r="L858" i="17"/>
  <c r="J844" i="17"/>
  <c r="K908" i="17"/>
  <c r="Q844" i="17"/>
  <c r="K926" i="17"/>
  <c r="Q862" i="17"/>
  <c r="J862" i="17"/>
  <c r="K927" i="17"/>
  <c r="Q863" i="17"/>
  <c r="J863" i="17"/>
  <c r="M863" i="17" s="1"/>
  <c r="K937" i="17"/>
  <c r="J873" i="17"/>
  <c r="Q873" i="17"/>
  <c r="K932" i="17"/>
  <c r="J868" i="17"/>
  <c r="Q868" i="17"/>
  <c r="L944" i="17"/>
  <c r="K916" i="17"/>
  <c r="Q852" i="17"/>
  <c r="J852" i="17"/>
  <c r="M852" i="17" s="1"/>
  <c r="K920" i="17"/>
  <c r="Q856" i="17"/>
  <c r="J856" i="17"/>
  <c r="L1069" i="17"/>
  <c r="L1085" i="17"/>
  <c r="L1081" i="17"/>
  <c r="L992" i="17"/>
  <c r="L969" i="17"/>
  <c r="L1017" i="17"/>
  <c r="L1013" i="17"/>
  <c r="L997" i="17"/>
  <c r="L995" i="17"/>
  <c r="N724" i="17"/>
  <c r="N719" i="17"/>
  <c r="L902" i="17"/>
  <c r="K951" i="17"/>
  <c r="Q887" i="17"/>
  <c r="J887" i="17"/>
  <c r="J846" i="17"/>
  <c r="K910" i="17"/>
  <c r="Q846" i="17"/>
  <c r="Q867" i="17"/>
  <c r="K931" i="17"/>
  <c r="J867" i="17"/>
  <c r="L948" i="17"/>
  <c r="N882" i="17"/>
  <c r="L946" i="17"/>
  <c r="L952" i="17"/>
  <c r="K924" i="17"/>
  <c r="J860" i="17"/>
  <c r="N860" i="17" s="1"/>
  <c r="Q860" i="17"/>
  <c r="K892" i="17"/>
  <c r="K893" i="17" s="1"/>
  <c r="K936" i="17"/>
  <c r="Q872" i="17"/>
  <c r="J872" i="17"/>
  <c r="L934" i="17"/>
  <c r="K938" i="17"/>
  <c r="Q874" i="17"/>
  <c r="J874" i="17"/>
  <c r="M874" i="17" s="1"/>
  <c r="L901" i="17"/>
  <c r="L841" i="17"/>
  <c r="K925" i="17"/>
  <c r="Q861" i="17"/>
  <c r="J861" i="17"/>
  <c r="M861" i="17" s="1"/>
  <c r="K948" i="17"/>
  <c r="J884" i="17"/>
  <c r="M884" i="17" s="1"/>
  <c r="Q884" i="17"/>
  <c r="K944" i="17"/>
  <c r="Q880" i="17"/>
  <c r="J880" i="17"/>
  <c r="M880" i="17" s="1"/>
  <c r="L921" i="17"/>
  <c r="N857" i="17"/>
  <c r="Q864" i="17"/>
  <c r="K928" i="17"/>
  <c r="J864" i="17"/>
  <c r="N735" i="17"/>
  <c r="K839" i="17"/>
  <c r="Q775" i="17"/>
  <c r="K907" i="17"/>
  <c r="J843" i="17"/>
  <c r="M843" i="17" s="1"/>
  <c r="Q843" i="17"/>
  <c r="L942" i="17"/>
  <c r="K949" i="17"/>
  <c r="Q885" i="17"/>
  <c r="J885" i="17"/>
  <c r="L907" i="17"/>
  <c r="K942" i="17"/>
  <c r="Q878" i="17"/>
  <c r="J878" i="17"/>
  <c r="M878" i="17" s="1"/>
  <c r="L938" i="17"/>
  <c r="N874" i="17"/>
  <c r="K934" i="17"/>
  <c r="Q870" i="17"/>
  <c r="J870" i="17"/>
  <c r="M870" i="17" s="1"/>
  <c r="Q855" i="17"/>
  <c r="K919" i="17"/>
  <c r="J855" i="17"/>
  <c r="K840" i="17"/>
  <c r="Q776" i="17"/>
  <c r="K918" i="17"/>
  <c r="J854" i="17"/>
  <c r="Q854" i="17"/>
  <c r="Q842" i="17"/>
  <c r="K906" i="17"/>
  <c r="J842" i="17"/>
  <c r="K849" i="17"/>
  <c r="G211" i="15" s="1"/>
  <c r="L924" i="17"/>
  <c r="L892" i="17"/>
  <c r="L945" i="17"/>
  <c r="K940" i="17"/>
  <c r="Q876" i="17"/>
  <c r="J876" i="17"/>
  <c r="K935" i="17"/>
  <c r="Q871" i="17"/>
  <c r="J871" i="17"/>
  <c r="J848" i="17"/>
  <c r="K912" i="17"/>
  <c r="Q848" i="17"/>
  <c r="K952" i="17"/>
  <c r="J888" i="17"/>
  <c r="M888" i="17" s="1"/>
  <c r="Q888" i="17"/>
  <c r="L986" i="17"/>
  <c r="L970" i="17"/>
  <c r="L1023" i="17"/>
  <c r="L1002" i="17"/>
  <c r="L1007" i="17"/>
  <c r="L974" i="17"/>
  <c r="L998" i="17"/>
  <c r="J837" i="17"/>
  <c r="N837" i="17" s="1"/>
  <c r="K901" i="17"/>
  <c r="Q837" i="17"/>
  <c r="L985" i="17"/>
  <c r="L1006" i="17"/>
  <c r="L976" i="17"/>
  <c r="L983" i="17"/>
  <c r="L1005" i="17"/>
  <c r="L1001" i="17"/>
  <c r="L999" i="17"/>
  <c r="L978" i="17"/>
  <c r="L1009" i="17"/>
  <c r="L984" i="17"/>
  <c r="N733" i="17"/>
  <c r="Q713" i="17"/>
  <c r="H180" i="15" s="1"/>
  <c r="N750" i="17"/>
  <c r="J667" i="17"/>
  <c r="M667" i="17" s="1"/>
  <c r="K722" i="17"/>
  <c r="N667" i="17"/>
  <c r="J713" i="17"/>
  <c r="M713" i="17" s="1"/>
  <c r="N746" i="17"/>
  <c r="Q658" i="17"/>
  <c r="Q702" i="17" s="1"/>
  <c r="Q771" i="17"/>
  <c r="J771" i="17"/>
  <c r="N761" i="17"/>
  <c r="M761" i="17"/>
  <c r="Q805" i="17"/>
  <c r="J805" i="17"/>
  <c r="M759" i="17"/>
  <c r="N759" i="17"/>
  <c r="Q823" i="17"/>
  <c r="J823" i="17"/>
  <c r="Q782" i="17"/>
  <c r="J782" i="17"/>
  <c r="J803" i="17"/>
  <c r="Q803" i="17"/>
  <c r="G187" i="15"/>
  <c r="G189" i="15" s="1"/>
  <c r="K766" i="17"/>
  <c r="J796" i="17"/>
  <c r="K828" i="17"/>
  <c r="K829" i="17" s="1"/>
  <c r="G204" i="15" s="1"/>
  <c r="Q796" i="17"/>
  <c r="L722" i="17"/>
  <c r="M744" i="17"/>
  <c r="N744" i="17"/>
  <c r="J810" i="17"/>
  <c r="M810" i="17" s="1"/>
  <c r="Q810" i="17"/>
  <c r="L777" i="17"/>
  <c r="Q797" i="17"/>
  <c r="J797" i="17"/>
  <c r="M797" i="17" s="1"/>
  <c r="Q820" i="17"/>
  <c r="J820" i="17"/>
  <c r="M820" i="17" s="1"/>
  <c r="Q816" i="17"/>
  <c r="J816" i="17"/>
  <c r="M816" i="17" s="1"/>
  <c r="M751" i="17"/>
  <c r="N751" i="17"/>
  <c r="N729" i="17"/>
  <c r="Q818" i="17"/>
  <c r="J818" i="17"/>
  <c r="M818" i="17" s="1"/>
  <c r="J813" i="17"/>
  <c r="Q813" i="17"/>
  <c r="M738" i="17"/>
  <c r="N738" i="17"/>
  <c r="Q802" i="17"/>
  <c r="J802" i="17"/>
  <c r="J819" i="17"/>
  <c r="Q819" i="17"/>
  <c r="M723" i="17"/>
  <c r="J730" i="17"/>
  <c r="Q787" i="17"/>
  <c r="J787" i="17"/>
  <c r="N787" i="17" s="1"/>
  <c r="K794" i="17"/>
  <c r="M711" i="17"/>
  <c r="N711" i="17"/>
  <c r="J775" i="17"/>
  <c r="Q779" i="17"/>
  <c r="J779" i="17"/>
  <c r="M779" i="17" s="1"/>
  <c r="N757" i="17"/>
  <c r="M757" i="17"/>
  <c r="J814" i="17"/>
  <c r="M814" i="17" s="1"/>
  <c r="Q814" i="17"/>
  <c r="M638" i="17"/>
  <c r="J639" i="17"/>
  <c r="M639" i="17" s="1"/>
  <c r="H172" i="15"/>
  <c r="H174" i="15" s="1"/>
  <c r="J801" i="17"/>
  <c r="Q801" i="17"/>
  <c r="M763" i="17"/>
  <c r="N763" i="17"/>
  <c r="J827" i="17"/>
  <c r="Q827" i="17"/>
  <c r="L731" i="17"/>
  <c r="N730" i="17"/>
  <c r="M716" i="17"/>
  <c r="N716" i="17"/>
  <c r="Q806" i="17"/>
  <c r="J806" i="17"/>
  <c r="M806" i="17" s="1"/>
  <c r="Q791" i="17"/>
  <c r="J791" i="17"/>
  <c r="M734" i="17"/>
  <c r="N734" i="17"/>
  <c r="Q798" i="17"/>
  <c r="J798" i="17"/>
  <c r="Q790" i="17"/>
  <c r="J790" i="17"/>
  <c r="N714" i="17"/>
  <c r="M714" i="17"/>
  <c r="J721" i="17"/>
  <c r="M721" i="17" s="1"/>
  <c r="Q721" i="17"/>
  <c r="H181" i="15" s="1"/>
  <c r="N638" i="17"/>
  <c r="L828" i="17"/>
  <c r="L702" i="17"/>
  <c r="Q809" i="17"/>
  <c r="J809" i="17"/>
  <c r="M740" i="17"/>
  <c r="N740" i="17"/>
  <c r="J804" i="17"/>
  <c r="Q804" i="17"/>
  <c r="N816" i="17"/>
  <c r="M748" i="17"/>
  <c r="N748" i="17"/>
  <c r="J812" i="17"/>
  <c r="Q812" i="17"/>
  <c r="Q807" i="17"/>
  <c r="J807" i="17"/>
  <c r="M720" i="17"/>
  <c r="N720" i="17"/>
  <c r="M728" i="17"/>
  <c r="N728" i="17"/>
  <c r="Q792" i="17"/>
  <c r="J792" i="17"/>
  <c r="J773" i="17"/>
  <c r="N604" i="17"/>
  <c r="Q824" i="17"/>
  <c r="J824" i="17"/>
  <c r="M824" i="17" s="1"/>
  <c r="M747" i="17"/>
  <c r="N747" i="17"/>
  <c r="J811" i="17"/>
  <c r="Q811" i="17"/>
  <c r="J822" i="17"/>
  <c r="M822" i="17" s="1"/>
  <c r="Q822" i="17"/>
  <c r="Q825" i="17"/>
  <c r="J825" i="17"/>
  <c r="N758" i="17"/>
  <c r="J783" i="17"/>
  <c r="M783" i="17" s="1"/>
  <c r="Q783" i="17"/>
  <c r="N762" i="17"/>
  <c r="M741" i="17"/>
  <c r="N741" i="17"/>
  <c r="M718" i="17"/>
  <c r="N718" i="17"/>
  <c r="M739" i="17"/>
  <c r="N739" i="17"/>
  <c r="N754" i="17"/>
  <c r="Q781" i="17"/>
  <c r="J781" i="17"/>
  <c r="M781" i="17" s="1"/>
  <c r="N732" i="17"/>
  <c r="M732" i="17"/>
  <c r="J764" i="17"/>
  <c r="N764" i="17" s="1"/>
  <c r="Q764" i="17"/>
  <c r="Q765" i="17" s="1"/>
  <c r="J701" i="17"/>
  <c r="M700" i="17"/>
  <c r="L785" i="17"/>
  <c r="J817" i="17"/>
  <c r="M817" i="17" s="1"/>
  <c r="Q817" i="17"/>
  <c r="N717" i="17"/>
  <c r="J808" i="17"/>
  <c r="Q808" i="17"/>
  <c r="N742" i="17"/>
  <c r="Q793" i="17"/>
  <c r="J793" i="17"/>
  <c r="M793" i="17" s="1"/>
  <c r="N713" i="17"/>
  <c r="J774" i="17"/>
  <c r="M774" i="17" s="1"/>
  <c r="Q826" i="17"/>
  <c r="J826" i="17"/>
  <c r="M826" i="17" s="1"/>
  <c r="Q815" i="17"/>
  <c r="J815" i="17"/>
  <c r="M749" i="17"/>
  <c r="N749" i="17"/>
  <c r="M736" i="17"/>
  <c r="N736" i="17"/>
  <c r="Q800" i="17"/>
  <c r="J800" i="17"/>
  <c r="N595" i="17"/>
  <c r="M755" i="17"/>
  <c r="N755" i="17"/>
  <c r="M649" i="17"/>
  <c r="J658" i="17"/>
  <c r="M658" i="17" s="1"/>
  <c r="Q730" i="17"/>
  <c r="Q731" i="17" s="1"/>
  <c r="H184" i="15" s="1"/>
  <c r="H186" i="15" s="1"/>
  <c r="M725" i="17"/>
  <c r="N725" i="17"/>
  <c r="Q789" i="17"/>
  <c r="J789" i="17"/>
  <c r="M576" i="17"/>
  <c r="N576" i="17"/>
  <c r="Q821" i="17"/>
  <c r="J821" i="17"/>
  <c r="N715" i="17"/>
  <c r="M737" i="17"/>
  <c r="N737" i="17"/>
  <c r="N723" i="17"/>
  <c r="L794" i="17"/>
  <c r="Q780" i="17"/>
  <c r="J780" i="17"/>
  <c r="N727" i="17"/>
  <c r="M727" i="17"/>
  <c r="M712" i="17"/>
  <c r="N712" i="17"/>
  <c r="J776" i="17"/>
  <c r="Q799" i="17"/>
  <c r="J799" i="17"/>
  <c r="M799" i="17" s="1"/>
  <c r="N726" i="17"/>
  <c r="M726" i="17"/>
  <c r="N649" i="17"/>
  <c r="K785" i="17"/>
  <c r="G196" i="15" s="1"/>
  <c r="J778" i="17"/>
  <c r="Q778" i="17"/>
  <c r="L765" i="17"/>
  <c r="N700" i="17"/>
  <c r="M745" i="17"/>
  <c r="N745" i="17"/>
  <c r="N753" i="17"/>
  <c r="N752" i="17"/>
  <c r="Q788" i="17"/>
  <c r="J788" i="17"/>
  <c r="M788" i="17" s="1"/>
  <c r="M743" i="17"/>
  <c r="N743" i="17"/>
  <c r="J784" i="17"/>
  <c r="Q784" i="17"/>
  <c r="K777" i="17"/>
  <c r="G183" i="15"/>
  <c r="H168" i="15"/>
  <c r="D154" i="15"/>
  <c r="K1152" i="1"/>
  <c r="E124" i="15"/>
  <c r="D126" i="15"/>
  <c r="N919" i="1"/>
  <c r="O919" i="1"/>
  <c r="D139" i="15"/>
  <c r="K1035" i="1"/>
  <c r="N804" i="1"/>
  <c r="O804" i="1"/>
  <c r="E96" i="15"/>
  <c r="D100" i="15"/>
  <c r="E100" i="15" s="1"/>
  <c r="E109" i="15"/>
  <c r="D111" i="15"/>
  <c r="I38" i="16"/>
  <c r="I39" i="16"/>
  <c r="N881" i="17" l="1"/>
  <c r="G1836" i="13"/>
  <c r="J1833" i="13"/>
  <c r="J1836" i="13" s="1"/>
  <c r="N1837" i="1"/>
  <c r="O1837" i="1"/>
  <c r="M1965" i="1"/>
  <c r="M2079" i="1"/>
  <c r="M2120" i="1"/>
  <c r="M2230" i="1"/>
  <c r="M2237" i="1" s="1"/>
  <c r="J1981" i="13"/>
  <c r="G1985" i="13"/>
  <c r="M2031" i="1"/>
  <c r="N1977" i="1"/>
  <c r="O1977" i="1"/>
  <c r="K1935" i="1"/>
  <c r="N1935" i="1" s="1"/>
  <c r="L2052" i="1"/>
  <c r="G1941" i="13"/>
  <c r="J1941" i="13" s="1"/>
  <c r="N1998" i="1"/>
  <c r="O1998" i="1"/>
  <c r="K1694" i="1"/>
  <c r="N1685" i="1"/>
  <c r="O1846" i="1"/>
  <c r="L2040" i="1"/>
  <c r="K1923" i="1"/>
  <c r="G1929" i="13"/>
  <c r="J1929" i="13" s="1"/>
  <c r="I240" i="15"/>
  <c r="I243" i="15" s="1"/>
  <c r="J1797" i="13"/>
  <c r="L2029" i="1"/>
  <c r="G1918" i="13"/>
  <c r="J1918" i="13" s="1"/>
  <c r="K1912" i="1"/>
  <c r="N1912" i="1" s="1"/>
  <c r="M2075" i="1"/>
  <c r="M1811" i="1"/>
  <c r="G1740" i="13"/>
  <c r="N1845" i="1"/>
  <c r="K1848" i="1"/>
  <c r="N1848" i="1" s="1"/>
  <c r="O1818" i="1"/>
  <c r="L2225" i="1"/>
  <c r="G2114" i="13"/>
  <c r="J2114" i="13" s="1"/>
  <c r="K2108" i="1"/>
  <c r="O1829" i="1"/>
  <c r="K2132" i="1"/>
  <c r="L2249" i="1"/>
  <c r="G2138" i="13"/>
  <c r="J2138" i="13" s="1"/>
  <c r="G2029" i="13"/>
  <c r="J2020" i="13"/>
  <c r="J2029" i="13" s="1"/>
  <c r="L1823" i="1"/>
  <c r="G1932" i="13"/>
  <c r="J1932" i="13" s="1"/>
  <c r="L2043" i="1"/>
  <c r="K1926" i="1"/>
  <c r="N1926" i="1" s="1"/>
  <c r="K2098" i="1"/>
  <c r="L2215" i="1"/>
  <c r="G2104" i="13"/>
  <c r="J2104" i="13" s="1"/>
  <c r="N1493" i="1"/>
  <c r="O1493" i="1"/>
  <c r="K1501" i="1"/>
  <c r="K2095" i="1"/>
  <c r="L2212" i="1"/>
  <c r="G2101" i="13"/>
  <c r="J2101" i="13" s="1"/>
  <c r="N2005" i="1"/>
  <c r="O2005" i="1"/>
  <c r="O1807" i="1"/>
  <c r="N1862" i="1"/>
  <c r="O1862" i="1"/>
  <c r="M1736" i="1"/>
  <c r="N1993" i="1"/>
  <c r="O1993" i="1"/>
  <c r="M1968" i="1"/>
  <c r="M2083" i="1"/>
  <c r="M2084" i="1"/>
  <c r="M2188" i="1"/>
  <c r="K1959" i="1"/>
  <c r="N1959" i="1" s="1"/>
  <c r="L2076" i="1"/>
  <c r="G1965" i="13"/>
  <c r="J1965" i="13" s="1"/>
  <c r="O1590" i="1"/>
  <c r="G1913" i="13"/>
  <c r="F256" i="15" s="1"/>
  <c r="M2067" i="1"/>
  <c r="N1986" i="1"/>
  <c r="O1986" i="1"/>
  <c r="O1847" i="1"/>
  <c r="L2065" i="1"/>
  <c r="G1954" i="13"/>
  <c r="K1948" i="1"/>
  <c r="L1952" i="1"/>
  <c r="M1852" i="1"/>
  <c r="M1853" i="1" s="1"/>
  <c r="G1597" i="13"/>
  <c r="G1598" i="13" s="1"/>
  <c r="N1985" i="1"/>
  <c r="O1985" i="1"/>
  <c r="K2109" i="1"/>
  <c r="L2226" i="1"/>
  <c r="G2115" i="13"/>
  <c r="J2115" i="13" s="1"/>
  <c r="K2100" i="1"/>
  <c r="L2217" i="1"/>
  <c r="G2106" i="13"/>
  <c r="J2106" i="13" s="1"/>
  <c r="K1915" i="1"/>
  <c r="N1915" i="1" s="1"/>
  <c r="L2032" i="1"/>
  <c r="G1921" i="13"/>
  <c r="J1921" i="13" s="1"/>
  <c r="J1700" i="13"/>
  <c r="M2062" i="1"/>
  <c r="K1907" i="1"/>
  <c r="N1896" i="1"/>
  <c r="G1962" i="13"/>
  <c r="L2073" i="1"/>
  <c r="K1956" i="1"/>
  <c r="L2003" i="1"/>
  <c r="L2113" i="1"/>
  <c r="G2002" i="13"/>
  <c r="K1996" i="1"/>
  <c r="K2136" i="1"/>
  <c r="L2253" i="1"/>
  <c r="G2142" i="13"/>
  <c r="J2142" i="13" s="1"/>
  <c r="L2061" i="1"/>
  <c r="K1944" i="1"/>
  <c r="G1950" i="13"/>
  <c r="L1947" i="1"/>
  <c r="N1721" i="1"/>
  <c r="O1721" i="1"/>
  <c r="L2068" i="1"/>
  <c r="G1957" i="13"/>
  <c r="J1957" i="13" s="1"/>
  <c r="K1951" i="1"/>
  <c r="N1951" i="1" s="1"/>
  <c r="M1939" i="1"/>
  <c r="M2050" i="1"/>
  <c r="M2024" i="1"/>
  <c r="J1986" i="13"/>
  <c r="J1993" i="13" s="1"/>
  <c r="G1993" i="13"/>
  <c r="J1994" i="13"/>
  <c r="J2001" i="13" s="1"/>
  <c r="G2001" i="13"/>
  <c r="L2080" i="1"/>
  <c r="G1968" i="13"/>
  <c r="J1968" i="13" s="1"/>
  <c r="K1963" i="1"/>
  <c r="N1963" i="1" s="1"/>
  <c r="L2209" i="1"/>
  <c r="K2092" i="1"/>
  <c r="G2098" i="13"/>
  <c r="L2096" i="1"/>
  <c r="G2237" i="13"/>
  <c r="J2237" i="13" s="1"/>
  <c r="K2231" i="1"/>
  <c r="M2038" i="1"/>
  <c r="M1927" i="1"/>
  <c r="N1734" i="1"/>
  <c r="N1994" i="1"/>
  <c r="O1994" i="1"/>
  <c r="J1985" i="13"/>
  <c r="M2048" i="1"/>
  <c r="N1982" i="1"/>
  <c r="O1982" i="1"/>
  <c r="L2074" i="1"/>
  <c r="K1957" i="1"/>
  <c r="G1963" i="13"/>
  <c r="J1963" i="13" s="1"/>
  <c r="N1806" i="1"/>
  <c r="O1806" i="1"/>
  <c r="F240" i="15"/>
  <c r="F243" i="15" s="1"/>
  <c r="G1797" i="13"/>
  <c r="M2027" i="1"/>
  <c r="M2213" i="1"/>
  <c r="K1950" i="1"/>
  <c r="N1950" i="1" s="1"/>
  <c r="L2067" i="1"/>
  <c r="G1956" i="13"/>
  <c r="J1956" i="13" s="1"/>
  <c r="G1828" i="13"/>
  <c r="J1822" i="13"/>
  <c r="J1828" i="13" s="1"/>
  <c r="M2035" i="1"/>
  <c r="G1853" i="13"/>
  <c r="J1850" i="13"/>
  <c r="J1853" i="13" s="1"/>
  <c r="O1935" i="1"/>
  <c r="M2052" i="1"/>
  <c r="M2034" i="1"/>
  <c r="N1991" i="1"/>
  <c r="O1991" i="1"/>
  <c r="L2223" i="1"/>
  <c r="K2106" i="1"/>
  <c r="G2112" i="13"/>
  <c r="J2112" i="13" s="1"/>
  <c r="D184" i="15"/>
  <c r="M2229" i="1"/>
  <c r="M1823" i="1"/>
  <c r="M1708" i="1"/>
  <c r="O1694" i="1"/>
  <c r="M2033" i="1"/>
  <c r="N2015" i="1"/>
  <c r="O2015" i="1"/>
  <c r="L2248" i="1"/>
  <c r="K2131" i="1"/>
  <c r="G2137" i="13"/>
  <c r="N1812" i="1"/>
  <c r="K1815" i="1"/>
  <c r="G2019" i="13"/>
  <c r="G2030" i="13" s="1"/>
  <c r="F271" i="15" s="1"/>
  <c r="J2015" i="13"/>
  <c r="J2019" i="13" s="1"/>
  <c r="J2030" i="13" s="1"/>
  <c r="I271" i="15" s="1"/>
  <c r="N1769" i="1"/>
  <c r="O1769" i="1"/>
  <c r="L2051" i="1"/>
  <c r="G1940" i="13"/>
  <c r="J1940" i="13" s="1"/>
  <c r="K1934" i="1"/>
  <c r="N1934" i="1" s="1"/>
  <c r="L2035" i="1"/>
  <c r="G1924" i="13"/>
  <c r="J1924" i="13" s="1"/>
  <c r="K1918" i="1"/>
  <c r="N1918" i="1" s="1"/>
  <c r="K1924" i="1"/>
  <c r="N1924" i="1" s="1"/>
  <c r="L2041" i="1"/>
  <c r="G1930" i="13"/>
  <c r="J1930" i="13" s="1"/>
  <c r="O1809" i="1"/>
  <c r="M2028" i="1"/>
  <c r="L2048" i="1"/>
  <c r="K1931" i="1"/>
  <c r="N1931" i="1" s="1"/>
  <c r="G1937" i="13"/>
  <c r="J1937" i="13" s="1"/>
  <c r="N2018" i="1"/>
  <c r="O2018" i="1"/>
  <c r="N1836" i="1"/>
  <c r="K1838" i="1"/>
  <c r="O1836" i="1"/>
  <c r="M2125" i="1"/>
  <c r="N2004" i="1"/>
  <c r="K2007" i="1"/>
  <c r="O2004" i="1"/>
  <c r="L2027" i="1"/>
  <c r="G1916" i="13"/>
  <c r="J1916" i="13" s="1"/>
  <c r="K1910" i="1"/>
  <c r="N1910" i="1" s="1"/>
  <c r="K2122" i="1"/>
  <c r="L2239" i="1"/>
  <c r="G2128" i="13"/>
  <c r="J2128" i="13" s="1"/>
  <c r="K1911" i="1"/>
  <c r="N1911" i="1" s="1"/>
  <c r="L2028" i="1"/>
  <c r="G1917" i="13"/>
  <c r="J1917" i="13" s="1"/>
  <c r="K1802" i="1"/>
  <c r="O1802" i="1" s="1"/>
  <c r="N1792" i="1"/>
  <c r="L2240" i="1"/>
  <c r="G2129" i="13"/>
  <c r="J2129" i="13" s="1"/>
  <c r="K2123" i="1"/>
  <c r="N1557" i="1"/>
  <c r="O1557" i="1"/>
  <c r="M2065" i="1"/>
  <c r="O1948" i="1"/>
  <c r="M1952" i="1"/>
  <c r="M1620" i="1"/>
  <c r="L2246" i="1"/>
  <c r="G2135" i="13"/>
  <c r="J2135" i="13" s="1"/>
  <c r="K2129" i="1"/>
  <c r="O1951" i="1"/>
  <c r="M2068" i="1"/>
  <c r="G1816" i="13"/>
  <c r="J1809" i="13"/>
  <c r="J1816" i="13" s="1"/>
  <c r="O1964" i="1"/>
  <c r="M2081" i="1"/>
  <c r="M2054" i="1"/>
  <c r="K1937" i="1"/>
  <c r="N1937" i="1" s="1"/>
  <c r="L2054" i="1"/>
  <c r="G1943" i="13"/>
  <c r="J1943" i="13" s="1"/>
  <c r="I1371" i="16"/>
  <c r="F1465" i="16"/>
  <c r="L2236" i="1"/>
  <c r="G2125" i="13"/>
  <c r="J2125" i="13" s="1"/>
  <c r="K2119" i="1"/>
  <c r="N2020" i="1"/>
  <c r="O2020" i="1"/>
  <c r="K1966" i="1"/>
  <c r="L2083" i="1"/>
  <c r="G1971" i="13"/>
  <c r="L1968" i="1"/>
  <c r="K2107" i="1"/>
  <c r="L2224" i="1"/>
  <c r="G2113" i="13"/>
  <c r="J2113" i="13" s="1"/>
  <c r="N1698" i="1"/>
  <c r="K1706" i="1"/>
  <c r="N1706" i="1" s="1"/>
  <c r="K1925" i="1"/>
  <c r="L2042" i="1"/>
  <c r="G1931" i="13"/>
  <c r="J1931" i="13" s="1"/>
  <c r="G1700" i="13"/>
  <c r="L2218" i="1"/>
  <c r="G2107" i="13"/>
  <c r="J2107" i="13" s="1"/>
  <c r="K2101" i="1"/>
  <c r="N2016" i="1"/>
  <c r="O2016" i="1"/>
  <c r="K2093" i="1"/>
  <c r="L2210" i="1"/>
  <c r="G2099" i="13"/>
  <c r="J2099" i="13" s="1"/>
  <c r="N2019" i="1"/>
  <c r="O2019" i="1"/>
  <c r="N2022" i="1"/>
  <c r="O2022" i="1"/>
  <c r="D241" i="15"/>
  <c r="E241" i="15" s="1"/>
  <c r="N1790" i="1"/>
  <c r="K1964" i="1"/>
  <c r="N1964" i="1" s="1"/>
  <c r="L2081" i="1"/>
  <c r="G1969" i="13"/>
  <c r="J1969" i="13" s="1"/>
  <c r="K1830" i="1"/>
  <c r="N1830" i="1" s="1"/>
  <c r="N1827" i="1"/>
  <c r="K2127" i="1"/>
  <c r="L2244" i="1"/>
  <c r="G2133" i="13"/>
  <c r="J2133" i="13" s="1"/>
  <c r="L2066" i="1"/>
  <c r="K1949" i="1"/>
  <c r="N1949" i="1" s="1"/>
  <c r="G1955" i="13"/>
  <c r="J1955" i="13" s="1"/>
  <c r="L2214" i="1"/>
  <c r="K2097" i="1"/>
  <c r="G2103" i="13"/>
  <c r="L2104" i="1"/>
  <c r="N1988" i="1"/>
  <c r="K1995" i="1"/>
  <c r="O1988" i="1"/>
  <c r="M2055" i="1"/>
  <c r="L2008" i="1"/>
  <c r="L2025" i="1" s="1"/>
  <c r="O1832" i="1"/>
  <c r="N2114" i="1"/>
  <c r="O2114" i="1"/>
  <c r="L2245" i="1"/>
  <c r="G2134" i="13"/>
  <c r="J2134" i="13" s="1"/>
  <c r="K2128" i="1"/>
  <c r="L2211" i="1"/>
  <c r="G2100" i="13"/>
  <c r="J2100" i="13" s="1"/>
  <c r="K2094" i="1"/>
  <c r="N1384" i="1"/>
  <c r="N1385" i="1" s="1"/>
  <c r="K1385" i="1"/>
  <c r="D187" i="15" s="1"/>
  <c r="O1384" i="1"/>
  <c r="O1385" i="1" s="1"/>
  <c r="K2138" i="1"/>
  <c r="L2255" i="1"/>
  <c r="G2144" i="13"/>
  <c r="J2144" i="13" s="1"/>
  <c r="K2099" i="1"/>
  <c r="L2216" i="1"/>
  <c r="G2105" i="13"/>
  <c r="J2105" i="13" s="1"/>
  <c r="L2038" i="1"/>
  <c r="K1921" i="1"/>
  <c r="N1921" i="1" s="1"/>
  <c r="G1927" i="13"/>
  <c r="J1927" i="13" s="1"/>
  <c r="N1840" i="1"/>
  <c r="O1840" i="1"/>
  <c r="K2134" i="1"/>
  <c r="L2251" i="1"/>
  <c r="G2140" i="13"/>
  <c r="J2140" i="13" s="1"/>
  <c r="M2271" i="1"/>
  <c r="N1816" i="1"/>
  <c r="K1822" i="1"/>
  <c r="N1822" i="1" s="1"/>
  <c r="M2026" i="1"/>
  <c r="M1919" i="1"/>
  <c r="N1805" i="1"/>
  <c r="O1805" i="1"/>
  <c r="K1962" i="1"/>
  <c r="L2079" i="1"/>
  <c r="G1967" i="13"/>
  <c r="L1965" i="1"/>
  <c r="K1791" i="1"/>
  <c r="D240" i="15"/>
  <c r="N1774" i="1"/>
  <c r="O1774" i="1"/>
  <c r="O1706" i="1"/>
  <c r="O1907" i="1"/>
  <c r="L2055" i="1"/>
  <c r="G1944" i="13"/>
  <c r="J1944" i="13" s="1"/>
  <c r="K1938" i="1"/>
  <c r="N1938" i="1" s="1"/>
  <c r="K1913" i="1"/>
  <c r="N1913" i="1" s="1"/>
  <c r="L2030" i="1"/>
  <c r="G1919" i="13"/>
  <c r="J1919" i="13" s="1"/>
  <c r="N1989" i="1"/>
  <c r="O1989" i="1"/>
  <c r="M2221" i="1"/>
  <c r="O1795" i="1"/>
  <c r="K1967" i="1"/>
  <c r="N1967" i="1" s="1"/>
  <c r="L2084" i="1"/>
  <c r="G1972" i="13"/>
  <c r="J1972" i="13" s="1"/>
  <c r="L1932" i="1"/>
  <c r="L1940" i="1" s="1"/>
  <c r="L2046" i="1"/>
  <c r="G1935" i="13"/>
  <c r="K1929" i="1"/>
  <c r="N2009" i="1"/>
  <c r="K2013" i="1"/>
  <c r="N1981" i="1"/>
  <c r="O1981" i="1"/>
  <c r="K1930" i="1"/>
  <c r="N1930" i="1" s="1"/>
  <c r="L2047" i="1"/>
  <c r="G1936" i="13"/>
  <c r="J1936" i="13" s="1"/>
  <c r="M2043" i="1"/>
  <c r="O1926" i="1"/>
  <c r="L2070" i="1"/>
  <c r="G1959" i="13"/>
  <c r="L1955" i="1"/>
  <c r="K1953" i="1"/>
  <c r="M2156" i="1"/>
  <c r="L2124" i="1"/>
  <c r="L2238" i="1"/>
  <c r="G2127" i="13"/>
  <c r="K2121" i="1"/>
  <c r="M2187" i="1"/>
  <c r="M2072" i="1"/>
  <c r="J1712" i="13"/>
  <c r="O1842" i="1"/>
  <c r="J1798" i="13"/>
  <c r="J1808" i="13" s="1"/>
  <c r="G1808" i="13"/>
  <c r="N2006" i="1"/>
  <c r="O2006" i="1"/>
  <c r="D213" i="15"/>
  <c r="E210" i="15"/>
  <c r="K1475" i="1"/>
  <c r="N1474" i="1"/>
  <c r="N1475" i="1" s="1"/>
  <c r="O1474" i="1"/>
  <c r="O1475" i="1" s="1"/>
  <c r="K1726" i="1"/>
  <c r="L1843" i="1"/>
  <c r="L1727" i="1"/>
  <c r="L1735" i="1" s="1"/>
  <c r="L1736" i="1" s="1"/>
  <c r="L1737" i="1" s="1"/>
  <c r="O1834" i="1"/>
  <c r="K1269" i="1"/>
  <c r="L2053" i="1"/>
  <c r="G1942" i="13"/>
  <c r="J1942" i="13" s="1"/>
  <c r="K1936" i="1"/>
  <c r="N1936" i="1" s="1"/>
  <c r="K1810" i="1"/>
  <c r="N1810" i="1" s="1"/>
  <c r="N1803" i="1"/>
  <c r="O1803" i="1"/>
  <c r="O1819" i="1"/>
  <c r="N2002" i="1"/>
  <c r="O2002" i="1"/>
  <c r="G1841" i="13"/>
  <c r="J1837" i="13"/>
  <c r="J1841" i="13" s="1"/>
  <c r="O1827" i="1"/>
  <c r="K2102" i="1"/>
  <c r="L2219" i="1"/>
  <c r="G2108" i="13"/>
  <c r="J2108" i="13" s="1"/>
  <c r="G1856" i="13"/>
  <c r="J1854" i="13"/>
  <c r="J1856" i="13" s="1"/>
  <c r="N1992" i="1"/>
  <c r="O1992" i="1"/>
  <c r="N1983" i="1"/>
  <c r="O1983" i="1"/>
  <c r="L2033" i="1"/>
  <c r="G1922" i="13"/>
  <c r="J1922" i="13" s="1"/>
  <c r="K1916" i="1"/>
  <c r="N1916" i="1" s="1"/>
  <c r="N1984" i="1"/>
  <c r="O1984" i="1"/>
  <c r="O1839" i="1"/>
  <c r="N1839" i="1"/>
  <c r="K1886" i="1"/>
  <c r="K1891" i="1" s="1"/>
  <c r="N1879" i="1"/>
  <c r="O1879" i="1"/>
  <c r="M2030" i="1"/>
  <c r="K1945" i="1"/>
  <c r="N1945" i="1" s="1"/>
  <c r="L2062" i="1"/>
  <c r="G1951" i="13"/>
  <c r="J1951" i="13" s="1"/>
  <c r="D228" i="15"/>
  <c r="E225" i="15"/>
  <c r="I1205" i="16"/>
  <c r="N2010" i="1"/>
  <c r="O2010" i="1"/>
  <c r="L2071" i="1"/>
  <c r="K1954" i="1"/>
  <c r="G1960" i="13"/>
  <c r="J1960" i="13" s="1"/>
  <c r="N1890" i="1"/>
  <c r="O1890" i="1"/>
  <c r="O1848" i="1"/>
  <c r="M2008" i="1"/>
  <c r="M2243" i="1"/>
  <c r="M2130" i="1"/>
  <c r="N1980" i="1"/>
  <c r="K1987" i="1"/>
  <c r="O1980" i="1"/>
  <c r="K2105" i="1"/>
  <c r="L2222" i="1"/>
  <c r="G2111" i="13"/>
  <c r="L2112" i="1"/>
  <c r="O1791" i="1"/>
  <c r="K1979" i="1"/>
  <c r="N1975" i="1"/>
  <c r="O1975" i="1"/>
  <c r="M2066" i="1"/>
  <c r="O1949" i="1"/>
  <c r="K2111" i="1"/>
  <c r="L2228" i="1"/>
  <c r="G2117" i="13"/>
  <c r="J2117" i="13" s="1"/>
  <c r="N2011" i="1"/>
  <c r="O2011" i="1"/>
  <c r="N2021" i="1"/>
  <c r="O2021" i="1"/>
  <c r="L2232" i="1"/>
  <c r="K2115" i="1"/>
  <c r="G2121" i="13"/>
  <c r="J2121" i="13" s="1"/>
  <c r="M2080" i="1"/>
  <c r="O1963" i="1"/>
  <c r="M2241" i="1"/>
  <c r="L2063" i="1"/>
  <c r="K1946" i="1"/>
  <c r="N1946" i="1" s="1"/>
  <c r="G1952" i="13"/>
  <c r="J1952" i="13" s="1"/>
  <c r="N2017" i="1"/>
  <c r="O2017" i="1"/>
  <c r="O1930" i="1"/>
  <c r="M2047" i="1"/>
  <c r="L1939" i="1"/>
  <c r="L2050" i="1"/>
  <c r="G1939" i="13"/>
  <c r="K1933" i="1"/>
  <c r="M2191" i="1"/>
  <c r="J1740" i="13"/>
  <c r="J1741" i="13" s="1"/>
  <c r="I232" i="15" s="1"/>
  <c r="I234" i="15" s="1"/>
  <c r="K1922" i="1"/>
  <c r="L2039" i="1"/>
  <c r="G1928" i="13"/>
  <c r="J1928" i="13" s="1"/>
  <c r="O1915" i="1"/>
  <c r="M2032" i="1"/>
  <c r="O1946" i="1"/>
  <c r="M2063" i="1"/>
  <c r="O1934" i="1"/>
  <c r="M2051" i="1"/>
  <c r="G1741" i="13"/>
  <c r="F232" i="15" s="1"/>
  <c r="F234" i="15" s="1"/>
  <c r="M1932" i="1"/>
  <c r="M2046" i="1"/>
  <c r="O1929" i="1"/>
  <c r="M2073" i="1"/>
  <c r="M1961" i="1"/>
  <c r="O1956" i="1"/>
  <c r="M2029" i="1"/>
  <c r="O1912" i="1"/>
  <c r="N2014" i="1"/>
  <c r="K2023" i="1"/>
  <c r="O2014" i="1"/>
  <c r="G1821" i="13"/>
  <c r="G1829" i="13" s="1"/>
  <c r="J1818" i="13"/>
  <c r="J1821" i="13" s="1"/>
  <c r="J1829" i="13" s="1"/>
  <c r="K1917" i="1"/>
  <c r="N1917" i="1" s="1"/>
  <c r="L2034" i="1"/>
  <c r="G1923" i="13"/>
  <c r="J1923" i="13" s="1"/>
  <c r="L2243" i="1"/>
  <c r="K2126" i="1"/>
  <c r="O2126" i="1" s="1"/>
  <c r="G2132" i="13"/>
  <c r="L2130" i="1"/>
  <c r="L2141" i="1" s="1"/>
  <c r="O1718" i="1"/>
  <c r="N1978" i="1"/>
  <c r="O1978" i="1"/>
  <c r="L2252" i="1"/>
  <c r="G2141" i="13"/>
  <c r="J2141" i="13" s="1"/>
  <c r="K2135" i="1"/>
  <c r="G1844" i="13"/>
  <c r="J1842" i="13"/>
  <c r="J1844" i="13" s="1"/>
  <c r="G2013" i="13"/>
  <c r="J2010" i="13"/>
  <c r="J2013" i="13" s="1"/>
  <c r="N1870" i="1"/>
  <c r="O1870" i="1"/>
  <c r="N1878" i="1"/>
  <c r="O1878" i="1"/>
  <c r="M2041" i="1"/>
  <c r="O1924" i="1"/>
  <c r="M2077" i="1"/>
  <c r="L1824" i="1"/>
  <c r="K1707" i="1"/>
  <c r="N1707" i="1" s="1"/>
  <c r="G1713" i="13"/>
  <c r="J1713" i="13" s="1"/>
  <c r="L2227" i="1"/>
  <c r="G2116" i="13"/>
  <c r="J2116" i="13" s="1"/>
  <c r="K2110" i="1"/>
  <c r="D174" i="15"/>
  <c r="E174" i="15" s="1"/>
  <c r="E172" i="15"/>
  <c r="O1850" i="1"/>
  <c r="L2075" i="1"/>
  <c r="G1964" i="13"/>
  <c r="J1964" i="13" s="1"/>
  <c r="K1958" i="1"/>
  <c r="N1958" i="1" s="1"/>
  <c r="G1712" i="13"/>
  <c r="O1959" i="1"/>
  <c r="M2076" i="1"/>
  <c r="L1919" i="1"/>
  <c r="L2026" i="1"/>
  <c r="G1915" i="13"/>
  <c r="K1909" i="1"/>
  <c r="M1824" i="1"/>
  <c r="K1914" i="1"/>
  <c r="N1914" i="1" s="1"/>
  <c r="L2031" i="1"/>
  <c r="G1920" i="13"/>
  <c r="J1920" i="13" s="1"/>
  <c r="O1833" i="1"/>
  <c r="N1609" i="1"/>
  <c r="O1609" i="1"/>
  <c r="K1610" i="1"/>
  <c r="N2012" i="1"/>
  <c r="O2012" i="1"/>
  <c r="L2220" i="1"/>
  <c r="G2109" i="13"/>
  <c r="J2109" i="13" s="1"/>
  <c r="K2103" i="1"/>
  <c r="O1790" i="1"/>
  <c r="D171" i="15"/>
  <c r="E169" i="15"/>
  <c r="L2037" i="1"/>
  <c r="G1926" i="13"/>
  <c r="K1920" i="1"/>
  <c r="L1927" i="1"/>
  <c r="L1928" i="1" s="1"/>
  <c r="O1577" i="1"/>
  <c r="N1577" i="1"/>
  <c r="K1591" i="1"/>
  <c r="O1936" i="1"/>
  <c r="M2053" i="1"/>
  <c r="N1831" i="1"/>
  <c r="K1835" i="1"/>
  <c r="N1835" i="1" s="1"/>
  <c r="M1947" i="1"/>
  <c r="M2061" i="1"/>
  <c r="O1944" i="1"/>
  <c r="L2254" i="1"/>
  <c r="G2143" i="13"/>
  <c r="J2143" i="13" s="1"/>
  <c r="K2137" i="1"/>
  <c r="K1851" i="1"/>
  <c r="N1849" i="1"/>
  <c r="O1734" i="1"/>
  <c r="N1990" i="1"/>
  <c r="O1990" i="1"/>
  <c r="N1906" i="1"/>
  <c r="O1906" i="1"/>
  <c r="N1808" i="1"/>
  <c r="O1808" i="1"/>
  <c r="L2250" i="1"/>
  <c r="G2139" i="13"/>
  <c r="J2139" i="13" s="1"/>
  <c r="K2133" i="1"/>
  <c r="G1849" i="13"/>
  <c r="J1845" i="13"/>
  <c r="J1849" i="13" s="1"/>
  <c r="J1885" i="13"/>
  <c r="J1892" i="13" s="1"/>
  <c r="J1897" i="13" s="1"/>
  <c r="G1892" i="13"/>
  <c r="G1897" i="13" s="1"/>
  <c r="O1796" i="1"/>
  <c r="N1976" i="1"/>
  <c r="O1976" i="1"/>
  <c r="L2256" i="1"/>
  <c r="K2139" i="1"/>
  <c r="G2145" i="13"/>
  <c r="J2145" i="13" s="1"/>
  <c r="J181" i="15"/>
  <c r="I1210" i="16"/>
  <c r="I1283" i="16"/>
  <c r="F1377" i="16"/>
  <c r="F1488" i="16"/>
  <c r="I1394" i="16"/>
  <c r="I1303" i="16"/>
  <c r="F1397" i="16"/>
  <c r="I1286" i="16"/>
  <c r="F1380" i="16"/>
  <c r="I1290" i="16"/>
  <c r="F1384" i="16"/>
  <c r="I1301" i="16"/>
  <c r="F1395" i="16"/>
  <c r="F1467" i="16"/>
  <c r="I1373" i="16"/>
  <c r="I1280" i="16"/>
  <c r="F1374" i="16"/>
  <c r="I1278" i="16"/>
  <c r="F1372" i="16"/>
  <c r="F1292" i="16"/>
  <c r="J195" i="15"/>
  <c r="J198" i="15" s="1"/>
  <c r="J205" i="15" s="1"/>
  <c r="J180" i="15"/>
  <c r="J183" i="15" s="1"/>
  <c r="J190" i="15" s="1"/>
  <c r="I1308" i="16"/>
  <c r="F1402" i="16"/>
  <c r="I1312" i="16"/>
  <c r="F1406" i="16"/>
  <c r="I1316" i="16"/>
  <c r="F1410" i="16"/>
  <c r="I1296" i="16"/>
  <c r="F1390" i="16"/>
  <c r="I1340" i="16"/>
  <c r="F1434" i="16"/>
  <c r="I1345" i="16"/>
  <c r="F1439" i="16"/>
  <c r="I1349" i="16"/>
  <c r="F1443" i="16"/>
  <c r="I1353" i="16"/>
  <c r="F1447" i="16"/>
  <c r="I1357" i="16"/>
  <c r="F1451" i="16"/>
  <c r="I1361" i="16"/>
  <c r="F1455" i="16"/>
  <c r="I1269" i="16"/>
  <c r="I1281" i="16"/>
  <c r="F1375" i="16"/>
  <c r="I1198" i="16"/>
  <c r="I1309" i="16"/>
  <c r="F1403" i="16"/>
  <c r="I1310" i="16"/>
  <c r="F1404" i="16"/>
  <c r="I1313" i="16"/>
  <c r="F1407" i="16"/>
  <c r="I1317" i="16"/>
  <c r="F1411" i="16"/>
  <c r="I1318" i="16"/>
  <c r="F1412" i="16"/>
  <c r="I1322" i="16"/>
  <c r="F1416" i="16"/>
  <c r="I1326" i="16"/>
  <c r="F1420" i="16"/>
  <c r="I1330" i="16"/>
  <c r="F1424" i="16"/>
  <c r="I1334" i="16"/>
  <c r="F1428" i="16"/>
  <c r="I1321" i="16"/>
  <c r="F1415" i="16"/>
  <c r="I1325" i="16"/>
  <c r="F1419" i="16"/>
  <c r="I1329" i="16"/>
  <c r="F1423" i="16"/>
  <c r="I1333" i="16"/>
  <c r="F1427" i="16"/>
  <c r="I1289" i="16"/>
  <c r="F1383" i="16"/>
  <c r="I1339" i="16"/>
  <c r="F1433" i="16"/>
  <c r="I1346" i="16"/>
  <c r="F1440" i="16"/>
  <c r="I1350" i="16"/>
  <c r="F1444" i="16"/>
  <c r="I1354" i="16"/>
  <c r="F1448" i="16"/>
  <c r="I1358" i="16"/>
  <c r="F1452" i="16"/>
  <c r="I1362" i="16"/>
  <c r="F1456" i="16"/>
  <c r="I1297" i="16"/>
  <c r="F1391" i="16"/>
  <c r="I1285" i="16"/>
  <c r="F1379" i="16"/>
  <c r="I1387" i="16"/>
  <c r="F1481" i="16"/>
  <c r="F1304" i="16"/>
  <c r="I1314" i="16"/>
  <c r="F1408" i="16"/>
  <c r="I1298" i="16"/>
  <c r="F1392" i="16"/>
  <c r="I1343" i="16"/>
  <c r="F1437" i="16"/>
  <c r="I1347" i="16"/>
  <c r="F1441" i="16"/>
  <c r="I1351" i="16"/>
  <c r="F1445" i="16"/>
  <c r="I1355" i="16"/>
  <c r="F1449" i="16"/>
  <c r="I1359" i="16"/>
  <c r="F1453" i="16"/>
  <c r="I1282" i="16"/>
  <c r="F1376" i="16"/>
  <c r="F1619" i="16"/>
  <c r="I1525" i="16"/>
  <c r="F1212" i="16"/>
  <c r="F1272" i="16" s="1"/>
  <c r="I1378" i="16"/>
  <c r="F1472" i="16"/>
  <c r="I1342" i="16"/>
  <c r="F1436" i="16"/>
  <c r="I1311" i="16"/>
  <c r="F1405" i="16"/>
  <c r="I1315" i="16"/>
  <c r="F1409" i="16"/>
  <c r="I1320" i="16"/>
  <c r="F1414" i="16"/>
  <c r="I1324" i="16"/>
  <c r="F1418" i="16"/>
  <c r="I1328" i="16"/>
  <c r="F1422" i="16"/>
  <c r="I1332" i="16"/>
  <c r="F1426" i="16"/>
  <c r="I1319" i="16"/>
  <c r="F1413" i="16"/>
  <c r="I1323" i="16"/>
  <c r="F1417" i="16"/>
  <c r="I1327" i="16"/>
  <c r="F1421" i="16"/>
  <c r="I1331" i="16"/>
  <c r="F1425" i="16"/>
  <c r="I1335" i="16"/>
  <c r="F1429" i="16"/>
  <c r="I1344" i="16"/>
  <c r="F1438" i="16"/>
  <c r="I1348" i="16"/>
  <c r="F1442" i="16"/>
  <c r="I1352" i="16"/>
  <c r="F1446" i="16"/>
  <c r="I1356" i="16"/>
  <c r="F1450" i="16"/>
  <c r="I1295" i="16"/>
  <c r="I1299" i="16" s="1"/>
  <c r="F1389" i="16"/>
  <c r="I1287" i="16"/>
  <c r="F1381" i="16"/>
  <c r="I1291" i="16"/>
  <c r="F1385" i="16"/>
  <c r="I1242" i="16"/>
  <c r="F1432" i="16"/>
  <c r="I1338" i="16"/>
  <c r="I1363" i="16" s="1"/>
  <c r="J217" i="15" s="1"/>
  <c r="J219" i="15" s="1"/>
  <c r="F1363" i="16"/>
  <c r="I1302" i="16"/>
  <c r="F1396" i="16"/>
  <c r="I1288" i="16"/>
  <c r="F1382" i="16"/>
  <c r="I1388" i="16"/>
  <c r="F1482" i="16"/>
  <c r="I1495" i="16"/>
  <c r="F1589" i="16"/>
  <c r="I1118" i="16"/>
  <c r="I1178" i="16" s="1"/>
  <c r="K965" i="17"/>
  <c r="Q899" i="17"/>
  <c r="L965" i="17"/>
  <c r="J899" i="17"/>
  <c r="M899" i="17" s="1"/>
  <c r="N835" i="17"/>
  <c r="M835" i="17"/>
  <c r="N639" i="17"/>
  <c r="N886" i="17"/>
  <c r="N810" i="17"/>
  <c r="G190" i="15"/>
  <c r="N793" i="17"/>
  <c r="K841" i="17"/>
  <c r="K850" i="17" s="1"/>
  <c r="K894" i="17" s="1"/>
  <c r="N843" i="17"/>
  <c r="N852" i="17"/>
  <c r="Q849" i="17"/>
  <c r="H211" i="15" s="1"/>
  <c r="N880" i="17"/>
  <c r="N861" i="17"/>
  <c r="L1044" i="17"/>
  <c r="L1042" i="17"/>
  <c r="G210" i="15"/>
  <c r="G213" i="15" s="1"/>
  <c r="L1064" i="17"/>
  <c r="L1068" i="17"/>
  <c r="K978" i="17"/>
  <c r="Q912" i="17"/>
  <c r="J912" i="17"/>
  <c r="K1001" i="17"/>
  <c r="J935" i="17"/>
  <c r="Q935" i="17"/>
  <c r="L990" i="17"/>
  <c r="L958" i="17"/>
  <c r="M842" i="17"/>
  <c r="J849" i="17"/>
  <c r="M849" i="17" s="1"/>
  <c r="L973" i="17"/>
  <c r="L1008" i="17"/>
  <c r="Q839" i="17"/>
  <c r="K903" i="17"/>
  <c r="J839" i="17"/>
  <c r="K1014" i="17"/>
  <c r="Q948" i="17"/>
  <c r="J948" i="17"/>
  <c r="M948" i="17" s="1"/>
  <c r="L967" i="17"/>
  <c r="L905" i="17"/>
  <c r="Q892" i="17"/>
  <c r="Q893" i="17" s="1"/>
  <c r="K997" i="17"/>
  <c r="Q931" i="17"/>
  <c r="J931" i="17"/>
  <c r="L1049" i="17"/>
  <c r="L1072" i="17"/>
  <c r="L1051" i="17"/>
  <c r="K967" i="17"/>
  <c r="Q901" i="17"/>
  <c r="J901" i="17"/>
  <c r="L1040" i="17"/>
  <c r="K1018" i="17"/>
  <c r="Q952" i="17"/>
  <c r="J952" i="17"/>
  <c r="M952" i="17" s="1"/>
  <c r="M871" i="17"/>
  <c r="N871" i="17"/>
  <c r="M854" i="17"/>
  <c r="N854" i="17"/>
  <c r="M855" i="17"/>
  <c r="N855" i="17"/>
  <c r="K1008" i="17"/>
  <c r="J942" i="17"/>
  <c r="M942" i="17" s="1"/>
  <c r="Q942" i="17"/>
  <c r="Q907" i="17"/>
  <c r="K973" i="17"/>
  <c r="J907" i="17"/>
  <c r="M907" i="17" s="1"/>
  <c r="M864" i="17"/>
  <c r="N864" i="17"/>
  <c r="L987" i="17"/>
  <c r="L1000" i="17"/>
  <c r="M872" i="17"/>
  <c r="N872" i="17"/>
  <c r="K1002" i="17"/>
  <c r="Q936" i="17"/>
  <c r="J936" i="17"/>
  <c r="K990" i="17"/>
  <c r="Q924" i="17"/>
  <c r="K958" i="17"/>
  <c r="K959" i="17" s="1"/>
  <c r="G232" i="15" s="1"/>
  <c r="G234" i="15" s="1"/>
  <c r="J924" i="17"/>
  <c r="L1018" i="17"/>
  <c r="L1014" i="17"/>
  <c r="N948" i="17"/>
  <c r="M846" i="17"/>
  <c r="N846" i="17"/>
  <c r="L1035" i="17"/>
  <c r="M856" i="17"/>
  <c r="N856" i="17"/>
  <c r="Q920" i="17"/>
  <c r="K986" i="17"/>
  <c r="J920" i="17"/>
  <c r="K998" i="17"/>
  <c r="Q932" i="17"/>
  <c r="J932" i="17"/>
  <c r="M873" i="17"/>
  <c r="N873" i="17"/>
  <c r="K993" i="17"/>
  <c r="Q927" i="17"/>
  <c r="J927" i="17"/>
  <c r="M927" i="17" s="1"/>
  <c r="M844" i="17"/>
  <c r="N844" i="17"/>
  <c r="L859" i="17"/>
  <c r="M891" i="17"/>
  <c r="N891" i="17"/>
  <c r="K1023" i="17"/>
  <c r="Q957" i="17"/>
  <c r="J957" i="17"/>
  <c r="M853" i="17"/>
  <c r="N853" i="17"/>
  <c r="L993" i="17"/>
  <c r="N927" i="17"/>
  <c r="M851" i="17"/>
  <c r="J858" i="17"/>
  <c r="M858" i="17" s="1"/>
  <c r="Q858" i="17"/>
  <c r="Q859" i="17" s="1"/>
  <c r="M866" i="17"/>
  <c r="N866" i="17"/>
  <c r="K1012" i="17"/>
  <c r="Q946" i="17"/>
  <c r="J946" i="17"/>
  <c r="M946" i="17" s="1"/>
  <c r="K1022" i="17"/>
  <c r="Q956" i="17"/>
  <c r="J956" i="17"/>
  <c r="M956" i="17" s="1"/>
  <c r="K902" i="17"/>
  <c r="Q838" i="17"/>
  <c r="J838" i="17"/>
  <c r="K987" i="17"/>
  <c r="Q921" i="17"/>
  <c r="J921" i="17"/>
  <c r="M921" i="17" s="1"/>
  <c r="K1011" i="17"/>
  <c r="J945" i="17"/>
  <c r="M945" i="17" s="1"/>
  <c r="Q945" i="17"/>
  <c r="Q909" i="17"/>
  <c r="K975" i="17"/>
  <c r="J909" i="17"/>
  <c r="M909" i="17" s="1"/>
  <c r="L1022" i="17"/>
  <c r="Q911" i="17"/>
  <c r="K977" i="17"/>
  <c r="J911" i="17"/>
  <c r="M911" i="17" s="1"/>
  <c r="L977" i="17"/>
  <c r="M889" i="17"/>
  <c r="N889" i="17"/>
  <c r="K1016" i="17"/>
  <c r="J950" i="17"/>
  <c r="M950" i="17" s="1"/>
  <c r="Q950" i="17"/>
  <c r="N814" i="17"/>
  <c r="L1050" i="17"/>
  <c r="L1075" i="17"/>
  <c r="L1065" i="17"/>
  <c r="L1067" i="17"/>
  <c r="L1071" i="17"/>
  <c r="M837" i="17"/>
  <c r="L1073" i="17"/>
  <c r="L1089" i="17"/>
  <c r="L1036" i="17"/>
  <c r="L1052" i="17"/>
  <c r="M848" i="17"/>
  <c r="N848" i="17"/>
  <c r="M876" i="17"/>
  <c r="N876" i="17"/>
  <c r="K1006" i="17"/>
  <c r="Q940" i="17"/>
  <c r="J940" i="17"/>
  <c r="L1011" i="17"/>
  <c r="L893" i="17"/>
  <c r="K972" i="17"/>
  <c r="Q906" i="17"/>
  <c r="K913" i="17"/>
  <c r="G226" i="15" s="1"/>
  <c r="J906" i="17"/>
  <c r="N906" i="17" s="1"/>
  <c r="Q918" i="17"/>
  <c r="K984" i="17"/>
  <c r="J918" i="17"/>
  <c r="K904" i="17"/>
  <c r="J840" i="17"/>
  <c r="Q840" i="17"/>
  <c r="K985" i="17"/>
  <c r="Q919" i="17"/>
  <c r="J919" i="17"/>
  <c r="K1000" i="17"/>
  <c r="Q934" i="17"/>
  <c r="J934" i="17"/>
  <c r="M934" i="17" s="1"/>
  <c r="L1004" i="17"/>
  <c r="M885" i="17"/>
  <c r="N885" i="17"/>
  <c r="K1015" i="17"/>
  <c r="J949" i="17"/>
  <c r="Q949" i="17"/>
  <c r="N878" i="17"/>
  <c r="Q928" i="17"/>
  <c r="K994" i="17"/>
  <c r="J928" i="17"/>
  <c r="Q944" i="17"/>
  <c r="K1010" i="17"/>
  <c r="J944" i="17"/>
  <c r="M944" i="17" s="1"/>
  <c r="K991" i="17"/>
  <c r="Q925" i="17"/>
  <c r="J925" i="17"/>
  <c r="M925" i="17" s="1"/>
  <c r="L850" i="17"/>
  <c r="K1004" i="17"/>
  <c r="Q938" i="17"/>
  <c r="J938" i="17"/>
  <c r="M938" i="17" s="1"/>
  <c r="N870" i="17"/>
  <c r="G217" i="15"/>
  <c r="G219" i="15" s="1"/>
  <c r="M860" i="17"/>
  <c r="J892" i="17"/>
  <c r="N888" i="17"/>
  <c r="L1012" i="17"/>
  <c r="N884" i="17"/>
  <c r="M867" i="17"/>
  <c r="N867" i="17"/>
  <c r="K976" i="17"/>
  <c r="Q910" i="17"/>
  <c r="J910" i="17"/>
  <c r="M887" i="17"/>
  <c r="N887" i="17"/>
  <c r="K1017" i="17"/>
  <c r="J951" i="17"/>
  <c r="Q951" i="17"/>
  <c r="L968" i="17"/>
  <c r="L1061" i="17"/>
  <c r="L1063" i="17"/>
  <c r="L1079" i="17"/>
  <c r="L1083" i="17"/>
  <c r="L1058" i="17"/>
  <c r="L1147" i="17"/>
  <c r="L1213" i="17" s="1"/>
  <c r="L1151" i="17"/>
  <c r="L1217" i="17" s="1"/>
  <c r="L1135" i="17"/>
  <c r="L1201" i="17" s="1"/>
  <c r="Q916" i="17"/>
  <c r="K982" i="17"/>
  <c r="J916" i="17"/>
  <c r="M916" i="17" s="1"/>
  <c r="L1010" i="17"/>
  <c r="M868" i="17"/>
  <c r="N868" i="17"/>
  <c r="K1003" i="17"/>
  <c r="J937" i="17"/>
  <c r="Q937" i="17"/>
  <c r="M862" i="17"/>
  <c r="N862" i="17"/>
  <c r="Q926" i="17"/>
  <c r="K992" i="17"/>
  <c r="J926" i="17"/>
  <c r="K974" i="17"/>
  <c r="Q908" i="17"/>
  <c r="J908" i="17"/>
  <c r="N851" i="17"/>
  <c r="L922" i="17"/>
  <c r="L981" i="17"/>
  <c r="M865" i="17"/>
  <c r="N865" i="17"/>
  <c r="K995" i="17"/>
  <c r="J929" i="17"/>
  <c r="Q929" i="17"/>
  <c r="K983" i="17"/>
  <c r="Q917" i="17"/>
  <c r="J917" i="17"/>
  <c r="N863" i="17"/>
  <c r="K922" i="17"/>
  <c r="K981" i="17"/>
  <c r="Q915" i="17"/>
  <c r="J915" i="17"/>
  <c r="N915" i="17" s="1"/>
  <c r="M883" i="17"/>
  <c r="N883" i="17"/>
  <c r="K1013" i="17"/>
  <c r="Q947" i="17"/>
  <c r="J947" i="17"/>
  <c r="K996" i="17"/>
  <c r="J930" i="17"/>
  <c r="Q930" i="17"/>
  <c r="M877" i="17"/>
  <c r="N877" i="17"/>
  <c r="K1007" i="17"/>
  <c r="J941" i="17"/>
  <c r="Q941" i="17"/>
  <c r="M879" i="17"/>
  <c r="N879" i="17"/>
  <c r="K1009" i="17"/>
  <c r="J943" i="17"/>
  <c r="Q943" i="17"/>
  <c r="L975" i="17"/>
  <c r="N842" i="17"/>
  <c r="L913" i="17"/>
  <c r="L972" i="17"/>
  <c r="M869" i="17"/>
  <c r="N869" i="17"/>
  <c r="K999" i="17"/>
  <c r="J933" i="17"/>
  <c r="Q933" i="17"/>
  <c r="N890" i="17"/>
  <c r="L991" i="17"/>
  <c r="N847" i="17"/>
  <c r="L1016" i="17"/>
  <c r="K1019" i="17"/>
  <c r="J953" i="17"/>
  <c r="Q953" i="17"/>
  <c r="L982" i="17"/>
  <c r="M875" i="17"/>
  <c r="N875" i="17"/>
  <c r="K1005" i="17"/>
  <c r="Q939" i="17"/>
  <c r="J939" i="17"/>
  <c r="N779" i="17"/>
  <c r="N818" i="17"/>
  <c r="N771" i="17"/>
  <c r="M771" i="17"/>
  <c r="Q777" i="17"/>
  <c r="H195" i="15" s="1"/>
  <c r="H183" i="15"/>
  <c r="K786" i="17"/>
  <c r="G195" i="15"/>
  <c r="G198" i="15" s="1"/>
  <c r="M784" i="17"/>
  <c r="N784" i="17"/>
  <c r="M778" i="17"/>
  <c r="J785" i="17"/>
  <c r="M785" i="17" s="1"/>
  <c r="M821" i="17"/>
  <c r="N821" i="17"/>
  <c r="M815" i="17"/>
  <c r="N815" i="17"/>
  <c r="J702" i="17"/>
  <c r="M702" i="17" s="1"/>
  <c r="M701" i="17"/>
  <c r="J765" i="17"/>
  <c r="M764" i="17"/>
  <c r="M792" i="17"/>
  <c r="N792" i="17"/>
  <c r="M807" i="17"/>
  <c r="N807" i="17"/>
  <c r="M809" i="17"/>
  <c r="N809" i="17"/>
  <c r="L829" i="17"/>
  <c r="M790" i="17"/>
  <c r="N790" i="17"/>
  <c r="M798" i="17"/>
  <c r="N798" i="17"/>
  <c r="M791" i="17"/>
  <c r="N791" i="17"/>
  <c r="Q785" i="17"/>
  <c r="H196" i="15" s="1"/>
  <c r="K795" i="17"/>
  <c r="G201" i="15"/>
  <c r="Q794" i="17"/>
  <c r="Q795" i="17" s="1"/>
  <c r="H201" i="15" s="1"/>
  <c r="J722" i="17"/>
  <c r="M722" i="17" s="1"/>
  <c r="M819" i="17"/>
  <c r="N819" i="17"/>
  <c r="M813" i="17"/>
  <c r="N813" i="17"/>
  <c r="L786" i="17"/>
  <c r="N806" i="17"/>
  <c r="N721" i="17"/>
  <c r="Q828" i="17"/>
  <c r="Q829" i="17" s="1"/>
  <c r="J828" i="17"/>
  <c r="M796" i="17"/>
  <c r="M782" i="17"/>
  <c r="N782" i="17"/>
  <c r="M823" i="17"/>
  <c r="N823" i="17"/>
  <c r="N774" i="17"/>
  <c r="N783" i="17"/>
  <c r="L766" i="17"/>
  <c r="N765" i="17"/>
  <c r="M776" i="17"/>
  <c r="N776" i="17"/>
  <c r="M780" i="17"/>
  <c r="N780" i="17"/>
  <c r="L795" i="17"/>
  <c r="M789" i="17"/>
  <c r="N789" i="17"/>
  <c r="M800" i="17"/>
  <c r="N800" i="17"/>
  <c r="M808" i="17"/>
  <c r="N808" i="17"/>
  <c r="N778" i="17"/>
  <c r="H187" i="15"/>
  <c r="H189" i="15" s="1"/>
  <c r="N797" i="17"/>
  <c r="M825" i="17"/>
  <c r="N825" i="17"/>
  <c r="N788" i="17"/>
  <c r="M811" i="17"/>
  <c r="N811" i="17"/>
  <c r="M773" i="17"/>
  <c r="J777" i="17"/>
  <c r="N777" i="17" s="1"/>
  <c r="M812" i="17"/>
  <c r="N812" i="17"/>
  <c r="N817" i="17"/>
  <c r="M804" i="17"/>
  <c r="N804" i="17"/>
  <c r="N701" i="17"/>
  <c r="N796" i="17"/>
  <c r="N658" i="17"/>
  <c r="M827" i="17"/>
  <c r="N827" i="17"/>
  <c r="M801" i="17"/>
  <c r="N801" i="17"/>
  <c r="H175" i="15"/>
  <c r="M775" i="17"/>
  <c r="N775" i="17"/>
  <c r="N799" i="17"/>
  <c r="M787" i="17"/>
  <c r="J794" i="17"/>
  <c r="M794" i="17" s="1"/>
  <c r="J731" i="17"/>
  <c r="M731" i="17" s="1"/>
  <c r="M730" i="17"/>
  <c r="M802" i="17"/>
  <c r="N802" i="17"/>
  <c r="N773" i="17"/>
  <c r="N781" i="17"/>
  <c r="N824" i="17"/>
  <c r="N820" i="17"/>
  <c r="M803" i="17"/>
  <c r="N803" i="17"/>
  <c r="M805" i="17"/>
  <c r="N805" i="17"/>
  <c r="N826" i="17"/>
  <c r="N822" i="17"/>
  <c r="Q722" i="17"/>
  <c r="Q766" i="17" s="1"/>
  <c r="O1152" i="1"/>
  <c r="N1152" i="1"/>
  <c r="D156" i="15"/>
  <c r="E154" i="15"/>
  <c r="N1035" i="1"/>
  <c r="O1035" i="1"/>
  <c r="E126" i="15"/>
  <c r="D130" i="15"/>
  <c r="E130" i="15" s="1"/>
  <c r="D141" i="15"/>
  <c r="E139" i="15"/>
  <c r="E111" i="15"/>
  <c r="D115" i="15"/>
  <c r="E115" i="15" s="1"/>
  <c r="I28" i="16"/>
  <c r="F255" i="15" l="1"/>
  <c r="G1914" i="13"/>
  <c r="I255" i="15"/>
  <c r="I258" i="15" s="1"/>
  <c r="J1914" i="13"/>
  <c r="N1891" i="1"/>
  <c r="D255" i="15"/>
  <c r="K1908" i="1"/>
  <c r="O1891" i="1"/>
  <c r="G2262" i="13"/>
  <c r="J2262" i="13" s="1"/>
  <c r="K2256" i="1"/>
  <c r="N1851" i="1"/>
  <c r="N1610" i="1"/>
  <c r="O1610" i="1"/>
  <c r="K1618" i="1"/>
  <c r="O1707" i="1"/>
  <c r="K2227" i="1"/>
  <c r="G2233" i="13"/>
  <c r="J2233" i="13" s="1"/>
  <c r="M2158" i="1"/>
  <c r="K2039" i="1"/>
  <c r="L2156" i="1"/>
  <c r="G2045" i="13"/>
  <c r="J2045" i="13" s="1"/>
  <c r="K2063" i="1"/>
  <c r="N2063" i="1" s="1"/>
  <c r="L2180" i="1"/>
  <c r="G2069" i="13"/>
  <c r="J2069" i="13" s="1"/>
  <c r="M2197" i="1"/>
  <c r="O1810" i="1"/>
  <c r="N1954" i="1"/>
  <c r="O1954" i="1"/>
  <c r="O1913" i="1"/>
  <c r="N2102" i="1"/>
  <c r="O2102" i="1"/>
  <c r="L2170" i="1"/>
  <c r="G2059" i="13"/>
  <c r="J2059" i="13" s="1"/>
  <c r="K2053" i="1"/>
  <c r="N2053" i="1" s="1"/>
  <c r="E213" i="15"/>
  <c r="G2130" i="13"/>
  <c r="J2127" i="13"/>
  <c r="J2130" i="13" s="1"/>
  <c r="L2187" i="1"/>
  <c r="G2076" i="13"/>
  <c r="K2070" i="1"/>
  <c r="L2072" i="1"/>
  <c r="K2047" i="1"/>
  <c r="N2047" i="1" s="1"/>
  <c r="L2164" i="1"/>
  <c r="G2053" i="13"/>
  <c r="J2053" i="13" s="1"/>
  <c r="N2013" i="1"/>
  <c r="K2024" i="1"/>
  <c r="G2052" i="13"/>
  <c r="L2163" i="1"/>
  <c r="K2046" i="1"/>
  <c r="L2049" i="1"/>
  <c r="K2030" i="1"/>
  <c r="N2030" i="1" s="1"/>
  <c r="L2147" i="1"/>
  <c r="G2036" i="13"/>
  <c r="J2036" i="13" s="1"/>
  <c r="L2172" i="1"/>
  <c r="K2055" i="1"/>
  <c r="N2055" i="1" s="1"/>
  <c r="G2061" i="13"/>
  <c r="J2061" i="13" s="1"/>
  <c r="G1970" i="13"/>
  <c r="J1967" i="13"/>
  <c r="J1970" i="13" s="1"/>
  <c r="L2155" i="1"/>
  <c r="G2044" i="13"/>
  <c r="J2044" i="13" s="1"/>
  <c r="K2038" i="1"/>
  <c r="N2038" i="1" s="1"/>
  <c r="D189" i="15"/>
  <c r="E189" i="15" s="1"/>
  <c r="E187" i="15"/>
  <c r="K2211" i="1"/>
  <c r="G2217" i="13"/>
  <c r="J2217" i="13" s="1"/>
  <c r="N1995" i="1"/>
  <c r="O1995" i="1"/>
  <c r="N2097" i="1"/>
  <c r="K2104" i="1"/>
  <c r="O2097" i="1"/>
  <c r="L2183" i="1"/>
  <c r="G2072" i="13"/>
  <c r="J2072" i="13" s="1"/>
  <c r="K2066" i="1"/>
  <c r="N2066" i="1" s="1"/>
  <c r="N2107" i="1"/>
  <c r="O2107" i="1"/>
  <c r="O1966" i="1"/>
  <c r="K1968" i="1"/>
  <c r="N1968" i="1" s="1"/>
  <c r="N1966" i="1"/>
  <c r="N2119" i="1"/>
  <c r="O2119" i="1"/>
  <c r="O1937" i="1"/>
  <c r="J1817" i="13"/>
  <c r="N2129" i="1"/>
  <c r="O2129" i="1"/>
  <c r="O1851" i="1"/>
  <c r="G2245" i="13"/>
  <c r="J2245" i="13" s="1"/>
  <c r="K2239" i="1"/>
  <c r="L2144" i="1"/>
  <c r="G2033" i="13"/>
  <c r="J2033" i="13" s="1"/>
  <c r="K2027" i="1"/>
  <c r="N2027" i="1" s="1"/>
  <c r="M2145" i="1"/>
  <c r="N2106" i="1"/>
  <c r="O2106" i="1"/>
  <c r="O1917" i="1"/>
  <c r="M2144" i="1"/>
  <c r="O2027" i="1"/>
  <c r="K2074" i="1"/>
  <c r="L2191" i="1"/>
  <c r="G2080" i="13"/>
  <c r="J2080" i="13" s="1"/>
  <c r="O1931" i="1"/>
  <c r="O1921" i="1"/>
  <c r="L2213" i="1"/>
  <c r="G2215" i="13"/>
  <c r="K2209" i="1"/>
  <c r="O2013" i="1"/>
  <c r="G1953" i="13"/>
  <c r="J1950" i="13"/>
  <c r="J1953" i="13" s="1"/>
  <c r="J2002" i="13"/>
  <c r="J2009" i="13" s="1"/>
  <c r="G2009" i="13"/>
  <c r="N1956" i="1"/>
  <c r="D256" i="15"/>
  <c r="E256" i="15" s="1"/>
  <c r="N1907" i="1"/>
  <c r="K2217" i="1"/>
  <c r="G2223" i="13"/>
  <c r="J2223" i="13" s="1"/>
  <c r="N2109" i="1"/>
  <c r="O2109" i="1"/>
  <c r="O1830" i="1"/>
  <c r="J1954" i="13"/>
  <c r="G1958" i="13"/>
  <c r="L2193" i="1"/>
  <c r="G2082" i="13"/>
  <c r="J2082" i="13" s="1"/>
  <c r="K2076" i="1"/>
  <c r="N2076" i="1" s="1"/>
  <c r="O1967" i="1"/>
  <c r="L2160" i="1"/>
  <c r="G2049" i="13"/>
  <c r="J2049" i="13" s="1"/>
  <c r="K2043" i="1"/>
  <c r="N2043" i="1" s="1"/>
  <c r="N2132" i="1"/>
  <c r="O2132" i="1"/>
  <c r="M1825" i="1"/>
  <c r="L2157" i="1"/>
  <c r="G2046" i="13"/>
  <c r="J2046" i="13" s="1"/>
  <c r="K2040" i="1"/>
  <c r="M2148" i="1"/>
  <c r="J1857" i="13"/>
  <c r="J1858" i="13" s="1"/>
  <c r="I247" i="15" s="1"/>
  <c r="I249" i="15" s="1"/>
  <c r="L1279" i="17"/>
  <c r="N2133" i="1"/>
  <c r="O2133" i="1"/>
  <c r="N2137" i="1"/>
  <c r="O2137" i="1"/>
  <c r="M2064" i="1"/>
  <c r="M2178" i="1"/>
  <c r="K1592" i="1"/>
  <c r="N1591" i="1"/>
  <c r="N1592" i="1" s="1"/>
  <c r="O1591" i="1"/>
  <c r="O1592" i="1" s="1"/>
  <c r="K1927" i="1"/>
  <c r="N1927" i="1" s="1"/>
  <c r="N1920" i="1"/>
  <c r="O1920" i="1"/>
  <c r="E171" i="15"/>
  <c r="D175" i="15"/>
  <c r="E175" i="15" s="1"/>
  <c r="K2220" i="1"/>
  <c r="G2226" i="13"/>
  <c r="J2226" i="13" s="1"/>
  <c r="G2037" i="13"/>
  <c r="J2037" i="13" s="1"/>
  <c r="L2148" i="1"/>
  <c r="K2031" i="1"/>
  <c r="N2031" i="1" s="1"/>
  <c r="K1919" i="1"/>
  <c r="N1909" i="1"/>
  <c r="M2193" i="1"/>
  <c r="O2076" i="1"/>
  <c r="N2135" i="1"/>
  <c r="O2135" i="1"/>
  <c r="G2136" i="13"/>
  <c r="J2132" i="13"/>
  <c r="J2136" i="13" s="1"/>
  <c r="G2040" i="13"/>
  <c r="J2040" i="13" s="1"/>
  <c r="L2151" i="1"/>
  <c r="K2034" i="1"/>
  <c r="N2034" i="1" s="1"/>
  <c r="M2049" i="1"/>
  <c r="M2163" i="1"/>
  <c r="O2046" i="1"/>
  <c r="M2168" i="1"/>
  <c r="M2149" i="1"/>
  <c r="N1922" i="1"/>
  <c r="O1922" i="1"/>
  <c r="K1939" i="1"/>
  <c r="N1939" i="1" s="1"/>
  <c r="N1933" i="1"/>
  <c r="M2164" i="1"/>
  <c r="O2047" i="1"/>
  <c r="G2234" i="13"/>
  <c r="J2234" i="13" s="1"/>
  <c r="K2228" i="1"/>
  <c r="N1979" i="1"/>
  <c r="O1979" i="1"/>
  <c r="J2111" i="13"/>
  <c r="J2118" i="13" s="1"/>
  <c r="G2118" i="13"/>
  <c r="N1987" i="1"/>
  <c r="O1987" i="1"/>
  <c r="M2247" i="1"/>
  <c r="M2258" i="1" s="1"/>
  <c r="L2188" i="1"/>
  <c r="G2077" i="13"/>
  <c r="J2077" i="13" s="1"/>
  <c r="K2071" i="1"/>
  <c r="L2179" i="1"/>
  <c r="K2062" i="1"/>
  <c r="N2062" i="1" s="1"/>
  <c r="G2068" i="13"/>
  <c r="J2068" i="13" s="1"/>
  <c r="N1269" i="1"/>
  <c r="O1269" i="1"/>
  <c r="K1843" i="1"/>
  <c r="L1960" i="1"/>
  <c r="L1844" i="1"/>
  <c r="L1852" i="1" s="1"/>
  <c r="L1853" i="1" s="1"/>
  <c r="G2244" i="13"/>
  <c r="L2241" i="1"/>
  <c r="K2238" i="1"/>
  <c r="N1953" i="1"/>
  <c r="K1955" i="1"/>
  <c r="O1953" i="1"/>
  <c r="E240" i="15"/>
  <c r="D243" i="15"/>
  <c r="L2196" i="1"/>
  <c r="K2079" i="1"/>
  <c r="N2079" i="1" s="1"/>
  <c r="G2084" i="13"/>
  <c r="L2082" i="1"/>
  <c r="M1928" i="1"/>
  <c r="O1919" i="1"/>
  <c r="K2251" i="1"/>
  <c r="G2257" i="13"/>
  <c r="J2257" i="13" s="1"/>
  <c r="K2255" i="1"/>
  <c r="G2261" i="13"/>
  <c r="J2261" i="13" s="1"/>
  <c r="N2128" i="1"/>
  <c r="O2128" i="1"/>
  <c r="M2172" i="1"/>
  <c r="O2055" i="1"/>
  <c r="K2214" i="1"/>
  <c r="G2220" i="13"/>
  <c r="L2221" i="1"/>
  <c r="G2216" i="13"/>
  <c r="J2216" i="13" s="1"/>
  <c r="K2210" i="1"/>
  <c r="N2101" i="1"/>
  <c r="O2101" i="1"/>
  <c r="M2171" i="1"/>
  <c r="G1817" i="13"/>
  <c r="K2240" i="1"/>
  <c r="G2246" i="13"/>
  <c r="J2246" i="13" s="1"/>
  <c r="K2028" i="1"/>
  <c r="N2028" i="1" s="1"/>
  <c r="L2145" i="1"/>
  <c r="G2034" i="13"/>
  <c r="J2034" i="13" s="1"/>
  <c r="N2122" i="1"/>
  <c r="O2122" i="1"/>
  <c r="G2146" i="13"/>
  <c r="J2137" i="13"/>
  <c r="J2146" i="13" s="1"/>
  <c r="M1709" i="1"/>
  <c r="M1737" i="1" s="1"/>
  <c r="K1386" i="1"/>
  <c r="K2223" i="1"/>
  <c r="G2229" i="13"/>
  <c r="J2229" i="13" s="1"/>
  <c r="M2151" i="1"/>
  <c r="O2034" i="1"/>
  <c r="O1910" i="1"/>
  <c r="J2014" i="13"/>
  <c r="O2024" i="1"/>
  <c r="N1944" i="1"/>
  <c r="K1947" i="1"/>
  <c r="K2253" i="1"/>
  <c r="G2259" i="13"/>
  <c r="J2259" i="13" s="1"/>
  <c r="L2230" i="1"/>
  <c r="K2113" i="1"/>
  <c r="L2120" i="1"/>
  <c r="L2125" i="1" s="1"/>
  <c r="L2142" i="1" s="1"/>
  <c r="G2119" i="13"/>
  <c r="L2190" i="1"/>
  <c r="G2079" i="13"/>
  <c r="O1945" i="1"/>
  <c r="K2032" i="1"/>
  <c r="N2032" i="1" s="1"/>
  <c r="L2149" i="1"/>
  <c r="G2038" i="13"/>
  <c r="J2038" i="13" s="1"/>
  <c r="N2100" i="1"/>
  <c r="O2100" i="1"/>
  <c r="L2182" i="1"/>
  <c r="G2071" i="13"/>
  <c r="K2065" i="1"/>
  <c r="L2069" i="1"/>
  <c r="F258" i="15"/>
  <c r="M2201" i="1"/>
  <c r="K1502" i="1"/>
  <c r="N1501" i="1"/>
  <c r="N1502" i="1" s="1"/>
  <c r="O1501" i="1"/>
  <c r="O1502" i="1" s="1"/>
  <c r="G2221" i="13"/>
  <c r="J2221" i="13" s="1"/>
  <c r="K2215" i="1"/>
  <c r="N2108" i="1"/>
  <c r="O2108" i="1"/>
  <c r="G2014" i="13"/>
  <c r="O1822" i="1"/>
  <c r="G1857" i="13"/>
  <c r="G1858" i="13" s="1"/>
  <c r="F247" i="15" s="1"/>
  <c r="F249" i="15" s="1"/>
  <c r="L1283" i="17"/>
  <c r="N911" i="17"/>
  <c r="M1969" i="1"/>
  <c r="M2170" i="1"/>
  <c r="O2053" i="1"/>
  <c r="G1933" i="13"/>
  <c r="J1926" i="13"/>
  <c r="J1933" i="13" s="1"/>
  <c r="J1915" i="13"/>
  <c r="J1925" i="13" s="1"/>
  <c r="J1934" i="13" s="1"/>
  <c r="G1925" i="13"/>
  <c r="G1934" i="13" s="1"/>
  <c r="K2075" i="1"/>
  <c r="N2075" i="1" s="1"/>
  <c r="L2192" i="1"/>
  <c r="G2081" i="13"/>
  <c r="J2081" i="13" s="1"/>
  <c r="N2110" i="1"/>
  <c r="O2110" i="1"/>
  <c r="M2194" i="1"/>
  <c r="N2126" i="1"/>
  <c r="K2130" i="1"/>
  <c r="N2023" i="1"/>
  <c r="O2023" i="1"/>
  <c r="M2146" i="1"/>
  <c r="M1940" i="1"/>
  <c r="G1945" i="13"/>
  <c r="J1939" i="13"/>
  <c r="J1945" i="13" s="1"/>
  <c r="N2115" i="1"/>
  <c r="O2115" i="1"/>
  <c r="N2111" i="1"/>
  <c r="O2111" i="1"/>
  <c r="M2183" i="1"/>
  <c r="O2066" i="1"/>
  <c r="L2229" i="1"/>
  <c r="G2228" i="13"/>
  <c r="K2222" i="1"/>
  <c r="N1726" i="1"/>
  <c r="O1726" i="1"/>
  <c r="K1727" i="1"/>
  <c r="K1503" i="1"/>
  <c r="M2304" i="1"/>
  <c r="M2189" i="1"/>
  <c r="M2160" i="1"/>
  <c r="O2043" i="1"/>
  <c r="K1932" i="1"/>
  <c r="O1932" i="1" s="1"/>
  <c r="N1929" i="1"/>
  <c r="N1791" i="1"/>
  <c r="K1965" i="1"/>
  <c r="N1965" i="1" s="1"/>
  <c r="N1962" i="1"/>
  <c r="O1909" i="1"/>
  <c r="N2134" i="1"/>
  <c r="O2134" i="1"/>
  <c r="G2222" i="13"/>
  <c r="J2222" i="13" s="1"/>
  <c r="K2216" i="1"/>
  <c r="N2138" i="1"/>
  <c r="O2138" i="1"/>
  <c r="N2094" i="1"/>
  <c r="O2094" i="1"/>
  <c r="O1938" i="1"/>
  <c r="J1958" i="13"/>
  <c r="K2244" i="1"/>
  <c r="G2250" i="13"/>
  <c r="J2250" i="13" s="1"/>
  <c r="N2093" i="1"/>
  <c r="O2093" i="1"/>
  <c r="K2042" i="1"/>
  <c r="L2159" i="1"/>
  <c r="G2048" i="13"/>
  <c r="J2048" i="13" s="1"/>
  <c r="G1973" i="13"/>
  <c r="J1971" i="13"/>
  <c r="J1973" i="13" s="1"/>
  <c r="K2236" i="1"/>
  <c r="G2242" i="13"/>
  <c r="J2242" i="13" s="1"/>
  <c r="K2054" i="1"/>
  <c r="N2054" i="1" s="1"/>
  <c r="L2171" i="1"/>
  <c r="G2060" i="13"/>
  <c r="J2060" i="13" s="1"/>
  <c r="M2198" i="1"/>
  <c r="M2185" i="1"/>
  <c r="G2252" i="13"/>
  <c r="J2252" i="13" s="1"/>
  <c r="K2246" i="1"/>
  <c r="M2182" i="1"/>
  <c r="O2065" i="1"/>
  <c r="M2069" i="1"/>
  <c r="N2007" i="1"/>
  <c r="O2007" i="1"/>
  <c r="L2165" i="1"/>
  <c r="G2054" i="13"/>
  <c r="J2054" i="13" s="1"/>
  <c r="K2048" i="1"/>
  <c r="N2048" i="1" s="1"/>
  <c r="L2168" i="1"/>
  <c r="K2051" i="1"/>
  <c r="N2051" i="1" s="1"/>
  <c r="G2057" i="13"/>
  <c r="J2057" i="13" s="1"/>
  <c r="N2131" i="1"/>
  <c r="K2140" i="1"/>
  <c r="O2131" i="1"/>
  <c r="M2150" i="1"/>
  <c r="D186" i="15"/>
  <c r="E184" i="15"/>
  <c r="M2169" i="1"/>
  <c r="M2152" i="1"/>
  <c r="O1927" i="1"/>
  <c r="N2231" i="1"/>
  <c r="O2231" i="1"/>
  <c r="J2098" i="13"/>
  <c r="J2102" i="13" s="1"/>
  <c r="G2102" i="13"/>
  <c r="O1933" i="1"/>
  <c r="K2061" i="1"/>
  <c r="O2061" i="1" s="1"/>
  <c r="L2178" i="1"/>
  <c r="G2067" i="13"/>
  <c r="L2064" i="1"/>
  <c r="N2136" i="1"/>
  <c r="O2136" i="1"/>
  <c r="G1966" i="13"/>
  <c r="J1962" i="13"/>
  <c r="J1966" i="13" s="1"/>
  <c r="M2179" i="1"/>
  <c r="O2062" i="1"/>
  <c r="O1950" i="1"/>
  <c r="M2085" i="1"/>
  <c r="M2200" i="1"/>
  <c r="G2218" i="13"/>
  <c r="J2218" i="13" s="1"/>
  <c r="K2212" i="1"/>
  <c r="N2098" i="1"/>
  <c r="O2098" i="1"/>
  <c r="L1825" i="1"/>
  <c r="L1826" i="1" s="1"/>
  <c r="L1854" i="1" s="1"/>
  <c r="O1958" i="1"/>
  <c r="O1962" i="1"/>
  <c r="N702" i="17"/>
  <c r="L1267" i="17"/>
  <c r="I1304" i="16"/>
  <c r="J212" i="15" s="1"/>
  <c r="F1398" i="16"/>
  <c r="N2139" i="1"/>
  <c r="O2139" i="1"/>
  <c r="G2256" i="13"/>
  <c r="J2256" i="13" s="1"/>
  <c r="K2250" i="1"/>
  <c r="G2260" i="13"/>
  <c r="J2260" i="13" s="1"/>
  <c r="K2254" i="1"/>
  <c r="G2043" i="13"/>
  <c r="L2154" i="1"/>
  <c r="K2037" i="1"/>
  <c r="L2044" i="1"/>
  <c r="N2103" i="1"/>
  <c r="O2103" i="1"/>
  <c r="M1941" i="1"/>
  <c r="L2143" i="1"/>
  <c r="G2032" i="13"/>
  <c r="K2026" i="1"/>
  <c r="L2036" i="1"/>
  <c r="L2045" i="1" s="1"/>
  <c r="G1714" i="13"/>
  <c r="G1715" i="13" s="1"/>
  <c r="L1941" i="1"/>
  <c r="G1830" i="13"/>
  <c r="J1830" i="13" s="1"/>
  <c r="K1824" i="1"/>
  <c r="N1824" i="1" s="1"/>
  <c r="G2258" i="13"/>
  <c r="J2258" i="13" s="1"/>
  <c r="K2252" i="1"/>
  <c r="G2249" i="13"/>
  <c r="K2243" i="1"/>
  <c r="O2243" i="1" s="1"/>
  <c r="K2073" i="1"/>
  <c r="M2190" i="1"/>
  <c r="M2078" i="1"/>
  <c r="O2063" i="1"/>
  <c r="M2180" i="1"/>
  <c r="M2308" i="1"/>
  <c r="L2167" i="1"/>
  <c r="G2056" i="13"/>
  <c r="L2056" i="1"/>
  <c r="K2050" i="1"/>
  <c r="K2232" i="1"/>
  <c r="G2238" i="13"/>
  <c r="J2238" i="13" s="1"/>
  <c r="N2105" i="1"/>
  <c r="K2112" i="1"/>
  <c r="O2105" i="1"/>
  <c r="M2141" i="1"/>
  <c r="O2130" i="1"/>
  <c r="M2025" i="1"/>
  <c r="E228" i="15"/>
  <c r="M2147" i="1"/>
  <c r="O2030" i="1"/>
  <c r="N1886" i="1"/>
  <c r="O1886" i="1"/>
  <c r="L2150" i="1"/>
  <c r="G2039" i="13"/>
  <c r="J2039" i="13" s="1"/>
  <c r="K2033" i="1"/>
  <c r="N2033" i="1" s="1"/>
  <c r="G2225" i="13"/>
  <c r="J2225" i="13" s="1"/>
  <c r="K2219" i="1"/>
  <c r="O1835" i="1"/>
  <c r="N2121" i="1"/>
  <c r="K2124" i="1"/>
  <c r="O2121" i="1"/>
  <c r="M2273" i="1"/>
  <c r="G1961" i="13"/>
  <c r="J1959" i="13"/>
  <c r="J1961" i="13" s="1"/>
  <c r="G1938" i="13"/>
  <c r="G1946" i="13" s="1"/>
  <c r="J1935" i="13"/>
  <c r="J1938" i="13" s="1"/>
  <c r="J1946" i="13" s="1"/>
  <c r="L2201" i="1"/>
  <c r="K2084" i="1"/>
  <c r="N2084" i="1" s="1"/>
  <c r="G2089" i="13"/>
  <c r="J2089" i="13" s="1"/>
  <c r="M2143" i="1"/>
  <c r="M2036" i="1"/>
  <c r="O2026" i="1"/>
  <c r="N2099" i="1"/>
  <c r="O2099" i="1"/>
  <c r="L2247" i="1"/>
  <c r="L2258" i="1" s="1"/>
  <c r="G2251" i="13"/>
  <c r="J2251" i="13" s="1"/>
  <c r="K2245" i="1"/>
  <c r="J2103" i="13"/>
  <c r="J2110" i="13" s="1"/>
  <c r="G2110" i="13"/>
  <c r="N2127" i="1"/>
  <c r="O2127" i="1"/>
  <c r="L2198" i="1"/>
  <c r="K2081" i="1"/>
  <c r="N2081" i="1" s="1"/>
  <c r="G2086" i="13"/>
  <c r="J2086" i="13" s="1"/>
  <c r="K2218" i="1"/>
  <c r="G2224" i="13"/>
  <c r="J2224" i="13" s="1"/>
  <c r="N1925" i="1"/>
  <c r="O1925" i="1"/>
  <c r="K2224" i="1"/>
  <c r="G2230" i="13"/>
  <c r="J2230" i="13" s="1"/>
  <c r="L2200" i="1"/>
  <c r="G2088" i="13"/>
  <c r="K2083" i="1"/>
  <c r="O2083" i="1" s="1"/>
  <c r="L2085" i="1"/>
  <c r="F1559" i="16"/>
  <c r="I1465" i="16"/>
  <c r="N2123" i="1"/>
  <c r="O2123" i="1"/>
  <c r="N1802" i="1"/>
  <c r="K1811" i="1"/>
  <c r="O1811" i="1" s="1"/>
  <c r="N1838" i="1"/>
  <c r="O1838" i="1"/>
  <c r="O1911" i="1"/>
  <c r="K2041" i="1"/>
  <c r="N2041" i="1" s="1"/>
  <c r="L2158" i="1"/>
  <c r="G2047" i="13"/>
  <c r="J2047" i="13" s="1"/>
  <c r="L2152" i="1"/>
  <c r="G2041" i="13"/>
  <c r="J2041" i="13" s="1"/>
  <c r="K2035" i="1"/>
  <c r="N2035" i="1" s="1"/>
  <c r="O1815" i="1"/>
  <c r="K1823" i="1"/>
  <c r="N1823" i="1" s="1"/>
  <c r="N1815" i="1"/>
  <c r="G2254" i="13"/>
  <c r="K2248" i="1"/>
  <c r="O1916" i="1"/>
  <c r="O1918" i="1"/>
  <c r="L2184" i="1"/>
  <c r="G2073" i="13"/>
  <c r="J2073" i="13" s="1"/>
  <c r="K2067" i="1"/>
  <c r="N2067" i="1" s="1"/>
  <c r="M2242" i="1"/>
  <c r="N1957" i="1"/>
  <c r="O1957" i="1"/>
  <c r="O2048" i="1"/>
  <c r="M2165" i="1"/>
  <c r="M2155" i="1"/>
  <c r="O2038" i="1"/>
  <c r="M2044" i="1"/>
  <c r="K2096" i="1"/>
  <c r="N2092" i="1"/>
  <c r="O2092" i="1"/>
  <c r="K2080" i="1"/>
  <c r="L2197" i="1"/>
  <c r="G2085" i="13"/>
  <c r="J2085" i="13" s="1"/>
  <c r="M2167" i="1"/>
  <c r="M2056" i="1"/>
  <c r="O2050" i="1"/>
  <c r="K2068" i="1"/>
  <c r="N2068" i="1" s="1"/>
  <c r="L2185" i="1"/>
  <c r="G2074" i="13"/>
  <c r="J2074" i="13" s="1"/>
  <c r="N1996" i="1"/>
  <c r="K2003" i="1"/>
  <c r="O1996" i="1"/>
  <c r="J1714" i="13"/>
  <c r="J1715" i="13" s="1"/>
  <c r="K2226" i="1"/>
  <c r="G2232" i="13"/>
  <c r="J2232" i="13" s="1"/>
  <c r="F214" i="15"/>
  <c r="F216" i="15" s="1"/>
  <c r="F220" i="15" s="1"/>
  <c r="G1625" i="13"/>
  <c r="N1948" i="1"/>
  <c r="K1952" i="1"/>
  <c r="N1952" i="1" s="1"/>
  <c r="M2184" i="1"/>
  <c r="O2067" i="1"/>
  <c r="M2305" i="1"/>
  <c r="O1968" i="1"/>
  <c r="N2095" i="1"/>
  <c r="O2095" i="1"/>
  <c r="K2249" i="1"/>
  <c r="G2255" i="13"/>
  <c r="J2255" i="13" s="1"/>
  <c r="K2225" i="1"/>
  <c r="G2231" i="13"/>
  <c r="J2231" i="13" s="1"/>
  <c r="O2075" i="1"/>
  <c r="M2192" i="1"/>
  <c r="L2146" i="1"/>
  <c r="G2035" i="13"/>
  <c r="J2035" i="13" s="1"/>
  <c r="K2029" i="1"/>
  <c r="N2029" i="1" s="1"/>
  <c r="N1923" i="1"/>
  <c r="O1923" i="1"/>
  <c r="N1694" i="1"/>
  <c r="K1708" i="1"/>
  <c r="K2052" i="1"/>
  <c r="N2052" i="1" s="1"/>
  <c r="L2169" i="1"/>
  <c r="G2058" i="13"/>
  <c r="J2058" i="13" s="1"/>
  <c r="O1914" i="1"/>
  <c r="M2196" i="1"/>
  <c r="O2079" i="1"/>
  <c r="M2082" i="1"/>
  <c r="I1212" i="16"/>
  <c r="F1306" i="16"/>
  <c r="F1366" i="16" s="1"/>
  <c r="J211" i="15"/>
  <c r="F1713" i="16"/>
  <c r="I1619" i="16"/>
  <c r="F1575" i="16"/>
  <c r="I1481" i="16"/>
  <c r="I1375" i="16"/>
  <c r="F1469" i="16"/>
  <c r="I1455" i="16"/>
  <c r="F1549" i="16"/>
  <c r="I1451" i="16"/>
  <c r="F1545" i="16"/>
  <c r="I1447" i="16"/>
  <c r="F1541" i="16"/>
  <c r="I1443" i="16"/>
  <c r="F1537" i="16"/>
  <c r="I1439" i="16"/>
  <c r="F1533" i="16"/>
  <c r="I1434" i="16"/>
  <c r="F1528" i="16"/>
  <c r="I1390" i="16"/>
  <c r="F1484" i="16"/>
  <c r="I1410" i="16"/>
  <c r="F1504" i="16"/>
  <c r="I1406" i="16"/>
  <c r="F1500" i="16"/>
  <c r="I1402" i="16"/>
  <c r="F1496" i="16"/>
  <c r="I1467" i="16"/>
  <c r="F1561" i="16"/>
  <c r="I1377" i="16"/>
  <c r="F1471" i="16"/>
  <c r="I1589" i="16"/>
  <c r="F1683" i="16"/>
  <c r="I1482" i="16"/>
  <c r="F1576" i="16"/>
  <c r="I1382" i="16"/>
  <c r="F1476" i="16"/>
  <c r="I1396" i="16"/>
  <c r="F1490" i="16"/>
  <c r="F1526" i="16"/>
  <c r="I1432" i="16"/>
  <c r="F1457" i="16"/>
  <c r="I1385" i="16"/>
  <c r="F1479" i="16"/>
  <c r="I1381" i="16"/>
  <c r="F1475" i="16"/>
  <c r="I1389" i="16"/>
  <c r="F1483" i="16"/>
  <c r="I1450" i="16"/>
  <c r="F1544" i="16"/>
  <c r="I1446" i="16"/>
  <c r="F1540" i="16"/>
  <c r="I1442" i="16"/>
  <c r="F1536" i="16"/>
  <c r="I1438" i="16"/>
  <c r="F1532" i="16"/>
  <c r="I1429" i="16"/>
  <c r="F1523" i="16"/>
  <c r="I1425" i="16"/>
  <c r="F1519" i="16"/>
  <c r="I1421" i="16"/>
  <c r="F1515" i="16"/>
  <c r="I1417" i="16"/>
  <c r="F1511" i="16"/>
  <c r="I1413" i="16"/>
  <c r="F1507" i="16"/>
  <c r="I1426" i="16"/>
  <c r="F1520" i="16"/>
  <c r="I1422" i="16"/>
  <c r="F1516" i="16"/>
  <c r="I1418" i="16"/>
  <c r="F1512" i="16"/>
  <c r="I1414" i="16"/>
  <c r="F1508" i="16"/>
  <c r="I1409" i="16"/>
  <c r="F1503" i="16"/>
  <c r="I1405" i="16"/>
  <c r="F1499" i="16"/>
  <c r="I1436" i="16"/>
  <c r="F1530" i="16"/>
  <c r="I1472" i="16"/>
  <c r="F1566" i="16"/>
  <c r="I1376" i="16"/>
  <c r="F1470" i="16"/>
  <c r="I1453" i="16"/>
  <c r="F1547" i="16"/>
  <c r="I1449" i="16"/>
  <c r="F1543" i="16"/>
  <c r="I1445" i="16"/>
  <c r="F1539" i="16"/>
  <c r="I1441" i="16"/>
  <c r="F1535" i="16"/>
  <c r="I1437" i="16"/>
  <c r="F1531" i="16"/>
  <c r="I1392" i="16"/>
  <c r="F1486" i="16"/>
  <c r="I1408" i="16"/>
  <c r="F1502" i="16"/>
  <c r="F1393" i="16"/>
  <c r="I1379" i="16"/>
  <c r="F1473" i="16"/>
  <c r="I1391" i="16"/>
  <c r="F1485" i="16"/>
  <c r="I1456" i="16"/>
  <c r="F1550" i="16"/>
  <c r="I1452" i="16"/>
  <c r="F1546" i="16"/>
  <c r="I1448" i="16"/>
  <c r="F1542" i="16"/>
  <c r="I1444" i="16"/>
  <c r="F1538" i="16"/>
  <c r="I1440" i="16"/>
  <c r="F1534" i="16"/>
  <c r="I1433" i="16"/>
  <c r="F1527" i="16"/>
  <c r="I1383" i="16"/>
  <c r="F1477" i="16"/>
  <c r="I1427" i="16"/>
  <c r="F1521" i="16"/>
  <c r="I1423" i="16"/>
  <c r="F1517" i="16"/>
  <c r="I1419" i="16"/>
  <c r="F1513" i="16"/>
  <c r="I1415" i="16"/>
  <c r="F1509" i="16"/>
  <c r="I1428" i="16"/>
  <c r="F1522" i="16"/>
  <c r="I1424" i="16"/>
  <c r="F1518" i="16"/>
  <c r="I1420" i="16"/>
  <c r="F1514" i="16"/>
  <c r="I1416" i="16"/>
  <c r="F1510" i="16"/>
  <c r="I1412" i="16"/>
  <c r="F1506" i="16"/>
  <c r="I1411" i="16"/>
  <c r="F1505" i="16"/>
  <c r="I1407" i="16"/>
  <c r="F1501" i="16"/>
  <c r="I1404" i="16"/>
  <c r="F1498" i="16"/>
  <c r="I1403" i="16"/>
  <c r="F1497" i="16"/>
  <c r="I1272" i="16"/>
  <c r="I1336" i="16"/>
  <c r="J214" i="15" s="1"/>
  <c r="J216" i="15" s="1"/>
  <c r="I1372" i="16"/>
  <c r="F1466" i="16"/>
  <c r="F1386" i="16"/>
  <c r="F1400" i="16" s="1"/>
  <c r="I1374" i="16"/>
  <c r="F1468" i="16"/>
  <c r="I1395" i="16"/>
  <c r="F1489" i="16"/>
  <c r="F1492" i="16" s="1"/>
  <c r="I1384" i="16"/>
  <c r="F1478" i="16"/>
  <c r="I1380" i="16"/>
  <c r="F1474" i="16"/>
  <c r="I1397" i="16"/>
  <c r="F1491" i="16"/>
  <c r="F1582" i="16"/>
  <c r="I1488" i="16"/>
  <c r="I1292" i="16"/>
  <c r="J210" i="15" s="1"/>
  <c r="K1031" i="17"/>
  <c r="Q965" i="17"/>
  <c r="N899" i="17"/>
  <c r="L1031" i="17"/>
  <c r="J965" i="17"/>
  <c r="M965" i="17" s="1"/>
  <c r="Q841" i="17"/>
  <c r="H210" i="15" s="1"/>
  <c r="H213" i="15" s="1"/>
  <c r="N916" i="17"/>
  <c r="Q922" i="17"/>
  <c r="N944" i="17"/>
  <c r="N849" i="17"/>
  <c r="N950" i="17"/>
  <c r="N925" i="17"/>
  <c r="N945" i="17"/>
  <c r="N956" i="17"/>
  <c r="N921" i="17"/>
  <c r="L1041" i="17"/>
  <c r="M943" i="17"/>
  <c r="N943" i="17"/>
  <c r="K1073" i="17"/>
  <c r="J1007" i="17"/>
  <c r="Q1007" i="17"/>
  <c r="M930" i="17"/>
  <c r="N930" i="17"/>
  <c r="M947" i="17"/>
  <c r="N947" i="17"/>
  <c r="K1079" i="17"/>
  <c r="J1013" i="17"/>
  <c r="Q1013" i="17"/>
  <c r="Q923" i="17"/>
  <c r="H229" i="15"/>
  <c r="H231" i="15" s="1"/>
  <c r="K923" i="17"/>
  <c r="G229" i="15"/>
  <c r="G231" i="15" s="1"/>
  <c r="M917" i="17"/>
  <c r="N917" i="17"/>
  <c r="K1049" i="17"/>
  <c r="Q983" i="17"/>
  <c r="J983" i="17"/>
  <c r="M939" i="17"/>
  <c r="N939" i="17"/>
  <c r="K1071" i="17"/>
  <c r="J1005" i="17"/>
  <c r="Q1005" i="17"/>
  <c r="L1048" i="17"/>
  <c r="M953" i="17"/>
  <c r="N953" i="17"/>
  <c r="K1065" i="17"/>
  <c r="J999" i="17"/>
  <c r="Q999" i="17"/>
  <c r="L1038" i="17"/>
  <c r="L979" i="17"/>
  <c r="M929" i="17"/>
  <c r="N929" i="17"/>
  <c r="L923" i="17"/>
  <c r="M908" i="17"/>
  <c r="N908" i="17"/>
  <c r="K1040" i="17"/>
  <c r="Q974" i="17"/>
  <c r="J974" i="17"/>
  <c r="Q992" i="17"/>
  <c r="K1058" i="17"/>
  <c r="J992" i="17"/>
  <c r="K1069" i="17"/>
  <c r="J1003" i="17"/>
  <c r="Q1003" i="17"/>
  <c r="L1076" i="17"/>
  <c r="Q982" i="17"/>
  <c r="K1048" i="17"/>
  <c r="J982" i="17"/>
  <c r="M982" i="17" s="1"/>
  <c r="K1083" i="17"/>
  <c r="Q1017" i="17"/>
  <c r="J1017" i="17"/>
  <c r="L1078" i="17"/>
  <c r="M892" i="17"/>
  <c r="J893" i="17"/>
  <c r="N893" i="17" s="1"/>
  <c r="K1057" i="17"/>
  <c r="Q991" i="17"/>
  <c r="J991" i="17"/>
  <c r="M991" i="17" s="1"/>
  <c r="Q1010" i="17"/>
  <c r="K1076" i="17"/>
  <c r="J1010" i="17"/>
  <c r="M1010" i="17" s="1"/>
  <c r="M928" i="17"/>
  <c r="N928" i="17"/>
  <c r="K1081" i="17"/>
  <c r="J1015" i="17"/>
  <c r="Q1015" i="17"/>
  <c r="L1070" i="17"/>
  <c r="M919" i="17"/>
  <c r="N919" i="17"/>
  <c r="K1051" i="17"/>
  <c r="Q985" i="17"/>
  <c r="J985" i="17"/>
  <c r="M840" i="17"/>
  <c r="N840" i="17"/>
  <c r="M918" i="17"/>
  <c r="N918" i="17"/>
  <c r="K1038" i="17"/>
  <c r="Q972" i="17"/>
  <c r="J972" i="17"/>
  <c r="K979" i="17"/>
  <c r="G241" i="15" s="1"/>
  <c r="L894" i="17"/>
  <c r="L1077" i="17"/>
  <c r="J841" i="17"/>
  <c r="Q850" i="17"/>
  <c r="H214" i="15" s="1"/>
  <c r="H216" i="15" s="1"/>
  <c r="L1137" i="17"/>
  <c r="L1203" i="17" s="1"/>
  <c r="L1133" i="17"/>
  <c r="L1199" i="17" s="1"/>
  <c r="L1131" i="17"/>
  <c r="L1197" i="17" s="1"/>
  <c r="L1141" i="17"/>
  <c r="L1207" i="17" s="1"/>
  <c r="L1116" i="17"/>
  <c r="L1182" i="17" s="1"/>
  <c r="K1082" i="17"/>
  <c r="J1016" i="17"/>
  <c r="M1016" i="17" s="1"/>
  <c r="Q1016" i="17"/>
  <c r="L1043" i="17"/>
  <c r="K1043" i="17"/>
  <c r="J977" i="17"/>
  <c r="M977" i="17" s="1"/>
  <c r="Q977" i="17"/>
  <c r="K1077" i="17"/>
  <c r="J1011" i="17"/>
  <c r="M1011" i="17" s="1"/>
  <c r="Q1011" i="17"/>
  <c r="M838" i="17"/>
  <c r="N838" i="17"/>
  <c r="Q902" i="17"/>
  <c r="K968" i="17"/>
  <c r="J902" i="17"/>
  <c r="K1078" i="17"/>
  <c r="J1012" i="17"/>
  <c r="M1012" i="17" s="1"/>
  <c r="Q1012" i="17"/>
  <c r="M957" i="17"/>
  <c r="N957" i="17"/>
  <c r="K1089" i="17"/>
  <c r="J1023" i="17"/>
  <c r="Q1023" i="17"/>
  <c r="M932" i="17"/>
  <c r="N932" i="17"/>
  <c r="K1064" i="17"/>
  <c r="Q998" i="17"/>
  <c r="J998" i="17"/>
  <c r="Q986" i="17"/>
  <c r="K1052" i="17"/>
  <c r="J986" i="17"/>
  <c r="L1101" i="17"/>
  <c r="L1167" i="17" s="1"/>
  <c r="L1084" i="17"/>
  <c r="J958" i="17"/>
  <c r="N958" i="17" s="1"/>
  <c r="M924" i="17"/>
  <c r="Q958" i="17"/>
  <c r="Q959" i="17" s="1"/>
  <c r="M936" i="17"/>
  <c r="N936" i="17"/>
  <c r="K1068" i="17"/>
  <c r="Q1002" i="17"/>
  <c r="J1002" i="17"/>
  <c r="L1066" i="17"/>
  <c r="K1039" i="17"/>
  <c r="Q973" i="17"/>
  <c r="J973" i="17"/>
  <c r="M973" i="17" s="1"/>
  <c r="K1074" i="17"/>
  <c r="Q1008" i="17"/>
  <c r="J1008" i="17"/>
  <c r="M1008" i="17" s="1"/>
  <c r="J859" i="17"/>
  <c r="M859" i="17" s="1"/>
  <c r="K1084" i="17"/>
  <c r="Q1018" i="17"/>
  <c r="J1018" i="17"/>
  <c r="M1018" i="17" s="1"/>
  <c r="L1106" i="17"/>
  <c r="L1172" i="17" s="1"/>
  <c r="M901" i="17"/>
  <c r="K1033" i="17"/>
  <c r="J967" i="17"/>
  <c r="N967" i="17" s="1"/>
  <c r="Q967" i="17"/>
  <c r="H217" i="15"/>
  <c r="H219" i="15" s="1"/>
  <c r="L1033" i="17"/>
  <c r="L971" i="17"/>
  <c r="K1085" i="17"/>
  <c r="J1019" i="17"/>
  <c r="Q1019" i="17"/>
  <c r="L1082" i="17"/>
  <c r="L1057" i="17"/>
  <c r="M933" i="17"/>
  <c r="N933" i="17"/>
  <c r="N909" i="17"/>
  <c r="K1075" i="17"/>
  <c r="Q1009" i="17"/>
  <c r="J1009" i="17"/>
  <c r="M941" i="17"/>
  <c r="N941" i="17"/>
  <c r="K1062" i="17"/>
  <c r="J996" i="17"/>
  <c r="Q996" i="17"/>
  <c r="M915" i="17"/>
  <c r="J922" i="17"/>
  <c r="M922" i="17" s="1"/>
  <c r="K1047" i="17"/>
  <c r="Q981" i="17"/>
  <c r="J981" i="17"/>
  <c r="K988" i="17"/>
  <c r="K1061" i="17"/>
  <c r="J995" i="17"/>
  <c r="Q995" i="17"/>
  <c r="L988" i="17"/>
  <c r="L1047" i="17"/>
  <c r="M926" i="17"/>
  <c r="N926" i="17"/>
  <c r="M937" i="17"/>
  <c r="N937" i="17"/>
  <c r="L1124" i="17"/>
  <c r="L1190" i="17" s="1"/>
  <c r="L1149" i="17"/>
  <c r="L1215" i="17" s="1"/>
  <c r="L1145" i="17"/>
  <c r="L1211" i="17" s="1"/>
  <c r="L1129" i="17"/>
  <c r="L1195" i="17" s="1"/>
  <c r="L1127" i="17"/>
  <c r="L1193" i="17" s="1"/>
  <c r="L1034" i="17"/>
  <c r="M951" i="17"/>
  <c r="N951" i="17"/>
  <c r="M910" i="17"/>
  <c r="N910" i="17"/>
  <c r="Q976" i="17"/>
  <c r="K1042" i="17"/>
  <c r="J976" i="17"/>
  <c r="N946" i="17"/>
  <c r="Q1004" i="17"/>
  <c r="K1070" i="17"/>
  <c r="J1004" i="17"/>
  <c r="M1004" i="17" s="1"/>
  <c r="Q994" i="17"/>
  <c r="K1060" i="17"/>
  <c r="J994" i="17"/>
  <c r="M949" i="17"/>
  <c r="N949" i="17"/>
  <c r="N938" i="17"/>
  <c r="K1066" i="17"/>
  <c r="Q1000" i="17"/>
  <c r="J1000" i="17"/>
  <c r="M1000" i="17" s="1"/>
  <c r="Q904" i="17"/>
  <c r="K970" i="17"/>
  <c r="J904" i="17"/>
  <c r="Q984" i="17"/>
  <c r="K1050" i="17"/>
  <c r="J984" i="17"/>
  <c r="M906" i="17"/>
  <c r="J913" i="17"/>
  <c r="M913" i="17" s="1"/>
  <c r="Q913" i="17"/>
  <c r="H226" i="15" s="1"/>
  <c r="N892" i="17"/>
  <c r="M940" i="17"/>
  <c r="N940" i="17"/>
  <c r="K1072" i="17"/>
  <c r="Q1006" i="17"/>
  <c r="J1006" i="17"/>
  <c r="L1118" i="17"/>
  <c r="L1184" i="17" s="1"/>
  <c r="L1102" i="17"/>
  <c r="L1168" i="17" s="1"/>
  <c r="L1155" i="17"/>
  <c r="L1221" i="17" s="1"/>
  <c r="L1139" i="17"/>
  <c r="L1205" i="17" s="1"/>
  <c r="L1088" i="17"/>
  <c r="K1041" i="17"/>
  <c r="J975" i="17"/>
  <c r="M975" i="17" s="1"/>
  <c r="Q975" i="17"/>
  <c r="K1053" i="17"/>
  <c r="Q987" i="17"/>
  <c r="J987" i="17"/>
  <c r="M987" i="17" s="1"/>
  <c r="K1088" i="17"/>
  <c r="Q1022" i="17"/>
  <c r="J1022" i="17"/>
  <c r="M1022" i="17" s="1"/>
  <c r="L1059" i="17"/>
  <c r="N858" i="17"/>
  <c r="Q993" i="17"/>
  <c r="K1059" i="17"/>
  <c r="J993" i="17"/>
  <c r="M993" i="17" s="1"/>
  <c r="M920" i="17"/>
  <c r="N920" i="17"/>
  <c r="L1080" i="17"/>
  <c r="N952" i="17"/>
  <c r="K1056" i="17"/>
  <c r="J990" i="17"/>
  <c r="Q990" i="17"/>
  <c r="K1024" i="17"/>
  <c r="K1025" i="17" s="1"/>
  <c r="N934" i="17"/>
  <c r="N987" i="17"/>
  <c r="L1053" i="17"/>
  <c r="K905" i="17"/>
  <c r="L1117" i="17"/>
  <c r="L1183" i="17" s="1"/>
  <c r="L1138" i="17"/>
  <c r="L1204" i="17" s="1"/>
  <c r="L1115" i="17"/>
  <c r="L1181" i="17" s="1"/>
  <c r="M931" i="17"/>
  <c r="N931" i="17"/>
  <c r="K1063" i="17"/>
  <c r="J997" i="17"/>
  <c r="Q997" i="17"/>
  <c r="L914" i="17"/>
  <c r="N901" i="17"/>
  <c r="M839" i="17"/>
  <c r="N839" i="17"/>
  <c r="L1074" i="17"/>
  <c r="L1039" i="17"/>
  <c r="L959" i="17"/>
  <c r="K1067" i="17"/>
  <c r="Q1001" i="17"/>
  <c r="J1001" i="17"/>
  <c r="L1134" i="17"/>
  <c r="L1200" i="17" s="1"/>
  <c r="L1130" i="17"/>
  <c r="L1196" i="17" s="1"/>
  <c r="Q1014" i="17"/>
  <c r="K1080" i="17"/>
  <c r="J1014" i="17"/>
  <c r="M1014" i="17" s="1"/>
  <c r="K969" i="17"/>
  <c r="Q903" i="17"/>
  <c r="J903" i="17"/>
  <c r="N942" i="17"/>
  <c r="N907" i="17"/>
  <c r="N924" i="17"/>
  <c r="L1056" i="17"/>
  <c r="L1024" i="17"/>
  <c r="M935" i="17"/>
  <c r="N935" i="17"/>
  <c r="M912" i="17"/>
  <c r="N912" i="17"/>
  <c r="K1044" i="17"/>
  <c r="J978" i="17"/>
  <c r="Q978" i="17"/>
  <c r="G220" i="15"/>
  <c r="L1108" i="17"/>
  <c r="L1174" i="17" s="1"/>
  <c r="L1110" i="17"/>
  <c r="L1176" i="17" s="1"/>
  <c r="H190" i="15"/>
  <c r="K830" i="17"/>
  <c r="N731" i="17"/>
  <c r="N794" i="17"/>
  <c r="J829" i="17"/>
  <c r="M828" i="17"/>
  <c r="J795" i="17"/>
  <c r="M795" i="17" s="1"/>
  <c r="N828" i="17"/>
  <c r="M765" i="17"/>
  <c r="J766" i="17"/>
  <c r="M766" i="17" s="1"/>
  <c r="G205" i="15"/>
  <c r="Q786" i="17"/>
  <c r="Q830" i="17" s="1"/>
  <c r="N722" i="17"/>
  <c r="M777" i="17"/>
  <c r="J786" i="17"/>
  <c r="M786" i="17" s="1"/>
  <c r="N766" i="17"/>
  <c r="H204" i="15"/>
  <c r="N829" i="17"/>
  <c r="L830" i="17"/>
  <c r="N785" i="17"/>
  <c r="H198" i="15"/>
  <c r="H205" i="15" s="1"/>
  <c r="E156" i="15"/>
  <c r="D160" i="15"/>
  <c r="E160" i="15" s="1"/>
  <c r="E141" i="15"/>
  <c r="D145" i="15"/>
  <c r="E145" i="15" s="1"/>
  <c r="L70" i="17"/>
  <c r="L71" i="17" s="1"/>
  <c r="L72" i="17" s="1"/>
  <c r="L1233" i="17" l="1"/>
  <c r="L1248" i="17"/>
  <c r="L1269" i="17"/>
  <c r="N965" i="17"/>
  <c r="D229" i="15"/>
  <c r="K1709" i="1"/>
  <c r="N1708" i="1"/>
  <c r="N1709" i="1" s="1"/>
  <c r="N2249" i="1"/>
  <c r="O2249" i="1"/>
  <c r="N2003" i="1"/>
  <c r="O2003" i="1"/>
  <c r="M2161" i="1"/>
  <c r="M2272" i="1"/>
  <c r="L2269" i="1"/>
  <c r="K2152" i="1"/>
  <c r="N2152" i="1" s="1"/>
  <c r="G2158" i="13"/>
  <c r="J2158" i="13" s="1"/>
  <c r="G2090" i="13"/>
  <c r="J2088" i="13"/>
  <c r="J2090" i="13" s="1"/>
  <c r="G2062" i="13"/>
  <c r="J2056" i="13"/>
  <c r="J2062" i="13" s="1"/>
  <c r="M2297" i="1"/>
  <c r="M2307" i="1"/>
  <c r="M2195" i="1"/>
  <c r="N2252" i="1"/>
  <c r="O2252" i="1"/>
  <c r="K1941" i="1"/>
  <c r="N1941" i="1" s="1"/>
  <c r="L2058" i="1"/>
  <c r="G1947" i="13"/>
  <c r="J1947" i="13" s="1"/>
  <c r="J2032" i="13"/>
  <c r="J2042" i="13" s="1"/>
  <c r="G2042" i="13"/>
  <c r="L2271" i="1"/>
  <c r="G2160" i="13"/>
  <c r="L2161" i="1"/>
  <c r="K2154" i="1"/>
  <c r="N2250" i="1"/>
  <c r="O2250" i="1"/>
  <c r="G2070" i="13"/>
  <c r="J2067" i="13"/>
  <c r="J2070" i="13" s="1"/>
  <c r="M2286" i="1"/>
  <c r="O1823" i="1"/>
  <c r="N2140" i="1"/>
  <c r="O2140" i="1"/>
  <c r="L2285" i="1"/>
  <c r="G2174" i="13"/>
  <c r="J2174" i="13" s="1"/>
  <c r="K2168" i="1"/>
  <c r="N2168" i="1" s="1"/>
  <c r="M2299" i="1"/>
  <c r="M2186" i="1"/>
  <c r="O2068" i="1"/>
  <c r="K2171" i="1"/>
  <c r="N2171" i="1" s="1"/>
  <c r="L2288" i="1"/>
  <c r="G2177" i="13"/>
  <c r="J2177" i="13" s="1"/>
  <c r="N2042" i="1"/>
  <c r="O2042" i="1"/>
  <c r="N2244" i="1"/>
  <c r="O2244" i="1"/>
  <c r="M2277" i="1"/>
  <c r="N1503" i="1"/>
  <c r="O1503" i="1"/>
  <c r="N2222" i="1"/>
  <c r="K2229" i="1"/>
  <c r="O2222" i="1"/>
  <c r="M2300" i="1"/>
  <c r="O2029" i="1"/>
  <c r="G1948" i="13"/>
  <c r="G1949" i="13" s="1"/>
  <c r="F259" i="15" s="1"/>
  <c r="F261" i="15" s="1"/>
  <c r="M2318" i="1"/>
  <c r="G2075" i="13"/>
  <c r="J2071" i="13"/>
  <c r="J2075" i="13" s="1"/>
  <c r="G2083" i="13"/>
  <c r="J2079" i="13"/>
  <c r="J2083" i="13" s="1"/>
  <c r="N2253" i="1"/>
  <c r="O2253" i="1"/>
  <c r="M2268" i="1"/>
  <c r="O1708" i="1"/>
  <c r="O1709" i="1" s="1"/>
  <c r="M2288" i="1"/>
  <c r="O2171" i="1"/>
  <c r="N2210" i="1"/>
  <c r="O2210" i="1"/>
  <c r="K2221" i="1"/>
  <c r="N2214" i="1"/>
  <c r="O2214" i="1"/>
  <c r="E243" i="15"/>
  <c r="L2296" i="1"/>
  <c r="K2179" i="1"/>
  <c r="N2179" i="1" s="1"/>
  <c r="G2185" i="13"/>
  <c r="J2185" i="13" s="1"/>
  <c r="M2281" i="1"/>
  <c r="M2173" i="1"/>
  <c r="M2285" i="1"/>
  <c r="O2168" i="1"/>
  <c r="G2147" i="13"/>
  <c r="F286" i="15" s="1"/>
  <c r="M2310" i="1"/>
  <c r="L2265" i="1"/>
  <c r="K2148" i="1"/>
  <c r="N2148" i="1" s="1"/>
  <c r="G2154" i="13"/>
  <c r="J2154" i="13" s="1"/>
  <c r="O2031" i="1"/>
  <c r="L2274" i="1"/>
  <c r="K2157" i="1"/>
  <c r="G2163" i="13"/>
  <c r="J2163" i="13" s="1"/>
  <c r="L2277" i="1"/>
  <c r="K2160" i="1"/>
  <c r="N2160" i="1" s="1"/>
  <c r="G2166" i="13"/>
  <c r="J2166" i="13" s="1"/>
  <c r="L2310" i="1"/>
  <c r="K2193" i="1"/>
  <c r="N2193" i="1" s="1"/>
  <c r="G2199" i="13"/>
  <c r="J2199" i="13" s="1"/>
  <c r="O1939" i="1"/>
  <c r="K2191" i="1"/>
  <c r="L2308" i="1"/>
  <c r="G2197" i="13"/>
  <c r="J2197" i="13" s="1"/>
  <c r="O2028" i="1"/>
  <c r="G2189" i="13"/>
  <c r="J2189" i="13" s="1"/>
  <c r="L2300" i="1"/>
  <c r="K2183" i="1"/>
  <c r="N2183" i="1" s="1"/>
  <c r="L2272" i="1"/>
  <c r="K2155" i="1"/>
  <c r="N2155" i="1" s="1"/>
  <c r="G2161" i="13"/>
  <c r="J2161" i="13" s="1"/>
  <c r="G2055" i="13"/>
  <c r="G2063" i="13" s="1"/>
  <c r="J2052" i="13"/>
  <c r="J2055" i="13" s="1"/>
  <c r="J2063" i="13" s="1"/>
  <c r="K2164" i="1"/>
  <c r="N2164" i="1" s="1"/>
  <c r="L2281" i="1"/>
  <c r="G2170" i="13"/>
  <c r="J2170" i="13" s="1"/>
  <c r="G2078" i="13"/>
  <c r="J2076" i="13"/>
  <c r="J2078" i="13" s="1"/>
  <c r="L2287" i="1"/>
  <c r="G2176" i="13"/>
  <c r="J2176" i="13" s="1"/>
  <c r="K2170" i="1"/>
  <c r="N2170" i="1" s="1"/>
  <c r="M2314" i="1"/>
  <c r="O2041" i="1"/>
  <c r="N1618" i="1"/>
  <c r="N1619" i="1" s="1"/>
  <c r="K1619" i="1"/>
  <c r="D217" i="15" s="1"/>
  <c r="O1618" i="1"/>
  <c r="O1619" i="1" s="1"/>
  <c r="L1271" i="17"/>
  <c r="L1240" i="17"/>
  <c r="L1262" i="17"/>
  <c r="L1287" i="17"/>
  <c r="L1261" i="17"/>
  <c r="L1273" i="17"/>
  <c r="I1398" i="16"/>
  <c r="J227" i="15" s="1"/>
  <c r="N2226" i="1"/>
  <c r="O2226" i="1"/>
  <c r="K2197" i="1"/>
  <c r="O2197" i="1" s="1"/>
  <c r="L2314" i="1"/>
  <c r="G2202" i="13"/>
  <c r="J2202" i="13" s="1"/>
  <c r="N2096" i="1"/>
  <c r="O2096" i="1"/>
  <c r="M2282" i="1"/>
  <c r="N2248" i="1"/>
  <c r="K2257" i="1"/>
  <c r="O2248" i="1"/>
  <c r="F1653" i="16"/>
  <c r="I1559" i="16"/>
  <c r="G2205" i="13"/>
  <c r="L2317" i="1"/>
  <c r="L2202" i="1"/>
  <c r="K2200" i="1"/>
  <c r="N2232" i="1"/>
  <c r="O2232" i="1"/>
  <c r="L2284" i="1"/>
  <c r="G2173" i="13"/>
  <c r="L2173" i="1"/>
  <c r="K2167" i="1"/>
  <c r="N2073" i="1"/>
  <c r="F229" i="15"/>
  <c r="F231" i="15" s="1"/>
  <c r="F235" i="15" s="1"/>
  <c r="G1742" i="13"/>
  <c r="L2260" i="1"/>
  <c r="G2149" i="13"/>
  <c r="K2143" i="1"/>
  <c r="L2153" i="1"/>
  <c r="L2162" i="1" s="1"/>
  <c r="G2050" i="13"/>
  <c r="J2043" i="13"/>
  <c r="J2050" i="13" s="1"/>
  <c r="M2202" i="1"/>
  <c r="M2317" i="1"/>
  <c r="O2200" i="1"/>
  <c r="L2295" i="1"/>
  <c r="G2184" i="13"/>
  <c r="L2181" i="1"/>
  <c r="K2178" i="1"/>
  <c r="O2052" i="1"/>
  <c r="M2267" i="1"/>
  <c r="N2246" i="1"/>
  <c r="O2246" i="1"/>
  <c r="O2081" i="1"/>
  <c r="J1974" i="13"/>
  <c r="J1975" i="13" s="1"/>
  <c r="I262" i="15" s="1"/>
  <c r="I264" i="15" s="1"/>
  <c r="N1727" i="1"/>
  <c r="O1727" i="1"/>
  <c r="K1735" i="1"/>
  <c r="J2228" i="13"/>
  <c r="J2235" i="13" s="1"/>
  <c r="G2235" i="13"/>
  <c r="M2311" i="1"/>
  <c r="J1948" i="13"/>
  <c r="J1949" i="13" s="1"/>
  <c r="I259" i="15" s="1"/>
  <c r="I261" i="15" s="1"/>
  <c r="O2170" i="1"/>
  <c r="M2287" i="1"/>
  <c r="L2299" i="1"/>
  <c r="K2182" i="1"/>
  <c r="G2188" i="13"/>
  <c r="L2186" i="1"/>
  <c r="K2149" i="1"/>
  <c r="N2149" i="1" s="1"/>
  <c r="L2266" i="1"/>
  <c r="G2155" i="13"/>
  <c r="J2155" i="13" s="1"/>
  <c r="L2307" i="1"/>
  <c r="G2196" i="13"/>
  <c r="K2190" i="1"/>
  <c r="O2190" i="1" s="1"/>
  <c r="N2113" i="1"/>
  <c r="K2120" i="1"/>
  <c r="O2113" i="1"/>
  <c r="N1947" i="1"/>
  <c r="J2031" i="13"/>
  <c r="I270" i="15"/>
  <c r="I273" i="15" s="1"/>
  <c r="O2054" i="1"/>
  <c r="N2251" i="1"/>
  <c r="O2251" i="1"/>
  <c r="G2087" i="13"/>
  <c r="J2084" i="13"/>
  <c r="J2087" i="13" s="1"/>
  <c r="N2238" i="1"/>
  <c r="K2241" i="1"/>
  <c r="O2238" i="1"/>
  <c r="N2071" i="1"/>
  <c r="O2071" i="1"/>
  <c r="N2228" i="1"/>
  <c r="O2228" i="1"/>
  <c r="O2032" i="1"/>
  <c r="L2268" i="1"/>
  <c r="G2157" i="13"/>
  <c r="J2157" i="13" s="1"/>
  <c r="K2151" i="1"/>
  <c r="N2151" i="1" s="1"/>
  <c r="M2295" i="1"/>
  <c r="M2181" i="1"/>
  <c r="O2178" i="1"/>
  <c r="M2265" i="1"/>
  <c r="O2148" i="1"/>
  <c r="G1974" i="13"/>
  <c r="N2074" i="1"/>
  <c r="O2074" i="1"/>
  <c r="M2262" i="1"/>
  <c r="J1831" i="13"/>
  <c r="J1832" i="13" s="1"/>
  <c r="L2289" i="1"/>
  <c r="G2178" i="13"/>
  <c r="J2178" i="13" s="1"/>
  <c r="K2172" i="1"/>
  <c r="N2172" i="1" s="1"/>
  <c r="L2057" i="1"/>
  <c r="D271" i="15"/>
  <c r="E271" i="15" s="1"/>
  <c r="N2024" i="1"/>
  <c r="L2304" i="1"/>
  <c r="G2193" i="13"/>
  <c r="K2187" i="1"/>
  <c r="L2189" i="1"/>
  <c r="K2156" i="1"/>
  <c r="L2273" i="1"/>
  <c r="G2162" i="13"/>
  <c r="J2162" i="13" s="1"/>
  <c r="N1908" i="1"/>
  <c r="O1908" i="1"/>
  <c r="I265" i="15"/>
  <c r="L1242" i="17"/>
  <c r="L1256" i="17"/>
  <c r="L1266" i="17"/>
  <c r="L1247" i="17"/>
  <c r="L1234" i="17"/>
  <c r="L1277" i="17"/>
  <c r="L1263" i="17"/>
  <c r="K2169" i="1"/>
  <c r="N2169" i="1" s="1"/>
  <c r="L2286" i="1"/>
  <c r="G2175" i="13"/>
  <c r="J2175" i="13" s="1"/>
  <c r="L2263" i="1"/>
  <c r="K2146" i="1"/>
  <c r="N2146" i="1" s="1"/>
  <c r="G2152" i="13"/>
  <c r="J2152" i="13" s="1"/>
  <c r="N2225" i="1"/>
  <c r="O2225" i="1"/>
  <c r="I229" i="15"/>
  <c r="I231" i="15" s="1"/>
  <c r="I235" i="15" s="1"/>
  <c r="J1742" i="13"/>
  <c r="K2082" i="1"/>
  <c r="N2082" i="1" s="1"/>
  <c r="N2080" i="1"/>
  <c r="L2301" i="1"/>
  <c r="K2184" i="1"/>
  <c r="N2184" i="1" s="1"/>
  <c r="G2190" i="13"/>
  <c r="J2190" i="13" s="1"/>
  <c r="G2263" i="13"/>
  <c r="J2254" i="13"/>
  <c r="J2263" i="13" s="1"/>
  <c r="K2158" i="1"/>
  <c r="N2158" i="1" s="1"/>
  <c r="L2275" i="1"/>
  <c r="G2164" i="13"/>
  <c r="J2164" i="13" s="1"/>
  <c r="L2315" i="1"/>
  <c r="G2203" i="13"/>
  <c r="J2203" i="13" s="1"/>
  <c r="K2198" i="1"/>
  <c r="N2198" i="1" s="1"/>
  <c r="M2045" i="1"/>
  <c r="L2318" i="1"/>
  <c r="K2201" i="1"/>
  <c r="N2201" i="1" s="1"/>
  <c r="G2206" i="13"/>
  <c r="J2206" i="13" s="1"/>
  <c r="N2124" i="1"/>
  <c r="O2124" i="1"/>
  <c r="N2219" i="1"/>
  <c r="O2219" i="1"/>
  <c r="L2267" i="1"/>
  <c r="K2150" i="1"/>
  <c r="N2150" i="1" s="1"/>
  <c r="G2156" i="13"/>
  <c r="J2156" i="13" s="1"/>
  <c r="M2264" i="1"/>
  <c r="N2112" i="1"/>
  <c r="O2112" i="1"/>
  <c r="K2056" i="1"/>
  <c r="N2056" i="1" s="1"/>
  <c r="N2050" i="1"/>
  <c r="O2073" i="1"/>
  <c r="N2243" i="1"/>
  <c r="K2247" i="1"/>
  <c r="L2059" i="1"/>
  <c r="L2060" i="1" s="1"/>
  <c r="O1824" i="1"/>
  <c r="N2254" i="1"/>
  <c r="O2254" i="1"/>
  <c r="N2212" i="1"/>
  <c r="O2212" i="1"/>
  <c r="M2296" i="1"/>
  <c r="O2179" i="1"/>
  <c r="K2064" i="1"/>
  <c r="N2061" i="1"/>
  <c r="O2152" i="1"/>
  <c r="M2269" i="1"/>
  <c r="O2033" i="1"/>
  <c r="M2315" i="1"/>
  <c r="O2198" i="1"/>
  <c r="N1932" i="1"/>
  <c r="K1940" i="1"/>
  <c r="N1940" i="1" s="1"/>
  <c r="L2309" i="1"/>
  <c r="G2198" i="13"/>
  <c r="J2198" i="13" s="1"/>
  <c r="K2192" i="1"/>
  <c r="N2192" i="1" s="1"/>
  <c r="M1970" i="1"/>
  <c r="F270" i="15"/>
  <c r="F273" i="15" s="1"/>
  <c r="G2031" i="13"/>
  <c r="N2215" i="1"/>
  <c r="O2215" i="1"/>
  <c r="L2237" i="1"/>
  <c r="L2242" i="1" s="1"/>
  <c r="L2259" i="1" s="1"/>
  <c r="G2236" i="13"/>
  <c r="K2230" i="1"/>
  <c r="N2223" i="1"/>
  <c r="O2223" i="1"/>
  <c r="N2240" i="1"/>
  <c r="O2240" i="1"/>
  <c r="O2172" i="1"/>
  <c r="M2289" i="1"/>
  <c r="N2255" i="1"/>
  <c r="O2255" i="1"/>
  <c r="L2077" i="1"/>
  <c r="K1960" i="1"/>
  <c r="L1961" i="1"/>
  <c r="L1969" i="1" s="1"/>
  <c r="L1970" i="1" s="1"/>
  <c r="M2266" i="1"/>
  <c r="O2149" i="1"/>
  <c r="M2280" i="1"/>
  <c r="M2166" i="1"/>
  <c r="K1928" i="1"/>
  <c r="N1919" i="1"/>
  <c r="O2064" i="1"/>
  <c r="M2086" i="1"/>
  <c r="O1965" i="1"/>
  <c r="N2040" i="1"/>
  <c r="O2040" i="1"/>
  <c r="K2213" i="1"/>
  <c r="N2209" i="1"/>
  <c r="O2209" i="1"/>
  <c r="L2261" i="1"/>
  <c r="G2150" i="13"/>
  <c r="J2150" i="13" s="1"/>
  <c r="K2144" i="1"/>
  <c r="N2144" i="1" s="1"/>
  <c r="O1952" i="1"/>
  <c r="N2104" i="1"/>
  <c r="O2104" i="1"/>
  <c r="N2046" i="1"/>
  <c r="K2049" i="1"/>
  <c r="K2180" i="1"/>
  <c r="N2180" i="1" s="1"/>
  <c r="L2297" i="1"/>
  <c r="G2186" i="13"/>
  <c r="J2186" i="13" s="1"/>
  <c r="N2039" i="1"/>
  <c r="O2039" i="1"/>
  <c r="N2227" i="1"/>
  <c r="O2227" i="1"/>
  <c r="N2256" i="1"/>
  <c r="O2256" i="1"/>
  <c r="E255" i="15"/>
  <c r="D258" i="15"/>
  <c r="L1249" i="17"/>
  <c r="L1259" i="17"/>
  <c r="L1270" i="17"/>
  <c r="L1250" i="17"/>
  <c r="L1281" i="17"/>
  <c r="L1238" i="17"/>
  <c r="L1265" i="17"/>
  <c r="M2313" i="1"/>
  <c r="M2199" i="1"/>
  <c r="M2309" i="1"/>
  <c r="O2192" i="1"/>
  <c r="M2301" i="1"/>
  <c r="O2184" i="1"/>
  <c r="K2185" i="1"/>
  <c r="N2185" i="1" s="1"/>
  <c r="L2302" i="1"/>
  <c r="G2191" i="13"/>
  <c r="J2191" i="13" s="1"/>
  <c r="M2284" i="1"/>
  <c r="O2167" i="1"/>
  <c r="M2259" i="1"/>
  <c r="N1811" i="1"/>
  <c r="K1825" i="1"/>
  <c r="K2085" i="1"/>
  <c r="N2085" i="1" s="1"/>
  <c r="N2083" i="1"/>
  <c r="N2224" i="1"/>
  <c r="O2224" i="1"/>
  <c r="N2218" i="1"/>
  <c r="O2218" i="1"/>
  <c r="N2245" i="1"/>
  <c r="O2245" i="1"/>
  <c r="M2260" i="1"/>
  <c r="O2143" i="1"/>
  <c r="M2153" i="1"/>
  <c r="M2162" i="1" s="1"/>
  <c r="G2253" i="13"/>
  <c r="G2264" i="13" s="1"/>
  <c r="F301" i="15" s="1"/>
  <c r="J2249" i="13"/>
  <c r="J2253" i="13" s="1"/>
  <c r="J2264" i="13" s="1"/>
  <c r="I301" i="15" s="1"/>
  <c r="K2036" i="1"/>
  <c r="N2026" i="1"/>
  <c r="O1941" i="1"/>
  <c r="M2058" i="1"/>
  <c r="N2037" i="1"/>
  <c r="K2044" i="1"/>
  <c r="N2044" i="1" s="1"/>
  <c r="O2037" i="1"/>
  <c r="O2035" i="1"/>
  <c r="E186" i="15"/>
  <c r="D190" i="15"/>
  <c r="E190" i="15" s="1"/>
  <c r="L2282" i="1"/>
  <c r="G2171" i="13"/>
  <c r="J2171" i="13" s="1"/>
  <c r="K2165" i="1"/>
  <c r="N2165" i="1" s="1"/>
  <c r="M2302" i="1"/>
  <c r="O2185" i="1"/>
  <c r="N2236" i="1"/>
  <c r="O2236" i="1"/>
  <c r="K2159" i="1"/>
  <c r="L2276" i="1"/>
  <c r="G2165" i="13"/>
  <c r="J2165" i="13" s="1"/>
  <c r="N2216" i="1"/>
  <c r="O2216" i="1"/>
  <c r="M2306" i="1"/>
  <c r="M2263" i="1"/>
  <c r="O2146" i="1"/>
  <c r="N2130" i="1"/>
  <c r="K2141" i="1"/>
  <c r="O1947" i="1"/>
  <c r="O2084" i="1"/>
  <c r="N2065" i="1"/>
  <c r="K2069" i="1"/>
  <c r="N2069" i="1" s="1"/>
  <c r="J2119" i="13"/>
  <c r="J2126" i="13" s="1"/>
  <c r="J2131" i="13" s="1"/>
  <c r="I285" i="15" s="1"/>
  <c r="G2126" i="13"/>
  <c r="G2131" i="13" s="1"/>
  <c r="N1386" i="1"/>
  <c r="O1386" i="1"/>
  <c r="K2145" i="1"/>
  <c r="N2145" i="1" s="1"/>
  <c r="L2262" i="1"/>
  <c r="G2151" i="13"/>
  <c r="J2151" i="13" s="1"/>
  <c r="G1831" i="13"/>
  <c r="G1832" i="13" s="1"/>
  <c r="J2220" i="13"/>
  <c r="J2227" i="13" s="1"/>
  <c r="G2227" i="13"/>
  <c r="M1942" i="1"/>
  <c r="L2313" i="1"/>
  <c r="G2201" i="13"/>
  <c r="K2196" i="1"/>
  <c r="N2196" i="1" s="1"/>
  <c r="L2199" i="1"/>
  <c r="N1955" i="1"/>
  <c r="O1955" i="1"/>
  <c r="G2247" i="13"/>
  <c r="J2244" i="13"/>
  <c r="J2247" i="13" s="1"/>
  <c r="N1843" i="1"/>
  <c r="O1843" i="1"/>
  <c r="K1844" i="1"/>
  <c r="L2305" i="1"/>
  <c r="G2194" i="13"/>
  <c r="J2194" i="13" s="1"/>
  <c r="K2188" i="1"/>
  <c r="K2008" i="1"/>
  <c r="O2051" i="1"/>
  <c r="M2057" i="1"/>
  <c r="J2147" i="13"/>
  <c r="N2220" i="1"/>
  <c r="O2220" i="1"/>
  <c r="D214" i="15"/>
  <c r="K1620" i="1"/>
  <c r="M1826" i="1"/>
  <c r="M1854" i="1" s="1"/>
  <c r="O1825" i="1"/>
  <c r="O1826" i="1" s="1"/>
  <c r="N2217" i="1"/>
  <c r="O2217" i="1"/>
  <c r="J2215" i="13"/>
  <c r="J2219" i="13" s="1"/>
  <c r="G2219" i="13"/>
  <c r="M2261" i="1"/>
  <c r="O2144" i="1"/>
  <c r="M2142" i="1"/>
  <c r="N2239" i="1"/>
  <c r="O2239" i="1"/>
  <c r="N2211" i="1"/>
  <c r="O2211" i="1"/>
  <c r="K2147" i="1"/>
  <c r="N2147" i="1" s="1"/>
  <c r="L2264" i="1"/>
  <c r="G2153" i="13"/>
  <c r="J2153" i="13" s="1"/>
  <c r="L2166" i="1"/>
  <c r="L2280" i="1"/>
  <c r="K2163" i="1"/>
  <c r="G2169" i="13"/>
  <c r="N2070" i="1"/>
  <c r="K2072" i="1"/>
  <c r="O2070" i="1"/>
  <c r="O2080" i="1"/>
  <c r="M2275" i="1"/>
  <c r="O2158" i="1"/>
  <c r="L1942" i="1"/>
  <c r="L1943" i="1" s="1"/>
  <c r="L1971" i="1" s="1"/>
  <c r="I1393" i="16"/>
  <c r="J213" i="15"/>
  <c r="J220" i="15" s="1"/>
  <c r="I1430" i="16"/>
  <c r="J229" i="15" s="1"/>
  <c r="J231" i="15" s="1"/>
  <c r="F1676" i="16"/>
  <c r="I1582" i="16"/>
  <c r="I1466" i="16"/>
  <c r="F1560" i="16"/>
  <c r="F1480" i="16"/>
  <c r="I1497" i="16"/>
  <c r="F1591" i="16"/>
  <c r="I1498" i="16"/>
  <c r="F1592" i="16"/>
  <c r="I1501" i="16"/>
  <c r="F1595" i="16"/>
  <c r="I1505" i="16"/>
  <c r="F1599" i="16"/>
  <c r="I1506" i="16"/>
  <c r="F1600" i="16"/>
  <c r="I1510" i="16"/>
  <c r="F1604" i="16"/>
  <c r="I1514" i="16"/>
  <c r="F1608" i="16"/>
  <c r="I1518" i="16"/>
  <c r="F1612" i="16"/>
  <c r="I1522" i="16"/>
  <c r="F1616" i="16"/>
  <c r="I1509" i="16"/>
  <c r="F1603" i="16"/>
  <c r="I1513" i="16"/>
  <c r="F1607" i="16"/>
  <c r="I1517" i="16"/>
  <c r="F1611" i="16"/>
  <c r="I1521" i="16"/>
  <c r="F1615" i="16"/>
  <c r="I1477" i="16"/>
  <c r="F1571" i="16"/>
  <c r="I1527" i="16"/>
  <c r="F1621" i="16"/>
  <c r="I1534" i="16"/>
  <c r="F1628" i="16"/>
  <c r="I1538" i="16"/>
  <c r="F1632" i="16"/>
  <c r="I1542" i="16"/>
  <c r="F1636" i="16"/>
  <c r="I1546" i="16"/>
  <c r="F1640" i="16"/>
  <c r="I1550" i="16"/>
  <c r="F1644" i="16"/>
  <c r="I1485" i="16"/>
  <c r="F1579" i="16"/>
  <c r="I1473" i="16"/>
  <c r="F1567" i="16"/>
  <c r="J226" i="15"/>
  <c r="I1502" i="16"/>
  <c r="F1596" i="16"/>
  <c r="I1486" i="16"/>
  <c r="F1580" i="16"/>
  <c r="I1531" i="16"/>
  <c r="F1625" i="16"/>
  <c r="F1629" i="16"/>
  <c r="I1535" i="16"/>
  <c r="I1539" i="16"/>
  <c r="F1633" i="16"/>
  <c r="I1543" i="16"/>
  <c r="F1637" i="16"/>
  <c r="I1547" i="16"/>
  <c r="F1641" i="16"/>
  <c r="F1564" i="16"/>
  <c r="I1470" i="16"/>
  <c r="I1566" i="16"/>
  <c r="F1660" i="16"/>
  <c r="F1624" i="16"/>
  <c r="I1530" i="16"/>
  <c r="I1499" i="16"/>
  <c r="F1593" i="16"/>
  <c r="I1503" i="16"/>
  <c r="F1597" i="16"/>
  <c r="I1508" i="16"/>
  <c r="F1602" i="16"/>
  <c r="I1512" i="16"/>
  <c r="F1606" i="16"/>
  <c r="I1516" i="16"/>
  <c r="F1610" i="16"/>
  <c r="I1520" i="16"/>
  <c r="F1614" i="16"/>
  <c r="I1507" i="16"/>
  <c r="F1601" i="16"/>
  <c r="I1511" i="16"/>
  <c r="F1605" i="16"/>
  <c r="I1515" i="16"/>
  <c r="F1609" i="16"/>
  <c r="I1519" i="16"/>
  <c r="F1613" i="16"/>
  <c r="I1523" i="16"/>
  <c r="F1617" i="16"/>
  <c r="I1532" i="16"/>
  <c r="F1626" i="16"/>
  <c r="I1536" i="16"/>
  <c r="F1630" i="16"/>
  <c r="F1634" i="16"/>
  <c r="I1540" i="16"/>
  <c r="I1544" i="16"/>
  <c r="F1638" i="16"/>
  <c r="I1483" i="16"/>
  <c r="F1577" i="16"/>
  <c r="I1475" i="16"/>
  <c r="F1569" i="16"/>
  <c r="I1479" i="16"/>
  <c r="F1573" i="16"/>
  <c r="F1620" i="16"/>
  <c r="I1526" i="16"/>
  <c r="F1551" i="16"/>
  <c r="I1386" i="16"/>
  <c r="J225" i="15" s="1"/>
  <c r="J228" i="15" s="1"/>
  <c r="F1487" i="16"/>
  <c r="F1807" i="16"/>
  <c r="I1713" i="16"/>
  <c r="I1306" i="16"/>
  <c r="I1366" i="16" s="1"/>
  <c r="I1491" i="16"/>
  <c r="F1585" i="16"/>
  <c r="I1474" i="16"/>
  <c r="F1568" i="16"/>
  <c r="I1478" i="16"/>
  <c r="F1572" i="16"/>
  <c r="I1489" i="16"/>
  <c r="F1583" i="16"/>
  <c r="I1468" i="16"/>
  <c r="F1562" i="16"/>
  <c r="F1460" i="16"/>
  <c r="I1457" i="16"/>
  <c r="J232" i="15" s="1"/>
  <c r="J234" i="15" s="1"/>
  <c r="I1490" i="16"/>
  <c r="F1584" i="16"/>
  <c r="I1476" i="16"/>
  <c r="F1570" i="16"/>
  <c r="I1576" i="16"/>
  <c r="F1670" i="16"/>
  <c r="I1683" i="16"/>
  <c r="F1777" i="16"/>
  <c r="F1565" i="16"/>
  <c r="I1471" i="16"/>
  <c r="I1561" i="16"/>
  <c r="F1655" i="16"/>
  <c r="I1496" i="16"/>
  <c r="F1590" i="16"/>
  <c r="I1500" i="16"/>
  <c r="F1594" i="16"/>
  <c r="I1504" i="16"/>
  <c r="F1598" i="16"/>
  <c r="I1484" i="16"/>
  <c r="F1578" i="16"/>
  <c r="F1622" i="16"/>
  <c r="I1528" i="16"/>
  <c r="I1533" i="16"/>
  <c r="F1627" i="16"/>
  <c r="I1537" i="16"/>
  <c r="F1631" i="16"/>
  <c r="I1541" i="16"/>
  <c r="F1635" i="16"/>
  <c r="F1639" i="16"/>
  <c r="I1545" i="16"/>
  <c r="I1549" i="16"/>
  <c r="F1643" i="16"/>
  <c r="I1469" i="16"/>
  <c r="F1563" i="16"/>
  <c r="I1487" i="16"/>
  <c r="F1669" i="16"/>
  <c r="I1575" i="16"/>
  <c r="K1097" i="17"/>
  <c r="Q1031" i="17"/>
  <c r="L1097" i="17"/>
  <c r="L1163" i="17" s="1"/>
  <c r="J1031" i="17"/>
  <c r="M1031" i="17" s="1"/>
  <c r="N991" i="17"/>
  <c r="Q894" i="17"/>
  <c r="Q905" i="17"/>
  <c r="Q914" i="17" s="1"/>
  <c r="Q960" i="17" s="1"/>
  <c r="N1008" i="17"/>
  <c r="N1016" i="17"/>
  <c r="N1022" i="17"/>
  <c r="N913" i="17"/>
  <c r="N1018" i="17"/>
  <c r="M902" i="17"/>
  <c r="N902" i="17"/>
  <c r="K1109" i="17"/>
  <c r="K1175" i="17" s="1"/>
  <c r="J1043" i="17"/>
  <c r="M1043" i="17" s="1"/>
  <c r="Q1043" i="17"/>
  <c r="L1109" i="17"/>
  <c r="L1175" i="17" s="1"/>
  <c r="J850" i="17"/>
  <c r="M841" i="17"/>
  <c r="N841" i="17"/>
  <c r="L1143" i="17"/>
  <c r="L1209" i="17" s="1"/>
  <c r="M972" i="17"/>
  <c r="J979" i="17"/>
  <c r="M979" i="17" s="1"/>
  <c r="K1104" i="17"/>
  <c r="K1170" i="17" s="1"/>
  <c r="J1038" i="17"/>
  <c r="N1038" i="17" s="1"/>
  <c r="K1045" i="17"/>
  <c r="G256" i="15" s="1"/>
  <c r="Q1038" i="17"/>
  <c r="M985" i="17"/>
  <c r="N985" i="17"/>
  <c r="K1117" i="17"/>
  <c r="K1183" i="17" s="1"/>
  <c r="Q1051" i="17"/>
  <c r="J1051" i="17"/>
  <c r="J923" i="17"/>
  <c r="M923" i="17" s="1"/>
  <c r="N1004" i="17"/>
  <c r="K1147" i="17"/>
  <c r="K1213" i="17" s="1"/>
  <c r="Q1081" i="17"/>
  <c r="J1081" i="17"/>
  <c r="J1076" i="17"/>
  <c r="M1076" i="17" s="1"/>
  <c r="K1142" i="17"/>
  <c r="K1208" i="17" s="1"/>
  <c r="Q1076" i="17"/>
  <c r="K1123" i="17"/>
  <c r="K1189" i="17" s="1"/>
  <c r="Q1057" i="17"/>
  <c r="J1057" i="17"/>
  <c r="M1057" i="17" s="1"/>
  <c r="L1144" i="17"/>
  <c r="L1210" i="17" s="1"/>
  <c r="L1142" i="17"/>
  <c r="L1208" i="17" s="1"/>
  <c r="N1076" i="17"/>
  <c r="M1003" i="17"/>
  <c r="N1003" i="17"/>
  <c r="M992" i="17"/>
  <c r="N992" i="17"/>
  <c r="N922" i="17"/>
  <c r="L1045" i="17"/>
  <c r="L1104" i="17"/>
  <c r="L1170" i="17" s="1"/>
  <c r="M999" i="17"/>
  <c r="N999" i="17"/>
  <c r="N982" i="17"/>
  <c r="K1137" i="17"/>
  <c r="K1203" i="17" s="1"/>
  <c r="Q1071" i="17"/>
  <c r="J1071" i="17"/>
  <c r="K1145" i="17"/>
  <c r="K1211" i="17" s="1"/>
  <c r="Q1079" i="17"/>
  <c r="J1079" i="17"/>
  <c r="M1007" i="17"/>
  <c r="N1007" i="17"/>
  <c r="N975" i="17"/>
  <c r="M978" i="17"/>
  <c r="N978" i="17"/>
  <c r="L1025" i="17"/>
  <c r="L1122" i="17"/>
  <c r="L1188" i="17" s="1"/>
  <c r="L1090" i="17"/>
  <c r="M903" i="17"/>
  <c r="N903" i="17"/>
  <c r="K1035" i="17"/>
  <c r="Q969" i="17"/>
  <c r="J969" i="17"/>
  <c r="Q1080" i="17"/>
  <c r="J1080" i="17"/>
  <c r="M1080" i="17" s="1"/>
  <c r="K1146" i="17"/>
  <c r="K1212" i="17" s="1"/>
  <c r="M1001" i="17"/>
  <c r="N1001" i="17"/>
  <c r="K1133" i="17"/>
  <c r="K1199" i="17" s="1"/>
  <c r="Q1067" i="17"/>
  <c r="J1067" i="17"/>
  <c r="L1105" i="17"/>
  <c r="L1171" i="17" s="1"/>
  <c r="L1140" i="17"/>
  <c r="L1206" i="17" s="1"/>
  <c r="K1129" i="17"/>
  <c r="K1195" i="17" s="1"/>
  <c r="Q1063" i="17"/>
  <c r="J1063" i="17"/>
  <c r="G225" i="15"/>
  <c r="G228" i="15" s="1"/>
  <c r="G235" i="15" s="1"/>
  <c r="K914" i="17"/>
  <c r="K960" i="17" s="1"/>
  <c r="G247" i="15"/>
  <c r="G249" i="15" s="1"/>
  <c r="M990" i="17"/>
  <c r="J1024" i="17"/>
  <c r="N1024" i="17" s="1"/>
  <c r="L1146" i="17"/>
  <c r="L1212" i="17" s="1"/>
  <c r="N1080" i="17"/>
  <c r="K1125" i="17"/>
  <c r="K1191" i="17" s="1"/>
  <c r="Q1059" i="17"/>
  <c r="J1059" i="17"/>
  <c r="M1059" i="17" s="1"/>
  <c r="L1125" i="17"/>
  <c r="L1191" i="17" s="1"/>
  <c r="N1059" i="17"/>
  <c r="K1119" i="17"/>
  <c r="K1185" i="17" s="1"/>
  <c r="Q1053" i="17"/>
  <c r="J1053" i="17"/>
  <c r="M1053" i="17" s="1"/>
  <c r="M1006" i="17"/>
  <c r="N1006" i="17"/>
  <c r="K1138" i="17"/>
  <c r="K1204" i="17" s="1"/>
  <c r="J1072" i="17"/>
  <c r="Q1072" i="17"/>
  <c r="Q1050" i="17"/>
  <c r="K1116" i="17"/>
  <c r="K1182" i="17" s="1"/>
  <c r="J1050" i="17"/>
  <c r="M904" i="17"/>
  <c r="N904" i="17"/>
  <c r="Q1060" i="17"/>
  <c r="K1126" i="17"/>
  <c r="K1192" i="17" s="1"/>
  <c r="J1060" i="17"/>
  <c r="Q1070" i="17"/>
  <c r="K1136" i="17"/>
  <c r="K1202" i="17" s="1"/>
  <c r="J1070" i="17"/>
  <c r="M1070" i="17" s="1"/>
  <c r="J1042" i="17"/>
  <c r="K1108" i="17"/>
  <c r="K1174" i="17" s="1"/>
  <c r="Q1042" i="17"/>
  <c r="L1054" i="17"/>
  <c r="L1113" i="17"/>
  <c r="L1179" i="17" s="1"/>
  <c r="K1127" i="17"/>
  <c r="K1193" i="17" s="1"/>
  <c r="Q1061" i="17"/>
  <c r="J1061" i="17"/>
  <c r="M981" i="17"/>
  <c r="J988" i="17"/>
  <c r="M988" i="17" s="1"/>
  <c r="K1113" i="17"/>
  <c r="K1179" i="17" s="1"/>
  <c r="J1047" i="17"/>
  <c r="N1047" i="17" s="1"/>
  <c r="Q1047" i="17"/>
  <c r="K1054" i="17"/>
  <c r="M996" i="17"/>
  <c r="N996" i="17"/>
  <c r="M1009" i="17"/>
  <c r="N1009" i="17"/>
  <c r="K1141" i="17"/>
  <c r="K1207" i="17" s="1"/>
  <c r="Q1075" i="17"/>
  <c r="J1075" i="17"/>
  <c r="L1148" i="17"/>
  <c r="L1214" i="17" s="1"/>
  <c r="M1019" i="17"/>
  <c r="N1019" i="17"/>
  <c r="L980" i="17"/>
  <c r="L1099" i="17"/>
  <c r="L1165" i="17" s="1"/>
  <c r="L1037" i="17"/>
  <c r="K1099" i="17"/>
  <c r="K1165" i="17" s="1"/>
  <c r="Q1033" i="17"/>
  <c r="J1033" i="17"/>
  <c r="K1105" i="17"/>
  <c r="K1171" i="17" s="1"/>
  <c r="Q1039" i="17"/>
  <c r="J1039" i="17"/>
  <c r="M1039" i="17" s="1"/>
  <c r="L1132" i="17"/>
  <c r="L1198" i="17" s="1"/>
  <c r="H232" i="15"/>
  <c r="H234" i="15" s="1"/>
  <c r="J959" i="17"/>
  <c r="M958" i="17"/>
  <c r="Q1052" i="17"/>
  <c r="K1118" i="17"/>
  <c r="K1184" i="17" s="1"/>
  <c r="J1052" i="17"/>
  <c r="M998" i="17"/>
  <c r="N998" i="17"/>
  <c r="K1130" i="17"/>
  <c r="K1196" i="17" s="1"/>
  <c r="J1064" i="17"/>
  <c r="Q1064" i="17"/>
  <c r="K1155" i="17"/>
  <c r="K1221" i="17" s="1"/>
  <c r="Q1089" i="17"/>
  <c r="J1089" i="17"/>
  <c r="K1110" i="17"/>
  <c r="K1176" i="17" s="1"/>
  <c r="Q1044" i="17"/>
  <c r="J1044" i="17"/>
  <c r="N990" i="17"/>
  <c r="Q1024" i="17"/>
  <c r="Q1025" i="17" s="1"/>
  <c r="L960" i="17"/>
  <c r="N973" i="17"/>
  <c r="M997" i="17"/>
  <c r="N997" i="17"/>
  <c r="N1053" i="17"/>
  <c r="L1119" i="17"/>
  <c r="L1185" i="17" s="1"/>
  <c r="K1122" i="17"/>
  <c r="K1188" i="17" s="1"/>
  <c r="Q1056" i="17"/>
  <c r="J1056" i="17"/>
  <c r="K1090" i="17"/>
  <c r="K1091" i="17" s="1"/>
  <c r="N1014" i="17"/>
  <c r="N993" i="17"/>
  <c r="K1154" i="17"/>
  <c r="K1220" i="17" s="1"/>
  <c r="Q1088" i="17"/>
  <c r="J1088" i="17"/>
  <c r="M1088" i="17" s="1"/>
  <c r="K1107" i="17"/>
  <c r="K1173" i="17" s="1"/>
  <c r="Q1041" i="17"/>
  <c r="J1041" i="17"/>
  <c r="M1041" i="17" s="1"/>
  <c r="N1088" i="17"/>
  <c r="L1154" i="17"/>
  <c r="L1220" i="17" s="1"/>
  <c r="M984" i="17"/>
  <c r="N984" i="17"/>
  <c r="K1036" i="17"/>
  <c r="J970" i="17"/>
  <c r="Q970" i="17"/>
  <c r="K1132" i="17"/>
  <c r="K1198" i="17" s="1"/>
  <c r="Q1066" i="17"/>
  <c r="J1066" i="17"/>
  <c r="M1066" i="17" s="1"/>
  <c r="M994" i="17"/>
  <c r="N994" i="17"/>
  <c r="M976" i="17"/>
  <c r="N976" i="17"/>
  <c r="L1100" i="17"/>
  <c r="L1166" i="17" s="1"/>
  <c r="N981" i="17"/>
  <c r="L989" i="17"/>
  <c r="M995" i="17"/>
  <c r="N995" i="17"/>
  <c r="K989" i="17"/>
  <c r="G244" i="15"/>
  <c r="G246" i="15" s="1"/>
  <c r="Q988" i="17"/>
  <c r="K1128" i="17"/>
  <c r="K1194" i="17" s="1"/>
  <c r="Q1062" i="17"/>
  <c r="J1062" i="17"/>
  <c r="L1123" i="17"/>
  <c r="L1189" i="17" s="1"/>
  <c r="K1151" i="17"/>
  <c r="K1217" i="17" s="1"/>
  <c r="J1085" i="17"/>
  <c r="Q1085" i="17"/>
  <c r="K971" i="17"/>
  <c r="M967" i="17"/>
  <c r="J905" i="17"/>
  <c r="K1150" i="17"/>
  <c r="K1216" i="17" s="1"/>
  <c r="J1084" i="17"/>
  <c r="M1084" i="17" s="1"/>
  <c r="Q1084" i="17"/>
  <c r="K1140" i="17"/>
  <c r="K1206" i="17" s="1"/>
  <c r="Q1074" i="17"/>
  <c r="J1074" i="17"/>
  <c r="M1074" i="17" s="1"/>
  <c r="N1000" i="17"/>
  <c r="M1002" i="17"/>
  <c r="N1002" i="17"/>
  <c r="K1134" i="17"/>
  <c r="K1200" i="17" s="1"/>
  <c r="Q1068" i="17"/>
  <c r="J1068" i="17"/>
  <c r="L1150" i="17"/>
  <c r="L1216" i="17" s="1"/>
  <c r="N1084" i="17"/>
  <c r="M986" i="17"/>
  <c r="N986" i="17"/>
  <c r="N859" i="17"/>
  <c r="M1023" i="17"/>
  <c r="N1023" i="17"/>
  <c r="K1144" i="17"/>
  <c r="K1210" i="17" s="1"/>
  <c r="Q1078" i="17"/>
  <c r="J1078" i="17"/>
  <c r="M1078" i="17" s="1"/>
  <c r="K1034" i="17"/>
  <c r="J968" i="17"/>
  <c r="Q968" i="17"/>
  <c r="K1143" i="17"/>
  <c r="K1209" i="17" s="1"/>
  <c r="J1077" i="17"/>
  <c r="M1077" i="17" s="1"/>
  <c r="Q1077" i="17"/>
  <c r="N977" i="17"/>
  <c r="K1148" i="17"/>
  <c r="K1214" i="17" s="1"/>
  <c r="Q1082" i="17"/>
  <c r="J1082" i="17"/>
  <c r="M1082" i="17" s="1"/>
  <c r="H220" i="15"/>
  <c r="N1011" i="17"/>
  <c r="Q979" i="17"/>
  <c r="H241" i="15" s="1"/>
  <c r="L1136" i="17"/>
  <c r="L1202" i="17" s="1"/>
  <c r="M1015" i="17"/>
  <c r="N1015" i="17"/>
  <c r="M893" i="17"/>
  <c r="N1012" i="17"/>
  <c r="M1017" i="17"/>
  <c r="N1017" i="17"/>
  <c r="K1149" i="17"/>
  <c r="K1215" i="17" s="1"/>
  <c r="J1083" i="17"/>
  <c r="Q1083" i="17"/>
  <c r="K1114" i="17"/>
  <c r="K1180" i="17" s="1"/>
  <c r="Q1048" i="17"/>
  <c r="J1048" i="17"/>
  <c r="M1048" i="17" s="1"/>
  <c r="N1010" i="17"/>
  <c r="K1135" i="17"/>
  <c r="K1201" i="17" s="1"/>
  <c r="Q1069" i="17"/>
  <c r="J1069" i="17"/>
  <c r="Q1058" i="17"/>
  <c r="K1124" i="17"/>
  <c r="K1190" i="17" s="1"/>
  <c r="J1058" i="17"/>
  <c r="M974" i="17"/>
  <c r="N974" i="17"/>
  <c r="K1106" i="17"/>
  <c r="K1172" i="17" s="1"/>
  <c r="Q1040" i="17"/>
  <c r="J1040" i="17"/>
  <c r="N972" i="17"/>
  <c r="K1131" i="17"/>
  <c r="K1197" i="17" s="1"/>
  <c r="Q1065" i="17"/>
  <c r="J1065" i="17"/>
  <c r="L1114" i="17"/>
  <c r="L1180" i="17" s="1"/>
  <c r="M1005" i="17"/>
  <c r="N1005" i="17"/>
  <c r="M983" i="17"/>
  <c r="N983" i="17"/>
  <c r="K1115" i="17"/>
  <c r="K1181" i="17" s="1"/>
  <c r="Q1049" i="17"/>
  <c r="J1049" i="17"/>
  <c r="M1013" i="17"/>
  <c r="N1013" i="17"/>
  <c r="K1139" i="17"/>
  <c r="K1205" i="17" s="1"/>
  <c r="J1073" i="17"/>
  <c r="Q1073" i="17"/>
  <c r="L1107" i="17"/>
  <c r="L1173" i="17" s="1"/>
  <c r="M829" i="17"/>
  <c r="J830" i="17"/>
  <c r="M830" i="17" s="1"/>
  <c r="N786" i="17"/>
  <c r="N795" i="17"/>
  <c r="J68" i="17"/>
  <c r="Q68" i="17"/>
  <c r="Q70" i="17" s="1"/>
  <c r="Q71" i="17" s="1"/>
  <c r="K70" i="17"/>
  <c r="K71" i="17" s="1"/>
  <c r="G2148" i="13" l="1"/>
  <c r="F285" i="15"/>
  <c r="F288" i="15" s="1"/>
  <c r="K1238" i="17"/>
  <c r="J1172" i="17"/>
  <c r="Q1172" i="17"/>
  <c r="K1267" i="17"/>
  <c r="J1201" i="17"/>
  <c r="Q1201" i="17"/>
  <c r="K1275" i="17"/>
  <c r="Q1209" i="17"/>
  <c r="J1209" i="17"/>
  <c r="M1209" i="17" s="1"/>
  <c r="K1266" i="17"/>
  <c r="Q1200" i="17"/>
  <c r="J1200" i="17"/>
  <c r="L1255" i="17"/>
  <c r="L1286" i="17"/>
  <c r="K1239" i="17"/>
  <c r="J1173" i="17"/>
  <c r="M1173" i="17" s="1"/>
  <c r="Q1173" i="17"/>
  <c r="K1242" i="17"/>
  <c r="Q1176" i="17"/>
  <c r="J1176" i="17"/>
  <c r="L1245" i="17"/>
  <c r="L1186" i="17"/>
  <c r="Q1191" i="17"/>
  <c r="K1257" i="17"/>
  <c r="J1191" i="17"/>
  <c r="M1191" i="17" s="1"/>
  <c r="L1237" i="17"/>
  <c r="K1277" i="17"/>
  <c r="J1211" i="17"/>
  <c r="Q1211" i="17"/>
  <c r="L1276" i="17"/>
  <c r="K1236" i="17"/>
  <c r="Q1170" i="17"/>
  <c r="J1170" i="17"/>
  <c r="K1177" i="17"/>
  <c r="G286" i="15" s="1"/>
  <c r="N2163" i="1"/>
  <c r="K2166" i="1"/>
  <c r="K2264" i="1"/>
  <c r="N2264" i="1" s="1"/>
  <c r="G2270" i="13"/>
  <c r="J2270" i="13" s="1"/>
  <c r="D216" i="15"/>
  <c r="E214" i="15"/>
  <c r="K2313" i="1"/>
  <c r="N2313" i="1" s="1"/>
  <c r="G2318" i="13"/>
  <c r="L2316" i="1"/>
  <c r="F244" i="15"/>
  <c r="F246" i="15" s="1"/>
  <c r="F250" i="15" s="1"/>
  <c r="G1859" i="13"/>
  <c r="N2141" i="1"/>
  <c r="D286" i="15"/>
  <c r="E286" i="15" s="1"/>
  <c r="K2045" i="1"/>
  <c r="N2036" i="1"/>
  <c r="O2196" i="1"/>
  <c r="N2213" i="1"/>
  <c r="O2213" i="1"/>
  <c r="M2087" i="1"/>
  <c r="O2163" i="1"/>
  <c r="O2230" i="1"/>
  <c r="K2237" i="1"/>
  <c r="K2242" i="1" s="1"/>
  <c r="N2230" i="1"/>
  <c r="K2275" i="1"/>
  <c r="N2275" i="1" s="1"/>
  <c r="G2281" i="13"/>
  <c r="J2281" i="13" s="1"/>
  <c r="K2273" i="1"/>
  <c r="G2279" i="13"/>
  <c r="J2279" i="13" s="1"/>
  <c r="G2195" i="13"/>
  <c r="J2193" i="13"/>
  <c r="J2195" i="13" s="1"/>
  <c r="I244" i="15"/>
  <c r="I246" i="15" s="1"/>
  <c r="I250" i="15" s="1"/>
  <c r="J1859" i="13"/>
  <c r="N2241" i="1"/>
  <c r="O2241" i="1"/>
  <c r="K2266" i="1"/>
  <c r="N2266" i="1" s="1"/>
  <c r="G2272" i="13"/>
  <c r="J2272" i="13" s="1"/>
  <c r="N2182" i="1"/>
  <c r="K2186" i="1"/>
  <c r="N2186" i="1" s="1"/>
  <c r="O1940" i="1"/>
  <c r="O2150" i="1"/>
  <c r="M2319" i="1"/>
  <c r="O2317" i="1"/>
  <c r="K2173" i="1"/>
  <c r="N2173" i="1" s="1"/>
  <c r="N2167" i="1"/>
  <c r="G2322" i="13"/>
  <c r="L2319" i="1"/>
  <c r="K2317" i="1"/>
  <c r="O2282" i="1"/>
  <c r="J1976" i="13"/>
  <c r="N2157" i="1"/>
  <c r="O2157" i="1"/>
  <c r="O2173" i="1"/>
  <c r="O2151" i="1"/>
  <c r="O2201" i="1"/>
  <c r="O2183" i="1"/>
  <c r="O2160" i="1"/>
  <c r="G2277" i="13"/>
  <c r="K2271" i="1"/>
  <c r="L2278" i="1"/>
  <c r="K2058" i="1"/>
  <c r="N2058" i="1" s="1"/>
  <c r="L2175" i="1"/>
  <c r="G2064" i="13"/>
  <c r="J2064" i="13" s="1"/>
  <c r="L1239" i="17"/>
  <c r="N1173" i="17"/>
  <c r="Q1181" i="17"/>
  <c r="K1247" i="17"/>
  <c r="J1181" i="17"/>
  <c r="K1263" i="17"/>
  <c r="Q1197" i="17"/>
  <c r="J1197" i="17"/>
  <c r="Q1190" i="17"/>
  <c r="K1256" i="17"/>
  <c r="J1190" i="17"/>
  <c r="K1246" i="17"/>
  <c r="Q1180" i="17"/>
  <c r="J1180" i="17"/>
  <c r="M1180" i="17" s="1"/>
  <c r="K1280" i="17"/>
  <c r="J1214" i="17"/>
  <c r="M1214" i="17" s="1"/>
  <c r="Q1214" i="17"/>
  <c r="L1246" i="17"/>
  <c r="L1282" i="17"/>
  <c r="K1282" i="17"/>
  <c r="J1216" i="17"/>
  <c r="M1216" i="17" s="1"/>
  <c r="Q1216" i="17"/>
  <c r="K1254" i="17"/>
  <c r="Q1188" i="17"/>
  <c r="J1188" i="17"/>
  <c r="K1222" i="17"/>
  <c r="K1223" i="17" s="1"/>
  <c r="K1231" i="17"/>
  <c r="Q1165" i="17"/>
  <c r="J1165" i="17"/>
  <c r="M1165" i="17" s="1"/>
  <c r="Q1192" i="17"/>
  <c r="K1258" i="17"/>
  <c r="J1192" i="17"/>
  <c r="L1257" i="17"/>
  <c r="N1191" i="17"/>
  <c r="Q1208" i="17"/>
  <c r="K1274" i="17"/>
  <c r="J1208" i="17"/>
  <c r="M1208" i="17" s="1"/>
  <c r="K1279" i="17"/>
  <c r="Q1213" i="17"/>
  <c r="J1213" i="17"/>
  <c r="H225" i="15"/>
  <c r="H228" i="15" s="1"/>
  <c r="Q1097" i="17"/>
  <c r="K1163" i="17"/>
  <c r="N2072" i="1"/>
  <c r="O2072" i="1"/>
  <c r="L2283" i="1"/>
  <c r="G2286" i="13"/>
  <c r="K2280" i="1"/>
  <c r="G2311" i="13"/>
  <c r="J2311" i="13" s="1"/>
  <c r="K2305" i="1"/>
  <c r="M1943" i="1"/>
  <c r="M1971" i="1" s="1"/>
  <c r="K2276" i="1"/>
  <c r="G2282" i="13"/>
  <c r="J2282" i="13" s="1"/>
  <c r="G2288" i="13"/>
  <c r="J2288" i="13" s="1"/>
  <c r="K2282" i="1"/>
  <c r="N2282" i="1" s="1"/>
  <c r="O2058" i="1"/>
  <c r="M2175" i="1"/>
  <c r="O2049" i="1"/>
  <c r="N2049" i="1"/>
  <c r="K2057" i="1"/>
  <c r="N2057" i="1" s="1"/>
  <c r="G2267" i="13"/>
  <c r="J2267" i="13" s="1"/>
  <c r="K2261" i="1"/>
  <c r="N2261" i="1" s="1"/>
  <c r="M2174" i="1"/>
  <c r="O2166" i="1"/>
  <c r="J2236" i="13"/>
  <c r="J2243" i="13" s="1"/>
  <c r="J2248" i="13" s="1"/>
  <c r="G2243" i="13"/>
  <c r="G2248" i="13" s="1"/>
  <c r="G2315" i="13"/>
  <c r="J2315" i="13" s="1"/>
  <c r="K2309" i="1"/>
  <c r="N2309" i="1" s="1"/>
  <c r="O2296" i="1"/>
  <c r="O2247" i="1"/>
  <c r="K2258" i="1"/>
  <c r="N2247" i="1"/>
  <c r="G2323" i="13"/>
  <c r="J2323" i="13" s="1"/>
  <c r="K2318" i="1"/>
  <c r="N2318" i="1" s="1"/>
  <c r="G2269" i="13"/>
  <c r="J2269" i="13" s="1"/>
  <c r="K2263" i="1"/>
  <c r="N2263" i="1" s="1"/>
  <c r="N2156" i="1"/>
  <c r="O2156" i="1"/>
  <c r="G2310" i="13"/>
  <c r="K2304" i="1"/>
  <c r="L2306" i="1"/>
  <c r="F262" i="15"/>
  <c r="F264" i="15" s="1"/>
  <c r="F265" i="15" s="1"/>
  <c r="G1975" i="13"/>
  <c r="G1976" i="13" s="1"/>
  <c r="G2274" i="13"/>
  <c r="J2274" i="13" s="1"/>
  <c r="K2268" i="1"/>
  <c r="N2268" i="1" s="1"/>
  <c r="N2120" i="1"/>
  <c r="O2120" i="1"/>
  <c r="J2196" i="13"/>
  <c r="J2200" i="13" s="1"/>
  <c r="G2200" i="13"/>
  <c r="G2305" i="13"/>
  <c r="K2299" i="1"/>
  <c r="L2303" i="1"/>
  <c r="G2187" i="13"/>
  <c r="J2184" i="13"/>
  <c r="J2187" i="13" s="1"/>
  <c r="N2143" i="1"/>
  <c r="K2153" i="1"/>
  <c r="L2174" i="1"/>
  <c r="L2176" i="1" s="1"/>
  <c r="L2177" i="1" s="1"/>
  <c r="G2207" i="13"/>
  <c r="J2205" i="13"/>
  <c r="J2207" i="13" s="1"/>
  <c r="N2257" i="1"/>
  <c r="O2257" i="1"/>
  <c r="K2314" i="1"/>
  <c r="G2319" i="13"/>
  <c r="J2319" i="13" s="1"/>
  <c r="K2287" i="1"/>
  <c r="N2287" i="1" s="1"/>
  <c r="G2293" i="13"/>
  <c r="J2293" i="13" s="1"/>
  <c r="K2281" i="1"/>
  <c r="N2281" i="1" s="1"/>
  <c r="G2287" i="13"/>
  <c r="J2287" i="13" s="1"/>
  <c r="G2306" i="13"/>
  <c r="J2306" i="13" s="1"/>
  <c r="K2300" i="1"/>
  <c r="N2300" i="1" s="1"/>
  <c r="G2314" i="13"/>
  <c r="J2314" i="13" s="1"/>
  <c r="K2308" i="1"/>
  <c r="G2280" i="13"/>
  <c r="J2280" i="13" s="1"/>
  <c r="K2274" i="1"/>
  <c r="O2281" i="1"/>
  <c r="G2302" i="13"/>
  <c r="J2302" i="13" s="1"/>
  <c r="K2296" i="1"/>
  <c r="N2296" i="1" s="1"/>
  <c r="O2268" i="1"/>
  <c r="G2091" i="13"/>
  <c r="G2092" i="13" s="1"/>
  <c r="F277" i="15" s="1"/>
  <c r="F279" i="15" s="1"/>
  <c r="O2186" i="1"/>
  <c r="J2091" i="13"/>
  <c r="J2092" i="13" s="1"/>
  <c r="I277" i="15" s="1"/>
  <c r="I279" i="15" s="1"/>
  <c r="K2161" i="1"/>
  <c r="N2161" i="1" s="1"/>
  <c r="N2154" i="1"/>
  <c r="O2154" i="1"/>
  <c r="G2051" i="13"/>
  <c r="G2065" i="13" s="1"/>
  <c r="G2066" i="13" s="1"/>
  <c r="F274" i="15" s="1"/>
  <c r="F276" i="15" s="1"/>
  <c r="M2203" i="1"/>
  <c r="K2269" i="1"/>
  <c r="N2269" i="1" s="1"/>
  <c r="G2275" i="13"/>
  <c r="J2275" i="13" s="1"/>
  <c r="L1268" i="17"/>
  <c r="K1276" i="17"/>
  <c r="Q1210" i="17"/>
  <c r="J1210" i="17"/>
  <c r="M1210" i="17" s="1"/>
  <c r="K1272" i="17"/>
  <c r="J1206" i="17"/>
  <c r="M1206" i="17" s="1"/>
  <c r="Q1206" i="17"/>
  <c r="K1264" i="17"/>
  <c r="Q1198" i="17"/>
  <c r="J1198" i="17"/>
  <c r="M1198" i="17" s="1"/>
  <c r="L1251" i="17"/>
  <c r="J1196" i="17"/>
  <c r="K1262" i="17"/>
  <c r="Q1196" i="17"/>
  <c r="K1250" i="17"/>
  <c r="Q1184" i="17"/>
  <c r="J1184" i="17"/>
  <c r="K1237" i="17"/>
  <c r="J1171" i="17"/>
  <c r="M1171" i="17" s="1"/>
  <c r="Q1171" i="17"/>
  <c r="K1273" i="17"/>
  <c r="J1207" i="17"/>
  <c r="Q1207" i="17"/>
  <c r="K1245" i="17"/>
  <c r="J1179" i="17"/>
  <c r="Q1179" i="17"/>
  <c r="K1186" i="17"/>
  <c r="K1268" i="17"/>
  <c r="J1202" i="17"/>
  <c r="M1202" i="17" s="1"/>
  <c r="Q1202" i="17"/>
  <c r="K1248" i="17"/>
  <c r="Q1182" i="17"/>
  <c r="J1182" i="17"/>
  <c r="K1270" i="17"/>
  <c r="Q1204" i="17"/>
  <c r="J1204" i="17"/>
  <c r="L1278" i="17"/>
  <c r="N1212" i="17"/>
  <c r="Q1195" i="17"/>
  <c r="K1261" i="17"/>
  <c r="J1195" i="17"/>
  <c r="K1278" i="17"/>
  <c r="J1212" i="17"/>
  <c r="M1212" i="17" s="1"/>
  <c r="Q1212" i="17"/>
  <c r="K1249" i="17"/>
  <c r="J1183" i="17"/>
  <c r="Q1183" i="17"/>
  <c r="K1241" i="17"/>
  <c r="J1175" i="17"/>
  <c r="M1175" i="17" s="1"/>
  <c r="Q1175" i="17"/>
  <c r="O2275" i="1"/>
  <c r="D270" i="15"/>
  <c r="N2008" i="1"/>
  <c r="K2025" i="1"/>
  <c r="O2008" i="1"/>
  <c r="N1844" i="1"/>
  <c r="O1844" i="1"/>
  <c r="K1852" i="1"/>
  <c r="K2262" i="1"/>
  <c r="N2262" i="1" s="1"/>
  <c r="G2268" i="13"/>
  <c r="J2268" i="13" s="1"/>
  <c r="N2159" i="1"/>
  <c r="O2159" i="1"/>
  <c r="M2270" i="1"/>
  <c r="K2302" i="1"/>
  <c r="N2302" i="1" s="1"/>
  <c r="G2308" i="13"/>
  <c r="J2308" i="13" s="1"/>
  <c r="O2313" i="1"/>
  <c r="M2316" i="1"/>
  <c r="E258" i="15"/>
  <c r="M2283" i="1"/>
  <c r="O2280" i="1"/>
  <c r="N1960" i="1"/>
  <c r="O1960" i="1"/>
  <c r="K1961" i="1"/>
  <c r="O2069" i="1"/>
  <c r="O2085" i="1"/>
  <c r="O2264" i="1"/>
  <c r="G2273" i="13"/>
  <c r="J2273" i="13" s="1"/>
  <c r="K2267" i="1"/>
  <c r="N2267" i="1" s="1"/>
  <c r="O2036" i="1"/>
  <c r="G2320" i="13"/>
  <c r="J2320" i="13" s="1"/>
  <c r="K2315" i="1"/>
  <c r="N2315" i="1" s="1"/>
  <c r="K2301" i="1"/>
  <c r="N2301" i="1" s="1"/>
  <c r="G2307" i="13"/>
  <c r="J2307" i="13" s="1"/>
  <c r="O2056" i="1"/>
  <c r="O2145" i="1"/>
  <c r="M2298" i="1"/>
  <c r="K2307" i="1"/>
  <c r="G2313" i="13"/>
  <c r="G2301" i="13"/>
  <c r="K2295" i="1"/>
  <c r="L2298" i="1"/>
  <c r="J2149" i="13"/>
  <c r="J2159" i="13" s="1"/>
  <c r="J2168" i="13" s="1"/>
  <c r="G2159" i="13"/>
  <c r="G2179" i="13"/>
  <c r="J2173" i="13"/>
  <c r="J2179" i="13" s="1"/>
  <c r="N2200" i="1"/>
  <c r="K2202" i="1"/>
  <c r="N2202" i="1" s="1"/>
  <c r="K2125" i="1"/>
  <c r="K2199" i="1"/>
  <c r="N2199" i="1" s="1"/>
  <c r="N2197" i="1"/>
  <c r="O2082" i="1"/>
  <c r="D219" i="15"/>
  <c r="E219" i="15" s="1"/>
  <c r="E217" i="15"/>
  <c r="O2314" i="1"/>
  <c r="N2191" i="1"/>
  <c r="O2191" i="1"/>
  <c r="G2283" i="13"/>
  <c r="J2283" i="13" s="1"/>
  <c r="K2277" i="1"/>
  <c r="N2277" i="1" s="1"/>
  <c r="G2271" i="13"/>
  <c r="J2271" i="13" s="1"/>
  <c r="K2265" i="1"/>
  <c r="N2265" i="1" s="1"/>
  <c r="O2164" i="1"/>
  <c r="N2221" i="1"/>
  <c r="O2221" i="1"/>
  <c r="O2288" i="1"/>
  <c r="K2288" i="1"/>
  <c r="N2288" i="1" s="1"/>
  <c r="G2294" i="13"/>
  <c r="J2294" i="13" s="1"/>
  <c r="O2182" i="1"/>
  <c r="K2285" i="1"/>
  <c r="N2285" i="1" s="1"/>
  <c r="G2291" i="13"/>
  <c r="J2291" i="13" s="1"/>
  <c r="O2169" i="1"/>
  <c r="J2051" i="13"/>
  <c r="J2065" i="13" s="1"/>
  <c r="J2066" i="13" s="1"/>
  <c r="I274" i="15" s="1"/>
  <c r="I276" i="15" s="1"/>
  <c r="I280" i="15" s="1"/>
  <c r="O2307" i="1"/>
  <c r="M2312" i="1"/>
  <c r="O2155" i="1"/>
  <c r="K1271" i="17"/>
  <c r="J1205" i="17"/>
  <c r="Q1205" i="17"/>
  <c r="K1281" i="17"/>
  <c r="Q1215" i="17"/>
  <c r="J1215" i="17"/>
  <c r="K1283" i="17"/>
  <c r="Q1217" i="17"/>
  <c r="J1217" i="17"/>
  <c r="Q1194" i="17"/>
  <c r="K1260" i="17"/>
  <c r="J1194" i="17"/>
  <c r="L1232" i="17"/>
  <c r="K1286" i="17"/>
  <c r="Q1220" i="17"/>
  <c r="J1220" i="17"/>
  <c r="M1220" i="17" s="1"/>
  <c r="K1287" i="17"/>
  <c r="Q1221" i="17"/>
  <c r="J1221" i="17"/>
  <c r="N1198" i="17"/>
  <c r="L1264" i="17"/>
  <c r="L1231" i="17"/>
  <c r="N1165" i="17"/>
  <c r="N1214" i="17"/>
  <c r="L1280" i="17"/>
  <c r="K1259" i="17"/>
  <c r="Q1193" i="17"/>
  <c r="J1193" i="17"/>
  <c r="J1174" i="17"/>
  <c r="K1240" i="17"/>
  <c r="Q1174" i="17"/>
  <c r="K1251" i="17"/>
  <c r="Q1185" i="17"/>
  <c r="J1185" i="17"/>
  <c r="M1185" i="17" s="1"/>
  <c r="N1206" i="17"/>
  <c r="L1272" i="17"/>
  <c r="K1265" i="17"/>
  <c r="Q1199" i="17"/>
  <c r="J1199" i="17"/>
  <c r="L1254" i="17"/>
  <c r="L1222" i="17"/>
  <c r="K1269" i="17"/>
  <c r="J1203" i="17"/>
  <c r="Q1203" i="17"/>
  <c r="L1177" i="17"/>
  <c r="L1236" i="17"/>
  <c r="N1170" i="17"/>
  <c r="L1274" i="17"/>
  <c r="N1208" i="17"/>
  <c r="K1255" i="17"/>
  <c r="Q1189" i="17"/>
  <c r="J1189" i="17"/>
  <c r="M1189" i="17" s="1"/>
  <c r="L1275" i="17"/>
  <c r="N1209" i="17"/>
  <c r="L1241" i="17"/>
  <c r="N1175" i="17"/>
  <c r="L1229" i="17"/>
  <c r="L1169" i="17"/>
  <c r="G2172" i="13"/>
  <c r="J2169" i="13"/>
  <c r="J2172" i="13" s="1"/>
  <c r="N1620" i="1"/>
  <c r="O1620" i="1"/>
  <c r="J2148" i="13"/>
  <c r="I286" i="15"/>
  <c r="I288" i="15" s="1"/>
  <c r="N2188" i="1"/>
  <c r="O2188" i="1"/>
  <c r="G2204" i="13"/>
  <c r="J2201" i="13"/>
  <c r="J2204" i="13" s="1"/>
  <c r="O2263" i="1"/>
  <c r="N1825" i="1"/>
  <c r="N1826" i="1" s="1"/>
  <c r="K1826" i="1"/>
  <c r="O2309" i="1"/>
  <c r="K2297" i="1"/>
  <c r="N2297" i="1" s="1"/>
  <c r="G2303" i="13"/>
  <c r="J2303" i="13" s="1"/>
  <c r="O1928" i="1"/>
  <c r="K1942" i="1"/>
  <c r="N1928" i="1"/>
  <c r="K2077" i="1"/>
  <c r="L2194" i="1"/>
  <c r="L2078" i="1"/>
  <c r="L2086" i="1" s="1"/>
  <c r="L2087" i="1" s="1"/>
  <c r="L2088" i="1" s="1"/>
  <c r="F280" i="15"/>
  <c r="N2064" i="1"/>
  <c r="O2147" i="1"/>
  <c r="M2059" i="1"/>
  <c r="O2045" i="1"/>
  <c r="O2044" i="1"/>
  <c r="K2286" i="1"/>
  <c r="N2286" i="1" s="1"/>
  <c r="G2292" i="13"/>
  <c r="J2292" i="13" s="1"/>
  <c r="N2187" i="1"/>
  <c r="K2189" i="1"/>
  <c r="O2187" i="1"/>
  <c r="G2295" i="13"/>
  <c r="J2295" i="13" s="1"/>
  <c r="K2289" i="1"/>
  <c r="N2289" i="1" s="1"/>
  <c r="N2190" i="1"/>
  <c r="G2192" i="13"/>
  <c r="J2188" i="13"/>
  <c r="J2192" i="13" s="1"/>
  <c r="O2287" i="1"/>
  <c r="D232" i="15"/>
  <c r="K1736" i="1"/>
  <c r="K1737" i="1" s="1"/>
  <c r="N1735" i="1"/>
  <c r="N1736" i="1" s="1"/>
  <c r="O1735" i="1"/>
  <c r="O1736" i="1" s="1"/>
  <c r="O2267" i="1"/>
  <c r="K2181" i="1"/>
  <c r="N2178" i="1"/>
  <c r="G2266" i="13"/>
  <c r="K2260" i="1"/>
  <c r="L2270" i="1"/>
  <c r="L2279" i="1" s="1"/>
  <c r="G2290" i="13"/>
  <c r="L2290" i="1"/>
  <c r="L2291" i="1" s="1"/>
  <c r="K2284" i="1"/>
  <c r="O2284" i="1" s="1"/>
  <c r="I1653" i="16"/>
  <c r="F1747" i="16"/>
  <c r="O2165" i="1"/>
  <c r="G2278" i="13"/>
  <c r="J2278" i="13" s="1"/>
  <c r="K2272" i="1"/>
  <c r="N2272" i="1" s="1"/>
  <c r="G2316" i="13"/>
  <c r="J2316" i="13" s="1"/>
  <c r="K2310" i="1"/>
  <c r="N2310" i="1" s="1"/>
  <c r="O2193" i="1"/>
  <c r="M2290" i="1"/>
  <c r="O2285" i="1"/>
  <c r="N2229" i="1"/>
  <c r="O2229" i="1"/>
  <c r="O2277" i="1"/>
  <c r="O2299" i="1"/>
  <c r="M2303" i="1"/>
  <c r="O2286" i="1"/>
  <c r="G2167" i="13"/>
  <c r="J2160" i="13"/>
  <c r="J2167" i="13" s="1"/>
  <c r="O2180" i="1"/>
  <c r="O2141" i="1"/>
  <c r="M2278" i="1"/>
  <c r="O2272" i="1"/>
  <c r="D231" i="15"/>
  <c r="E229" i="15"/>
  <c r="I1492" i="16"/>
  <c r="J242" i="15" s="1"/>
  <c r="F1581" i="16"/>
  <c r="I1480" i="16"/>
  <c r="J240" i="15" s="1"/>
  <c r="J241" i="15"/>
  <c r="I1494" i="16"/>
  <c r="I1639" i="16"/>
  <c r="F1733" i="16"/>
  <c r="I1622" i="16"/>
  <c r="F1716" i="16"/>
  <c r="I1524" i="16"/>
  <c r="J244" i="15" s="1"/>
  <c r="J246" i="15" s="1"/>
  <c r="I1565" i="16"/>
  <c r="F1659" i="16"/>
  <c r="I1551" i="16"/>
  <c r="J247" i="15" s="1"/>
  <c r="J249" i="15" s="1"/>
  <c r="I1573" i="16"/>
  <c r="F1667" i="16"/>
  <c r="I1569" i="16"/>
  <c r="F1663" i="16"/>
  <c r="I1577" i="16"/>
  <c r="F1671" i="16"/>
  <c r="I1638" i="16"/>
  <c r="F1732" i="16"/>
  <c r="I1630" i="16"/>
  <c r="F1724" i="16"/>
  <c r="I1626" i="16"/>
  <c r="F1720" i="16"/>
  <c r="I1617" i="16"/>
  <c r="F1711" i="16"/>
  <c r="I1613" i="16"/>
  <c r="F1707" i="16"/>
  <c r="I1609" i="16"/>
  <c r="F1703" i="16"/>
  <c r="I1605" i="16"/>
  <c r="F1699" i="16"/>
  <c r="I1601" i="16"/>
  <c r="F1695" i="16"/>
  <c r="I1614" i="16"/>
  <c r="F1708" i="16"/>
  <c r="I1610" i="16"/>
  <c r="F1704" i="16"/>
  <c r="I1606" i="16"/>
  <c r="F1700" i="16"/>
  <c r="I1602" i="16"/>
  <c r="F1696" i="16"/>
  <c r="I1597" i="16"/>
  <c r="F1691" i="16"/>
  <c r="I1593" i="16"/>
  <c r="F1687" i="16"/>
  <c r="I1660" i="16"/>
  <c r="F1754" i="16"/>
  <c r="I1641" i="16"/>
  <c r="F1735" i="16"/>
  <c r="I1637" i="16"/>
  <c r="F1731" i="16"/>
  <c r="I1633" i="16"/>
  <c r="F1727" i="16"/>
  <c r="I1625" i="16"/>
  <c r="F1719" i="16"/>
  <c r="I1580" i="16"/>
  <c r="F1674" i="16"/>
  <c r="I1596" i="16"/>
  <c r="F1690" i="16"/>
  <c r="I1400" i="16"/>
  <c r="I1460" i="16" s="1"/>
  <c r="I1567" i="16"/>
  <c r="F1661" i="16"/>
  <c r="I1579" i="16"/>
  <c r="F1673" i="16"/>
  <c r="I1644" i="16"/>
  <c r="F1738" i="16"/>
  <c r="I1640" i="16"/>
  <c r="F1734" i="16"/>
  <c r="I1636" i="16"/>
  <c r="F1730" i="16"/>
  <c r="I1632" i="16"/>
  <c r="F1726" i="16"/>
  <c r="I1628" i="16"/>
  <c r="F1722" i="16"/>
  <c r="I1621" i="16"/>
  <c r="F1715" i="16"/>
  <c r="I1571" i="16"/>
  <c r="F1665" i="16"/>
  <c r="I1615" i="16"/>
  <c r="F1709" i="16"/>
  <c r="I1611" i="16"/>
  <c r="F1705" i="16"/>
  <c r="I1607" i="16"/>
  <c r="F1701" i="16"/>
  <c r="I1603" i="16"/>
  <c r="F1697" i="16"/>
  <c r="I1616" i="16"/>
  <c r="F1710" i="16"/>
  <c r="I1612" i="16"/>
  <c r="F1706" i="16"/>
  <c r="I1608" i="16"/>
  <c r="F1702" i="16"/>
  <c r="I1604" i="16"/>
  <c r="F1698" i="16"/>
  <c r="I1600" i="16"/>
  <c r="F1694" i="16"/>
  <c r="I1599" i="16"/>
  <c r="F1693" i="16"/>
  <c r="I1595" i="16"/>
  <c r="F1689" i="16"/>
  <c r="I1592" i="16"/>
  <c r="F1686" i="16"/>
  <c r="I1591" i="16"/>
  <c r="F1685" i="16"/>
  <c r="F1494" i="16"/>
  <c r="F1554" i="16" s="1"/>
  <c r="I1676" i="16"/>
  <c r="F1770" i="16"/>
  <c r="I1669" i="16"/>
  <c r="F1763" i="16"/>
  <c r="I1563" i="16"/>
  <c r="F1657" i="16"/>
  <c r="I1643" i="16"/>
  <c r="F1737" i="16"/>
  <c r="I1635" i="16"/>
  <c r="F1729" i="16"/>
  <c r="I1631" i="16"/>
  <c r="F1725" i="16"/>
  <c r="I1627" i="16"/>
  <c r="F1721" i="16"/>
  <c r="I1578" i="16"/>
  <c r="F1672" i="16"/>
  <c r="I1598" i="16"/>
  <c r="F1692" i="16"/>
  <c r="I1594" i="16"/>
  <c r="F1688" i="16"/>
  <c r="I1590" i="16"/>
  <c r="F1684" i="16"/>
  <c r="F1749" i="16"/>
  <c r="I1655" i="16"/>
  <c r="I1777" i="16"/>
  <c r="F1874" i="16"/>
  <c r="I1874" i="16" s="1"/>
  <c r="F1764" i="16"/>
  <c r="I1670" i="16"/>
  <c r="I1570" i="16"/>
  <c r="F1664" i="16"/>
  <c r="I1584" i="16"/>
  <c r="F1678" i="16"/>
  <c r="I1562" i="16"/>
  <c r="F1656" i="16"/>
  <c r="I1583" i="16"/>
  <c r="F1677" i="16"/>
  <c r="I1572" i="16"/>
  <c r="F1666" i="16"/>
  <c r="I1568" i="16"/>
  <c r="F1662" i="16"/>
  <c r="I1585" i="16"/>
  <c r="F1679" i="16"/>
  <c r="I1807" i="16"/>
  <c r="F1904" i="16"/>
  <c r="J235" i="15"/>
  <c r="I1620" i="16"/>
  <c r="F1714" i="16"/>
  <c r="F1645" i="16"/>
  <c r="I1634" i="16"/>
  <c r="F1728" i="16"/>
  <c r="I1624" i="16"/>
  <c r="F1718" i="16"/>
  <c r="I1564" i="16"/>
  <c r="F1658" i="16"/>
  <c r="I1629" i="16"/>
  <c r="F1723" i="16"/>
  <c r="I1560" i="16"/>
  <c r="F1654" i="16"/>
  <c r="F1574" i="16"/>
  <c r="F1586" i="16"/>
  <c r="N1031" i="17"/>
  <c r="J1097" i="17"/>
  <c r="M1097" i="17" s="1"/>
  <c r="N1041" i="17"/>
  <c r="N1048" i="17"/>
  <c r="N923" i="17"/>
  <c r="N1070" i="17"/>
  <c r="N988" i="17"/>
  <c r="N979" i="17"/>
  <c r="H235" i="15"/>
  <c r="Q971" i="17"/>
  <c r="H240" i="15" s="1"/>
  <c r="H243" i="15" s="1"/>
  <c r="N1066" i="17"/>
  <c r="N1077" i="17"/>
  <c r="J1139" i="17"/>
  <c r="Q1139" i="17"/>
  <c r="M1065" i="17"/>
  <c r="N1065" i="17"/>
  <c r="J1131" i="17"/>
  <c r="Q1131" i="17"/>
  <c r="M1058" i="17"/>
  <c r="N1058" i="17"/>
  <c r="Q1054" i="17"/>
  <c r="Q1055" i="17" s="1"/>
  <c r="H259" i="15" s="1"/>
  <c r="H261" i="15" s="1"/>
  <c r="J1149" i="17"/>
  <c r="Q1149" i="17"/>
  <c r="J1148" i="17"/>
  <c r="M1148" i="17" s="1"/>
  <c r="Q1148" i="17"/>
  <c r="J1143" i="17"/>
  <c r="M1143" i="17" s="1"/>
  <c r="Q1143" i="17"/>
  <c r="M968" i="17"/>
  <c r="N968" i="17"/>
  <c r="J1144" i="17"/>
  <c r="M1144" i="17" s="1"/>
  <c r="Q1144" i="17"/>
  <c r="M1068" i="17"/>
  <c r="N1068" i="17"/>
  <c r="Q1134" i="17"/>
  <c r="J1134" i="17"/>
  <c r="J1140" i="17"/>
  <c r="M1140" i="17" s="1"/>
  <c r="Q1140" i="17"/>
  <c r="J971" i="17"/>
  <c r="G240" i="15"/>
  <c r="G243" i="15" s="1"/>
  <c r="G250" i="15" s="1"/>
  <c r="K980" i="17"/>
  <c r="K1026" i="17" s="1"/>
  <c r="M1085" i="17"/>
  <c r="N1085" i="17"/>
  <c r="M1062" i="17"/>
  <c r="N1062" i="17"/>
  <c r="J1128" i="17"/>
  <c r="Q1128" i="17"/>
  <c r="K1102" i="17"/>
  <c r="K1168" i="17" s="1"/>
  <c r="Q1036" i="17"/>
  <c r="J1036" i="17"/>
  <c r="Q1154" i="17"/>
  <c r="J1154" i="17"/>
  <c r="M1154" i="17" s="1"/>
  <c r="N1056" i="17"/>
  <c r="M1056" i="17"/>
  <c r="J1090" i="17"/>
  <c r="N1090" i="17" s="1"/>
  <c r="J1122" i="17"/>
  <c r="N1122" i="17" s="1"/>
  <c r="Q1122" i="17"/>
  <c r="K1156" i="17"/>
  <c r="K1157" i="17" s="1"/>
  <c r="Q1130" i="17"/>
  <c r="J1130" i="17"/>
  <c r="Q1118" i="17"/>
  <c r="J1118" i="17"/>
  <c r="M959" i="17"/>
  <c r="K1037" i="17"/>
  <c r="L1103" i="17"/>
  <c r="M1075" i="17"/>
  <c r="N1075" i="17"/>
  <c r="Q1141" i="17"/>
  <c r="J1141" i="17"/>
  <c r="Q1113" i="17"/>
  <c r="J1113" i="17"/>
  <c r="N1113" i="17" s="1"/>
  <c r="K1120" i="17"/>
  <c r="K1121" i="17" s="1"/>
  <c r="G274" i="15" s="1"/>
  <c r="G276" i="15" s="1"/>
  <c r="L1055" i="17"/>
  <c r="M1042" i="17"/>
  <c r="N1042" i="17"/>
  <c r="Q1136" i="17"/>
  <c r="J1136" i="17"/>
  <c r="M1136" i="17" s="1"/>
  <c r="M1060" i="17"/>
  <c r="N1060" i="17"/>
  <c r="Q1116" i="17"/>
  <c r="J1116" i="17"/>
  <c r="Q1138" i="17"/>
  <c r="J1138" i="17"/>
  <c r="Q1125" i="17"/>
  <c r="J1125" i="17"/>
  <c r="M1125" i="17" s="1"/>
  <c r="M1063" i="17"/>
  <c r="N1063" i="17"/>
  <c r="J1129" i="17"/>
  <c r="Q1129" i="17"/>
  <c r="N1074" i="17"/>
  <c r="Q1146" i="17"/>
  <c r="J1146" i="17"/>
  <c r="M1146" i="17" s="1"/>
  <c r="Q1090" i="17"/>
  <c r="Q1091" i="17" s="1"/>
  <c r="L1091" i="17"/>
  <c r="M1079" i="17"/>
  <c r="N1079" i="17"/>
  <c r="J1145" i="17"/>
  <c r="Q1145" i="17"/>
  <c r="L1111" i="17"/>
  <c r="Q1123" i="17"/>
  <c r="J1123" i="17"/>
  <c r="M1123" i="17" s="1"/>
  <c r="Q1142" i="17"/>
  <c r="J1142" i="17"/>
  <c r="M1142" i="17" s="1"/>
  <c r="M1081" i="17"/>
  <c r="N1081" i="17"/>
  <c r="J1147" i="17"/>
  <c r="Q1147" i="17"/>
  <c r="Q1104" i="17"/>
  <c r="J1104" i="17"/>
  <c r="N1104" i="17" s="1"/>
  <c r="K1111" i="17"/>
  <c r="G271" i="15" s="1"/>
  <c r="M850" i="17"/>
  <c r="N850" i="17"/>
  <c r="M1073" i="17"/>
  <c r="N1073" i="17"/>
  <c r="M1049" i="17"/>
  <c r="N1049" i="17"/>
  <c r="Q1115" i="17"/>
  <c r="J1115" i="17"/>
  <c r="M1040" i="17"/>
  <c r="N1040" i="17"/>
  <c r="J1106" i="17"/>
  <c r="Q1106" i="17"/>
  <c r="Q1124" i="17"/>
  <c r="J1124" i="17"/>
  <c r="M1069" i="17"/>
  <c r="N1069" i="17"/>
  <c r="J1135" i="17"/>
  <c r="Q1135" i="17"/>
  <c r="Q1114" i="17"/>
  <c r="J1114" i="17"/>
  <c r="M1114" i="17" s="1"/>
  <c r="M1083" i="17"/>
  <c r="N1083" i="17"/>
  <c r="J894" i="17"/>
  <c r="K1100" i="17"/>
  <c r="K1166" i="17" s="1"/>
  <c r="Q1034" i="17"/>
  <c r="J1034" i="17"/>
  <c r="Q1150" i="17"/>
  <c r="J1150" i="17"/>
  <c r="M1150" i="17" s="1"/>
  <c r="M905" i="17"/>
  <c r="J914" i="17"/>
  <c r="N905" i="17"/>
  <c r="J1151" i="17"/>
  <c r="Q1151" i="17"/>
  <c r="N1057" i="17"/>
  <c r="Q989" i="17"/>
  <c r="H244" i="15"/>
  <c r="H246" i="15" s="1"/>
  <c r="Q1132" i="17"/>
  <c r="J1132" i="17"/>
  <c r="M1132" i="17" s="1"/>
  <c r="M970" i="17"/>
  <c r="N970" i="17"/>
  <c r="Q1107" i="17"/>
  <c r="J1107" i="17"/>
  <c r="M1107" i="17" s="1"/>
  <c r="G262" i="15"/>
  <c r="G264" i="15" s="1"/>
  <c r="N959" i="17"/>
  <c r="H247" i="15"/>
  <c r="H249" i="15" s="1"/>
  <c r="M1044" i="17"/>
  <c r="N1044" i="17"/>
  <c r="Q1110" i="17"/>
  <c r="J1110" i="17"/>
  <c r="M1089" i="17"/>
  <c r="N1089" i="17"/>
  <c r="Q1155" i="17"/>
  <c r="J1155" i="17"/>
  <c r="M1064" i="17"/>
  <c r="N1064" i="17"/>
  <c r="M1052" i="17"/>
  <c r="N1052" i="17"/>
  <c r="Q1105" i="17"/>
  <c r="J1105" i="17"/>
  <c r="M1105" i="17" s="1"/>
  <c r="M1033" i="17"/>
  <c r="Q1099" i="17"/>
  <c r="J1099" i="17"/>
  <c r="N1099" i="17" s="1"/>
  <c r="L1046" i="17"/>
  <c r="N1033" i="17"/>
  <c r="N1082" i="17"/>
  <c r="K1055" i="17"/>
  <c r="G259" i="15"/>
  <c r="G261" i="15" s="1"/>
  <c r="M1047" i="17"/>
  <c r="J1054" i="17"/>
  <c r="M1054" i="17" s="1"/>
  <c r="M1061" i="17"/>
  <c r="N1061" i="17"/>
  <c r="J1127" i="17"/>
  <c r="Q1127" i="17"/>
  <c r="L1120" i="17"/>
  <c r="Q1108" i="17"/>
  <c r="J1108" i="17"/>
  <c r="Q1126" i="17"/>
  <c r="J1126" i="17"/>
  <c r="M1050" i="17"/>
  <c r="N1050" i="17"/>
  <c r="M1072" i="17"/>
  <c r="N1072" i="17"/>
  <c r="Q1119" i="17"/>
  <c r="J1119" i="17"/>
  <c r="M1119" i="17" s="1"/>
  <c r="J1025" i="17"/>
  <c r="N1025" i="17" s="1"/>
  <c r="M1024" i="17"/>
  <c r="N1039" i="17"/>
  <c r="M1067" i="17"/>
  <c r="N1067" i="17"/>
  <c r="J1133" i="17"/>
  <c r="Q1133" i="17"/>
  <c r="M969" i="17"/>
  <c r="N969" i="17"/>
  <c r="J1035" i="17"/>
  <c r="K1101" i="17"/>
  <c r="K1167" i="17" s="1"/>
  <c r="Q1035" i="17"/>
  <c r="L1156" i="17"/>
  <c r="L1026" i="17"/>
  <c r="M1071" i="17"/>
  <c r="N1071" i="17"/>
  <c r="Q1137" i="17"/>
  <c r="J1137" i="17"/>
  <c r="N1078" i="17"/>
  <c r="M1051" i="17"/>
  <c r="N1051" i="17"/>
  <c r="Q1117" i="17"/>
  <c r="J1117" i="17"/>
  <c r="J989" i="17"/>
  <c r="M989" i="17" s="1"/>
  <c r="Q1045" i="17"/>
  <c r="H256" i="15" s="1"/>
  <c r="M1038" i="17"/>
  <c r="J1045" i="17"/>
  <c r="M1045" i="17" s="1"/>
  <c r="N1043" i="17"/>
  <c r="Q1109" i="17"/>
  <c r="J1109" i="17"/>
  <c r="M1109" i="17" s="1"/>
  <c r="N830" i="17"/>
  <c r="G22" i="15"/>
  <c r="G24" i="15" s="1"/>
  <c r="G25" i="15" s="1"/>
  <c r="K72" i="17"/>
  <c r="M68" i="17"/>
  <c r="N68" i="17"/>
  <c r="J70" i="17"/>
  <c r="H22" i="15"/>
  <c r="H24" i="15" s="1"/>
  <c r="H25" i="15" s="1"/>
  <c r="Q72" i="17"/>
  <c r="N1737" i="1" l="1"/>
  <c r="O1737" i="1"/>
  <c r="F300" i="15"/>
  <c r="F303" i="15" s="1"/>
  <c r="G2265" i="13"/>
  <c r="J2265" i="13"/>
  <c r="I300" i="15"/>
  <c r="I303" i="15" s="1"/>
  <c r="D300" i="15"/>
  <c r="K2259" i="1"/>
  <c r="N2242" i="1"/>
  <c r="O2242" i="1"/>
  <c r="N2181" i="1"/>
  <c r="N2077" i="1"/>
  <c r="O2077" i="1"/>
  <c r="K2078" i="1"/>
  <c r="L1178" i="17"/>
  <c r="J1255" i="17"/>
  <c r="M1255" i="17" s="1"/>
  <c r="Q1255" i="17"/>
  <c r="L1243" i="17"/>
  <c r="J1269" i="17"/>
  <c r="Q1269" i="17"/>
  <c r="Q1240" i="17"/>
  <c r="J1240" i="17"/>
  <c r="Q1259" i="17"/>
  <c r="J1259" i="17"/>
  <c r="Q1286" i="17"/>
  <c r="J1286" i="17"/>
  <c r="M1286" i="17" s="1"/>
  <c r="J1260" i="17"/>
  <c r="Q1260" i="17"/>
  <c r="Q1283" i="17"/>
  <c r="J1283" i="17"/>
  <c r="D285" i="15"/>
  <c r="K2142" i="1"/>
  <c r="N2125" i="1"/>
  <c r="O2125" i="1"/>
  <c r="K2298" i="1"/>
  <c r="N2295" i="1"/>
  <c r="G2317" i="13"/>
  <c r="J2313" i="13"/>
  <c r="J2317" i="13" s="1"/>
  <c r="O2289" i="1"/>
  <c r="M2279" i="1"/>
  <c r="O2270" i="1"/>
  <c r="M1183" i="17"/>
  <c r="N1183" i="17"/>
  <c r="Q1278" i="17"/>
  <c r="J1278" i="17"/>
  <c r="M1278" i="17" s="1"/>
  <c r="Q1270" i="17"/>
  <c r="J1270" i="17"/>
  <c r="Q1186" i="17"/>
  <c r="M1207" i="17"/>
  <c r="N1207" i="17"/>
  <c r="J1237" i="17"/>
  <c r="M1237" i="17" s="1"/>
  <c r="Q1237" i="17"/>
  <c r="N1185" i="17"/>
  <c r="J2305" i="13"/>
  <c r="J2309" i="13" s="1"/>
  <c r="G2309" i="13"/>
  <c r="O2181" i="1"/>
  <c r="M2292" i="1"/>
  <c r="N2280" i="1"/>
  <c r="K2283" i="1"/>
  <c r="M1213" i="17"/>
  <c r="N1213" i="17"/>
  <c r="Q1274" i="17"/>
  <c r="J1274" i="17"/>
  <c r="M1274" i="17" s="1"/>
  <c r="M1192" i="17"/>
  <c r="N1192" i="17"/>
  <c r="Q1222" i="17"/>
  <c r="Q1223" i="17" s="1"/>
  <c r="Q1282" i="17"/>
  <c r="J1282" i="17"/>
  <c r="M1282" i="17" s="1"/>
  <c r="N1246" i="17"/>
  <c r="Q1256" i="17"/>
  <c r="J1256" i="17"/>
  <c r="J1263" i="17"/>
  <c r="Q1263" i="17"/>
  <c r="O2297" i="1"/>
  <c r="O2310" i="1"/>
  <c r="G2324" i="13"/>
  <c r="J2322" i="13"/>
  <c r="J2324" i="13" s="1"/>
  <c r="O2269" i="1"/>
  <c r="O2266" i="1"/>
  <c r="K2059" i="1"/>
  <c r="N2045" i="1"/>
  <c r="O2057" i="1"/>
  <c r="Q1277" i="17"/>
  <c r="J1277" i="17"/>
  <c r="Q1257" i="17"/>
  <c r="J1257" i="17"/>
  <c r="M1257" i="17" s="1"/>
  <c r="L1252" i="17"/>
  <c r="N1220" i="17"/>
  <c r="Q1275" i="17"/>
  <c r="J1275" i="17"/>
  <c r="M1275" i="17" s="1"/>
  <c r="J1167" i="17"/>
  <c r="K1233" i="17"/>
  <c r="Q1167" i="17"/>
  <c r="O2290" i="1"/>
  <c r="N2284" i="1"/>
  <c r="K2290" i="1"/>
  <c r="N2290" i="1" s="1"/>
  <c r="N2260" i="1"/>
  <c r="K2270" i="1"/>
  <c r="D234" i="15"/>
  <c r="E234" i="15" s="1"/>
  <c r="E232" i="15"/>
  <c r="M2060" i="1"/>
  <c r="O2059" i="1"/>
  <c r="O2060" i="1" s="1"/>
  <c r="L1235" i="17"/>
  <c r="N1275" i="17"/>
  <c r="N1177" i="17"/>
  <c r="L1223" i="17"/>
  <c r="Q1265" i="17"/>
  <c r="J1265" i="17"/>
  <c r="M1174" i="17"/>
  <c r="N1174" i="17"/>
  <c r="J1287" i="17"/>
  <c r="Q1287" i="17"/>
  <c r="M1215" i="17"/>
  <c r="N1215" i="17"/>
  <c r="M1205" i="17"/>
  <c r="N1205" i="17"/>
  <c r="G2168" i="13"/>
  <c r="G2304" i="13"/>
  <c r="J2301" i="13"/>
  <c r="J2304" i="13" s="1"/>
  <c r="N2307" i="1"/>
  <c r="N1961" i="1"/>
  <c r="O1961" i="1"/>
  <c r="K1969" i="1"/>
  <c r="M2291" i="1"/>
  <c r="O2260" i="1"/>
  <c r="D273" i="15"/>
  <c r="E270" i="15"/>
  <c r="Q1249" i="17"/>
  <c r="J1249" i="17"/>
  <c r="M1195" i="17"/>
  <c r="N1195" i="17"/>
  <c r="N1278" i="17"/>
  <c r="M1182" i="17"/>
  <c r="N1182" i="17"/>
  <c r="M1179" i="17"/>
  <c r="J1186" i="17"/>
  <c r="M1186" i="17" s="1"/>
  <c r="J1273" i="17"/>
  <c r="Q1273" i="17"/>
  <c r="M1184" i="17"/>
  <c r="N1184" i="17"/>
  <c r="Q1262" i="17"/>
  <c r="J1262" i="17"/>
  <c r="Q1276" i="17"/>
  <c r="J1276" i="17"/>
  <c r="M1276" i="17" s="1"/>
  <c r="N2274" i="1"/>
  <c r="O2274" i="1"/>
  <c r="O2153" i="1"/>
  <c r="N2153" i="1"/>
  <c r="K2162" i="1"/>
  <c r="G2208" i="13"/>
  <c r="G2209" i="13" s="1"/>
  <c r="F292" i="15" s="1"/>
  <c r="F294" i="15" s="1"/>
  <c r="J2093" i="13"/>
  <c r="N2304" i="1"/>
  <c r="K2306" i="1"/>
  <c r="O2304" i="1"/>
  <c r="N2276" i="1"/>
  <c r="O2276" i="1"/>
  <c r="N2305" i="1"/>
  <c r="O2305" i="1"/>
  <c r="G2289" i="13"/>
  <c r="J2286" i="13"/>
  <c r="J2289" i="13" s="1"/>
  <c r="Q1163" i="17"/>
  <c r="K1229" i="17"/>
  <c r="J1163" i="17"/>
  <c r="K1169" i="17"/>
  <c r="Q1258" i="17"/>
  <c r="J1258" i="17"/>
  <c r="Q1231" i="17"/>
  <c r="J1231" i="17"/>
  <c r="M1231" i="17" s="1"/>
  <c r="J1254" i="17"/>
  <c r="Q1254" i="17"/>
  <c r="K1288" i="17"/>
  <c r="K1289" i="17" s="1"/>
  <c r="G307" i="15" s="1"/>
  <c r="G309" i="15" s="1"/>
  <c r="N1216" i="17"/>
  <c r="M1181" i="17"/>
  <c r="N1181" i="17"/>
  <c r="N2271" i="1"/>
  <c r="K2278" i="1"/>
  <c r="N2278" i="1" s="1"/>
  <c r="O2271" i="1"/>
  <c r="N2273" i="1"/>
  <c r="O2273" i="1"/>
  <c r="M1170" i="17"/>
  <c r="J1177" i="17"/>
  <c r="M1177" i="17" s="1"/>
  <c r="N1210" i="17"/>
  <c r="N1171" i="17"/>
  <c r="M1176" i="17"/>
  <c r="N1176" i="17"/>
  <c r="N1189" i="17"/>
  <c r="Q1266" i="17"/>
  <c r="J1266" i="17"/>
  <c r="M1172" i="17"/>
  <c r="N1172" i="17"/>
  <c r="K1234" i="17"/>
  <c r="Q1168" i="17"/>
  <c r="J1168" i="17"/>
  <c r="K1232" i="17"/>
  <c r="Q1166" i="17"/>
  <c r="J1166" i="17"/>
  <c r="J243" i="15"/>
  <c r="J2266" i="13"/>
  <c r="J2276" i="13" s="1"/>
  <c r="G2276" i="13"/>
  <c r="G2285" i="13" s="1"/>
  <c r="N1942" i="1"/>
  <c r="N1943" i="1" s="1"/>
  <c r="K1943" i="1"/>
  <c r="J2180" i="13"/>
  <c r="J2182" i="13" s="1"/>
  <c r="J2183" i="13" s="1"/>
  <c r="N1274" i="17"/>
  <c r="L1288" i="17"/>
  <c r="N1272" i="17"/>
  <c r="J1251" i="17"/>
  <c r="M1251" i="17" s="1"/>
  <c r="Q1251" i="17"/>
  <c r="M1193" i="17"/>
  <c r="N1193" i="17"/>
  <c r="M1217" i="17"/>
  <c r="N1217" i="17"/>
  <c r="J1271" i="17"/>
  <c r="Q1271" i="17"/>
  <c r="O2295" i="1"/>
  <c r="O2302" i="1"/>
  <c r="Q1241" i="17"/>
  <c r="J1241" i="17"/>
  <c r="M1241" i="17" s="1"/>
  <c r="J1261" i="17"/>
  <c r="Q1261" i="17"/>
  <c r="M1204" i="17"/>
  <c r="N1204" i="17"/>
  <c r="Q1268" i="17"/>
  <c r="J1268" i="17"/>
  <c r="M1268" i="17" s="1"/>
  <c r="Q1245" i="17"/>
  <c r="J1245" i="17"/>
  <c r="K1252" i="17"/>
  <c r="K1253" i="17" s="1"/>
  <c r="G304" i="15" s="1"/>
  <c r="G306" i="15" s="1"/>
  <c r="M1196" i="17"/>
  <c r="N1196" i="17"/>
  <c r="Q1272" i="17"/>
  <c r="J1272" i="17"/>
  <c r="M1272" i="17" s="1"/>
  <c r="N1202" i="17"/>
  <c r="O2300" i="1"/>
  <c r="J2208" i="13"/>
  <c r="J2209" i="13" s="1"/>
  <c r="I292" i="15" s="1"/>
  <c r="I294" i="15" s="1"/>
  <c r="G2312" i="13"/>
  <c r="J2310" i="13"/>
  <c r="J2312" i="13" s="1"/>
  <c r="O2315" i="1"/>
  <c r="O2199" i="1"/>
  <c r="Q1279" i="17"/>
  <c r="J1279" i="17"/>
  <c r="G292" i="15"/>
  <c r="G294" i="15" s="1"/>
  <c r="N1282" i="17"/>
  <c r="Q1246" i="17"/>
  <c r="J1246" i="17"/>
  <c r="M1246" i="17" s="1"/>
  <c r="M1197" i="17"/>
  <c r="N1197" i="17"/>
  <c r="J1247" i="17"/>
  <c r="Q1247" i="17"/>
  <c r="K2175" i="1"/>
  <c r="N2175" i="1" s="1"/>
  <c r="L2292" i="1"/>
  <c r="G2181" i="13"/>
  <c r="J2181" i="13" s="1"/>
  <c r="G2284" i="13"/>
  <c r="J2277" i="13"/>
  <c r="J2284" i="13" s="1"/>
  <c r="K2319" i="1"/>
  <c r="N2319" i="1" s="1"/>
  <c r="N2317" i="1"/>
  <c r="N2237" i="1"/>
  <c r="O2237" i="1"/>
  <c r="M2176" i="1"/>
  <c r="G2321" i="13"/>
  <c r="J2318" i="13"/>
  <c r="J2321" i="13" s="1"/>
  <c r="E216" i="15"/>
  <c r="D220" i="15"/>
  <c r="E220" i="15" s="1"/>
  <c r="N2166" i="1"/>
  <c r="K2174" i="1"/>
  <c r="N2174" i="1" s="1"/>
  <c r="Q1177" i="17"/>
  <c r="H286" i="15" s="1"/>
  <c r="N1237" i="17"/>
  <c r="L1187" i="17"/>
  <c r="N1186" i="17"/>
  <c r="Q1239" i="17"/>
  <c r="J1239" i="17"/>
  <c r="M1239" i="17" s="1"/>
  <c r="N1255" i="17"/>
  <c r="M1201" i="17"/>
  <c r="N1201" i="17"/>
  <c r="J1238" i="17"/>
  <c r="Q1238" i="17"/>
  <c r="E231" i="15"/>
  <c r="D235" i="15"/>
  <c r="E235" i="15" s="1"/>
  <c r="F1841" i="16"/>
  <c r="I1841" i="16" s="1"/>
  <c r="I1747" i="16"/>
  <c r="G2296" i="13"/>
  <c r="J2290" i="13"/>
  <c r="J2296" i="13" s="1"/>
  <c r="O2265" i="1"/>
  <c r="N2189" i="1"/>
  <c r="O2189" i="1"/>
  <c r="K2194" i="1"/>
  <c r="L2311" i="1"/>
  <c r="L2195" i="1"/>
  <c r="L2203" i="1" s="1"/>
  <c r="L2204" i="1" s="1"/>
  <c r="L2205" i="1" s="1"/>
  <c r="D244" i="15"/>
  <c r="K1854" i="1"/>
  <c r="G2180" i="13"/>
  <c r="N1241" i="17"/>
  <c r="M1203" i="17"/>
  <c r="N1203" i="17"/>
  <c r="M1199" i="17"/>
  <c r="N1199" i="17"/>
  <c r="M1221" i="17"/>
  <c r="N1221" i="17"/>
  <c r="M1194" i="17"/>
  <c r="N1194" i="17"/>
  <c r="J1281" i="17"/>
  <c r="Q1281" i="17"/>
  <c r="M2320" i="1"/>
  <c r="O2298" i="1"/>
  <c r="G2093" i="13"/>
  <c r="O2316" i="1"/>
  <c r="O1852" i="1"/>
  <c r="O1853" i="1" s="1"/>
  <c r="K1853" i="1"/>
  <c r="D247" i="15" s="1"/>
  <c r="N1852" i="1"/>
  <c r="N1853" i="1" s="1"/>
  <c r="N2025" i="1"/>
  <c r="O2025" i="1"/>
  <c r="Q1248" i="17"/>
  <c r="J1248" i="17"/>
  <c r="K1187" i="17"/>
  <c r="G289" i="15"/>
  <c r="G291" i="15" s="1"/>
  <c r="Q1250" i="17"/>
  <c r="J1250" i="17"/>
  <c r="Q1264" i="17"/>
  <c r="J1264" i="17"/>
  <c r="M1264" i="17" s="1"/>
  <c r="N1268" i="17"/>
  <c r="M2204" i="1"/>
  <c r="O2318" i="1"/>
  <c r="N2308" i="1"/>
  <c r="O2308" i="1"/>
  <c r="K2316" i="1"/>
  <c r="N2316" i="1" s="1"/>
  <c r="N2314" i="1"/>
  <c r="O2202" i="1"/>
  <c r="N2299" i="1"/>
  <c r="K2303" i="1"/>
  <c r="N2303" i="1" s="1"/>
  <c r="O2262" i="1"/>
  <c r="O2258" i="1"/>
  <c r="D301" i="15"/>
  <c r="E301" i="15" s="1"/>
  <c r="N2258" i="1"/>
  <c r="O2301" i="1"/>
  <c r="O1942" i="1"/>
  <c r="O1943" i="1" s="1"/>
  <c r="N1257" i="17"/>
  <c r="N1188" i="17"/>
  <c r="J1222" i="17"/>
  <c r="M1188" i="17"/>
  <c r="N1180" i="17"/>
  <c r="Q1280" i="17"/>
  <c r="J1280" i="17"/>
  <c r="M1280" i="17" s="1"/>
  <c r="M1190" i="17"/>
  <c r="N1190" i="17"/>
  <c r="O2161" i="1"/>
  <c r="M2088" i="1"/>
  <c r="O2261" i="1"/>
  <c r="J1236" i="17"/>
  <c r="N1236" i="17" s="1"/>
  <c r="Q1236" i="17"/>
  <c r="K1243" i="17"/>
  <c r="G301" i="15" s="1"/>
  <c r="M1211" i="17"/>
  <c r="N1211" i="17"/>
  <c r="N1179" i="17"/>
  <c r="Q1242" i="17"/>
  <c r="J1242" i="17"/>
  <c r="N1286" i="17"/>
  <c r="M1200" i="17"/>
  <c r="N1200" i="17"/>
  <c r="Q1267" i="17"/>
  <c r="J1267" i="17"/>
  <c r="I1586" i="16"/>
  <c r="J257" i="15" s="1"/>
  <c r="I1581" i="16"/>
  <c r="J256" i="15" s="1"/>
  <c r="J250" i="15"/>
  <c r="F1588" i="16"/>
  <c r="F1648" i="16" s="1"/>
  <c r="I1714" i="16"/>
  <c r="F1808" i="16"/>
  <c r="F1739" i="16"/>
  <c r="I1904" i="16"/>
  <c r="I1764" i="16"/>
  <c r="F1861" i="16"/>
  <c r="I1861" i="16" s="1"/>
  <c r="I1684" i="16"/>
  <c r="F1778" i="16"/>
  <c r="I1688" i="16"/>
  <c r="F1782" i="16"/>
  <c r="I1692" i="16"/>
  <c r="F1786" i="16"/>
  <c r="I1672" i="16"/>
  <c r="F1766" i="16"/>
  <c r="I1721" i="16"/>
  <c r="F1815" i="16"/>
  <c r="I1725" i="16"/>
  <c r="F1819" i="16"/>
  <c r="I1729" i="16"/>
  <c r="F1823" i="16"/>
  <c r="I1737" i="16"/>
  <c r="F1831" i="16"/>
  <c r="I1657" i="16"/>
  <c r="F1751" i="16"/>
  <c r="F1675" i="16"/>
  <c r="F1867" i="16"/>
  <c r="I1770" i="16"/>
  <c r="I1690" i="16"/>
  <c r="F1784" i="16"/>
  <c r="I1674" i="16"/>
  <c r="F1768" i="16"/>
  <c r="I1719" i="16"/>
  <c r="F1813" i="16"/>
  <c r="I1727" i="16"/>
  <c r="F1821" i="16"/>
  <c r="I1731" i="16"/>
  <c r="F1825" i="16"/>
  <c r="I1735" i="16"/>
  <c r="F1829" i="16"/>
  <c r="I1754" i="16"/>
  <c r="F1848" i="16"/>
  <c r="I1848" i="16" s="1"/>
  <c r="I1687" i="16"/>
  <c r="F1781" i="16"/>
  <c r="I1691" i="16"/>
  <c r="F1785" i="16"/>
  <c r="I1696" i="16"/>
  <c r="F1790" i="16"/>
  <c r="I1700" i="16"/>
  <c r="F1794" i="16"/>
  <c r="I1704" i="16"/>
  <c r="F1798" i="16"/>
  <c r="I1708" i="16"/>
  <c r="F1802" i="16"/>
  <c r="I1695" i="16"/>
  <c r="F1789" i="16"/>
  <c r="I1699" i="16"/>
  <c r="F1793" i="16"/>
  <c r="I1703" i="16"/>
  <c r="F1797" i="16"/>
  <c r="I1707" i="16"/>
  <c r="F1801" i="16"/>
  <c r="I1711" i="16"/>
  <c r="F1805" i="16"/>
  <c r="I1720" i="16"/>
  <c r="F1814" i="16"/>
  <c r="I1724" i="16"/>
  <c r="F1818" i="16"/>
  <c r="I1732" i="16"/>
  <c r="F1826" i="16"/>
  <c r="I1671" i="16"/>
  <c r="F1765" i="16"/>
  <c r="I1663" i="16"/>
  <c r="F1757" i="16"/>
  <c r="I1667" i="16"/>
  <c r="F1761" i="16"/>
  <c r="F1753" i="16"/>
  <c r="I1659" i="16"/>
  <c r="I1654" i="16"/>
  <c r="F1748" i="16"/>
  <c r="F1668" i="16"/>
  <c r="I1723" i="16"/>
  <c r="F1817" i="16"/>
  <c r="I1658" i="16"/>
  <c r="F1752" i="16"/>
  <c r="I1718" i="16"/>
  <c r="F1812" i="16"/>
  <c r="I1728" i="16"/>
  <c r="F1822" i="16"/>
  <c r="I1645" i="16"/>
  <c r="J262" i="15" s="1"/>
  <c r="J264" i="15" s="1"/>
  <c r="I1679" i="16"/>
  <c r="F1773" i="16"/>
  <c r="I1662" i="16"/>
  <c r="F1756" i="16"/>
  <c r="I1666" i="16"/>
  <c r="F1760" i="16"/>
  <c r="F1771" i="16"/>
  <c r="I1677" i="16"/>
  <c r="I1656" i="16"/>
  <c r="F1750" i="16"/>
  <c r="I1678" i="16"/>
  <c r="F1772" i="16"/>
  <c r="I1664" i="16"/>
  <c r="F1758" i="16"/>
  <c r="I1749" i="16"/>
  <c r="F1843" i="16"/>
  <c r="I1843" i="16" s="1"/>
  <c r="I1618" i="16"/>
  <c r="J259" i="15" s="1"/>
  <c r="J261" i="15" s="1"/>
  <c r="F1860" i="16"/>
  <c r="I1763" i="16"/>
  <c r="F1680" i="16"/>
  <c r="I1685" i="16"/>
  <c r="F1779" i="16"/>
  <c r="I1686" i="16"/>
  <c r="F1780" i="16"/>
  <c r="I1689" i="16"/>
  <c r="F1783" i="16"/>
  <c r="I1693" i="16"/>
  <c r="F1787" i="16"/>
  <c r="I1694" i="16"/>
  <c r="F1788" i="16"/>
  <c r="I1698" i="16"/>
  <c r="F1792" i="16"/>
  <c r="I1702" i="16"/>
  <c r="F1796" i="16"/>
  <c r="I1706" i="16"/>
  <c r="F1800" i="16"/>
  <c r="I1710" i="16"/>
  <c r="F1804" i="16"/>
  <c r="I1697" i="16"/>
  <c r="F1791" i="16"/>
  <c r="I1701" i="16"/>
  <c r="F1795" i="16"/>
  <c r="I1705" i="16"/>
  <c r="F1799" i="16"/>
  <c r="I1709" i="16"/>
  <c r="F1803" i="16"/>
  <c r="I1665" i="16"/>
  <c r="F1759" i="16"/>
  <c r="I1715" i="16"/>
  <c r="F1809" i="16"/>
  <c r="I1722" i="16"/>
  <c r="F1816" i="16"/>
  <c r="I1726" i="16"/>
  <c r="F1820" i="16"/>
  <c r="I1730" i="16"/>
  <c r="F1824" i="16"/>
  <c r="I1734" i="16"/>
  <c r="F1828" i="16"/>
  <c r="I1738" i="16"/>
  <c r="F1832" i="16"/>
  <c r="I1673" i="16"/>
  <c r="F1767" i="16"/>
  <c r="I1661" i="16"/>
  <c r="F1755" i="16"/>
  <c r="I1574" i="16"/>
  <c r="J255" i="15" s="1"/>
  <c r="I1716" i="16"/>
  <c r="F1810" i="16"/>
  <c r="I1733" i="16"/>
  <c r="F1827" i="16"/>
  <c r="I1554" i="16"/>
  <c r="N1097" i="17"/>
  <c r="Q980" i="17"/>
  <c r="Q1026" i="17"/>
  <c r="N1142" i="17"/>
  <c r="N1143" i="17"/>
  <c r="N1140" i="17"/>
  <c r="N1132" i="17"/>
  <c r="N1144" i="17"/>
  <c r="N1148" i="17"/>
  <c r="J1055" i="17"/>
  <c r="M1055" i="17" s="1"/>
  <c r="N1125" i="17"/>
  <c r="N1107" i="17"/>
  <c r="N1119" i="17"/>
  <c r="N989" i="17"/>
  <c r="Q1037" i="17"/>
  <c r="H255" i="15" s="1"/>
  <c r="H258" i="15" s="1"/>
  <c r="N1054" i="17"/>
  <c r="N1123" i="17"/>
  <c r="M1035" i="17"/>
  <c r="N1035" i="17"/>
  <c r="L1121" i="17"/>
  <c r="J1037" i="17"/>
  <c r="M1034" i="17"/>
  <c r="N1034" i="17"/>
  <c r="M894" i="17"/>
  <c r="N894" i="17"/>
  <c r="M1135" i="17"/>
  <c r="N1135" i="17"/>
  <c r="M1106" i="17"/>
  <c r="N1106" i="17"/>
  <c r="M1115" i="17"/>
  <c r="N1115" i="17"/>
  <c r="Q1156" i="17"/>
  <c r="Q1157" i="17" s="1"/>
  <c r="M1129" i="17"/>
  <c r="N1129" i="17"/>
  <c r="M1138" i="17"/>
  <c r="N1138" i="17"/>
  <c r="M1116" i="17"/>
  <c r="N1116" i="17"/>
  <c r="Q1120" i="17"/>
  <c r="Q1121" i="17" s="1"/>
  <c r="H274" i="15" s="1"/>
  <c r="H276" i="15" s="1"/>
  <c r="G255" i="15"/>
  <c r="G258" i="15" s="1"/>
  <c r="G265" i="15" s="1"/>
  <c r="K1046" i="17"/>
  <c r="K1092" i="17" s="1"/>
  <c r="G277" i="15"/>
  <c r="G279" i="15" s="1"/>
  <c r="M1122" i="17"/>
  <c r="J1156" i="17"/>
  <c r="N1156" i="17" s="1"/>
  <c r="M1036" i="17"/>
  <c r="N1036" i="17"/>
  <c r="J1102" i="17"/>
  <c r="Q1102" i="17"/>
  <c r="M1134" i="17"/>
  <c r="N1134" i="17"/>
  <c r="M1149" i="17"/>
  <c r="N1149" i="17"/>
  <c r="M1117" i="17"/>
  <c r="N1117" i="17"/>
  <c r="M1137" i="17"/>
  <c r="N1137" i="17"/>
  <c r="L1157" i="17"/>
  <c r="M1133" i="17"/>
  <c r="N1133" i="17"/>
  <c r="M1127" i="17"/>
  <c r="N1127" i="17"/>
  <c r="M1099" i="17"/>
  <c r="Q1100" i="17"/>
  <c r="J1100" i="17"/>
  <c r="M1147" i="17"/>
  <c r="N1147" i="17"/>
  <c r="H262" i="15"/>
  <c r="H264" i="15" s="1"/>
  <c r="N1045" i="17"/>
  <c r="Q1101" i="17"/>
  <c r="J1101" i="17"/>
  <c r="M1025" i="17"/>
  <c r="M1126" i="17"/>
  <c r="N1126" i="17"/>
  <c r="M1108" i="17"/>
  <c r="N1108" i="17"/>
  <c r="K1103" i="17"/>
  <c r="Q1111" i="17"/>
  <c r="H271" i="15" s="1"/>
  <c r="M1155" i="17"/>
  <c r="N1155" i="17"/>
  <c r="M1110" i="17"/>
  <c r="N1110" i="17"/>
  <c r="H250" i="15"/>
  <c r="N1154" i="17"/>
  <c r="M1151" i="17"/>
  <c r="N1151" i="17"/>
  <c r="M914" i="17"/>
  <c r="N914" i="17"/>
  <c r="N1150" i="17"/>
  <c r="N1136" i="17"/>
  <c r="M1124" i="17"/>
  <c r="N1124" i="17"/>
  <c r="N1114" i="17"/>
  <c r="N1109" i="17"/>
  <c r="M1104" i="17"/>
  <c r="J1111" i="17"/>
  <c r="M1111" i="17" s="1"/>
  <c r="M1145" i="17"/>
  <c r="N1145" i="17"/>
  <c r="L1092" i="17"/>
  <c r="N1105" i="17"/>
  <c r="N1146" i="17"/>
  <c r="M1113" i="17"/>
  <c r="J1120" i="17"/>
  <c r="M1120" i="17" s="1"/>
  <c r="M1141" i="17"/>
  <c r="N1141" i="17"/>
  <c r="L1112" i="17"/>
  <c r="J960" i="17"/>
  <c r="M1118" i="17"/>
  <c r="N1118" i="17"/>
  <c r="M1130" i="17"/>
  <c r="N1130" i="17"/>
  <c r="M1090" i="17"/>
  <c r="J1091" i="17"/>
  <c r="M1128" i="17"/>
  <c r="N1128" i="17"/>
  <c r="M971" i="17"/>
  <c r="J980" i="17"/>
  <c r="N971" i="17"/>
  <c r="M1131" i="17"/>
  <c r="N1131" i="17"/>
  <c r="M1139" i="17"/>
  <c r="N1139" i="17"/>
  <c r="N70" i="17"/>
  <c r="M70" i="17"/>
  <c r="J71" i="17"/>
  <c r="I289" i="15" l="1"/>
  <c r="I291" i="15" s="1"/>
  <c r="I295" i="15" s="1"/>
  <c r="J2210" i="13"/>
  <c r="M1242" i="17"/>
  <c r="N1242" i="17"/>
  <c r="M1250" i="17"/>
  <c r="N1250" i="17"/>
  <c r="M1248" i="17"/>
  <c r="N1248" i="17"/>
  <c r="E244" i="15"/>
  <c r="D246" i="15"/>
  <c r="M1245" i="17"/>
  <c r="J1252" i="17"/>
  <c r="M1252" i="17" s="1"/>
  <c r="J1234" i="17"/>
  <c r="Q1234" i="17"/>
  <c r="M1254" i="17"/>
  <c r="J1288" i="17"/>
  <c r="Q1169" i="17"/>
  <c r="N2306" i="1"/>
  <c r="O2306" i="1"/>
  <c r="N2162" i="1"/>
  <c r="K2176" i="1"/>
  <c r="O2162" i="1"/>
  <c r="M1273" i="17"/>
  <c r="N1273" i="17"/>
  <c r="M1249" i="17"/>
  <c r="J1253" i="17"/>
  <c r="M1253" i="17" s="1"/>
  <c r="N1249" i="17"/>
  <c r="N1264" i="17"/>
  <c r="M1265" i="17"/>
  <c r="N1265" i="17"/>
  <c r="O2278" i="1"/>
  <c r="N1245" i="17"/>
  <c r="M1277" i="17"/>
  <c r="N1277" i="17"/>
  <c r="Q1187" i="17"/>
  <c r="H289" i="15"/>
  <c r="H291" i="15" s="1"/>
  <c r="M1240" i="17"/>
  <c r="N1240" i="17"/>
  <c r="I1675" i="16"/>
  <c r="J1223" i="17"/>
  <c r="M1222" i="17"/>
  <c r="Q1252" i="17"/>
  <c r="Q1253" i="17" s="1"/>
  <c r="H304" i="15" s="1"/>
  <c r="H306" i="15" s="1"/>
  <c r="M1271" i="17"/>
  <c r="N1271" i="17"/>
  <c r="J2285" i="13"/>
  <c r="J1232" i="17"/>
  <c r="Q1232" i="17"/>
  <c r="K1178" i="17"/>
  <c r="K1224" i="17" s="1"/>
  <c r="G285" i="15"/>
  <c r="G288" i="15" s="1"/>
  <c r="G295" i="15" s="1"/>
  <c r="J2297" i="13"/>
  <c r="G2182" i="13"/>
  <c r="G2183" i="13" s="1"/>
  <c r="N1280" i="17"/>
  <c r="L1253" i="17"/>
  <c r="N1253" i="17" s="1"/>
  <c r="N1252" i="17"/>
  <c r="N2059" i="1"/>
  <c r="N2060" i="1" s="1"/>
  <c r="K2060" i="1"/>
  <c r="M1263" i="17"/>
  <c r="N1263" i="17"/>
  <c r="O2175" i="1"/>
  <c r="G2325" i="13"/>
  <c r="G2326" i="13" s="1"/>
  <c r="F307" i="15" s="1"/>
  <c r="F309" i="15" s="1"/>
  <c r="M1270" i="17"/>
  <c r="N1270" i="17"/>
  <c r="M2293" i="1"/>
  <c r="O2142" i="1"/>
  <c r="N2142" i="1"/>
  <c r="N1231" i="17"/>
  <c r="Q1243" i="17"/>
  <c r="E247" i="15"/>
  <c r="D249" i="15"/>
  <c r="E249" i="15" s="1"/>
  <c r="K2311" i="1"/>
  <c r="L2312" i="1"/>
  <c r="L2320" i="1" s="1"/>
  <c r="L2321" i="1" s="1"/>
  <c r="M1247" i="17"/>
  <c r="N1247" i="17"/>
  <c r="M1279" i="17"/>
  <c r="N1279" i="17"/>
  <c r="N1254" i="17"/>
  <c r="D259" i="15"/>
  <c r="K1971" i="1"/>
  <c r="M1168" i="17"/>
  <c r="N1168" i="17"/>
  <c r="O2319" i="1"/>
  <c r="N1239" i="17"/>
  <c r="N1163" i="17"/>
  <c r="M1163" i="17"/>
  <c r="J1169" i="17"/>
  <c r="G2297" i="13"/>
  <c r="G2299" i="13" s="1"/>
  <c r="G2300" i="13" s="1"/>
  <c r="K1970" i="1"/>
  <c r="D262" i="15" s="1"/>
  <c r="N1969" i="1"/>
  <c r="N1970" i="1" s="1"/>
  <c r="O1969" i="1"/>
  <c r="O1970" i="1" s="1"/>
  <c r="N1222" i="17"/>
  <c r="L1244" i="17"/>
  <c r="Q1233" i="17"/>
  <c r="J1233" i="17"/>
  <c r="N1276" i="17"/>
  <c r="M1256" i="17"/>
  <c r="N1256" i="17"/>
  <c r="O2283" i="1"/>
  <c r="N2283" i="1"/>
  <c r="K2291" i="1"/>
  <c r="N2291" i="1" s="1"/>
  <c r="O2292" i="1"/>
  <c r="J1187" i="17"/>
  <c r="M1187" i="17" s="1"/>
  <c r="N2298" i="1"/>
  <c r="E285" i="15"/>
  <c r="D288" i="15"/>
  <c r="M1260" i="17"/>
  <c r="N1260" i="17"/>
  <c r="M1259" i="17"/>
  <c r="N1259" i="17"/>
  <c r="N2078" i="1"/>
  <c r="O2078" i="1"/>
  <c r="K2086" i="1"/>
  <c r="N2259" i="1"/>
  <c r="O2259" i="1"/>
  <c r="M1267" i="17"/>
  <c r="N1267" i="17"/>
  <c r="M1236" i="17"/>
  <c r="J1243" i="17"/>
  <c r="M1243" i="17" s="1"/>
  <c r="N1251" i="17"/>
  <c r="M2321" i="1"/>
  <c r="M1281" i="17"/>
  <c r="N1281" i="17"/>
  <c r="N1854" i="1"/>
  <c r="O1854" i="1"/>
  <c r="N2194" i="1"/>
  <c r="O2194" i="1"/>
  <c r="K2195" i="1"/>
  <c r="O2303" i="1"/>
  <c r="M1238" i="17"/>
  <c r="N1238" i="17"/>
  <c r="M2177" i="1"/>
  <c r="M2205" i="1" s="1"/>
  <c r="O2176" i="1"/>
  <c r="O2177" i="1" s="1"/>
  <c r="K2292" i="1"/>
  <c r="N2292" i="1" s="1"/>
  <c r="G2298" i="13"/>
  <c r="J2298" i="13" s="1"/>
  <c r="M1261" i="17"/>
  <c r="N1261" i="17"/>
  <c r="L1289" i="17"/>
  <c r="N1288" i="17"/>
  <c r="M1166" i="17"/>
  <c r="N1166" i="17"/>
  <c r="M1266" i="17"/>
  <c r="N1266" i="17"/>
  <c r="Q1288" i="17"/>
  <c r="Q1289" i="17" s="1"/>
  <c r="M1258" i="17"/>
  <c r="N1258" i="17"/>
  <c r="J1229" i="17"/>
  <c r="Q1229" i="17"/>
  <c r="Q1235" i="17" s="1"/>
  <c r="H300" i="15" s="1"/>
  <c r="K1235" i="17"/>
  <c r="M1262" i="17"/>
  <c r="N1262" i="17"/>
  <c r="E273" i="15"/>
  <c r="J2325" i="13"/>
  <c r="J2326" i="13" s="1"/>
  <c r="I307" i="15" s="1"/>
  <c r="I309" i="15" s="1"/>
  <c r="M1287" i="17"/>
  <c r="N1287" i="17"/>
  <c r="N1223" i="17"/>
  <c r="L1224" i="17"/>
  <c r="K2279" i="1"/>
  <c r="N2270" i="1"/>
  <c r="M1167" i="17"/>
  <c r="N1167" i="17"/>
  <c r="H292" i="15"/>
  <c r="H294" i="15" s="1"/>
  <c r="O2174" i="1"/>
  <c r="M1283" i="17"/>
  <c r="N1283" i="17"/>
  <c r="M1269" i="17"/>
  <c r="N1269" i="17"/>
  <c r="L2293" i="1"/>
  <c r="L2294" i="1" s="1"/>
  <c r="L2322" i="1" s="1"/>
  <c r="E300" i="15"/>
  <c r="D303" i="15"/>
  <c r="I1588" i="16"/>
  <c r="J258" i="15"/>
  <c r="I1755" i="16"/>
  <c r="F1849" i="16"/>
  <c r="I1849" i="16" s="1"/>
  <c r="I1767" i="16"/>
  <c r="F1864" i="16"/>
  <c r="I1864" i="16" s="1"/>
  <c r="I1832" i="16"/>
  <c r="F1929" i="16"/>
  <c r="I1929" i="16" s="1"/>
  <c r="I1828" i="16"/>
  <c r="F1925" i="16"/>
  <c r="I1925" i="16" s="1"/>
  <c r="I1824" i="16"/>
  <c r="F1921" i="16"/>
  <c r="I1921" i="16" s="1"/>
  <c r="I1820" i="16"/>
  <c r="F1917" i="16"/>
  <c r="I1917" i="16" s="1"/>
  <c r="I1816" i="16"/>
  <c r="F1913" i="16"/>
  <c r="I1913" i="16" s="1"/>
  <c r="I1809" i="16"/>
  <c r="F1906" i="16"/>
  <c r="I1906" i="16" s="1"/>
  <c r="I1759" i="16"/>
  <c r="F1853" i="16"/>
  <c r="I1853" i="16" s="1"/>
  <c r="I1803" i="16"/>
  <c r="F1900" i="16"/>
  <c r="I1900" i="16" s="1"/>
  <c r="I1799" i="16"/>
  <c r="F1896" i="16"/>
  <c r="I1896" i="16" s="1"/>
  <c r="I1795" i="16"/>
  <c r="F1892" i="16"/>
  <c r="I1892" i="16" s="1"/>
  <c r="I1791" i="16"/>
  <c r="F1888" i="16"/>
  <c r="I1888" i="16" s="1"/>
  <c r="I1804" i="16"/>
  <c r="F1901" i="16"/>
  <c r="I1901" i="16" s="1"/>
  <c r="I1800" i="16"/>
  <c r="F1897" i="16"/>
  <c r="I1897" i="16" s="1"/>
  <c r="I1796" i="16"/>
  <c r="F1893" i="16"/>
  <c r="I1893" i="16" s="1"/>
  <c r="I1792" i="16"/>
  <c r="F1889" i="16"/>
  <c r="I1889" i="16" s="1"/>
  <c r="I1788" i="16"/>
  <c r="F1885" i="16"/>
  <c r="I1885" i="16" s="1"/>
  <c r="I1787" i="16"/>
  <c r="F1884" i="16"/>
  <c r="I1884" i="16" s="1"/>
  <c r="I1783" i="16"/>
  <c r="F1880" i="16"/>
  <c r="I1880" i="16" s="1"/>
  <c r="I1780" i="16"/>
  <c r="F1877" i="16"/>
  <c r="I1877" i="16" s="1"/>
  <c r="I1779" i="16"/>
  <c r="F1876" i="16"/>
  <c r="I1876" i="16" s="1"/>
  <c r="F1769" i="16"/>
  <c r="J271" i="15"/>
  <c r="I1771" i="16"/>
  <c r="F1868" i="16"/>
  <c r="I1868" i="16" s="1"/>
  <c r="I1822" i="16"/>
  <c r="F1919" i="16"/>
  <c r="I1919" i="16" s="1"/>
  <c r="I1812" i="16"/>
  <c r="F1909" i="16"/>
  <c r="I1909" i="16" s="1"/>
  <c r="I1752" i="16"/>
  <c r="F1846" i="16"/>
  <c r="I1846" i="16" s="1"/>
  <c r="I1817" i="16"/>
  <c r="F1914" i="16"/>
  <c r="I1914" i="16" s="1"/>
  <c r="F1682" i="16"/>
  <c r="F1742" i="16" s="1"/>
  <c r="I1753" i="16"/>
  <c r="F1847" i="16"/>
  <c r="I1847" i="16" s="1"/>
  <c r="I1867" i="16"/>
  <c r="I1712" i="16"/>
  <c r="J274" i="15" s="1"/>
  <c r="J276" i="15" s="1"/>
  <c r="I1739" i="16"/>
  <c r="J277" i="15" s="1"/>
  <c r="J279" i="15" s="1"/>
  <c r="I1648" i="16"/>
  <c r="I1827" i="16"/>
  <c r="F1924" i="16"/>
  <c r="I1924" i="16" s="1"/>
  <c r="I1810" i="16"/>
  <c r="F1907" i="16"/>
  <c r="I1907" i="16" s="1"/>
  <c r="J265" i="15"/>
  <c r="I1860" i="16"/>
  <c r="I1758" i="16"/>
  <c r="F1852" i="16"/>
  <c r="I1852" i="16" s="1"/>
  <c r="I1772" i="16"/>
  <c r="I1774" i="16" s="1"/>
  <c r="J287" i="15" s="1"/>
  <c r="F1869" i="16"/>
  <c r="I1869" i="16" s="1"/>
  <c r="I1750" i="16"/>
  <c r="F1844" i="16"/>
  <c r="I1844" i="16" s="1"/>
  <c r="I1680" i="16"/>
  <c r="J272" i="15" s="1"/>
  <c r="I1760" i="16"/>
  <c r="F1857" i="16"/>
  <c r="I1857" i="16" s="1"/>
  <c r="I1756" i="16"/>
  <c r="F1850" i="16"/>
  <c r="I1850" i="16" s="1"/>
  <c r="I1773" i="16"/>
  <c r="F1870" i="16"/>
  <c r="I1870" i="16" s="1"/>
  <c r="I1748" i="16"/>
  <c r="F1842" i="16"/>
  <c r="F1762" i="16"/>
  <c r="I1668" i="16"/>
  <c r="J270" i="15" s="1"/>
  <c r="J273" i="15" s="1"/>
  <c r="I1761" i="16"/>
  <c r="F1858" i="16"/>
  <c r="I1858" i="16" s="1"/>
  <c r="I1757" i="16"/>
  <c r="F1851" i="16"/>
  <c r="I1851" i="16" s="1"/>
  <c r="I1765" i="16"/>
  <c r="F1862" i="16"/>
  <c r="I1862" i="16" s="1"/>
  <c r="I1826" i="16"/>
  <c r="F1923" i="16"/>
  <c r="I1923" i="16" s="1"/>
  <c r="I1818" i="16"/>
  <c r="F1915" i="16"/>
  <c r="I1915" i="16" s="1"/>
  <c r="I1814" i="16"/>
  <c r="F1911" i="16"/>
  <c r="I1911" i="16" s="1"/>
  <c r="I1805" i="16"/>
  <c r="F1902" i="16"/>
  <c r="I1902" i="16" s="1"/>
  <c r="I1801" i="16"/>
  <c r="F1898" i="16"/>
  <c r="I1898" i="16" s="1"/>
  <c r="I1797" i="16"/>
  <c r="F1894" i="16"/>
  <c r="I1894" i="16" s="1"/>
  <c r="I1793" i="16"/>
  <c r="F1890" i="16"/>
  <c r="I1890" i="16" s="1"/>
  <c r="I1789" i="16"/>
  <c r="F1886" i="16"/>
  <c r="I1886" i="16" s="1"/>
  <c r="I1802" i="16"/>
  <c r="F1899" i="16"/>
  <c r="I1899" i="16" s="1"/>
  <c r="I1798" i="16"/>
  <c r="F1895" i="16"/>
  <c r="I1895" i="16" s="1"/>
  <c r="I1794" i="16"/>
  <c r="F1891" i="16"/>
  <c r="I1891" i="16" s="1"/>
  <c r="I1790" i="16"/>
  <c r="F1887" i="16"/>
  <c r="I1887" i="16" s="1"/>
  <c r="I1785" i="16"/>
  <c r="F1882" i="16"/>
  <c r="I1882" i="16" s="1"/>
  <c r="I1781" i="16"/>
  <c r="F1878" i="16"/>
  <c r="I1878" i="16" s="1"/>
  <c r="I1829" i="16"/>
  <c r="F1926" i="16"/>
  <c r="I1926" i="16" s="1"/>
  <c r="I1825" i="16"/>
  <c r="F1922" i="16"/>
  <c r="I1922" i="16" s="1"/>
  <c r="I1821" i="16"/>
  <c r="F1918" i="16"/>
  <c r="I1918" i="16" s="1"/>
  <c r="I1813" i="16"/>
  <c r="F1910" i="16"/>
  <c r="I1910" i="16" s="1"/>
  <c r="I1768" i="16"/>
  <c r="F1865" i="16"/>
  <c r="I1865" i="16" s="1"/>
  <c r="I1784" i="16"/>
  <c r="F1881" i="16"/>
  <c r="I1881" i="16" s="1"/>
  <c r="F1774" i="16"/>
  <c r="I1751" i="16"/>
  <c r="F1845" i="16"/>
  <c r="I1845" i="16" s="1"/>
  <c r="I1831" i="16"/>
  <c r="F1928" i="16"/>
  <c r="I1928" i="16" s="1"/>
  <c r="I1823" i="16"/>
  <c r="F1920" i="16"/>
  <c r="I1920" i="16" s="1"/>
  <c r="I1819" i="16"/>
  <c r="F1916" i="16"/>
  <c r="I1916" i="16" s="1"/>
  <c r="I1815" i="16"/>
  <c r="F1912" i="16"/>
  <c r="I1912" i="16" s="1"/>
  <c r="I1766" i="16"/>
  <c r="F1863" i="16"/>
  <c r="I1863" i="16" s="1"/>
  <c r="I1786" i="16"/>
  <c r="F1883" i="16"/>
  <c r="I1883" i="16" s="1"/>
  <c r="I1782" i="16"/>
  <c r="F1879" i="16"/>
  <c r="I1879" i="16" s="1"/>
  <c r="I1778" i="16"/>
  <c r="I1806" i="16" s="1"/>
  <c r="J289" i="15" s="1"/>
  <c r="J291" i="15" s="1"/>
  <c r="F1875" i="16"/>
  <c r="I1875" i="16" s="1"/>
  <c r="F1905" i="16"/>
  <c r="I1808" i="16"/>
  <c r="F1833" i="16"/>
  <c r="N1055" i="17"/>
  <c r="Q1103" i="17"/>
  <c r="Q1112" i="17" s="1"/>
  <c r="Q1158" i="17" s="1"/>
  <c r="Q1046" i="17"/>
  <c r="Q1092" i="17" s="1"/>
  <c r="H265" i="15"/>
  <c r="M1101" i="17"/>
  <c r="N1101" i="17"/>
  <c r="M1100" i="17"/>
  <c r="N1100" i="17"/>
  <c r="J1103" i="17"/>
  <c r="M1102" i="17"/>
  <c r="N1102" i="17"/>
  <c r="H277" i="15"/>
  <c r="H279" i="15" s="1"/>
  <c r="M980" i="17"/>
  <c r="N980" i="17"/>
  <c r="M1091" i="17"/>
  <c r="M960" i="17"/>
  <c r="N960" i="17"/>
  <c r="N1091" i="17"/>
  <c r="N1111" i="17"/>
  <c r="G270" i="15"/>
  <c r="G273" i="15" s="1"/>
  <c r="G280" i="15" s="1"/>
  <c r="K1112" i="17"/>
  <c r="K1158" i="17" s="1"/>
  <c r="J1026" i="17"/>
  <c r="L1158" i="17"/>
  <c r="J1121" i="17"/>
  <c r="M1121" i="17" s="1"/>
  <c r="J1157" i="17"/>
  <c r="M1156" i="17"/>
  <c r="M1037" i="17"/>
  <c r="J1046" i="17"/>
  <c r="J1092" i="17" s="1"/>
  <c r="M1092" i="17" s="1"/>
  <c r="N1037" i="17"/>
  <c r="N1120" i="17"/>
  <c r="N71" i="17"/>
  <c r="M71" i="17"/>
  <c r="J72" i="17"/>
  <c r="F304" i="15" l="1"/>
  <c r="F306" i="15" s="1"/>
  <c r="F310" i="15" s="1"/>
  <c r="G2327" i="13"/>
  <c r="E303" i="15"/>
  <c r="H307" i="15"/>
  <c r="H309" i="15" s="1"/>
  <c r="N2195" i="1"/>
  <c r="O2195" i="1"/>
  <c r="K2203" i="1"/>
  <c r="E288" i="15"/>
  <c r="M1233" i="17"/>
  <c r="N1233" i="17"/>
  <c r="N1971" i="1"/>
  <c r="O1971" i="1"/>
  <c r="Q1244" i="17"/>
  <c r="Q1290" i="17" s="1"/>
  <c r="H301" i="15"/>
  <c r="H303" i="15" s="1"/>
  <c r="O2291" i="1"/>
  <c r="K2293" i="1"/>
  <c r="N2279" i="1"/>
  <c r="N1229" i="17"/>
  <c r="M1229" i="17"/>
  <c r="J1235" i="17"/>
  <c r="K2087" i="1"/>
  <c r="D277" i="15" s="1"/>
  <c r="N2086" i="1"/>
  <c r="N2087" i="1" s="1"/>
  <c r="O2086" i="1"/>
  <c r="O2087" i="1" s="1"/>
  <c r="J1178" i="17"/>
  <c r="M1169" i="17"/>
  <c r="N1169" i="17"/>
  <c r="D261" i="15"/>
  <c r="E259" i="15"/>
  <c r="N2311" i="1"/>
  <c r="O2311" i="1"/>
  <c r="K2312" i="1"/>
  <c r="M1232" i="17"/>
  <c r="N1232" i="17"/>
  <c r="D289" i="15"/>
  <c r="N2176" i="1"/>
  <c r="N2177" i="1" s="1"/>
  <c r="K2177" i="1"/>
  <c r="H285" i="15"/>
  <c r="H288" i="15" s="1"/>
  <c r="H295" i="15" s="1"/>
  <c r="Q1178" i="17"/>
  <c r="Q1224" i="17" s="1"/>
  <c r="M1234" i="17"/>
  <c r="N1234" i="17"/>
  <c r="L1290" i="17"/>
  <c r="O2293" i="1"/>
  <c r="O2294" i="1" s="1"/>
  <c r="M2294" i="1"/>
  <c r="M2322" i="1" s="1"/>
  <c r="D274" i="15"/>
  <c r="K2088" i="1"/>
  <c r="J2299" i="13"/>
  <c r="J2300" i="13" s="1"/>
  <c r="M1288" i="17"/>
  <c r="J1289" i="17"/>
  <c r="E246" i="15"/>
  <c r="D250" i="15"/>
  <c r="E250" i="15" s="1"/>
  <c r="G300" i="15"/>
  <c r="G303" i="15" s="1"/>
  <c r="G310" i="15" s="1"/>
  <c r="K1244" i="17"/>
  <c r="K1290" i="17" s="1"/>
  <c r="E262" i="15"/>
  <c r="D264" i="15"/>
  <c r="E264" i="15" s="1"/>
  <c r="N1187" i="17"/>
  <c r="O2279" i="1"/>
  <c r="F289" i="15"/>
  <c r="F291" i="15" s="1"/>
  <c r="F295" i="15" s="1"/>
  <c r="G2210" i="13"/>
  <c r="J1224" i="17"/>
  <c r="M1224" i="17" s="1"/>
  <c r="M1223" i="17"/>
  <c r="N1243" i="17"/>
  <c r="I1903" i="16"/>
  <c r="J304" i="15" s="1"/>
  <c r="J306" i="15" s="1"/>
  <c r="I1769" i="16"/>
  <c r="J286" i="15" s="1"/>
  <c r="I1833" i="16"/>
  <c r="J292" i="15" s="1"/>
  <c r="J294" i="15" s="1"/>
  <c r="J280" i="15"/>
  <c r="I1842" i="16"/>
  <c r="I1859" i="16" s="1"/>
  <c r="J300" i="15" s="1"/>
  <c r="F1859" i="16"/>
  <c r="I1866" i="16"/>
  <c r="I1871" i="16"/>
  <c r="J302" i="15" s="1"/>
  <c r="I1905" i="16"/>
  <c r="I1930" i="16" s="1"/>
  <c r="J307" i="15" s="1"/>
  <c r="J309" i="15" s="1"/>
  <c r="F1930" i="16"/>
  <c r="I1762" i="16"/>
  <c r="J285" i="15" s="1"/>
  <c r="F1866" i="16"/>
  <c r="F1871" i="16"/>
  <c r="I1682" i="16"/>
  <c r="I1742" i="16" s="1"/>
  <c r="F1776" i="16"/>
  <c r="F1836" i="16" s="1"/>
  <c r="H270" i="15"/>
  <c r="H273" i="15" s="1"/>
  <c r="H280" i="15" s="1"/>
  <c r="N1121" i="17"/>
  <c r="M1046" i="17"/>
  <c r="N1046" i="17"/>
  <c r="M1157" i="17"/>
  <c r="N1157" i="17"/>
  <c r="M1026" i="17"/>
  <c r="N1026" i="17"/>
  <c r="N1092" i="17"/>
  <c r="J1112" i="17"/>
  <c r="M1103" i="17"/>
  <c r="N1103" i="17"/>
  <c r="M72" i="17"/>
  <c r="N72" i="17"/>
  <c r="E274" i="15" l="1"/>
  <c r="D276" i="15"/>
  <c r="N1224" i="17"/>
  <c r="D279" i="15"/>
  <c r="E279" i="15" s="1"/>
  <c r="E277" i="15"/>
  <c r="D292" i="15"/>
  <c r="K2204" i="1"/>
  <c r="N2203" i="1"/>
  <c r="N2204" i="1" s="1"/>
  <c r="O2203" i="1"/>
  <c r="O2204" i="1" s="1"/>
  <c r="M1289" i="17"/>
  <c r="E289" i="15"/>
  <c r="D291" i="15"/>
  <c r="I304" i="15"/>
  <c r="I306" i="15" s="1"/>
  <c r="I310" i="15" s="1"/>
  <c r="J2327" i="13"/>
  <c r="K2205" i="1"/>
  <c r="M1178" i="17"/>
  <c r="N1178" i="17"/>
  <c r="J1244" i="17"/>
  <c r="J1290" i="17" s="1"/>
  <c r="M1235" i="17"/>
  <c r="N1235" i="17"/>
  <c r="N2293" i="1"/>
  <c r="N2294" i="1" s="1"/>
  <c r="K2294" i="1"/>
  <c r="H310" i="15"/>
  <c r="O2088" i="1"/>
  <c r="N2088" i="1"/>
  <c r="N1289" i="17"/>
  <c r="N2312" i="1"/>
  <c r="O2312" i="1"/>
  <c r="K2320" i="1"/>
  <c r="E261" i="15"/>
  <c r="D265" i="15"/>
  <c r="E265" i="15" s="1"/>
  <c r="J288" i="15"/>
  <c r="J295" i="15" s="1"/>
  <c r="I1776" i="16"/>
  <c r="I1836" i="16" s="1"/>
  <c r="F1873" i="16"/>
  <c r="F1933" i="16" s="1"/>
  <c r="J301" i="15"/>
  <c r="J303" i="15" s="1"/>
  <c r="J310" i="15" s="1"/>
  <c r="I1873" i="16"/>
  <c r="I1933" i="16" s="1"/>
  <c r="M1112" i="17"/>
  <c r="N1112" i="17"/>
  <c r="J1158" i="17"/>
  <c r="I110" i="16"/>
  <c r="M1290" i="17" l="1"/>
  <c r="N1290" i="17"/>
  <c r="K2321" i="1"/>
  <c r="D307" i="15" s="1"/>
  <c r="N2320" i="1"/>
  <c r="N2321" i="1" s="1"/>
  <c r="O2320" i="1"/>
  <c r="O2321" i="1" s="1"/>
  <c r="D294" i="15"/>
  <c r="E294" i="15" s="1"/>
  <c r="E292" i="15"/>
  <c r="E291" i="15"/>
  <c r="N2205" i="1"/>
  <c r="O2205" i="1"/>
  <c r="E276" i="15"/>
  <c r="D280" i="15"/>
  <c r="E280" i="15" s="1"/>
  <c r="D304" i="15"/>
  <c r="K2322" i="1"/>
  <c r="M1244" i="17"/>
  <c r="N1244" i="17"/>
  <c r="M1158" i="17"/>
  <c r="N1158" i="17"/>
  <c r="I48" i="16"/>
  <c r="I47" i="16"/>
  <c r="N2322" i="1" l="1"/>
  <c r="O2322" i="1"/>
  <c r="E307" i="15"/>
  <c r="D309" i="15"/>
  <c r="E309" i="15" s="1"/>
  <c r="D306" i="15"/>
  <c r="E304" i="15"/>
  <c r="D295" i="15"/>
  <c r="E295" i="15" s="1"/>
  <c r="I49" i="16"/>
  <c r="E306" i="15" l="1"/>
  <c r="D310" i="15"/>
  <c r="E310" i="15" s="1"/>
  <c r="G74" i="13"/>
  <c r="J74" i="13" s="1"/>
  <c r="K72" i="1"/>
  <c r="N72" i="1" l="1"/>
  <c r="O72" i="1"/>
  <c r="G77" i="13"/>
  <c r="J77" i="13" s="1"/>
  <c r="I116" i="16" l="1"/>
  <c r="I117" i="16" s="1"/>
  <c r="I53" i="16" l="1"/>
  <c r="I50" i="16"/>
  <c r="F54" i="16"/>
  <c r="I16" i="16"/>
  <c r="I54" i="16" l="1"/>
  <c r="J17" i="15" s="1"/>
  <c r="I90" i="16"/>
  <c r="I32" i="16"/>
  <c r="I57" i="16" l="1"/>
  <c r="I17" i="16"/>
  <c r="I33" i="16" l="1"/>
  <c r="I91" i="16"/>
  <c r="I61" i="16" l="1"/>
  <c r="I63" i="16"/>
  <c r="I93" i="16"/>
  <c r="I60" i="16"/>
  <c r="I59" i="16"/>
  <c r="I58" i="16"/>
  <c r="I34" i="16" l="1"/>
  <c r="I92" i="16"/>
  <c r="I81" i="16"/>
  <c r="I71" i="16"/>
  <c r="I85" i="16"/>
  <c r="I44" i="16"/>
  <c r="I67" i="16"/>
  <c r="I36" i="16"/>
  <c r="I87" i="16"/>
  <c r="I83" i="16"/>
  <c r="I73" i="16"/>
  <c r="I45" i="16"/>
  <c r="I21" i="16"/>
  <c r="I19" i="16"/>
  <c r="I41" i="16"/>
  <c r="I37" i="16"/>
  <c r="I35" i="16"/>
  <c r="I23" i="16"/>
  <c r="I20" i="16"/>
  <c r="I40" i="16"/>
  <c r="I25" i="16"/>
  <c r="I88" i="16"/>
  <c r="I86" i="16"/>
  <c r="I84" i="16"/>
  <c r="I82" i="16"/>
  <c r="I80" i="16"/>
  <c r="I72" i="16"/>
  <c r="I68" i="16"/>
  <c r="I66" i="16"/>
  <c r="I42" i="16"/>
  <c r="I30" i="16"/>
  <c r="I29" i="16"/>
  <c r="I26" i="16"/>
  <c r="I24" i="16"/>
  <c r="I65" i="16" l="1"/>
  <c r="I46" i="16"/>
  <c r="F46" i="16"/>
  <c r="I96" i="16"/>
  <c r="I69" i="16"/>
  <c r="I70" i="16"/>
  <c r="I89" i="16" l="1"/>
  <c r="J19" i="15" s="1"/>
  <c r="J21" i="15" s="1"/>
  <c r="I94" i="16"/>
  <c r="I106" i="16"/>
  <c r="I113" i="16"/>
  <c r="I95" i="16"/>
  <c r="I108" i="16"/>
  <c r="I104" i="16"/>
  <c r="I102" i="16"/>
  <c r="I99" i="16"/>
  <c r="I97" i="16"/>
  <c r="I111" i="16"/>
  <c r="I109" i="16"/>
  <c r="I107" i="16"/>
  <c r="J16" i="15"/>
  <c r="F89" i="16"/>
  <c r="I105" i="16"/>
  <c r="I103" i="16"/>
  <c r="I100" i="16"/>
  <c r="I98" i="16"/>
  <c r="I114" i="16"/>
  <c r="I15" i="16" l="1"/>
  <c r="I115" i="16"/>
  <c r="F115" i="16"/>
  <c r="J22" i="15" l="1"/>
  <c r="J24" i="15" s="1"/>
  <c r="I18" i="16"/>
  <c r="I31" i="16" s="1"/>
  <c r="F31" i="16"/>
  <c r="F56" i="16" s="1"/>
  <c r="F118" i="16" s="1"/>
  <c r="J15" i="15" l="1"/>
  <c r="J18" i="15" s="1"/>
  <c r="J25" i="15" s="1"/>
  <c r="I56" i="16"/>
  <c r="I118" i="16" l="1"/>
  <c r="G115" i="13" l="1"/>
  <c r="J115" i="13" s="1"/>
  <c r="K85" i="1"/>
  <c r="G109" i="13"/>
  <c r="N1052" i="2"/>
  <c r="F1052" i="2"/>
  <c r="N1051" i="2"/>
  <c r="F1051" i="2"/>
  <c r="N1050" i="2"/>
  <c r="F1050" i="2"/>
  <c r="N1049" i="2"/>
  <c r="F1049" i="2"/>
  <c r="N1048" i="2"/>
  <c r="F1048" i="2"/>
  <c r="N1047" i="2"/>
  <c r="F1047" i="2"/>
  <c r="N1046" i="2"/>
  <c r="F1046" i="2"/>
  <c r="N1045" i="2"/>
  <c r="F1045" i="2"/>
  <c r="N1044" i="2"/>
  <c r="F1044" i="2"/>
  <c r="N1043" i="2"/>
  <c r="F1043" i="2"/>
  <c r="N1042" i="2"/>
  <c r="F1042" i="2"/>
  <c r="N1041" i="2"/>
  <c r="F1041" i="2"/>
  <c r="N1040" i="2"/>
  <c r="F1040" i="2"/>
  <c r="N1039" i="2"/>
  <c r="F1039" i="2"/>
  <c r="N1038" i="2"/>
  <c r="F1038" i="2"/>
  <c r="N1037" i="2"/>
  <c r="F1037" i="2"/>
  <c r="N1036" i="2"/>
  <c r="F1036" i="2"/>
  <c r="N1035" i="2"/>
  <c r="F1035" i="2"/>
  <c r="N1034" i="2"/>
  <c r="F1034" i="2"/>
  <c r="N1033" i="2"/>
  <c r="F1033" i="2"/>
  <c r="N1032" i="2"/>
  <c r="F1032" i="2"/>
  <c r="N1031" i="2"/>
  <c r="F1031" i="2"/>
  <c r="N1030" i="2"/>
  <c r="F1030" i="2"/>
  <c r="N1029" i="2"/>
  <c r="F1029" i="2"/>
  <c r="N1028" i="2"/>
  <c r="F1028" i="2"/>
  <c r="N1027" i="2"/>
  <c r="F1027" i="2"/>
  <c r="N1026" i="2"/>
  <c r="F1026" i="2"/>
  <c r="N1025" i="2"/>
  <c r="F1025" i="2"/>
  <c r="N1023" i="2"/>
  <c r="F1023" i="2"/>
  <c r="H1022" i="2"/>
  <c r="G1022" i="2"/>
  <c r="E1022" i="2"/>
  <c r="D1022" i="2"/>
  <c r="N1021" i="2"/>
  <c r="I1021" i="2"/>
  <c r="F1021" i="2"/>
  <c r="N1020" i="2"/>
  <c r="F1020" i="2"/>
  <c r="N1019" i="2"/>
  <c r="F1019" i="2"/>
  <c r="I1019" i="2" s="1"/>
  <c r="N1018" i="2"/>
  <c r="N1022" i="2" s="1"/>
  <c r="F1018" i="2"/>
  <c r="N1017" i="2"/>
  <c r="H1017" i="2"/>
  <c r="G1017" i="2"/>
  <c r="E1017" i="2"/>
  <c r="D1017" i="2"/>
  <c r="N1016" i="2"/>
  <c r="F1016" i="2"/>
  <c r="N1015" i="2"/>
  <c r="F1015" i="2"/>
  <c r="N1014" i="2"/>
  <c r="F1014" i="2"/>
  <c r="N1013" i="2"/>
  <c r="F1013" i="2"/>
  <c r="N1012" i="2"/>
  <c r="F1012" i="2"/>
  <c r="N1011" i="2"/>
  <c r="F1011" i="2"/>
  <c r="N1010" i="2"/>
  <c r="F1010" i="2"/>
  <c r="F1017" i="2" s="1"/>
  <c r="H1008" i="2"/>
  <c r="G1008" i="2"/>
  <c r="N1006" i="2"/>
  <c r="F1006" i="2"/>
  <c r="N1005" i="2"/>
  <c r="F1005" i="2"/>
  <c r="F1004" i="2"/>
  <c r="N1003" i="2"/>
  <c r="F1003" i="2"/>
  <c r="H1002" i="2"/>
  <c r="G1002" i="2"/>
  <c r="N1001" i="2"/>
  <c r="F1001" i="2"/>
  <c r="N1000" i="2"/>
  <c r="F1000" i="2"/>
  <c r="N999" i="2"/>
  <c r="F999" i="2"/>
  <c r="N998" i="2"/>
  <c r="F998" i="2"/>
  <c r="N997" i="2"/>
  <c r="F997" i="2"/>
  <c r="N996" i="2"/>
  <c r="F996" i="2"/>
  <c r="N995" i="2"/>
  <c r="F995" i="2"/>
  <c r="F1002" i="2" l="1"/>
  <c r="O85" i="1"/>
  <c r="N85" i="1"/>
  <c r="K115" i="1"/>
  <c r="N115" i="1" s="1"/>
  <c r="G116" i="13"/>
  <c r="J116" i="13" s="1"/>
  <c r="G106" i="13"/>
  <c r="L106" i="1"/>
  <c r="M103" i="1"/>
  <c r="G107" i="13"/>
  <c r="J107" i="13" s="1"/>
  <c r="K105" i="1"/>
  <c r="N105" i="1" s="1"/>
  <c r="G111" i="13"/>
  <c r="J111" i="13" s="1"/>
  <c r="K109" i="1"/>
  <c r="N109" i="1" s="1"/>
  <c r="J109" i="13"/>
  <c r="G101" i="13"/>
  <c r="K99" i="1"/>
  <c r="K110" i="1"/>
  <c r="N110" i="1" s="1"/>
  <c r="G112" i="13"/>
  <c r="J112" i="13" s="1"/>
  <c r="L119" i="1"/>
  <c r="G120" i="13" s="1"/>
  <c r="G118" i="13"/>
  <c r="K117" i="1"/>
  <c r="O117" i="1" s="1"/>
  <c r="M98" i="1"/>
  <c r="K75" i="1"/>
  <c r="N75" i="1" s="1"/>
  <c r="K118" i="1"/>
  <c r="N118" i="1" s="1"/>
  <c r="G119" i="13"/>
  <c r="K102" i="1"/>
  <c r="N102" i="1" s="1"/>
  <c r="G104" i="13"/>
  <c r="J104" i="13" s="1"/>
  <c r="K86" i="1"/>
  <c r="G98" i="13"/>
  <c r="J98" i="13" s="1"/>
  <c r="K96" i="1"/>
  <c r="K113" i="1"/>
  <c r="G114" i="13"/>
  <c r="O115" i="1"/>
  <c r="K97" i="1"/>
  <c r="N97" i="1" s="1"/>
  <c r="G99" i="13"/>
  <c r="J99" i="13" s="1"/>
  <c r="M119" i="1"/>
  <c r="G97" i="13"/>
  <c r="L98" i="1"/>
  <c r="K95" i="1"/>
  <c r="G103" i="13"/>
  <c r="J103" i="13" s="1"/>
  <c r="K101" i="1"/>
  <c r="N101" i="1" s="1"/>
  <c r="K108" i="1"/>
  <c r="N108" i="1" s="1"/>
  <c r="G110" i="13"/>
  <c r="J110" i="13" s="1"/>
  <c r="L116" i="1"/>
  <c r="F1022" i="2"/>
  <c r="F1008" i="2"/>
  <c r="I1020" i="2"/>
  <c r="O75" i="1" l="1"/>
  <c r="O86" i="1"/>
  <c r="N86" i="1"/>
  <c r="O105" i="1"/>
  <c r="G82" i="13"/>
  <c r="K80" i="1"/>
  <c r="O80" i="1" s="1"/>
  <c r="L83" i="1"/>
  <c r="N95" i="1"/>
  <c r="K98" i="1"/>
  <c r="O98" i="1" s="1"/>
  <c r="O95" i="1"/>
  <c r="G100" i="13"/>
  <c r="J97" i="13"/>
  <c r="J100" i="13" s="1"/>
  <c r="G86" i="13"/>
  <c r="K84" i="1"/>
  <c r="O84" i="1" s="1"/>
  <c r="N113" i="1"/>
  <c r="N96" i="1"/>
  <c r="O96" i="1"/>
  <c r="G102" i="13"/>
  <c r="J102" i="13" s="1"/>
  <c r="K100" i="1"/>
  <c r="M83" i="1"/>
  <c r="O108" i="1"/>
  <c r="N99" i="1"/>
  <c r="K103" i="1"/>
  <c r="N103" i="1" s="1"/>
  <c r="G84" i="13"/>
  <c r="J84" i="13" s="1"/>
  <c r="K82" i="1"/>
  <c r="N82" i="1" s="1"/>
  <c r="G113" i="13"/>
  <c r="O99" i="1"/>
  <c r="G108" i="13"/>
  <c r="J106" i="13"/>
  <c r="J108" i="13" s="1"/>
  <c r="O109" i="1"/>
  <c r="O110" i="1"/>
  <c r="O113" i="1"/>
  <c r="M112" i="1"/>
  <c r="K107" i="1"/>
  <c r="O82" i="1"/>
  <c r="K77" i="1"/>
  <c r="G79" i="13"/>
  <c r="J79" i="13" s="1"/>
  <c r="G117" i="13"/>
  <c r="J114" i="13"/>
  <c r="J117" i="13" s="1"/>
  <c r="O101" i="1"/>
  <c r="K81" i="1"/>
  <c r="N81" i="1" s="1"/>
  <c r="G83" i="13"/>
  <c r="J83" i="13" s="1"/>
  <c r="N117" i="1"/>
  <c r="K119" i="1"/>
  <c r="N119" i="1" s="1"/>
  <c r="O118" i="1"/>
  <c r="L103" i="1"/>
  <c r="J101" i="13"/>
  <c r="M90" i="1"/>
  <c r="M106" i="1"/>
  <c r="K114" i="1"/>
  <c r="N114" i="1" s="1"/>
  <c r="J113" i="13"/>
  <c r="O103" i="1"/>
  <c r="K104" i="1"/>
  <c r="O104" i="1" s="1"/>
  <c r="O102" i="1"/>
  <c r="O97" i="1"/>
  <c r="M116" i="1"/>
  <c r="N987" i="2"/>
  <c r="F987" i="2"/>
  <c r="N986" i="2"/>
  <c r="F986" i="2"/>
  <c r="N985" i="2"/>
  <c r="F985" i="2"/>
  <c r="N984" i="2"/>
  <c r="F984" i="2"/>
  <c r="N983" i="2"/>
  <c r="F983" i="2"/>
  <c r="N982" i="2"/>
  <c r="F982" i="2"/>
  <c r="N981" i="2"/>
  <c r="F981" i="2"/>
  <c r="N980" i="2"/>
  <c r="F980" i="2"/>
  <c r="N979" i="2"/>
  <c r="F979" i="2"/>
  <c r="N978" i="2"/>
  <c r="F978" i="2"/>
  <c r="N977" i="2"/>
  <c r="F977" i="2"/>
  <c r="N976" i="2"/>
  <c r="F976" i="2"/>
  <c r="N975" i="2"/>
  <c r="F975" i="2"/>
  <c r="N974" i="2"/>
  <c r="F974" i="2"/>
  <c r="N973" i="2"/>
  <c r="F973" i="2"/>
  <c r="N972" i="2"/>
  <c r="F972" i="2"/>
  <c r="N971" i="2"/>
  <c r="F971" i="2"/>
  <c r="N970" i="2"/>
  <c r="F970" i="2"/>
  <c r="N969" i="2"/>
  <c r="F969" i="2"/>
  <c r="N968" i="2"/>
  <c r="F968" i="2"/>
  <c r="N967" i="2"/>
  <c r="F967" i="2"/>
  <c r="N966" i="2"/>
  <c r="F966" i="2"/>
  <c r="N965" i="2"/>
  <c r="F965" i="2"/>
  <c r="N964" i="2"/>
  <c r="F964" i="2"/>
  <c r="N963" i="2"/>
  <c r="F963" i="2"/>
  <c r="N962" i="2"/>
  <c r="F962" i="2"/>
  <c r="N961" i="2"/>
  <c r="F961" i="2"/>
  <c r="N960" i="2"/>
  <c r="F960" i="2"/>
  <c r="N958" i="2"/>
  <c r="F958" i="2"/>
  <c r="H957" i="2"/>
  <c r="G957" i="2"/>
  <c r="E957" i="2"/>
  <c r="D957" i="2"/>
  <c r="N956" i="2"/>
  <c r="F956" i="2"/>
  <c r="I956" i="2" s="1"/>
  <c r="N955" i="2"/>
  <c r="F955" i="2"/>
  <c r="N954" i="2"/>
  <c r="F954" i="2"/>
  <c r="I954" i="2" s="1"/>
  <c r="N953" i="2"/>
  <c r="N957" i="2" s="1"/>
  <c r="F953" i="2"/>
  <c r="H952" i="2"/>
  <c r="G952" i="2"/>
  <c r="E952" i="2"/>
  <c r="D952" i="2"/>
  <c r="N951" i="2"/>
  <c r="F951" i="2"/>
  <c r="N950" i="2"/>
  <c r="F950" i="2"/>
  <c r="N949" i="2"/>
  <c r="N952" i="2" s="1"/>
  <c r="F949" i="2"/>
  <c r="N948" i="2"/>
  <c r="F948" i="2"/>
  <c r="N947" i="2"/>
  <c r="F947" i="2"/>
  <c r="N946" i="2"/>
  <c r="F946" i="2"/>
  <c r="N945" i="2"/>
  <c r="F945" i="2"/>
  <c r="F952" i="2" s="1"/>
  <c r="H943" i="2"/>
  <c r="G943" i="2"/>
  <c r="N941" i="2"/>
  <c r="F941" i="2"/>
  <c r="N940" i="2"/>
  <c r="F940" i="2"/>
  <c r="F939" i="2"/>
  <c r="N938" i="2"/>
  <c r="F938" i="2"/>
  <c r="H937" i="2"/>
  <c r="G937" i="2"/>
  <c r="N936" i="2"/>
  <c r="F936" i="2"/>
  <c r="N935" i="2"/>
  <c r="F935" i="2"/>
  <c r="N934" i="2"/>
  <c r="F934" i="2"/>
  <c r="N933" i="2"/>
  <c r="F933" i="2"/>
  <c r="N932" i="2"/>
  <c r="F932" i="2"/>
  <c r="N931" i="2"/>
  <c r="F931" i="2"/>
  <c r="N930" i="2"/>
  <c r="F930" i="2"/>
  <c r="F937" i="2" s="1"/>
  <c r="O81" i="1" l="1"/>
  <c r="J105" i="13"/>
  <c r="J121" i="13" s="1"/>
  <c r="J122" i="13" s="1"/>
  <c r="I22" i="15" s="1"/>
  <c r="I24" i="15" s="1"/>
  <c r="G105" i="13"/>
  <c r="G121" i="13" s="1"/>
  <c r="G122" i="13" s="1"/>
  <c r="F22" i="15" s="1"/>
  <c r="F24" i="15" s="1"/>
  <c r="L90" i="1"/>
  <c r="L91" i="1" s="1"/>
  <c r="G54" i="13"/>
  <c r="J54" i="13" s="1"/>
  <c r="K52" i="1"/>
  <c r="N52" i="1" s="1"/>
  <c r="G56" i="13"/>
  <c r="J56" i="13" s="1"/>
  <c r="K54" i="1"/>
  <c r="N54" i="1" s="1"/>
  <c r="K40" i="1"/>
  <c r="N40" i="1" s="1"/>
  <c r="G42" i="13"/>
  <c r="J42" i="13" s="1"/>
  <c r="K49" i="1"/>
  <c r="N49" i="1" s="1"/>
  <c r="G51" i="13"/>
  <c r="J51" i="13" s="1"/>
  <c r="K31" i="1"/>
  <c r="N31" i="1" s="1"/>
  <c r="G33" i="13"/>
  <c r="J33" i="13" s="1"/>
  <c r="K48" i="1"/>
  <c r="O48" i="1" s="1"/>
  <c r="G50" i="13"/>
  <c r="K53" i="1"/>
  <c r="N53" i="1" s="1"/>
  <c r="G55" i="13"/>
  <c r="J55" i="13" s="1"/>
  <c r="O31" i="1"/>
  <c r="M70" i="1"/>
  <c r="G38" i="13"/>
  <c r="J38" i="13" s="1"/>
  <c r="K36" i="1"/>
  <c r="N36" i="1" s="1"/>
  <c r="K29" i="1"/>
  <c r="N29" i="1" s="1"/>
  <c r="G31" i="13"/>
  <c r="J31" i="13" s="1"/>
  <c r="K24" i="1"/>
  <c r="N24" i="1" s="1"/>
  <c r="G26" i="13"/>
  <c r="J26" i="13" s="1"/>
  <c r="G91" i="13"/>
  <c r="J91" i="13" s="1"/>
  <c r="K89" i="1"/>
  <c r="G73" i="13"/>
  <c r="K71" i="1"/>
  <c r="O71" i="1" s="1"/>
  <c r="L78" i="1"/>
  <c r="N77" i="1"/>
  <c r="O77" i="1"/>
  <c r="O119" i="1"/>
  <c r="N107" i="1"/>
  <c r="G62" i="13"/>
  <c r="K60" i="1"/>
  <c r="O60" i="1" s="1"/>
  <c r="K45" i="1"/>
  <c r="N45" i="1" s="1"/>
  <c r="G47" i="13"/>
  <c r="J47" i="13" s="1"/>
  <c r="G34" i="13"/>
  <c r="J34" i="13" s="1"/>
  <c r="K32" i="1"/>
  <c r="N32" i="1" s="1"/>
  <c r="K18" i="1"/>
  <c r="O18" i="1" s="1"/>
  <c r="G20" i="13"/>
  <c r="G46" i="13"/>
  <c r="J46" i="13" s="1"/>
  <c r="K44" i="1"/>
  <c r="N44" i="1" s="1"/>
  <c r="G30" i="13"/>
  <c r="J30" i="13" s="1"/>
  <c r="K28" i="1"/>
  <c r="N28" i="1" s="1"/>
  <c r="G37" i="13"/>
  <c r="J37" i="13" s="1"/>
  <c r="K35" i="1"/>
  <c r="N35" i="1" s="1"/>
  <c r="G18" i="13"/>
  <c r="J18" i="13" s="1"/>
  <c r="K16" i="1"/>
  <c r="K51" i="1"/>
  <c r="N51" i="1" s="1"/>
  <c r="G53" i="13"/>
  <c r="J53" i="13" s="1"/>
  <c r="G22" i="13"/>
  <c r="J22" i="13" s="1"/>
  <c r="K20" i="1"/>
  <c r="N20" i="1" s="1"/>
  <c r="K73" i="1"/>
  <c r="G75" i="13"/>
  <c r="J75" i="13" s="1"/>
  <c r="M78" i="1"/>
  <c r="G16" i="13"/>
  <c r="K14" i="1"/>
  <c r="O14" i="1" s="1"/>
  <c r="G25" i="13"/>
  <c r="J25" i="13" s="1"/>
  <c r="K23" i="1"/>
  <c r="N23" i="1" s="1"/>
  <c r="J86" i="13"/>
  <c r="N80" i="1"/>
  <c r="K83" i="1"/>
  <c r="O83" i="1" s="1"/>
  <c r="G71" i="13"/>
  <c r="G63" i="13"/>
  <c r="G48" i="13"/>
  <c r="J48" i="13" s="1"/>
  <c r="K46" i="1"/>
  <c r="N46" i="1" s="1"/>
  <c r="K111" i="1"/>
  <c r="L112" i="1"/>
  <c r="L120" i="1" s="1"/>
  <c r="L121" i="1" s="1"/>
  <c r="K15" i="1"/>
  <c r="N15" i="1" s="1"/>
  <c r="G17" i="13"/>
  <c r="J17" i="13" s="1"/>
  <c r="N104" i="1"/>
  <c r="K106" i="1"/>
  <c r="N106" i="1" s="1"/>
  <c r="O114" i="1"/>
  <c r="M120" i="1"/>
  <c r="M33" i="1"/>
  <c r="O107" i="1"/>
  <c r="G66" i="13"/>
  <c r="G69" i="13"/>
  <c r="G68" i="13"/>
  <c r="G45" i="13"/>
  <c r="K43" i="1"/>
  <c r="O43" i="1" s="1"/>
  <c r="L58" i="1"/>
  <c r="M41" i="1"/>
  <c r="G32" i="13"/>
  <c r="J32" i="13" s="1"/>
  <c r="K30" i="1"/>
  <c r="N30" i="1" s="1"/>
  <c r="K56" i="1"/>
  <c r="N56" i="1" s="1"/>
  <c r="G58" i="13"/>
  <c r="J58" i="13" s="1"/>
  <c r="G41" i="13"/>
  <c r="J41" i="13" s="1"/>
  <c r="K39" i="1"/>
  <c r="N39" i="1" s="1"/>
  <c r="G23" i="13"/>
  <c r="J23" i="13" s="1"/>
  <c r="K21" i="1"/>
  <c r="N21" i="1" s="1"/>
  <c r="M37" i="1"/>
  <c r="K38" i="1"/>
  <c r="G40" i="13"/>
  <c r="L41" i="1"/>
  <c r="G36" i="13"/>
  <c r="K34" i="1"/>
  <c r="L37" i="1"/>
  <c r="M91" i="1"/>
  <c r="K87" i="1"/>
  <c r="G89" i="13"/>
  <c r="J89" i="13" s="1"/>
  <c r="N100" i="1"/>
  <c r="O100" i="1"/>
  <c r="K22" i="1"/>
  <c r="N22" i="1" s="1"/>
  <c r="G24" i="13"/>
  <c r="J24" i="13" s="1"/>
  <c r="G28" i="13"/>
  <c r="K26" i="1"/>
  <c r="O26" i="1" s="1"/>
  <c r="G21" i="13"/>
  <c r="J21" i="13" s="1"/>
  <c r="K19" i="1"/>
  <c r="N19" i="1" s="1"/>
  <c r="K27" i="1"/>
  <c r="N27" i="1" s="1"/>
  <c r="G29" i="13"/>
  <c r="J29" i="13" s="1"/>
  <c r="K50" i="1"/>
  <c r="N50" i="1" s="1"/>
  <c r="G52" i="13"/>
  <c r="J52" i="13" s="1"/>
  <c r="M25" i="1"/>
  <c r="M47" i="1"/>
  <c r="K116" i="1"/>
  <c r="N116" i="1" s="1"/>
  <c r="N84" i="1"/>
  <c r="N98" i="1"/>
  <c r="G85" i="13"/>
  <c r="J82" i="13"/>
  <c r="J85" i="13" s="1"/>
  <c r="G64" i="13"/>
  <c r="G67" i="13"/>
  <c r="G65" i="13"/>
  <c r="F957" i="2"/>
  <c r="F943" i="2"/>
  <c r="I955" i="2"/>
  <c r="N922" i="2"/>
  <c r="F922" i="2"/>
  <c r="N921" i="2"/>
  <c r="F921" i="2"/>
  <c r="N920" i="2"/>
  <c r="F920" i="2"/>
  <c r="N919" i="2"/>
  <c r="F919" i="2"/>
  <c r="N918" i="2"/>
  <c r="F918" i="2"/>
  <c r="N917" i="2"/>
  <c r="F917" i="2"/>
  <c r="N916" i="2"/>
  <c r="F916" i="2"/>
  <c r="N915" i="2"/>
  <c r="F915" i="2"/>
  <c r="N914" i="2"/>
  <c r="F914" i="2"/>
  <c r="N913" i="2"/>
  <c r="F913" i="2"/>
  <c r="N912" i="2"/>
  <c r="F912" i="2"/>
  <c r="N911" i="2"/>
  <c r="F911" i="2"/>
  <c r="N910" i="2"/>
  <c r="F910" i="2"/>
  <c r="N909" i="2"/>
  <c r="F909" i="2"/>
  <c r="N908" i="2"/>
  <c r="F908" i="2"/>
  <c r="N907" i="2"/>
  <c r="F907" i="2"/>
  <c r="N906" i="2"/>
  <c r="F906" i="2"/>
  <c r="N905" i="2"/>
  <c r="F905" i="2"/>
  <c r="N904" i="2"/>
  <c r="F904" i="2"/>
  <c r="N903" i="2"/>
  <c r="F903" i="2"/>
  <c r="N902" i="2"/>
  <c r="F902" i="2"/>
  <c r="N901" i="2"/>
  <c r="F901" i="2"/>
  <c r="N900" i="2"/>
  <c r="F900" i="2"/>
  <c r="N899" i="2"/>
  <c r="F899" i="2"/>
  <c r="N898" i="2"/>
  <c r="F898" i="2"/>
  <c r="N897" i="2"/>
  <c r="F897" i="2"/>
  <c r="N896" i="2"/>
  <c r="F896" i="2"/>
  <c r="N895" i="2"/>
  <c r="F895" i="2"/>
  <c r="N893" i="2"/>
  <c r="F893" i="2"/>
  <c r="H892" i="2"/>
  <c r="G892" i="2"/>
  <c r="E892" i="2"/>
  <c r="D892" i="2"/>
  <c r="N891" i="2"/>
  <c r="F891" i="2"/>
  <c r="I891" i="2" s="1"/>
  <c r="N890" i="2"/>
  <c r="F890" i="2"/>
  <c r="N889" i="2"/>
  <c r="F889" i="2"/>
  <c r="I889" i="2" s="1"/>
  <c r="N888" i="2"/>
  <c r="F888" i="2"/>
  <c r="H887" i="2"/>
  <c r="G887" i="2"/>
  <c r="E887" i="2"/>
  <c r="D887" i="2"/>
  <c r="N886" i="2"/>
  <c r="F886" i="2"/>
  <c r="N885" i="2"/>
  <c r="F885" i="2"/>
  <c r="N884" i="2"/>
  <c r="N887" i="2" s="1"/>
  <c r="F884" i="2"/>
  <c r="N883" i="2"/>
  <c r="F883" i="2"/>
  <c r="N882" i="2"/>
  <c r="F882" i="2"/>
  <c r="N881" i="2"/>
  <c r="F881" i="2"/>
  <c r="N880" i="2"/>
  <c r="F880" i="2"/>
  <c r="H878" i="2"/>
  <c r="G878" i="2"/>
  <c r="N876" i="2"/>
  <c r="F876" i="2"/>
  <c r="N875" i="2"/>
  <c r="F875" i="2"/>
  <c r="F874" i="2"/>
  <c r="N873" i="2"/>
  <c r="F873" i="2"/>
  <c r="H872" i="2"/>
  <c r="G872" i="2"/>
  <c r="N871" i="2"/>
  <c r="F871" i="2"/>
  <c r="N870" i="2"/>
  <c r="F870" i="2"/>
  <c r="N869" i="2"/>
  <c r="F869" i="2"/>
  <c r="N868" i="2"/>
  <c r="F868" i="2"/>
  <c r="N867" i="2"/>
  <c r="F867" i="2"/>
  <c r="N866" i="2"/>
  <c r="F866" i="2"/>
  <c r="N865" i="2"/>
  <c r="F865" i="2"/>
  <c r="F878" i="2" l="1"/>
  <c r="N892" i="2"/>
  <c r="F892" i="2"/>
  <c r="O106" i="1"/>
  <c r="L42" i="1"/>
  <c r="O23" i="1"/>
  <c r="O54" i="1"/>
  <c r="O36" i="1"/>
  <c r="K90" i="1"/>
  <c r="N90" i="1" s="1"/>
  <c r="O15" i="1"/>
  <c r="O52" i="1"/>
  <c r="O46" i="1"/>
  <c r="O35" i="1"/>
  <c r="O19" i="1"/>
  <c r="O49" i="1"/>
  <c r="O40" i="1"/>
  <c r="O29" i="1"/>
  <c r="O24" i="1"/>
  <c r="O53" i="1"/>
  <c r="L70" i="1"/>
  <c r="L79" i="1" s="1"/>
  <c r="L93" i="1" s="1"/>
  <c r="L94" i="1" s="1"/>
  <c r="G35" i="13"/>
  <c r="J28" i="13"/>
  <c r="J35" i="13" s="1"/>
  <c r="O50" i="1"/>
  <c r="N87" i="1"/>
  <c r="O87" i="1"/>
  <c r="O34" i="1"/>
  <c r="N34" i="1"/>
  <c r="K37" i="1"/>
  <c r="N37" i="1" s="1"/>
  <c r="K41" i="1"/>
  <c r="N41" i="1" s="1"/>
  <c r="N38" i="1"/>
  <c r="O38" i="1"/>
  <c r="G49" i="13"/>
  <c r="J45" i="13"/>
  <c r="J49" i="13" s="1"/>
  <c r="J69" i="13"/>
  <c r="K68" i="1"/>
  <c r="O68" i="1" s="1"/>
  <c r="O90" i="1"/>
  <c r="N111" i="1"/>
  <c r="O111" i="1"/>
  <c r="O30" i="1"/>
  <c r="N83" i="1"/>
  <c r="K91" i="1"/>
  <c r="N91" i="1" s="1"/>
  <c r="G92" i="13"/>
  <c r="L59" i="1"/>
  <c r="J16" i="13"/>
  <c r="J19" i="13" s="1"/>
  <c r="G19" i="13"/>
  <c r="N16" i="1"/>
  <c r="O16" i="1"/>
  <c r="N18" i="1"/>
  <c r="K25" i="1"/>
  <c r="N25" i="1" s="1"/>
  <c r="J62" i="13"/>
  <c r="K112" i="1"/>
  <c r="K78" i="1"/>
  <c r="N78" i="1" s="1"/>
  <c r="N71" i="1"/>
  <c r="O22" i="1"/>
  <c r="O45" i="1"/>
  <c r="O44" i="1"/>
  <c r="K57" i="1"/>
  <c r="N57" i="1" s="1"/>
  <c r="N48" i="1"/>
  <c r="O21" i="1"/>
  <c r="J67" i="13"/>
  <c r="K65" i="1"/>
  <c r="O65" i="1" s="1"/>
  <c r="J64" i="13"/>
  <c r="K62" i="1"/>
  <c r="O62" i="1" s="1"/>
  <c r="J65" i="13"/>
  <c r="K63" i="1"/>
  <c r="O63" i="1" s="1"/>
  <c r="G93" i="13"/>
  <c r="M58" i="1"/>
  <c r="N26" i="1"/>
  <c r="K33" i="1"/>
  <c r="N33" i="1" s="1"/>
  <c r="J36" i="13"/>
  <c r="J39" i="13" s="1"/>
  <c r="G39" i="13"/>
  <c r="G43" i="13"/>
  <c r="J40" i="13"/>
  <c r="J43" i="13" s="1"/>
  <c r="N43" i="1"/>
  <c r="K47" i="1"/>
  <c r="J68" i="13"/>
  <c r="K66" i="1"/>
  <c r="O66" i="1" s="1"/>
  <c r="J66" i="13"/>
  <c r="K64" i="1"/>
  <c r="O64" i="1" s="1"/>
  <c r="M121" i="1"/>
  <c r="O56" i="1"/>
  <c r="K61" i="1"/>
  <c r="J63" i="13"/>
  <c r="J71" i="13"/>
  <c r="K69" i="1"/>
  <c r="J92" i="13"/>
  <c r="J93" i="13" s="1"/>
  <c r="M42" i="1"/>
  <c r="N14" i="1"/>
  <c r="K17" i="1"/>
  <c r="O17" i="1" s="1"/>
  <c r="N73" i="1"/>
  <c r="O73" i="1"/>
  <c r="O51" i="1"/>
  <c r="G27" i="13"/>
  <c r="J20" i="13"/>
  <c r="J27" i="13" s="1"/>
  <c r="O20" i="1"/>
  <c r="N60" i="1"/>
  <c r="G80" i="13"/>
  <c r="J73" i="13"/>
  <c r="J80" i="13" s="1"/>
  <c r="O32" i="1"/>
  <c r="O39" i="1"/>
  <c r="N89" i="1"/>
  <c r="O89" i="1"/>
  <c r="O116" i="1"/>
  <c r="M79" i="1"/>
  <c r="O27" i="1"/>
  <c r="J50" i="13"/>
  <c r="J59" i="13" s="1"/>
  <c r="G59" i="13"/>
  <c r="O28" i="1"/>
  <c r="F872" i="2"/>
  <c r="F887" i="2"/>
  <c r="I890" i="2"/>
  <c r="O78" i="1" l="1"/>
  <c r="O41" i="1"/>
  <c r="L122" i="1"/>
  <c r="K70" i="1"/>
  <c r="N70" i="1" s="1"/>
  <c r="M93" i="1"/>
  <c r="N69" i="1"/>
  <c r="O69" i="1"/>
  <c r="N47" i="1"/>
  <c r="K58" i="1"/>
  <c r="G44" i="13"/>
  <c r="O47" i="1"/>
  <c r="N112" i="1"/>
  <c r="O112" i="1"/>
  <c r="K120" i="1"/>
  <c r="G72" i="13"/>
  <c r="G81" i="13" s="1"/>
  <c r="G95" i="13" s="1"/>
  <c r="G96" i="13" s="1"/>
  <c r="F19" i="15" s="1"/>
  <c r="F21" i="15" s="1"/>
  <c r="G60" i="13"/>
  <c r="F16" i="15" s="1"/>
  <c r="N17" i="1"/>
  <c r="K42" i="1"/>
  <c r="M59" i="1"/>
  <c r="N61" i="1"/>
  <c r="O61" i="1"/>
  <c r="O33" i="1"/>
  <c r="O37" i="1"/>
  <c r="J72" i="13"/>
  <c r="J81" i="13" s="1"/>
  <c r="J95" i="13" s="1"/>
  <c r="J96" i="13" s="1"/>
  <c r="J44" i="13"/>
  <c r="O57" i="1"/>
  <c r="J60" i="13"/>
  <c r="I16" i="15" s="1"/>
  <c r="O91" i="1"/>
  <c r="O25" i="1"/>
  <c r="O58" i="1" l="1"/>
  <c r="D16" i="15"/>
  <c r="O42" i="1"/>
  <c r="D15" i="15"/>
  <c r="O70" i="1"/>
  <c r="K79" i="1"/>
  <c r="K93" i="1" s="1"/>
  <c r="O93" i="1" s="1"/>
  <c r="O94" i="1" s="1"/>
  <c r="J61" i="13"/>
  <c r="J123" i="13" s="1"/>
  <c r="I15" i="15"/>
  <c r="I18" i="15" s="1"/>
  <c r="N120" i="1"/>
  <c r="N121" i="1" s="1"/>
  <c r="K121" i="1"/>
  <c r="D22" i="15" s="1"/>
  <c r="O120" i="1"/>
  <c r="O121" i="1" s="1"/>
  <c r="M94" i="1"/>
  <c r="M122" i="1" s="1"/>
  <c r="I19" i="15"/>
  <c r="I21" i="15" s="1"/>
  <c r="N42" i="1"/>
  <c r="K59" i="1"/>
  <c r="O59" i="1" s="1"/>
  <c r="F15" i="15"/>
  <c r="F18" i="15" s="1"/>
  <c r="F25" i="15" s="1"/>
  <c r="G61" i="13"/>
  <c r="G123" i="13" s="1"/>
  <c r="E16" i="15"/>
  <c r="N58" i="1"/>
  <c r="N857" i="2"/>
  <c r="F857" i="2"/>
  <c r="N856" i="2"/>
  <c r="F856" i="2"/>
  <c r="N855" i="2"/>
  <c r="F855" i="2"/>
  <c r="N854" i="2"/>
  <c r="F854" i="2"/>
  <c r="N853" i="2"/>
  <c r="F853" i="2"/>
  <c r="N852" i="2"/>
  <c r="F852" i="2"/>
  <c r="N851" i="2"/>
  <c r="F851" i="2"/>
  <c r="N850" i="2"/>
  <c r="F850" i="2"/>
  <c r="N849" i="2"/>
  <c r="F849" i="2"/>
  <c r="N848" i="2"/>
  <c r="F848" i="2"/>
  <c r="N847" i="2"/>
  <c r="F847" i="2"/>
  <c r="N846" i="2"/>
  <c r="F846" i="2"/>
  <c r="N845" i="2"/>
  <c r="F845" i="2"/>
  <c r="N844" i="2"/>
  <c r="F844" i="2"/>
  <c r="N843" i="2"/>
  <c r="F843" i="2"/>
  <c r="N842" i="2"/>
  <c r="F842" i="2"/>
  <c r="N841" i="2"/>
  <c r="F841" i="2"/>
  <c r="N840" i="2"/>
  <c r="F840" i="2"/>
  <c r="N839" i="2"/>
  <c r="F839" i="2"/>
  <c r="N838" i="2"/>
  <c r="F838" i="2"/>
  <c r="N837" i="2"/>
  <c r="F837" i="2"/>
  <c r="N836" i="2"/>
  <c r="F836" i="2"/>
  <c r="N835" i="2"/>
  <c r="F835" i="2"/>
  <c r="N834" i="2"/>
  <c r="F834" i="2"/>
  <c r="N833" i="2"/>
  <c r="F833" i="2"/>
  <c r="N832" i="2"/>
  <c r="F832" i="2"/>
  <c r="N831" i="2"/>
  <c r="F831" i="2"/>
  <c r="N830" i="2"/>
  <c r="F830" i="2"/>
  <c r="N828" i="2"/>
  <c r="F828" i="2"/>
  <c r="H827" i="2"/>
  <c r="G827" i="2"/>
  <c r="E827" i="2"/>
  <c r="D827" i="2"/>
  <c r="N826" i="2"/>
  <c r="I826" i="2"/>
  <c r="F826" i="2"/>
  <c r="N825" i="2"/>
  <c r="F825" i="2"/>
  <c r="N824" i="2"/>
  <c r="F824" i="2"/>
  <c r="I824" i="2" s="1"/>
  <c r="N823" i="2"/>
  <c r="N827" i="2" s="1"/>
  <c r="F823" i="2"/>
  <c r="H822" i="2"/>
  <c r="G822" i="2"/>
  <c r="E822" i="2"/>
  <c r="D822" i="2"/>
  <c r="N821" i="2"/>
  <c r="F821" i="2"/>
  <c r="N820" i="2"/>
  <c r="F820" i="2"/>
  <c r="N819" i="2"/>
  <c r="N822" i="2" s="1"/>
  <c r="F819" i="2"/>
  <c r="N818" i="2"/>
  <c r="F818" i="2"/>
  <c r="N817" i="2"/>
  <c r="F817" i="2"/>
  <c r="N816" i="2"/>
  <c r="F816" i="2"/>
  <c r="N815" i="2"/>
  <c r="F815" i="2"/>
  <c r="H813" i="2"/>
  <c r="G813" i="2"/>
  <c r="N811" i="2"/>
  <c r="F811" i="2"/>
  <c r="N810" i="2"/>
  <c r="F810" i="2"/>
  <c r="F809" i="2"/>
  <c r="N808" i="2"/>
  <c r="F808" i="2"/>
  <c r="H807" i="2"/>
  <c r="G807" i="2"/>
  <c r="N806" i="2"/>
  <c r="F806" i="2"/>
  <c r="N805" i="2"/>
  <c r="F805" i="2"/>
  <c r="N804" i="2"/>
  <c r="F804" i="2"/>
  <c r="N803" i="2"/>
  <c r="F803" i="2"/>
  <c r="N802" i="2"/>
  <c r="F802" i="2"/>
  <c r="N801" i="2"/>
  <c r="F801" i="2"/>
  <c r="N800" i="2"/>
  <c r="F800" i="2"/>
  <c r="F827" i="2" l="1"/>
  <c r="N79" i="1"/>
  <c r="O79" i="1"/>
  <c r="D24" i="15"/>
  <c r="E24" i="15" s="1"/>
  <c r="E22" i="15"/>
  <c r="I25" i="15"/>
  <c r="K94" i="1"/>
  <c r="D19" i="15" s="1"/>
  <c r="N93" i="1"/>
  <c r="N94" i="1" s="1"/>
  <c r="N59" i="1"/>
  <c r="E15" i="15"/>
  <c r="D18" i="15"/>
  <c r="F807" i="2"/>
  <c r="F822" i="2"/>
  <c r="F813" i="2"/>
  <c r="I825" i="2"/>
  <c r="K122" i="1" l="1"/>
  <c r="N122" i="1" s="1"/>
  <c r="E18" i="15"/>
  <c r="D21" i="15"/>
  <c r="E21" i="15" s="1"/>
  <c r="E19" i="15"/>
  <c r="O122" i="1" l="1"/>
  <c r="D25" i="15"/>
  <c r="E25" i="15" s="1"/>
  <c r="N792" i="2"/>
  <c r="F792" i="2"/>
  <c r="N791" i="2"/>
  <c r="F791" i="2"/>
  <c r="N790" i="2"/>
  <c r="F790" i="2"/>
  <c r="N789" i="2"/>
  <c r="F789" i="2"/>
  <c r="N788" i="2"/>
  <c r="F788" i="2"/>
  <c r="N787" i="2"/>
  <c r="F787" i="2"/>
  <c r="N786" i="2"/>
  <c r="F786" i="2"/>
  <c r="N785" i="2"/>
  <c r="F785" i="2"/>
  <c r="N784" i="2"/>
  <c r="F784" i="2"/>
  <c r="N783" i="2"/>
  <c r="F783" i="2"/>
  <c r="N782" i="2"/>
  <c r="F782" i="2"/>
  <c r="N781" i="2"/>
  <c r="F781" i="2"/>
  <c r="N780" i="2"/>
  <c r="F780" i="2"/>
  <c r="N779" i="2"/>
  <c r="F779" i="2"/>
  <c r="N778" i="2"/>
  <c r="F778" i="2"/>
  <c r="N777" i="2"/>
  <c r="F777" i="2"/>
  <c r="N776" i="2"/>
  <c r="F776" i="2"/>
  <c r="N775" i="2"/>
  <c r="F775" i="2"/>
  <c r="N774" i="2"/>
  <c r="F774" i="2"/>
  <c r="N773" i="2"/>
  <c r="F773" i="2"/>
  <c r="N772" i="2"/>
  <c r="F772" i="2"/>
  <c r="N771" i="2"/>
  <c r="F771" i="2"/>
  <c r="N770" i="2"/>
  <c r="F770" i="2"/>
  <c r="N769" i="2"/>
  <c r="F769" i="2"/>
  <c r="N768" i="2"/>
  <c r="F768" i="2"/>
  <c r="N767" i="2"/>
  <c r="F767" i="2"/>
  <c r="N766" i="2"/>
  <c r="F766" i="2"/>
  <c r="N765" i="2"/>
  <c r="F765" i="2"/>
  <c r="N763" i="2"/>
  <c r="F763" i="2"/>
  <c r="H762" i="2"/>
  <c r="G762" i="2"/>
  <c r="E762" i="2"/>
  <c r="D762" i="2"/>
  <c r="N761" i="2"/>
  <c r="I761" i="2"/>
  <c r="F761" i="2"/>
  <c r="N760" i="2"/>
  <c r="F760" i="2"/>
  <c r="F762" i="2" s="1"/>
  <c r="N759" i="2"/>
  <c r="F759" i="2"/>
  <c r="I759" i="2" s="1"/>
  <c r="N758" i="2"/>
  <c r="F758" i="2"/>
  <c r="H757" i="2"/>
  <c r="G757" i="2"/>
  <c r="E757" i="2"/>
  <c r="D757" i="2"/>
  <c r="N756" i="2"/>
  <c r="F756" i="2"/>
  <c r="N755" i="2"/>
  <c r="F755" i="2"/>
  <c r="N754" i="2"/>
  <c r="F754" i="2"/>
  <c r="N753" i="2"/>
  <c r="F753" i="2"/>
  <c r="N752" i="2"/>
  <c r="F752" i="2"/>
  <c r="N751" i="2"/>
  <c r="F751" i="2"/>
  <c r="N750" i="2"/>
  <c r="F750" i="2"/>
  <c r="H748" i="2"/>
  <c r="G748" i="2"/>
  <c r="N746" i="2"/>
  <c r="F746" i="2"/>
  <c r="N745" i="2"/>
  <c r="F745" i="2"/>
  <c r="F744" i="2"/>
  <c r="N743" i="2"/>
  <c r="F743" i="2"/>
  <c r="H742" i="2"/>
  <c r="G742" i="2"/>
  <c r="N741" i="2"/>
  <c r="F741" i="2"/>
  <c r="N740" i="2"/>
  <c r="F740" i="2"/>
  <c r="N739" i="2"/>
  <c r="F739" i="2"/>
  <c r="N738" i="2"/>
  <c r="F738" i="2"/>
  <c r="N737" i="2"/>
  <c r="F737" i="2"/>
  <c r="N736" i="2"/>
  <c r="F736" i="2"/>
  <c r="N735" i="2"/>
  <c r="F735" i="2"/>
  <c r="F742" i="2" l="1"/>
  <c r="N762" i="2"/>
  <c r="N757" i="2"/>
  <c r="F757" i="2"/>
  <c r="F748" i="2"/>
  <c r="I760" i="2"/>
  <c r="N727" i="2" l="1"/>
  <c r="F727" i="2"/>
  <c r="N726" i="2"/>
  <c r="F726" i="2"/>
  <c r="N725" i="2"/>
  <c r="F725" i="2"/>
  <c r="N724" i="2"/>
  <c r="F724" i="2"/>
  <c r="N723" i="2"/>
  <c r="F723" i="2"/>
  <c r="N722" i="2"/>
  <c r="F722" i="2"/>
  <c r="N721" i="2"/>
  <c r="F721" i="2"/>
  <c r="N720" i="2"/>
  <c r="F720" i="2"/>
  <c r="N719" i="2"/>
  <c r="F719" i="2"/>
  <c r="N718" i="2"/>
  <c r="F718" i="2"/>
  <c r="N717" i="2"/>
  <c r="F717" i="2"/>
  <c r="N716" i="2"/>
  <c r="F716" i="2"/>
  <c r="N715" i="2"/>
  <c r="F715" i="2"/>
  <c r="N714" i="2"/>
  <c r="F714" i="2"/>
  <c r="N713" i="2"/>
  <c r="F713" i="2"/>
  <c r="N712" i="2"/>
  <c r="F712" i="2"/>
  <c r="N711" i="2"/>
  <c r="F711" i="2"/>
  <c r="N710" i="2"/>
  <c r="F710" i="2"/>
  <c r="N709" i="2"/>
  <c r="F709" i="2"/>
  <c r="N708" i="2"/>
  <c r="F708" i="2"/>
  <c r="N707" i="2"/>
  <c r="F707" i="2"/>
  <c r="N706" i="2"/>
  <c r="F706" i="2"/>
  <c r="N705" i="2"/>
  <c r="F705" i="2"/>
  <c r="N704" i="2"/>
  <c r="F704" i="2"/>
  <c r="N703" i="2"/>
  <c r="F703" i="2"/>
  <c r="N702" i="2"/>
  <c r="F702" i="2"/>
  <c r="N701" i="2"/>
  <c r="F701" i="2"/>
  <c r="N700" i="2"/>
  <c r="F700" i="2"/>
  <c r="N698" i="2"/>
  <c r="F698" i="2"/>
  <c r="H697" i="2"/>
  <c r="G697" i="2"/>
  <c r="E697" i="2"/>
  <c r="D697" i="2"/>
  <c r="N696" i="2"/>
  <c r="I696" i="2"/>
  <c r="F696" i="2"/>
  <c r="N695" i="2"/>
  <c r="F695" i="2"/>
  <c r="I695" i="2" s="1"/>
  <c r="N694" i="2"/>
  <c r="F694" i="2"/>
  <c r="I694" i="2" s="1"/>
  <c r="N693" i="2"/>
  <c r="N697" i="2" s="1"/>
  <c r="F693" i="2"/>
  <c r="H692" i="2"/>
  <c r="G692" i="2"/>
  <c r="E692" i="2"/>
  <c r="D692" i="2"/>
  <c r="N691" i="2"/>
  <c r="F691" i="2"/>
  <c r="N690" i="2"/>
  <c r="F690" i="2"/>
  <c r="N689" i="2"/>
  <c r="F689" i="2"/>
  <c r="N688" i="2"/>
  <c r="F688" i="2"/>
  <c r="N687" i="2"/>
  <c r="F687" i="2"/>
  <c r="N686" i="2"/>
  <c r="F686" i="2"/>
  <c r="N685" i="2"/>
  <c r="F685" i="2"/>
  <c r="H683" i="2"/>
  <c r="G683" i="2"/>
  <c r="N681" i="2"/>
  <c r="F681" i="2"/>
  <c r="N680" i="2"/>
  <c r="F680" i="2"/>
  <c r="F679" i="2"/>
  <c r="N678" i="2"/>
  <c r="F678" i="2"/>
  <c r="H677" i="2"/>
  <c r="G677" i="2"/>
  <c r="N676" i="2"/>
  <c r="F676" i="2"/>
  <c r="N675" i="2"/>
  <c r="F675" i="2"/>
  <c r="N674" i="2"/>
  <c r="F674" i="2"/>
  <c r="N673" i="2"/>
  <c r="F673" i="2"/>
  <c r="N672" i="2"/>
  <c r="F672" i="2"/>
  <c r="N671" i="2"/>
  <c r="F671" i="2"/>
  <c r="N670" i="2"/>
  <c r="F670" i="2"/>
  <c r="F677" i="2" s="1"/>
  <c r="N692" i="2" l="1"/>
  <c r="F683" i="2"/>
  <c r="F692" i="2"/>
  <c r="F697" i="2"/>
  <c r="N662" i="2"/>
  <c r="F662" i="2"/>
  <c r="N661" i="2"/>
  <c r="F661" i="2"/>
  <c r="N660" i="2"/>
  <c r="F660" i="2"/>
  <c r="N659" i="2"/>
  <c r="F659" i="2"/>
  <c r="N658" i="2"/>
  <c r="F658" i="2"/>
  <c r="N657" i="2"/>
  <c r="F657" i="2"/>
  <c r="N656" i="2"/>
  <c r="F656" i="2"/>
  <c r="N655" i="2"/>
  <c r="F655" i="2"/>
  <c r="N654" i="2"/>
  <c r="F654" i="2"/>
  <c r="N653" i="2"/>
  <c r="F653" i="2"/>
  <c r="N652" i="2"/>
  <c r="F652" i="2"/>
  <c r="N651" i="2"/>
  <c r="F651" i="2"/>
  <c r="N650" i="2"/>
  <c r="F650" i="2"/>
  <c r="N649" i="2"/>
  <c r="F649" i="2"/>
  <c r="N648" i="2"/>
  <c r="F648" i="2"/>
  <c r="N647" i="2"/>
  <c r="F647" i="2"/>
  <c r="N646" i="2"/>
  <c r="F646" i="2"/>
  <c r="N645" i="2"/>
  <c r="F645" i="2"/>
  <c r="N644" i="2"/>
  <c r="F644" i="2"/>
  <c r="N643" i="2"/>
  <c r="F643" i="2"/>
  <c r="N642" i="2"/>
  <c r="F642" i="2"/>
  <c r="N641" i="2"/>
  <c r="F641" i="2"/>
  <c r="N640" i="2"/>
  <c r="F640" i="2"/>
  <c r="N639" i="2"/>
  <c r="F639" i="2"/>
  <c r="N638" i="2"/>
  <c r="F638" i="2"/>
  <c r="N637" i="2"/>
  <c r="F637" i="2"/>
  <c r="N636" i="2"/>
  <c r="F636" i="2"/>
  <c r="N635" i="2"/>
  <c r="F635" i="2"/>
  <c r="N633" i="2"/>
  <c r="F633" i="2"/>
  <c r="H632" i="2"/>
  <c r="G632" i="2"/>
  <c r="E632" i="2"/>
  <c r="D632" i="2"/>
  <c r="N631" i="2"/>
  <c r="F631" i="2"/>
  <c r="I631" i="2" s="1"/>
  <c r="N630" i="2"/>
  <c r="I630" i="2"/>
  <c r="F630" i="2"/>
  <c r="N629" i="2"/>
  <c r="F629" i="2"/>
  <c r="I629" i="2" s="1"/>
  <c r="N628" i="2"/>
  <c r="F628" i="2"/>
  <c r="H627" i="2"/>
  <c r="G627" i="2"/>
  <c r="E627" i="2"/>
  <c r="D627" i="2"/>
  <c r="N626" i="2"/>
  <c r="F626" i="2"/>
  <c r="N625" i="2"/>
  <c r="F625" i="2"/>
  <c r="N624" i="2"/>
  <c r="N627" i="2" s="1"/>
  <c r="F624" i="2"/>
  <c r="N623" i="2"/>
  <c r="F623" i="2"/>
  <c r="N622" i="2"/>
  <c r="F622" i="2"/>
  <c r="N621" i="2"/>
  <c r="F621" i="2"/>
  <c r="N620" i="2"/>
  <c r="F620" i="2"/>
  <c r="F627" i="2" s="1"/>
  <c r="H618" i="2"/>
  <c r="G618" i="2"/>
  <c r="N616" i="2"/>
  <c r="F616" i="2"/>
  <c r="N615" i="2"/>
  <c r="F615" i="2"/>
  <c r="F614" i="2"/>
  <c r="N613" i="2"/>
  <c r="F613" i="2"/>
  <c r="H612" i="2"/>
  <c r="G612" i="2"/>
  <c r="N611" i="2"/>
  <c r="F611" i="2"/>
  <c r="N610" i="2"/>
  <c r="F610" i="2"/>
  <c r="N609" i="2"/>
  <c r="F609" i="2"/>
  <c r="N608" i="2"/>
  <c r="F608" i="2"/>
  <c r="N607" i="2"/>
  <c r="F607" i="2"/>
  <c r="N606" i="2"/>
  <c r="F606" i="2"/>
  <c r="N605" i="2"/>
  <c r="F605" i="2"/>
  <c r="F618" i="2" l="1"/>
  <c r="F632" i="2"/>
  <c r="N632" i="2"/>
  <c r="F612" i="2"/>
  <c r="N597" i="2" l="1"/>
  <c r="F597" i="2"/>
  <c r="N596" i="2"/>
  <c r="F596" i="2"/>
  <c r="N595" i="2"/>
  <c r="F595" i="2"/>
  <c r="N594" i="2"/>
  <c r="F594" i="2"/>
  <c r="N593" i="2"/>
  <c r="F593" i="2"/>
  <c r="N592" i="2"/>
  <c r="F592" i="2"/>
  <c r="N591" i="2"/>
  <c r="F591" i="2"/>
  <c r="N590" i="2"/>
  <c r="F590" i="2"/>
  <c r="N589" i="2"/>
  <c r="F589" i="2"/>
  <c r="N588" i="2"/>
  <c r="F588" i="2"/>
  <c r="N587" i="2"/>
  <c r="F587" i="2"/>
  <c r="N586" i="2"/>
  <c r="F586" i="2"/>
  <c r="N585" i="2"/>
  <c r="F585" i="2"/>
  <c r="N584" i="2"/>
  <c r="F584" i="2"/>
  <c r="N583" i="2"/>
  <c r="F583" i="2"/>
  <c r="N582" i="2"/>
  <c r="F582" i="2"/>
  <c r="N581" i="2"/>
  <c r="F581" i="2"/>
  <c r="N580" i="2"/>
  <c r="F580" i="2"/>
  <c r="N579" i="2"/>
  <c r="F579" i="2"/>
  <c r="N578" i="2"/>
  <c r="F578" i="2"/>
  <c r="N577" i="2"/>
  <c r="F577" i="2"/>
  <c r="N576" i="2"/>
  <c r="F576" i="2"/>
  <c r="N575" i="2"/>
  <c r="F575" i="2"/>
  <c r="N574" i="2"/>
  <c r="F574" i="2"/>
  <c r="N573" i="2"/>
  <c r="F573" i="2"/>
  <c r="N572" i="2"/>
  <c r="F572" i="2"/>
  <c r="N571" i="2"/>
  <c r="F571" i="2"/>
  <c r="N570" i="2"/>
  <c r="F570" i="2"/>
  <c r="N568" i="2"/>
  <c r="F568" i="2"/>
  <c r="H567" i="2"/>
  <c r="G567" i="2"/>
  <c r="E567" i="2"/>
  <c r="D567" i="2"/>
  <c r="N566" i="2"/>
  <c r="I566" i="2"/>
  <c r="F566" i="2"/>
  <c r="N565" i="2"/>
  <c r="F565" i="2"/>
  <c r="I565" i="2" s="1"/>
  <c r="N564" i="2"/>
  <c r="F564" i="2"/>
  <c r="I564" i="2" s="1"/>
  <c r="N563" i="2"/>
  <c r="N567" i="2" s="1"/>
  <c r="F563" i="2"/>
  <c r="H562" i="2"/>
  <c r="G562" i="2"/>
  <c r="E562" i="2"/>
  <c r="D562" i="2"/>
  <c r="N561" i="2"/>
  <c r="F561" i="2"/>
  <c r="N560" i="2"/>
  <c r="F560" i="2"/>
  <c r="N559" i="2"/>
  <c r="F559" i="2"/>
  <c r="N558" i="2"/>
  <c r="F558" i="2"/>
  <c r="N557" i="2"/>
  <c r="F557" i="2"/>
  <c r="N556" i="2"/>
  <c r="F556" i="2"/>
  <c r="N555" i="2"/>
  <c r="F555" i="2"/>
  <c r="H553" i="2"/>
  <c r="G553" i="2"/>
  <c r="F553" i="2" s="1"/>
  <c r="N551" i="2"/>
  <c r="F551" i="2"/>
  <c r="N550" i="2"/>
  <c r="F550" i="2"/>
  <c r="F549" i="2"/>
  <c r="N548" i="2"/>
  <c r="F548" i="2"/>
  <c r="H547" i="2"/>
  <c r="G547" i="2"/>
  <c r="N546" i="2"/>
  <c r="F546" i="2"/>
  <c r="N545" i="2"/>
  <c r="F545" i="2"/>
  <c r="N544" i="2"/>
  <c r="F544" i="2"/>
  <c r="N543" i="2"/>
  <c r="F543" i="2"/>
  <c r="N542" i="2"/>
  <c r="F542" i="2"/>
  <c r="N541" i="2"/>
  <c r="F541" i="2"/>
  <c r="N540" i="2"/>
  <c r="F540" i="2"/>
  <c r="N562" i="2" l="1"/>
  <c r="F562" i="2"/>
  <c r="F547" i="2"/>
  <c r="F567" i="2"/>
  <c r="N532" i="2" l="1"/>
  <c r="F532" i="2"/>
  <c r="N531" i="2"/>
  <c r="F531" i="2"/>
  <c r="N530" i="2"/>
  <c r="F530" i="2"/>
  <c r="N529" i="2"/>
  <c r="F529" i="2"/>
  <c r="N528" i="2"/>
  <c r="F528" i="2"/>
  <c r="N527" i="2"/>
  <c r="F527" i="2"/>
  <c r="N526" i="2"/>
  <c r="F526" i="2"/>
  <c r="N525" i="2"/>
  <c r="F525" i="2"/>
  <c r="N524" i="2"/>
  <c r="F524" i="2"/>
  <c r="N523" i="2"/>
  <c r="F523" i="2"/>
  <c r="N522" i="2"/>
  <c r="F522" i="2"/>
  <c r="N521" i="2"/>
  <c r="F521" i="2"/>
  <c r="N520" i="2"/>
  <c r="F520" i="2"/>
  <c r="N519" i="2"/>
  <c r="F519" i="2"/>
  <c r="N518" i="2"/>
  <c r="F518" i="2"/>
  <c r="N517" i="2"/>
  <c r="F517" i="2"/>
  <c r="N516" i="2"/>
  <c r="F516" i="2"/>
  <c r="N515" i="2"/>
  <c r="F515" i="2"/>
  <c r="N514" i="2"/>
  <c r="F514" i="2"/>
  <c r="N513" i="2"/>
  <c r="F513" i="2"/>
  <c r="N512" i="2"/>
  <c r="F512" i="2"/>
  <c r="N511" i="2"/>
  <c r="F511" i="2"/>
  <c r="N510" i="2"/>
  <c r="F510" i="2"/>
  <c r="N509" i="2"/>
  <c r="F509" i="2"/>
  <c r="N508" i="2"/>
  <c r="F508" i="2"/>
  <c r="N507" i="2"/>
  <c r="F507" i="2"/>
  <c r="N506" i="2"/>
  <c r="F506" i="2"/>
  <c r="N505" i="2"/>
  <c r="F505" i="2"/>
  <c r="N503" i="2"/>
  <c r="F503" i="2"/>
  <c r="H502" i="2"/>
  <c r="G502" i="2"/>
  <c r="E502" i="2"/>
  <c r="D502" i="2"/>
  <c r="N501" i="2"/>
  <c r="I501" i="2"/>
  <c r="F501" i="2"/>
  <c r="N500" i="2"/>
  <c r="F500" i="2"/>
  <c r="F502" i="2" s="1"/>
  <c r="N499" i="2"/>
  <c r="I499" i="2"/>
  <c r="F499" i="2"/>
  <c r="N498" i="2"/>
  <c r="N502" i="2" s="1"/>
  <c r="F498" i="2"/>
  <c r="H497" i="2"/>
  <c r="G497" i="2"/>
  <c r="E497" i="2"/>
  <c r="D497" i="2"/>
  <c r="N496" i="2"/>
  <c r="F496" i="2"/>
  <c r="N495" i="2"/>
  <c r="F495" i="2"/>
  <c r="N494" i="2"/>
  <c r="F494" i="2"/>
  <c r="N493" i="2"/>
  <c r="F493" i="2"/>
  <c r="N492" i="2"/>
  <c r="F492" i="2"/>
  <c r="N491" i="2"/>
  <c r="F491" i="2"/>
  <c r="N490" i="2"/>
  <c r="F490" i="2"/>
  <c r="H488" i="2"/>
  <c r="G488" i="2"/>
  <c r="N486" i="2"/>
  <c r="F486" i="2"/>
  <c r="N485" i="2"/>
  <c r="F485" i="2"/>
  <c r="F484" i="2"/>
  <c r="N483" i="2"/>
  <c r="F483" i="2"/>
  <c r="N481" i="2"/>
  <c r="F481" i="2"/>
  <c r="N480" i="2"/>
  <c r="F480" i="2"/>
  <c r="N479" i="2"/>
  <c r="F479" i="2"/>
  <c r="N478" i="2"/>
  <c r="F478" i="2"/>
  <c r="H482" i="2"/>
  <c r="G482" i="2"/>
  <c r="N476" i="2"/>
  <c r="F476" i="2"/>
  <c r="N475" i="2"/>
  <c r="F475" i="2"/>
  <c r="H412" i="2"/>
  <c r="G412" i="2"/>
  <c r="N467" i="2"/>
  <c r="F467" i="2"/>
  <c r="N466" i="2"/>
  <c r="F466" i="2"/>
  <c r="N465" i="2"/>
  <c r="F465" i="2"/>
  <c r="N464" i="2"/>
  <c r="F464" i="2"/>
  <c r="N463" i="2"/>
  <c r="F463" i="2"/>
  <c r="N462" i="2"/>
  <c r="F462" i="2"/>
  <c r="N461" i="2"/>
  <c r="F461" i="2"/>
  <c r="N460" i="2"/>
  <c r="F460" i="2"/>
  <c r="N459" i="2"/>
  <c r="F459" i="2"/>
  <c r="N458" i="2"/>
  <c r="F458" i="2"/>
  <c r="N457" i="2"/>
  <c r="F457" i="2"/>
  <c r="N456" i="2"/>
  <c r="F456" i="2"/>
  <c r="N455" i="2"/>
  <c r="F455" i="2"/>
  <c r="N454" i="2"/>
  <c r="F454" i="2"/>
  <c r="N453" i="2"/>
  <c r="F453" i="2"/>
  <c r="N452" i="2"/>
  <c r="F452" i="2"/>
  <c r="N451" i="2"/>
  <c r="F451" i="2"/>
  <c r="N450" i="2"/>
  <c r="F450" i="2"/>
  <c r="N449" i="2"/>
  <c r="F449" i="2"/>
  <c r="N448" i="2"/>
  <c r="F448" i="2"/>
  <c r="N447" i="2"/>
  <c r="F447" i="2"/>
  <c r="N446" i="2"/>
  <c r="F446" i="2"/>
  <c r="N445" i="2"/>
  <c r="F445" i="2"/>
  <c r="N444" i="2"/>
  <c r="F444" i="2"/>
  <c r="N443" i="2"/>
  <c r="F443" i="2"/>
  <c r="N442" i="2"/>
  <c r="F442" i="2"/>
  <c r="N441" i="2"/>
  <c r="F441" i="2"/>
  <c r="N440" i="2"/>
  <c r="F440" i="2"/>
  <c r="N438" i="2"/>
  <c r="F438" i="2"/>
  <c r="H437" i="2"/>
  <c r="G437" i="2"/>
  <c r="E437" i="2"/>
  <c r="D437" i="2"/>
  <c r="N436" i="2"/>
  <c r="F436" i="2"/>
  <c r="I436" i="2" s="1"/>
  <c r="N435" i="2"/>
  <c r="F435" i="2"/>
  <c r="I435" i="2" s="1"/>
  <c r="N434" i="2"/>
  <c r="I434" i="2"/>
  <c r="F434" i="2"/>
  <c r="N433" i="2"/>
  <c r="F433" i="2"/>
  <c r="H432" i="2"/>
  <c r="G432" i="2"/>
  <c r="E432" i="2"/>
  <c r="D432" i="2"/>
  <c r="N431" i="2"/>
  <c r="F431" i="2"/>
  <c r="N430" i="2"/>
  <c r="F430" i="2"/>
  <c r="N429" i="2"/>
  <c r="N432" i="2" s="1"/>
  <c r="F429" i="2"/>
  <c r="N428" i="2"/>
  <c r="F428" i="2"/>
  <c r="N427" i="2"/>
  <c r="F427" i="2"/>
  <c r="N426" i="2"/>
  <c r="F426" i="2"/>
  <c r="N425" i="2"/>
  <c r="F425" i="2"/>
  <c r="H423" i="2"/>
  <c r="G423" i="2"/>
  <c r="N421" i="2"/>
  <c r="F421" i="2"/>
  <c r="N420" i="2"/>
  <c r="F420" i="2"/>
  <c r="F419" i="2"/>
  <c r="N418" i="2"/>
  <c r="F418" i="2"/>
  <c r="H417" i="2"/>
  <c r="N416" i="2"/>
  <c r="F416" i="2"/>
  <c r="N415" i="2"/>
  <c r="F415" i="2"/>
  <c r="N414" i="2"/>
  <c r="F414" i="2"/>
  <c r="N413" i="2"/>
  <c r="F413" i="2"/>
  <c r="N411" i="2"/>
  <c r="F411" i="2"/>
  <c r="N410" i="2"/>
  <c r="F410" i="2"/>
  <c r="N412" i="2" l="1"/>
  <c r="F437" i="2"/>
  <c r="F417" i="2"/>
  <c r="F412" i="2"/>
  <c r="G417" i="2"/>
  <c r="N437" i="2"/>
  <c r="N497" i="2"/>
  <c r="F497" i="2"/>
  <c r="F488" i="2"/>
  <c r="N477" i="2"/>
  <c r="I500" i="2"/>
  <c r="F477" i="2"/>
  <c r="F482" i="2" s="1"/>
  <c r="F432" i="2"/>
  <c r="F423" i="2"/>
  <c r="H347" i="2" l="1"/>
  <c r="N402" i="2"/>
  <c r="F402" i="2"/>
  <c r="N401" i="2"/>
  <c r="F401" i="2"/>
  <c r="N400" i="2"/>
  <c r="F400" i="2"/>
  <c r="N399" i="2"/>
  <c r="F399" i="2"/>
  <c r="N398" i="2"/>
  <c r="F398" i="2"/>
  <c r="N397" i="2"/>
  <c r="F397" i="2"/>
  <c r="N396" i="2"/>
  <c r="F396" i="2"/>
  <c r="N395" i="2"/>
  <c r="F395" i="2"/>
  <c r="N394" i="2"/>
  <c r="F394" i="2"/>
  <c r="N393" i="2"/>
  <c r="F393" i="2"/>
  <c r="N392" i="2"/>
  <c r="F392" i="2"/>
  <c r="N391" i="2"/>
  <c r="F391" i="2"/>
  <c r="N390" i="2"/>
  <c r="F390" i="2"/>
  <c r="N389" i="2"/>
  <c r="F389" i="2"/>
  <c r="N388" i="2"/>
  <c r="F388" i="2"/>
  <c r="N387" i="2"/>
  <c r="F387" i="2"/>
  <c r="N386" i="2"/>
  <c r="F386" i="2"/>
  <c r="N385" i="2"/>
  <c r="F385" i="2"/>
  <c r="N384" i="2"/>
  <c r="F384" i="2"/>
  <c r="N383" i="2"/>
  <c r="F383" i="2"/>
  <c r="N382" i="2"/>
  <c r="F382" i="2"/>
  <c r="N381" i="2"/>
  <c r="F381" i="2"/>
  <c r="N380" i="2"/>
  <c r="F380" i="2"/>
  <c r="N379" i="2"/>
  <c r="F379" i="2"/>
  <c r="N378" i="2"/>
  <c r="F378" i="2"/>
  <c r="N377" i="2"/>
  <c r="F377" i="2"/>
  <c r="N376" i="2"/>
  <c r="F376" i="2"/>
  <c r="N375" i="2"/>
  <c r="F375" i="2"/>
  <c r="N373" i="2"/>
  <c r="F373" i="2"/>
  <c r="H372" i="2"/>
  <c r="G372" i="2"/>
  <c r="E372" i="2"/>
  <c r="D372" i="2"/>
  <c r="N371" i="2"/>
  <c r="I371" i="2"/>
  <c r="F371" i="2"/>
  <c r="N370" i="2"/>
  <c r="F370" i="2"/>
  <c r="F372" i="2" s="1"/>
  <c r="N369" i="2"/>
  <c r="I369" i="2"/>
  <c r="F369" i="2"/>
  <c r="N368" i="2"/>
  <c r="F368" i="2"/>
  <c r="H367" i="2"/>
  <c r="G367" i="2"/>
  <c r="E367" i="2"/>
  <c r="D367" i="2"/>
  <c r="N366" i="2"/>
  <c r="F366" i="2"/>
  <c r="N365" i="2"/>
  <c r="F365" i="2"/>
  <c r="N364" i="2"/>
  <c r="F364" i="2"/>
  <c r="N363" i="2"/>
  <c r="F363" i="2"/>
  <c r="N362" i="2"/>
  <c r="F362" i="2"/>
  <c r="N361" i="2"/>
  <c r="F361" i="2"/>
  <c r="N360" i="2"/>
  <c r="F360" i="2"/>
  <c r="H358" i="2"/>
  <c r="G358" i="2"/>
  <c r="N356" i="2"/>
  <c r="F356" i="2"/>
  <c r="N355" i="2"/>
  <c r="F355" i="2"/>
  <c r="F354" i="2"/>
  <c r="N353" i="2"/>
  <c r="F353" i="2"/>
  <c r="N351" i="2"/>
  <c r="F351" i="2"/>
  <c r="N350" i="2"/>
  <c r="F350" i="2"/>
  <c r="N349" i="2"/>
  <c r="F349" i="2"/>
  <c r="N348" i="2"/>
  <c r="F348" i="2"/>
  <c r="H352" i="2"/>
  <c r="G352" i="2"/>
  <c r="N346" i="2"/>
  <c r="F346" i="2"/>
  <c r="N345" i="2"/>
  <c r="F345" i="2"/>
  <c r="N367" i="2" l="1"/>
  <c r="N372" i="2"/>
  <c r="F358" i="2"/>
  <c r="F367" i="2"/>
  <c r="N347" i="2"/>
  <c r="I370" i="2"/>
  <c r="F347" i="2"/>
  <c r="F352" i="2" s="1"/>
  <c r="H282" i="2" l="1"/>
  <c r="G282" i="2"/>
  <c r="G287" i="2" s="1"/>
  <c r="N337" i="2"/>
  <c r="F337" i="2"/>
  <c r="N336" i="2"/>
  <c r="F336" i="2"/>
  <c r="N335" i="2"/>
  <c r="F335" i="2"/>
  <c r="N334" i="2"/>
  <c r="F334" i="2"/>
  <c r="N333" i="2"/>
  <c r="F333" i="2"/>
  <c r="N332" i="2"/>
  <c r="F332" i="2"/>
  <c r="N331" i="2"/>
  <c r="F331" i="2"/>
  <c r="N330" i="2"/>
  <c r="F330" i="2"/>
  <c r="N329" i="2"/>
  <c r="F329" i="2"/>
  <c r="N328" i="2"/>
  <c r="F328" i="2"/>
  <c r="N327" i="2"/>
  <c r="F327" i="2"/>
  <c r="N326" i="2"/>
  <c r="F326" i="2"/>
  <c r="N325" i="2"/>
  <c r="F325" i="2"/>
  <c r="N324" i="2"/>
  <c r="F324" i="2"/>
  <c r="N323" i="2"/>
  <c r="F323" i="2"/>
  <c r="N322" i="2"/>
  <c r="F322" i="2"/>
  <c r="N321" i="2"/>
  <c r="F321" i="2"/>
  <c r="N320" i="2"/>
  <c r="F320" i="2"/>
  <c r="N319" i="2"/>
  <c r="F319" i="2"/>
  <c r="N318" i="2"/>
  <c r="F318" i="2"/>
  <c r="N317" i="2"/>
  <c r="F317" i="2"/>
  <c r="N316" i="2"/>
  <c r="F316" i="2"/>
  <c r="N315" i="2"/>
  <c r="F315" i="2"/>
  <c r="N314" i="2"/>
  <c r="F314" i="2"/>
  <c r="N313" i="2"/>
  <c r="F313" i="2"/>
  <c r="N312" i="2"/>
  <c r="F312" i="2"/>
  <c r="N311" i="2"/>
  <c r="F311" i="2"/>
  <c r="N310" i="2"/>
  <c r="F310" i="2"/>
  <c r="N308" i="2"/>
  <c r="F308" i="2"/>
  <c r="H307" i="2"/>
  <c r="G307" i="2"/>
  <c r="E307" i="2"/>
  <c r="D307" i="2"/>
  <c r="N306" i="2"/>
  <c r="F306" i="2"/>
  <c r="I306" i="2" s="1"/>
  <c r="N305" i="2"/>
  <c r="F305" i="2"/>
  <c r="I305" i="2" s="1"/>
  <c r="N304" i="2"/>
  <c r="F304" i="2"/>
  <c r="I304" i="2" s="1"/>
  <c r="N303" i="2"/>
  <c r="F303" i="2"/>
  <c r="H302" i="2"/>
  <c r="G302" i="2"/>
  <c r="E302" i="2"/>
  <c r="D302" i="2"/>
  <c r="N301" i="2"/>
  <c r="F301" i="2"/>
  <c r="N300" i="2"/>
  <c r="F300" i="2"/>
  <c r="N299" i="2"/>
  <c r="F299" i="2"/>
  <c r="N298" i="2"/>
  <c r="F298" i="2"/>
  <c r="N297" i="2"/>
  <c r="F297" i="2"/>
  <c r="N296" i="2"/>
  <c r="F296" i="2"/>
  <c r="N295" i="2"/>
  <c r="F295" i="2"/>
  <c r="H293" i="2"/>
  <c r="G293" i="2"/>
  <c r="F293" i="2" s="1"/>
  <c r="N291" i="2"/>
  <c r="F291" i="2"/>
  <c r="N290" i="2"/>
  <c r="F290" i="2"/>
  <c r="F289" i="2"/>
  <c r="N288" i="2"/>
  <c r="F288" i="2"/>
  <c r="N286" i="2"/>
  <c r="F286" i="2"/>
  <c r="N285" i="2"/>
  <c r="F285" i="2"/>
  <c r="N284" i="2"/>
  <c r="F284" i="2"/>
  <c r="N283" i="2"/>
  <c r="F283" i="2"/>
  <c r="H287" i="2"/>
  <c r="N281" i="2"/>
  <c r="F281" i="2"/>
  <c r="N280" i="2"/>
  <c r="F280" i="2"/>
  <c r="N282" i="2" l="1"/>
  <c r="N307" i="2"/>
  <c r="N302" i="2"/>
  <c r="F302" i="2"/>
  <c r="F307" i="2"/>
  <c r="F282" i="2"/>
  <c r="F287" i="2" s="1"/>
  <c r="H217" i="2" l="1"/>
  <c r="H152" i="2" l="1"/>
  <c r="G152" i="2"/>
  <c r="N272" i="2"/>
  <c r="F272" i="2"/>
  <c r="N271" i="2"/>
  <c r="F271" i="2"/>
  <c r="N270" i="2"/>
  <c r="F270" i="2"/>
  <c r="N269" i="2"/>
  <c r="F269" i="2"/>
  <c r="N268" i="2"/>
  <c r="F268" i="2"/>
  <c r="N267" i="2"/>
  <c r="F267" i="2"/>
  <c r="N266" i="2"/>
  <c r="F266" i="2"/>
  <c r="N265" i="2"/>
  <c r="F265" i="2"/>
  <c r="N264" i="2"/>
  <c r="F264" i="2"/>
  <c r="N263" i="2"/>
  <c r="F263" i="2"/>
  <c r="N262" i="2"/>
  <c r="F262" i="2"/>
  <c r="N261" i="2"/>
  <c r="F261" i="2"/>
  <c r="N260" i="2"/>
  <c r="F260" i="2"/>
  <c r="N259" i="2"/>
  <c r="F259" i="2"/>
  <c r="N258" i="2"/>
  <c r="F258" i="2"/>
  <c r="N257" i="2"/>
  <c r="F257" i="2"/>
  <c r="N256" i="2"/>
  <c r="F256" i="2"/>
  <c r="N255" i="2"/>
  <c r="F255" i="2"/>
  <c r="N254" i="2"/>
  <c r="F254" i="2"/>
  <c r="N253" i="2"/>
  <c r="F253" i="2"/>
  <c r="N252" i="2"/>
  <c r="F252" i="2"/>
  <c r="N251" i="2"/>
  <c r="F251" i="2"/>
  <c r="N250" i="2"/>
  <c r="F250" i="2"/>
  <c r="N249" i="2"/>
  <c r="F249" i="2"/>
  <c r="N248" i="2"/>
  <c r="F248" i="2"/>
  <c r="N247" i="2"/>
  <c r="F247" i="2"/>
  <c r="N246" i="2"/>
  <c r="F246" i="2"/>
  <c r="N245" i="2"/>
  <c r="F245" i="2"/>
  <c r="N243" i="2"/>
  <c r="F243" i="2"/>
  <c r="H242" i="2"/>
  <c r="G242" i="2"/>
  <c r="E242" i="2"/>
  <c r="D242" i="2"/>
  <c r="N241" i="2"/>
  <c r="F241" i="2"/>
  <c r="I241" i="2" s="1"/>
  <c r="N240" i="2"/>
  <c r="F240" i="2"/>
  <c r="I240" i="2" s="1"/>
  <c r="N239" i="2"/>
  <c r="F239" i="2"/>
  <c r="I239" i="2" s="1"/>
  <c r="N238" i="2"/>
  <c r="F238" i="2"/>
  <c r="H237" i="2"/>
  <c r="G237" i="2"/>
  <c r="E237" i="2"/>
  <c r="D237" i="2"/>
  <c r="N236" i="2"/>
  <c r="F236" i="2"/>
  <c r="N235" i="2"/>
  <c r="F235" i="2"/>
  <c r="N234" i="2"/>
  <c r="F234" i="2"/>
  <c r="N233" i="2"/>
  <c r="F233" i="2"/>
  <c r="N232" i="2"/>
  <c r="F232" i="2"/>
  <c r="N231" i="2"/>
  <c r="F231" i="2"/>
  <c r="N230" i="2"/>
  <c r="F230" i="2"/>
  <c r="H228" i="2"/>
  <c r="G228" i="2"/>
  <c r="F228" i="2" s="1"/>
  <c r="N226" i="2"/>
  <c r="F226" i="2"/>
  <c r="N225" i="2"/>
  <c r="F225" i="2"/>
  <c r="F224" i="2"/>
  <c r="N223" i="2"/>
  <c r="F223" i="2"/>
  <c r="H222" i="2"/>
  <c r="G222" i="2"/>
  <c r="N221" i="2"/>
  <c r="F221" i="2"/>
  <c r="N220" i="2"/>
  <c r="F220" i="2"/>
  <c r="N219" i="2"/>
  <c r="F219" i="2"/>
  <c r="N218" i="2"/>
  <c r="F218" i="2"/>
  <c r="N217" i="2"/>
  <c r="F217" i="2"/>
  <c r="N216" i="2"/>
  <c r="F216" i="2"/>
  <c r="N215" i="2"/>
  <c r="F215" i="2"/>
  <c r="F237" i="2" l="1"/>
  <c r="N237" i="2"/>
  <c r="F222" i="2"/>
  <c r="N242" i="2"/>
  <c r="F242" i="2"/>
  <c r="N207" i="2" l="1"/>
  <c r="F207" i="2"/>
  <c r="N206" i="2"/>
  <c r="F206" i="2"/>
  <c r="N205" i="2"/>
  <c r="F205" i="2"/>
  <c r="N204" i="2"/>
  <c r="F204" i="2"/>
  <c r="N203" i="2"/>
  <c r="F203" i="2"/>
  <c r="N202" i="2"/>
  <c r="F202" i="2"/>
  <c r="N201" i="2"/>
  <c r="F201" i="2"/>
  <c r="N200" i="2"/>
  <c r="F200" i="2"/>
  <c r="N199" i="2"/>
  <c r="F199" i="2"/>
  <c r="N198" i="2"/>
  <c r="F198" i="2"/>
  <c r="N197" i="2"/>
  <c r="F197" i="2"/>
  <c r="N196" i="2"/>
  <c r="F196" i="2"/>
  <c r="N195" i="2"/>
  <c r="F195" i="2"/>
  <c r="N194" i="2"/>
  <c r="F194" i="2"/>
  <c r="N193" i="2"/>
  <c r="F193" i="2"/>
  <c r="N192" i="2"/>
  <c r="F192" i="2"/>
  <c r="N191" i="2"/>
  <c r="F191" i="2"/>
  <c r="N190" i="2"/>
  <c r="F190" i="2"/>
  <c r="N189" i="2"/>
  <c r="F189" i="2"/>
  <c r="N188" i="2"/>
  <c r="F188" i="2"/>
  <c r="N187" i="2"/>
  <c r="F187" i="2"/>
  <c r="N186" i="2"/>
  <c r="F186" i="2"/>
  <c r="N185" i="2"/>
  <c r="F185" i="2"/>
  <c r="N184" i="2"/>
  <c r="F184" i="2"/>
  <c r="N183" i="2"/>
  <c r="F183" i="2"/>
  <c r="N182" i="2"/>
  <c r="F182" i="2"/>
  <c r="N181" i="2"/>
  <c r="F181" i="2"/>
  <c r="N180" i="2"/>
  <c r="F180" i="2"/>
  <c r="N178" i="2"/>
  <c r="F178" i="2"/>
  <c r="H177" i="2"/>
  <c r="G177" i="2"/>
  <c r="E177" i="2"/>
  <c r="D177" i="2"/>
  <c r="N176" i="2"/>
  <c r="F176" i="2"/>
  <c r="I176" i="2" s="1"/>
  <c r="N175" i="2"/>
  <c r="F175" i="2"/>
  <c r="I175" i="2" s="1"/>
  <c r="N174" i="2"/>
  <c r="I174" i="2"/>
  <c r="F174" i="2"/>
  <c r="N173" i="2"/>
  <c r="N177" i="2" s="1"/>
  <c r="F173" i="2"/>
  <c r="H172" i="2"/>
  <c r="G172" i="2"/>
  <c r="E172" i="2"/>
  <c r="D172" i="2"/>
  <c r="N171" i="2"/>
  <c r="F171" i="2"/>
  <c r="N170" i="2"/>
  <c r="F170" i="2"/>
  <c r="N169" i="2"/>
  <c r="F169" i="2"/>
  <c r="N168" i="2"/>
  <c r="F168" i="2"/>
  <c r="N167" i="2"/>
  <c r="F167" i="2"/>
  <c r="N166" i="2"/>
  <c r="F166" i="2"/>
  <c r="N165" i="2"/>
  <c r="F165" i="2"/>
  <c r="F172" i="2" s="1"/>
  <c r="H163" i="2"/>
  <c r="G163" i="2"/>
  <c r="F163" i="2" s="1"/>
  <c r="N161" i="2"/>
  <c r="F161" i="2"/>
  <c r="N160" i="2"/>
  <c r="F160" i="2"/>
  <c r="F159" i="2"/>
  <c r="N158" i="2"/>
  <c r="F158" i="2"/>
  <c r="H157" i="2"/>
  <c r="G157" i="2"/>
  <c r="N156" i="2"/>
  <c r="F156" i="2"/>
  <c r="N155" i="2"/>
  <c r="F155" i="2"/>
  <c r="N154" i="2"/>
  <c r="F154" i="2"/>
  <c r="N153" i="2"/>
  <c r="F153" i="2"/>
  <c r="N152" i="2"/>
  <c r="F152" i="2"/>
  <c r="N151" i="2"/>
  <c r="F151" i="2"/>
  <c r="N150" i="2"/>
  <c r="F150" i="2"/>
  <c r="N172" i="2" l="1"/>
  <c r="F177" i="2"/>
  <c r="F157" i="2"/>
  <c r="N142" i="2"/>
  <c r="F142" i="2"/>
  <c r="N141" i="2"/>
  <c r="F141" i="2"/>
  <c r="N140" i="2"/>
  <c r="F140" i="2"/>
  <c r="N139" i="2"/>
  <c r="F139" i="2"/>
  <c r="N138" i="2"/>
  <c r="F138" i="2"/>
  <c r="N137" i="2"/>
  <c r="F137" i="2"/>
  <c r="N136" i="2"/>
  <c r="F136" i="2"/>
  <c r="N135" i="2"/>
  <c r="F135" i="2"/>
  <c r="N134" i="2"/>
  <c r="F134" i="2"/>
  <c r="N133" i="2"/>
  <c r="F133" i="2"/>
  <c r="N132" i="2"/>
  <c r="F132" i="2"/>
  <c r="N131" i="2"/>
  <c r="F131" i="2"/>
  <c r="N130" i="2"/>
  <c r="F130" i="2"/>
  <c r="N129" i="2"/>
  <c r="F129" i="2"/>
  <c r="N128" i="2"/>
  <c r="F128" i="2"/>
  <c r="N127" i="2"/>
  <c r="F127" i="2"/>
  <c r="N126" i="2"/>
  <c r="F126" i="2"/>
  <c r="N125" i="2"/>
  <c r="F125" i="2"/>
  <c r="N124" i="2"/>
  <c r="F124" i="2"/>
  <c r="N123" i="2"/>
  <c r="F123" i="2"/>
  <c r="N122" i="2"/>
  <c r="F122" i="2"/>
  <c r="N121" i="2"/>
  <c r="F121" i="2"/>
  <c r="N120" i="2"/>
  <c r="F120" i="2"/>
  <c r="N119" i="2"/>
  <c r="F119" i="2"/>
  <c r="N118" i="2"/>
  <c r="F118" i="2"/>
  <c r="N117" i="2"/>
  <c r="F117" i="2"/>
  <c r="N116" i="2"/>
  <c r="F116" i="2"/>
  <c r="N115" i="2"/>
  <c r="F115" i="2"/>
  <c r="N113" i="2"/>
  <c r="F113" i="2"/>
  <c r="E112" i="2"/>
  <c r="D112" i="2"/>
  <c r="N111" i="2"/>
  <c r="F111" i="2"/>
  <c r="I111" i="2" s="1"/>
  <c r="N110" i="2"/>
  <c r="F110" i="2"/>
  <c r="I110" i="2" s="1"/>
  <c r="N109" i="2"/>
  <c r="F109" i="2"/>
  <c r="I109" i="2" s="1"/>
  <c r="N108" i="2"/>
  <c r="H112" i="2"/>
  <c r="G112" i="2"/>
  <c r="H107" i="2"/>
  <c r="G107" i="2"/>
  <c r="E107" i="2"/>
  <c r="D107" i="2"/>
  <c r="N106" i="2"/>
  <c r="F106" i="2"/>
  <c r="N105" i="2"/>
  <c r="F105" i="2"/>
  <c r="N104" i="2"/>
  <c r="F104" i="2"/>
  <c r="N103" i="2"/>
  <c r="F103" i="2"/>
  <c r="N102" i="2"/>
  <c r="F102" i="2"/>
  <c r="N101" i="2"/>
  <c r="F101" i="2"/>
  <c r="N100" i="2"/>
  <c r="F100" i="2"/>
  <c r="H98" i="2"/>
  <c r="G98" i="2"/>
  <c r="N96" i="2"/>
  <c r="F96" i="2"/>
  <c r="N95" i="2"/>
  <c r="F95" i="2"/>
  <c r="F94" i="2"/>
  <c r="N93" i="2"/>
  <c r="F93" i="2"/>
  <c r="H92" i="2"/>
  <c r="G92" i="2"/>
  <c r="N91" i="2"/>
  <c r="F91" i="2"/>
  <c r="N90" i="2"/>
  <c r="F90" i="2"/>
  <c r="N89" i="2"/>
  <c r="F89" i="2"/>
  <c r="N88" i="2"/>
  <c r="F88" i="2"/>
  <c r="N87" i="2"/>
  <c r="F87" i="2"/>
  <c r="N86" i="2"/>
  <c r="F86" i="2"/>
  <c r="N85" i="2"/>
  <c r="F85" i="2"/>
  <c r="H43" i="2"/>
  <c r="G43" i="2"/>
  <c r="N112" i="2" l="1"/>
  <c r="F92" i="2"/>
  <c r="N107" i="2"/>
  <c r="F98" i="2"/>
  <c r="F107" i="2"/>
  <c r="F108" i="2"/>
  <c r="F112" i="2" s="1"/>
  <c r="K75" i="2" l="1"/>
  <c r="K140" i="2" s="1"/>
  <c r="K205" i="2" s="1"/>
  <c r="K270" i="2" s="1"/>
  <c r="K335" i="2" s="1"/>
  <c r="K400" i="2" s="1"/>
  <c r="K465" i="2" s="1"/>
  <c r="K530" i="2" s="1"/>
  <c r="K595" i="2" s="1"/>
  <c r="K660" i="2" s="1"/>
  <c r="K725" i="2" s="1"/>
  <c r="K790" i="2" s="1"/>
  <c r="K855" i="2" s="1"/>
  <c r="K920" i="2" s="1"/>
  <c r="K985" i="2" s="1"/>
  <c r="K1050" i="2" s="1"/>
  <c r="K76" i="2"/>
  <c r="K141" i="2" s="1"/>
  <c r="K206" i="2" s="1"/>
  <c r="K271" i="2" s="1"/>
  <c r="K77" i="2"/>
  <c r="K142" i="2" s="1"/>
  <c r="K207" i="2" s="1"/>
  <c r="K272" i="2" s="1"/>
  <c r="K337" i="2" s="1"/>
  <c r="K402" i="2" s="1"/>
  <c r="K467" i="2" s="1"/>
  <c r="K532" i="2" s="1"/>
  <c r="K597" i="2" s="1"/>
  <c r="K662" i="2" s="1"/>
  <c r="K727" i="2" s="1"/>
  <c r="K792" i="2" s="1"/>
  <c r="K857" i="2" s="1"/>
  <c r="K922" i="2" s="1"/>
  <c r="K987" i="2" s="1"/>
  <c r="K1052" i="2" s="1"/>
  <c r="K69" i="2"/>
  <c r="K134" i="2" s="1"/>
  <c r="K199" i="2" s="1"/>
  <c r="K264" i="2" s="1"/>
  <c r="K329" i="2" s="1"/>
  <c r="K394" i="2" s="1"/>
  <c r="K459" i="2" s="1"/>
  <c r="K524" i="2" s="1"/>
  <c r="K589" i="2" s="1"/>
  <c r="K654" i="2" s="1"/>
  <c r="K719" i="2" s="1"/>
  <c r="K784" i="2" s="1"/>
  <c r="K849" i="2" s="1"/>
  <c r="K914" i="2" s="1"/>
  <c r="K979" i="2" s="1"/>
  <c r="K1044" i="2" s="1"/>
  <c r="K70" i="2"/>
  <c r="K135" i="2" s="1"/>
  <c r="K200" i="2" s="1"/>
  <c r="K265" i="2" s="1"/>
  <c r="K330" i="2" s="1"/>
  <c r="K395" i="2" s="1"/>
  <c r="K460" i="2" s="1"/>
  <c r="K525" i="2" s="1"/>
  <c r="K590" i="2" s="1"/>
  <c r="K655" i="2" s="1"/>
  <c r="K720" i="2" s="1"/>
  <c r="K785" i="2" s="1"/>
  <c r="K850" i="2" s="1"/>
  <c r="K915" i="2" s="1"/>
  <c r="K980" i="2" s="1"/>
  <c r="K1045" i="2" s="1"/>
  <c r="K71" i="2"/>
  <c r="K136" i="2" s="1"/>
  <c r="K201" i="2" s="1"/>
  <c r="K266" i="2" s="1"/>
  <c r="K331" i="2" s="1"/>
  <c r="K396" i="2" s="1"/>
  <c r="K461" i="2" s="1"/>
  <c r="K526" i="2" s="1"/>
  <c r="K591" i="2" s="1"/>
  <c r="K656" i="2" s="1"/>
  <c r="K721" i="2" s="1"/>
  <c r="K786" i="2" s="1"/>
  <c r="K851" i="2" s="1"/>
  <c r="K916" i="2" s="1"/>
  <c r="K981" i="2" s="1"/>
  <c r="K1046" i="2" s="1"/>
  <c r="K72" i="2"/>
  <c r="K137" i="2" s="1"/>
  <c r="K202" i="2" s="1"/>
  <c r="K267" i="2" s="1"/>
  <c r="K73" i="2"/>
  <c r="K138" i="2" s="1"/>
  <c r="K203" i="2" s="1"/>
  <c r="K268" i="2" s="1"/>
  <c r="K333" i="2" s="1"/>
  <c r="K398" i="2" s="1"/>
  <c r="K463" i="2" s="1"/>
  <c r="K528" i="2" s="1"/>
  <c r="K593" i="2" s="1"/>
  <c r="K658" i="2" s="1"/>
  <c r="K723" i="2" s="1"/>
  <c r="K788" i="2" s="1"/>
  <c r="K853" i="2" s="1"/>
  <c r="K918" i="2" s="1"/>
  <c r="K983" i="2" s="1"/>
  <c r="K1048" i="2" s="1"/>
  <c r="K74" i="2"/>
  <c r="K139" i="2" s="1"/>
  <c r="K204" i="2" s="1"/>
  <c r="K269" i="2" s="1"/>
  <c r="K334" i="2" s="1"/>
  <c r="K399" i="2" s="1"/>
  <c r="K464" i="2" s="1"/>
  <c r="K529" i="2" s="1"/>
  <c r="K594" i="2" s="1"/>
  <c r="K659" i="2" s="1"/>
  <c r="K724" i="2" s="1"/>
  <c r="K789" i="2" s="1"/>
  <c r="K854" i="2" s="1"/>
  <c r="K919" i="2" s="1"/>
  <c r="K984" i="2" s="1"/>
  <c r="K1049" i="2" s="1"/>
  <c r="K63" i="2"/>
  <c r="K128" i="2" s="1"/>
  <c r="K193" i="2" s="1"/>
  <c r="K258" i="2" s="1"/>
  <c r="K323" i="2" s="1"/>
  <c r="K388" i="2" s="1"/>
  <c r="K453" i="2" s="1"/>
  <c r="K518" i="2" s="1"/>
  <c r="K583" i="2" s="1"/>
  <c r="K648" i="2" s="1"/>
  <c r="K713" i="2" s="1"/>
  <c r="K778" i="2" s="1"/>
  <c r="K843" i="2" s="1"/>
  <c r="K908" i="2" s="1"/>
  <c r="K973" i="2" s="1"/>
  <c r="K1038" i="2" s="1"/>
  <c r="K64" i="2"/>
  <c r="K129" i="2" s="1"/>
  <c r="K194" i="2" s="1"/>
  <c r="K259" i="2" s="1"/>
  <c r="K324" i="2" s="1"/>
  <c r="K389" i="2" s="1"/>
  <c r="K454" i="2" s="1"/>
  <c r="K519" i="2" s="1"/>
  <c r="K584" i="2" s="1"/>
  <c r="K649" i="2" s="1"/>
  <c r="K714" i="2" s="1"/>
  <c r="K779" i="2" s="1"/>
  <c r="K844" i="2" s="1"/>
  <c r="K909" i="2" s="1"/>
  <c r="K974" i="2" s="1"/>
  <c r="K1039" i="2" s="1"/>
  <c r="K65" i="2"/>
  <c r="K130" i="2" s="1"/>
  <c r="K66" i="2"/>
  <c r="K131" i="2" s="1"/>
  <c r="K196" i="2" s="1"/>
  <c r="K261" i="2" s="1"/>
  <c r="K326" i="2" s="1"/>
  <c r="K391" i="2" s="1"/>
  <c r="K456" i="2" s="1"/>
  <c r="K521" i="2" s="1"/>
  <c r="K586" i="2" s="1"/>
  <c r="K651" i="2" s="1"/>
  <c r="K716" i="2" s="1"/>
  <c r="K781" i="2" s="1"/>
  <c r="K846" i="2" s="1"/>
  <c r="K911" i="2" s="1"/>
  <c r="K976" i="2" s="1"/>
  <c r="K1041" i="2" s="1"/>
  <c r="K67" i="2"/>
  <c r="K132" i="2" s="1"/>
  <c r="K197" i="2" s="1"/>
  <c r="K262" i="2" s="1"/>
  <c r="K327" i="2" s="1"/>
  <c r="K392" i="2" s="1"/>
  <c r="K457" i="2" s="1"/>
  <c r="K522" i="2" s="1"/>
  <c r="K587" i="2" s="1"/>
  <c r="K652" i="2" s="1"/>
  <c r="K717" i="2" s="1"/>
  <c r="K782" i="2" s="1"/>
  <c r="K847" i="2" s="1"/>
  <c r="K912" i="2" s="1"/>
  <c r="K977" i="2" s="1"/>
  <c r="K1042" i="2" s="1"/>
  <c r="K68" i="2"/>
  <c r="K133" i="2" s="1"/>
  <c r="K198" i="2" s="1"/>
  <c r="K263" i="2" s="1"/>
  <c r="K58" i="2"/>
  <c r="K123" i="2" s="1"/>
  <c r="K188" i="2" s="1"/>
  <c r="K253" i="2" s="1"/>
  <c r="K318" i="2" s="1"/>
  <c r="K383" i="2" s="1"/>
  <c r="K448" i="2" s="1"/>
  <c r="K513" i="2" s="1"/>
  <c r="K578" i="2" s="1"/>
  <c r="K643" i="2" s="1"/>
  <c r="K708" i="2" s="1"/>
  <c r="K773" i="2" s="1"/>
  <c r="K838" i="2" s="1"/>
  <c r="K59" i="2"/>
  <c r="K124" i="2" s="1"/>
  <c r="K189" i="2" s="1"/>
  <c r="K254" i="2" s="1"/>
  <c r="K319" i="2" s="1"/>
  <c r="K384" i="2" s="1"/>
  <c r="K449" i="2" s="1"/>
  <c r="K514" i="2" s="1"/>
  <c r="K579" i="2" s="1"/>
  <c r="K644" i="2" s="1"/>
  <c r="K709" i="2" s="1"/>
  <c r="K774" i="2" s="1"/>
  <c r="K839" i="2" s="1"/>
  <c r="K904" i="2" s="1"/>
  <c r="K969" i="2" s="1"/>
  <c r="K1034" i="2" s="1"/>
  <c r="K60" i="2"/>
  <c r="K125" i="2" s="1"/>
  <c r="K190" i="2" s="1"/>
  <c r="K255" i="2" s="1"/>
  <c r="K320" i="2" s="1"/>
  <c r="K385" i="2" s="1"/>
  <c r="K450" i="2" s="1"/>
  <c r="K515" i="2" s="1"/>
  <c r="K580" i="2" s="1"/>
  <c r="K645" i="2" s="1"/>
  <c r="K710" i="2" s="1"/>
  <c r="K775" i="2" s="1"/>
  <c r="K840" i="2" s="1"/>
  <c r="K905" i="2" s="1"/>
  <c r="K970" i="2" s="1"/>
  <c r="K1035" i="2" s="1"/>
  <c r="K61" i="2"/>
  <c r="K126" i="2" s="1"/>
  <c r="K62" i="2"/>
  <c r="K127" i="2" s="1"/>
  <c r="K192" i="2" s="1"/>
  <c r="K257" i="2" s="1"/>
  <c r="K322" i="2" s="1"/>
  <c r="K387" i="2" s="1"/>
  <c r="K452" i="2" s="1"/>
  <c r="K517" i="2" s="1"/>
  <c r="K52" i="2"/>
  <c r="K117" i="2" s="1"/>
  <c r="K182" i="2" s="1"/>
  <c r="K247" i="2" s="1"/>
  <c r="K312" i="2" s="1"/>
  <c r="K377" i="2" s="1"/>
  <c r="K442" i="2" s="1"/>
  <c r="K507" i="2" s="1"/>
  <c r="K572" i="2" s="1"/>
  <c r="K637" i="2" s="1"/>
  <c r="K702" i="2" s="1"/>
  <c r="K767" i="2" s="1"/>
  <c r="K832" i="2" s="1"/>
  <c r="K897" i="2" s="1"/>
  <c r="K962" i="2" s="1"/>
  <c r="K1027" i="2" s="1"/>
  <c r="K53" i="2"/>
  <c r="K118" i="2" s="1"/>
  <c r="K54" i="2"/>
  <c r="K119" i="2" s="1"/>
  <c r="K184" i="2" s="1"/>
  <c r="K249" i="2" s="1"/>
  <c r="K314" i="2" s="1"/>
  <c r="K379" i="2" s="1"/>
  <c r="K444" i="2" s="1"/>
  <c r="K509" i="2" s="1"/>
  <c r="K574" i="2" s="1"/>
  <c r="K639" i="2" s="1"/>
  <c r="K704" i="2" s="1"/>
  <c r="K769" i="2" s="1"/>
  <c r="K834" i="2" s="1"/>
  <c r="K899" i="2" s="1"/>
  <c r="K964" i="2" s="1"/>
  <c r="K55" i="2"/>
  <c r="K120" i="2" s="1"/>
  <c r="K185" i="2" s="1"/>
  <c r="K250" i="2" s="1"/>
  <c r="K315" i="2" s="1"/>
  <c r="K380" i="2" s="1"/>
  <c r="K445" i="2" s="1"/>
  <c r="K510" i="2" s="1"/>
  <c r="K575" i="2" s="1"/>
  <c r="K640" i="2" s="1"/>
  <c r="K705" i="2" s="1"/>
  <c r="K770" i="2" s="1"/>
  <c r="K835" i="2" s="1"/>
  <c r="K900" i="2" s="1"/>
  <c r="K965" i="2" s="1"/>
  <c r="K1030" i="2" s="1"/>
  <c r="K56" i="2"/>
  <c r="K121" i="2" s="1"/>
  <c r="K186" i="2" s="1"/>
  <c r="K251" i="2" s="1"/>
  <c r="K316" i="2" s="1"/>
  <c r="K381" i="2" s="1"/>
  <c r="K446" i="2" s="1"/>
  <c r="K511" i="2" s="1"/>
  <c r="K576" i="2" s="1"/>
  <c r="K641" i="2" s="1"/>
  <c r="K706" i="2" s="1"/>
  <c r="K771" i="2" s="1"/>
  <c r="K836" i="2" s="1"/>
  <c r="K901" i="2" s="1"/>
  <c r="K966" i="2" s="1"/>
  <c r="K1031" i="2" s="1"/>
  <c r="K57" i="2"/>
  <c r="K122" i="2" s="1"/>
  <c r="K187" i="2" s="1"/>
  <c r="K252" i="2" s="1"/>
  <c r="J69" i="2"/>
  <c r="J134" i="2" s="1"/>
  <c r="J70" i="2"/>
  <c r="J135" i="2" s="1"/>
  <c r="J71" i="2"/>
  <c r="J136" i="2" s="1"/>
  <c r="J72" i="2"/>
  <c r="J137" i="2" s="1"/>
  <c r="J73" i="2"/>
  <c r="J138" i="2" s="1"/>
  <c r="J74" i="2"/>
  <c r="J139" i="2" s="1"/>
  <c r="J75" i="2"/>
  <c r="J140" i="2" s="1"/>
  <c r="J76" i="2"/>
  <c r="J141" i="2" s="1"/>
  <c r="J77" i="2"/>
  <c r="J142" i="2" s="1"/>
  <c r="J60" i="2"/>
  <c r="J125" i="2" s="1"/>
  <c r="J61" i="2"/>
  <c r="J126" i="2" s="1"/>
  <c r="J62" i="2"/>
  <c r="J127" i="2" s="1"/>
  <c r="J63" i="2"/>
  <c r="J128" i="2" s="1"/>
  <c r="J64" i="2"/>
  <c r="J129" i="2" s="1"/>
  <c r="J65" i="2"/>
  <c r="J130" i="2" s="1"/>
  <c r="J66" i="2"/>
  <c r="J131" i="2" s="1"/>
  <c r="J67" i="2"/>
  <c r="J132" i="2" s="1"/>
  <c r="J68" i="2"/>
  <c r="J133" i="2" s="1"/>
  <c r="J52" i="2"/>
  <c r="J117" i="2" s="1"/>
  <c r="J53" i="2"/>
  <c r="J118" i="2" s="1"/>
  <c r="J54" i="2"/>
  <c r="J119" i="2" s="1"/>
  <c r="J55" i="2"/>
  <c r="J120" i="2" s="1"/>
  <c r="J56" i="2"/>
  <c r="J121" i="2" s="1"/>
  <c r="J57" i="2"/>
  <c r="J122" i="2" s="1"/>
  <c r="J58" i="2"/>
  <c r="J123" i="2" s="1"/>
  <c r="J59" i="2"/>
  <c r="J124" i="2" s="1"/>
  <c r="K51" i="2"/>
  <c r="K116" i="2" s="1"/>
  <c r="K181" i="2" s="1"/>
  <c r="K246" i="2" s="1"/>
  <c r="K311" i="2" s="1"/>
  <c r="K376" i="2" s="1"/>
  <c r="K441" i="2" s="1"/>
  <c r="K506" i="2" s="1"/>
  <c r="K571" i="2" s="1"/>
  <c r="K636" i="2" s="1"/>
  <c r="K701" i="2" s="1"/>
  <c r="J51" i="2"/>
  <c r="J116" i="2" s="1"/>
  <c r="K50" i="2"/>
  <c r="K115" i="2" s="1"/>
  <c r="K180" i="2" s="1"/>
  <c r="K245" i="2" s="1"/>
  <c r="K310" i="2" s="1"/>
  <c r="K375" i="2" s="1"/>
  <c r="J50" i="2"/>
  <c r="J115" i="2" s="1"/>
  <c r="K48" i="2"/>
  <c r="K113" i="2" s="1"/>
  <c r="K178" i="2" s="1"/>
  <c r="K243" i="2" s="1"/>
  <c r="J48" i="2"/>
  <c r="J113" i="2" s="1"/>
  <c r="K45" i="2"/>
  <c r="K110" i="2" s="1"/>
  <c r="K175" i="2" s="1"/>
  <c r="K240" i="2" s="1"/>
  <c r="K305" i="2" s="1"/>
  <c r="K370" i="2" s="1"/>
  <c r="K435" i="2" s="1"/>
  <c r="K500" i="2" s="1"/>
  <c r="K565" i="2" s="1"/>
  <c r="K630" i="2" s="1"/>
  <c r="K695" i="2" s="1"/>
  <c r="K760" i="2" s="1"/>
  <c r="K825" i="2" s="1"/>
  <c r="K890" i="2" s="1"/>
  <c r="K955" i="2" s="1"/>
  <c r="K1020" i="2" s="1"/>
  <c r="K46" i="2"/>
  <c r="K111" i="2" s="1"/>
  <c r="K176" i="2" s="1"/>
  <c r="K241" i="2" s="1"/>
  <c r="K306" i="2" s="1"/>
  <c r="K371" i="2" s="1"/>
  <c r="K436" i="2" s="1"/>
  <c r="K501" i="2" s="1"/>
  <c r="K566" i="2" s="1"/>
  <c r="K631" i="2" s="1"/>
  <c r="K696" i="2" s="1"/>
  <c r="K761" i="2" s="1"/>
  <c r="K826" i="2" s="1"/>
  <c r="K891" i="2" s="1"/>
  <c r="K956" i="2" s="1"/>
  <c r="K1021" i="2" s="1"/>
  <c r="J45" i="2"/>
  <c r="J110" i="2" s="1"/>
  <c r="J46" i="2"/>
  <c r="J111" i="2" s="1"/>
  <c r="K44" i="2"/>
  <c r="K109" i="2" s="1"/>
  <c r="K174" i="2" s="1"/>
  <c r="K239" i="2" s="1"/>
  <c r="K304" i="2" s="1"/>
  <c r="K369" i="2" s="1"/>
  <c r="K434" i="2" s="1"/>
  <c r="K499" i="2" s="1"/>
  <c r="K564" i="2" s="1"/>
  <c r="K629" i="2" s="1"/>
  <c r="K694" i="2" s="1"/>
  <c r="K759" i="2" s="1"/>
  <c r="K824" i="2" s="1"/>
  <c r="K889" i="2" s="1"/>
  <c r="K954" i="2" s="1"/>
  <c r="K1019" i="2" s="1"/>
  <c r="J44" i="2"/>
  <c r="J109" i="2" s="1"/>
  <c r="K43" i="2"/>
  <c r="K108" i="2" s="1"/>
  <c r="J43" i="2"/>
  <c r="J108" i="2" s="1"/>
  <c r="K37" i="2"/>
  <c r="K102" i="2" s="1"/>
  <c r="K167" i="2" s="1"/>
  <c r="K232" i="2" s="1"/>
  <c r="K38" i="2"/>
  <c r="K103" i="2" s="1"/>
  <c r="K168" i="2" s="1"/>
  <c r="K233" i="2" s="1"/>
  <c r="K298" i="2" s="1"/>
  <c r="K363" i="2" s="1"/>
  <c r="K428" i="2" s="1"/>
  <c r="K493" i="2" s="1"/>
  <c r="K558" i="2" s="1"/>
  <c r="K623" i="2" s="1"/>
  <c r="K688" i="2" s="1"/>
  <c r="K753" i="2" s="1"/>
  <c r="K818" i="2" s="1"/>
  <c r="K883" i="2" s="1"/>
  <c r="K948" i="2" s="1"/>
  <c r="K1013" i="2" s="1"/>
  <c r="K39" i="2"/>
  <c r="K104" i="2" s="1"/>
  <c r="K169" i="2" s="1"/>
  <c r="K234" i="2" s="1"/>
  <c r="K299" i="2" s="1"/>
  <c r="K364" i="2" s="1"/>
  <c r="K429" i="2" s="1"/>
  <c r="K494" i="2" s="1"/>
  <c r="K559" i="2" s="1"/>
  <c r="K624" i="2" s="1"/>
  <c r="K689" i="2" s="1"/>
  <c r="K754" i="2" s="1"/>
  <c r="K819" i="2" s="1"/>
  <c r="K884" i="2" s="1"/>
  <c r="K949" i="2" s="1"/>
  <c r="K1014" i="2" s="1"/>
  <c r="K40" i="2"/>
  <c r="K105" i="2" s="1"/>
  <c r="K170" i="2" s="1"/>
  <c r="K235" i="2" s="1"/>
  <c r="K41" i="2"/>
  <c r="K106" i="2" s="1"/>
  <c r="K171" i="2" s="1"/>
  <c r="K236" i="2" s="1"/>
  <c r="K301" i="2" s="1"/>
  <c r="K366" i="2" s="1"/>
  <c r="K431" i="2" s="1"/>
  <c r="K496" i="2" s="1"/>
  <c r="K561" i="2" s="1"/>
  <c r="K626" i="2" s="1"/>
  <c r="K691" i="2" s="1"/>
  <c r="K756" i="2" s="1"/>
  <c r="K821" i="2" s="1"/>
  <c r="K886" i="2" s="1"/>
  <c r="K951" i="2" s="1"/>
  <c r="K1016" i="2" s="1"/>
  <c r="J37" i="2"/>
  <c r="J102" i="2" s="1"/>
  <c r="J38" i="2"/>
  <c r="J103" i="2" s="1"/>
  <c r="J39" i="2"/>
  <c r="J104" i="2" s="1"/>
  <c r="J40" i="2"/>
  <c r="J105" i="2" s="1"/>
  <c r="J41" i="2"/>
  <c r="J106" i="2" s="1"/>
  <c r="K36" i="2"/>
  <c r="K101" i="2" s="1"/>
  <c r="K166" i="2" s="1"/>
  <c r="K231" i="2" s="1"/>
  <c r="K296" i="2" s="1"/>
  <c r="K361" i="2" s="1"/>
  <c r="K426" i="2" s="1"/>
  <c r="K491" i="2" s="1"/>
  <c r="K556" i="2" s="1"/>
  <c r="K621" i="2" s="1"/>
  <c r="K686" i="2" s="1"/>
  <c r="K751" i="2" s="1"/>
  <c r="K816" i="2" s="1"/>
  <c r="K881" i="2" s="1"/>
  <c r="K946" i="2" s="1"/>
  <c r="K1011" i="2" s="1"/>
  <c r="J36" i="2"/>
  <c r="J101" i="2" s="1"/>
  <c r="K35" i="2"/>
  <c r="K100" i="2" s="1"/>
  <c r="J35" i="2"/>
  <c r="J100" i="2" s="1"/>
  <c r="K30" i="2"/>
  <c r="K95" i="2" s="1"/>
  <c r="K160" i="2" s="1"/>
  <c r="K225" i="2" s="1"/>
  <c r="K290" i="2" s="1"/>
  <c r="K355" i="2" s="1"/>
  <c r="K420" i="2" s="1"/>
  <c r="K485" i="2" s="1"/>
  <c r="K550" i="2" s="1"/>
  <c r="K615" i="2" s="1"/>
  <c r="K680" i="2" s="1"/>
  <c r="K745" i="2" s="1"/>
  <c r="K810" i="2" s="1"/>
  <c r="K875" i="2" s="1"/>
  <c r="K940" i="2" s="1"/>
  <c r="K1005" i="2" s="1"/>
  <c r="K31" i="2"/>
  <c r="K96" i="2" s="1"/>
  <c r="K161" i="2" s="1"/>
  <c r="K226" i="2" s="1"/>
  <c r="K291" i="2" s="1"/>
  <c r="K356" i="2" s="1"/>
  <c r="K421" i="2" s="1"/>
  <c r="K486" i="2" s="1"/>
  <c r="K551" i="2" s="1"/>
  <c r="K616" i="2" s="1"/>
  <c r="K681" i="2" s="1"/>
  <c r="K746" i="2" s="1"/>
  <c r="K811" i="2" s="1"/>
  <c r="K876" i="2" s="1"/>
  <c r="K941" i="2" s="1"/>
  <c r="K1006" i="2" s="1"/>
  <c r="K32" i="2"/>
  <c r="K97" i="2" s="1"/>
  <c r="K162" i="2" s="1"/>
  <c r="K227" i="2" s="1"/>
  <c r="J30" i="2"/>
  <c r="J95" i="2" s="1"/>
  <c r="J31" i="2"/>
  <c r="J96" i="2" s="1"/>
  <c r="J32" i="2"/>
  <c r="J97" i="2" s="1"/>
  <c r="K29" i="2"/>
  <c r="K94" i="2" s="1"/>
  <c r="K159" i="2" s="1"/>
  <c r="K224" i="2" s="1"/>
  <c r="K289" i="2" s="1"/>
  <c r="K354" i="2" s="1"/>
  <c r="K419" i="2" s="1"/>
  <c r="K484" i="2" s="1"/>
  <c r="K549" i="2" s="1"/>
  <c r="K614" i="2" s="1"/>
  <c r="K679" i="2" s="1"/>
  <c r="K744" i="2" s="1"/>
  <c r="K809" i="2" s="1"/>
  <c r="K874" i="2" s="1"/>
  <c r="K939" i="2" s="1"/>
  <c r="K1004" i="2" s="1"/>
  <c r="J29" i="2"/>
  <c r="J94" i="2" s="1"/>
  <c r="K28" i="2"/>
  <c r="K93" i="2" s="1"/>
  <c r="J28" i="2"/>
  <c r="J93" i="2" s="1"/>
  <c r="K22" i="2"/>
  <c r="K87" i="2" s="1"/>
  <c r="K152" i="2" s="1"/>
  <c r="K217" i="2" s="1"/>
  <c r="K23" i="2"/>
  <c r="K88" i="2" s="1"/>
  <c r="K153" i="2" s="1"/>
  <c r="K218" i="2" s="1"/>
  <c r="K283" i="2" s="1"/>
  <c r="K348" i="2" s="1"/>
  <c r="K413" i="2" s="1"/>
  <c r="K478" i="2" s="1"/>
  <c r="K543" i="2" s="1"/>
  <c r="K608" i="2" s="1"/>
  <c r="K673" i="2" s="1"/>
  <c r="K738" i="2" s="1"/>
  <c r="K803" i="2" s="1"/>
  <c r="K868" i="2" s="1"/>
  <c r="K933" i="2" s="1"/>
  <c r="K998" i="2" s="1"/>
  <c r="K24" i="2"/>
  <c r="K89" i="2" s="1"/>
  <c r="K154" i="2" s="1"/>
  <c r="K219" i="2" s="1"/>
  <c r="K25" i="2"/>
  <c r="K90" i="2" s="1"/>
  <c r="K26" i="2"/>
  <c r="K91" i="2" s="1"/>
  <c r="K156" i="2" s="1"/>
  <c r="K221" i="2" s="1"/>
  <c r="K286" i="2" s="1"/>
  <c r="K351" i="2" s="1"/>
  <c r="K416" i="2" s="1"/>
  <c r="K481" i="2" s="1"/>
  <c r="K546" i="2" s="1"/>
  <c r="K611" i="2" s="1"/>
  <c r="K676" i="2" s="1"/>
  <c r="K741" i="2" s="1"/>
  <c r="K806" i="2" s="1"/>
  <c r="K871" i="2" s="1"/>
  <c r="K936" i="2" s="1"/>
  <c r="K1001" i="2" s="1"/>
  <c r="J22" i="2"/>
  <c r="J87" i="2" s="1"/>
  <c r="J23" i="2"/>
  <c r="J88" i="2" s="1"/>
  <c r="J24" i="2"/>
  <c r="J89" i="2" s="1"/>
  <c r="J25" i="2"/>
  <c r="J90" i="2" s="1"/>
  <c r="J26" i="2"/>
  <c r="J91" i="2" s="1"/>
  <c r="K21" i="2"/>
  <c r="K86" i="2" s="1"/>
  <c r="K151" i="2" s="1"/>
  <c r="K216" i="2" s="1"/>
  <c r="K281" i="2" s="1"/>
  <c r="K346" i="2" s="1"/>
  <c r="K411" i="2" s="1"/>
  <c r="K476" i="2" s="1"/>
  <c r="K541" i="2" s="1"/>
  <c r="K606" i="2" s="1"/>
  <c r="K671" i="2" s="1"/>
  <c r="K736" i="2" s="1"/>
  <c r="K801" i="2" s="1"/>
  <c r="K866" i="2" s="1"/>
  <c r="K931" i="2" s="1"/>
  <c r="K996" i="2" s="1"/>
  <c r="J21" i="2"/>
  <c r="J86" i="2" s="1"/>
  <c r="K20" i="2"/>
  <c r="K85" i="2" s="1"/>
  <c r="J20" i="2"/>
  <c r="J85" i="2" s="1"/>
  <c r="J150" i="2" l="1"/>
  <c r="I85" i="2"/>
  <c r="J92" i="2"/>
  <c r="I92" i="2" s="1"/>
  <c r="L85" i="2"/>
  <c r="O85" i="2"/>
  <c r="O87" i="2"/>
  <c r="J152" i="2"/>
  <c r="I87" i="2"/>
  <c r="L87" i="2"/>
  <c r="J160" i="2"/>
  <c r="L95" i="2"/>
  <c r="I95" i="2"/>
  <c r="O95" i="2"/>
  <c r="J171" i="2"/>
  <c r="O106" i="2"/>
  <c r="I106" i="2"/>
  <c r="L106" i="2"/>
  <c r="J167" i="2"/>
  <c r="O102" i="2"/>
  <c r="L102" i="2"/>
  <c r="I102" i="2"/>
  <c r="J180" i="2"/>
  <c r="O115" i="2"/>
  <c r="L115" i="2"/>
  <c r="I115" i="2"/>
  <c r="O124" i="2"/>
  <c r="J189" i="2"/>
  <c r="L124" i="2"/>
  <c r="I124" i="2"/>
  <c r="O120" i="2"/>
  <c r="J185" i="2"/>
  <c r="L120" i="2"/>
  <c r="I120" i="2"/>
  <c r="J198" i="2"/>
  <c r="O133" i="2"/>
  <c r="I133" i="2"/>
  <c r="L133" i="2"/>
  <c r="J194" i="2"/>
  <c r="O129" i="2"/>
  <c r="I129" i="2"/>
  <c r="L129" i="2"/>
  <c r="J190" i="2"/>
  <c r="I125" i="2"/>
  <c r="L125" i="2"/>
  <c r="O125" i="2"/>
  <c r="J204" i="2"/>
  <c r="L139" i="2"/>
  <c r="I139" i="2"/>
  <c r="O139" i="2"/>
  <c r="J200" i="2"/>
  <c r="O135" i="2"/>
  <c r="I135" i="2"/>
  <c r="L135" i="2"/>
  <c r="K582" i="2"/>
  <c r="K647" i="2" s="1"/>
  <c r="K712" i="2" s="1"/>
  <c r="K777" i="2" s="1"/>
  <c r="K842" i="2" s="1"/>
  <c r="K907" i="2" s="1"/>
  <c r="K972" i="2" s="1"/>
  <c r="K1037" i="2" s="1"/>
  <c r="K903" i="2"/>
  <c r="K968" i="2" s="1"/>
  <c r="K1033" i="2" s="1"/>
  <c r="I130" i="2"/>
  <c r="K195" i="2"/>
  <c r="K260" i="2" s="1"/>
  <c r="J174" i="2"/>
  <c r="O109" i="2"/>
  <c r="L109" i="2"/>
  <c r="K150" i="2"/>
  <c r="K92" i="2"/>
  <c r="L90" i="2"/>
  <c r="J155" i="2"/>
  <c r="O90" i="2"/>
  <c r="K440" i="2"/>
  <c r="J184" i="2"/>
  <c r="O119" i="2"/>
  <c r="L119" i="2"/>
  <c r="I119" i="2"/>
  <c r="J193" i="2"/>
  <c r="I128" i="2"/>
  <c r="O128" i="2"/>
  <c r="L128" i="2"/>
  <c r="K1029" i="2"/>
  <c r="I126" i="2"/>
  <c r="K191" i="2"/>
  <c r="K256" i="2" s="1"/>
  <c r="K328" i="2"/>
  <c r="K332" i="2"/>
  <c r="J165" i="2"/>
  <c r="I100" i="2"/>
  <c r="O100" i="2"/>
  <c r="J107" i="2"/>
  <c r="L100" i="2"/>
  <c r="K282" i="2"/>
  <c r="K292" i="2"/>
  <c r="K165" i="2"/>
  <c r="K107" i="2"/>
  <c r="O105" i="2"/>
  <c r="J170" i="2"/>
  <c r="L105" i="2"/>
  <c r="I105" i="2"/>
  <c r="K297" i="2"/>
  <c r="K362" i="2" s="1"/>
  <c r="J188" i="2"/>
  <c r="O123" i="2"/>
  <c r="I123" i="2"/>
  <c r="L123" i="2"/>
  <c r="J197" i="2"/>
  <c r="O132" i="2"/>
  <c r="I132" i="2"/>
  <c r="L132" i="2"/>
  <c r="J207" i="2"/>
  <c r="O142" i="2"/>
  <c r="L142" i="2"/>
  <c r="I142" i="2"/>
  <c r="J203" i="2"/>
  <c r="O138" i="2"/>
  <c r="I138" i="2"/>
  <c r="L138" i="2"/>
  <c r="J199" i="2"/>
  <c r="O134" i="2"/>
  <c r="L134" i="2"/>
  <c r="I134" i="2"/>
  <c r="J151" i="2"/>
  <c r="O86" i="2"/>
  <c r="I86" i="2"/>
  <c r="J154" i="2"/>
  <c r="O89" i="2"/>
  <c r="L89" i="2"/>
  <c r="I89" i="2"/>
  <c r="I90" i="2"/>
  <c r="K155" i="2"/>
  <c r="K220" i="2" s="1"/>
  <c r="K285" i="2" s="1"/>
  <c r="K350" i="2" s="1"/>
  <c r="K415" i="2" s="1"/>
  <c r="K480" i="2" s="1"/>
  <c r="K545" i="2" s="1"/>
  <c r="K610" i="2" s="1"/>
  <c r="K675" i="2" s="1"/>
  <c r="K740" i="2" s="1"/>
  <c r="K805" i="2" s="1"/>
  <c r="K870" i="2" s="1"/>
  <c r="K935" i="2" s="1"/>
  <c r="K1000" i="2" s="1"/>
  <c r="J158" i="2"/>
  <c r="J98" i="2"/>
  <c r="L93" i="2"/>
  <c r="I93" i="2"/>
  <c r="O93" i="2"/>
  <c r="J162" i="2"/>
  <c r="L97" i="2"/>
  <c r="O97" i="2"/>
  <c r="I97" i="2"/>
  <c r="J166" i="2"/>
  <c r="O101" i="2"/>
  <c r="I101" i="2"/>
  <c r="L101" i="2"/>
  <c r="J169" i="2"/>
  <c r="O104" i="2"/>
  <c r="L104" i="2"/>
  <c r="I104" i="2"/>
  <c r="I107" i="2" s="1"/>
  <c r="K300" i="2"/>
  <c r="J173" i="2"/>
  <c r="O108" i="2"/>
  <c r="I108" i="2"/>
  <c r="I112" i="2" s="1"/>
  <c r="L108" i="2"/>
  <c r="J112" i="2"/>
  <c r="L112" i="2" s="1"/>
  <c r="J176" i="2"/>
  <c r="L111" i="2"/>
  <c r="O111" i="2"/>
  <c r="J178" i="2"/>
  <c r="I113" i="2"/>
  <c r="O113" i="2"/>
  <c r="L113" i="2"/>
  <c r="J181" i="2"/>
  <c r="I116" i="2"/>
  <c r="O116" i="2"/>
  <c r="L116" i="2"/>
  <c r="J187" i="2"/>
  <c r="O122" i="2"/>
  <c r="I122" i="2"/>
  <c r="L122" i="2"/>
  <c r="O131" i="2"/>
  <c r="J196" i="2"/>
  <c r="I131" i="2"/>
  <c r="J192" i="2"/>
  <c r="O127" i="2"/>
  <c r="I127" i="2"/>
  <c r="L127" i="2"/>
  <c r="J206" i="2"/>
  <c r="I141" i="2"/>
  <c r="O141" i="2"/>
  <c r="L141" i="2"/>
  <c r="O137" i="2"/>
  <c r="J202" i="2"/>
  <c r="I137" i="2"/>
  <c r="L137" i="2"/>
  <c r="K317" i="2"/>
  <c r="K382" i="2" s="1"/>
  <c r="K336" i="2"/>
  <c r="J156" i="2"/>
  <c r="I91" i="2"/>
  <c r="O91" i="2"/>
  <c r="J159" i="2"/>
  <c r="I94" i="2"/>
  <c r="O94" i="2"/>
  <c r="O98" i="2" s="1"/>
  <c r="J153" i="2"/>
  <c r="O88" i="2"/>
  <c r="I88" i="2"/>
  <c r="K284" i="2"/>
  <c r="K349" i="2" s="1"/>
  <c r="K158" i="2"/>
  <c r="K98" i="2"/>
  <c r="J161" i="2"/>
  <c r="O96" i="2"/>
  <c r="I96" i="2"/>
  <c r="L96" i="2"/>
  <c r="J168" i="2"/>
  <c r="I103" i="2"/>
  <c r="O103" i="2"/>
  <c r="K173" i="2"/>
  <c r="K112" i="2"/>
  <c r="K114" i="2" s="1"/>
  <c r="J175" i="2"/>
  <c r="O110" i="2"/>
  <c r="L110" i="2"/>
  <c r="K308" i="2"/>
  <c r="K373" i="2" s="1"/>
  <c r="K766" i="2"/>
  <c r="K831" i="2" s="1"/>
  <c r="K896" i="2" s="1"/>
  <c r="K961" i="2" s="1"/>
  <c r="K1026" i="2" s="1"/>
  <c r="J186" i="2"/>
  <c r="L121" i="2"/>
  <c r="O121" i="2"/>
  <c r="I121" i="2"/>
  <c r="J182" i="2"/>
  <c r="I117" i="2"/>
  <c r="L117" i="2"/>
  <c r="O117" i="2"/>
  <c r="O130" i="2"/>
  <c r="J195" i="2"/>
  <c r="L130" i="2"/>
  <c r="J191" i="2"/>
  <c r="O126" i="2"/>
  <c r="L126" i="2"/>
  <c r="J205" i="2"/>
  <c r="O140" i="2"/>
  <c r="I140" i="2"/>
  <c r="L140" i="2"/>
  <c r="J201" i="2"/>
  <c r="I136" i="2"/>
  <c r="L136" i="2"/>
  <c r="O136" i="2"/>
  <c r="K183" i="2"/>
  <c r="K143" i="2"/>
  <c r="J183" i="2"/>
  <c r="O118" i="2"/>
  <c r="J143" i="2"/>
  <c r="I118" i="2"/>
  <c r="L118" i="2"/>
  <c r="O182" i="2" l="1"/>
  <c r="J247" i="2"/>
  <c r="I182" i="2"/>
  <c r="L182" i="2"/>
  <c r="O161" i="2"/>
  <c r="J226" i="2"/>
  <c r="L161" i="2"/>
  <c r="I161" i="2"/>
  <c r="K447" i="2"/>
  <c r="K512" i="2" s="1"/>
  <c r="K577" i="2" s="1"/>
  <c r="K642" i="2" s="1"/>
  <c r="K707" i="2" s="1"/>
  <c r="K772" i="2" s="1"/>
  <c r="L187" i="2"/>
  <c r="J252" i="2"/>
  <c r="I187" i="2"/>
  <c r="O187" i="2"/>
  <c r="L178" i="2"/>
  <c r="J243" i="2"/>
  <c r="I178" i="2"/>
  <c r="O178" i="2"/>
  <c r="L191" i="2"/>
  <c r="J256" i="2"/>
  <c r="I191" i="2"/>
  <c r="O191" i="2"/>
  <c r="L206" i="2"/>
  <c r="J271" i="2"/>
  <c r="I206" i="2"/>
  <c r="O206" i="2"/>
  <c r="O143" i="2"/>
  <c r="L195" i="2"/>
  <c r="J260" i="2"/>
  <c r="I260" i="2" s="1"/>
  <c r="I195" i="2"/>
  <c r="O195" i="2"/>
  <c r="K438" i="2"/>
  <c r="K503" i="2" s="1"/>
  <c r="K568" i="2" s="1"/>
  <c r="K633" i="2" s="1"/>
  <c r="K698" i="2" s="1"/>
  <c r="K763" i="2" s="1"/>
  <c r="L175" i="2"/>
  <c r="J240" i="2"/>
  <c r="O175" i="2"/>
  <c r="K414" i="2"/>
  <c r="K479" i="2" s="1"/>
  <c r="K544" i="2" s="1"/>
  <c r="K609" i="2" s="1"/>
  <c r="K674" i="2" s="1"/>
  <c r="K739" i="2" s="1"/>
  <c r="O153" i="2"/>
  <c r="J218" i="2"/>
  <c r="I153" i="2"/>
  <c r="O196" i="2"/>
  <c r="J261" i="2"/>
  <c r="I196" i="2"/>
  <c r="O176" i="2"/>
  <c r="J241" i="2"/>
  <c r="L176" i="2"/>
  <c r="O112" i="2"/>
  <c r="I158" i="2"/>
  <c r="J223" i="2"/>
  <c r="J163" i="2"/>
  <c r="L158" i="2"/>
  <c r="O158" i="2"/>
  <c r="K347" i="2"/>
  <c r="O107" i="2"/>
  <c r="K505" i="2"/>
  <c r="L174" i="2"/>
  <c r="J239" i="2"/>
  <c r="O174" i="2"/>
  <c r="J216" i="2"/>
  <c r="O151" i="2"/>
  <c r="I151" i="2"/>
  <c r="I199" i="2"/>
  <c r="J264" i="2"/>
  <c r="O199" i="2"/>
  <c r="L199" i="2"/>
  <c r="I203" i="2"/>
  <c r="J268" i="2"/>
  <c r="L203" i="2"/>
  <c r="O203" i="2"/>
  <c r="I207" i="2"/>
  <c r="J272" i="2"/>
  <c r="L207" i="2"/>
  <c r="O207" i="2"/>
  <c r="J262" i="2"/>
  <c r="O197" i="2"/>
  <c r="I197" i="2"/>
  <c r="L197" i="2"/>
  <c r="J253" i="2"/>
  <c r="O188" i="2"/>
  <c r="I188" i="2"/>
  <c r="L188" i="2"/>
  <c r="K172" i="2"/>
  <c r="K230" i="2"/>
  <c r="K393" i="2"/>
  <c r="K215" i="2"/>
  <c r="K157" i="2"/>
  <c r="K325" i="2"/>
  <c r="K390" i="2" s="1"/>
  <c r="O185" i="2"/>
  <c r="J250" i="2"/>
  <c r="L185" i="2"/>
  <c r="I185" i="2"/>
  <c r="O189" i="2"/>
  <c r="J254" i="2"/>
  <c r="L189" i="2"/>
  <c r="I189" i="2"/>
  <c r="J217" i="2"/>
  <c r="L152" i="2"/>
  <c r="O152" i="2"/>
  <c r="I152" i="2"/>
  <c r="O181" i="2"/>
  <c r="J246" i="2"/>
  <c r="L181" i="2"/>
  <c r="I181" i="2"/>
  <c r="K365" i="2"/>
  <c r="L154" i="2"/>
  <c r="J219" i="2"/>
  <c r="I154" i="2"/>
  <c r="O154" i="2"/>
  <c r="K427" i="2"/>
  <c r="K492" i="2" s="1"/>
  <c r="K557" i="2" s="1"/>
  <c r="L170" i="2"/>
  <c r="J235" i="2"/>
  <c r="I170" i="2"/>
  <c r="O170" i="2"/>
  <c r="K357" i="2"/>
  <c r="J172" i="2"/>
  <c r="J230" i="2"/>
  <c r="L165" i="2"/>
  <c r="O165" i="2"/>
  <c r="I165" i="2"/>
  <c r="O193" i="2"/>
  <c r="J258" i="2"/>
  <c r="L193" i="2"/>
  <c r="I193" i="2"/>
  <c r="I184" i="2"/>
  <c r="J249" i="2"/>
  <c r="O184" i="2"/>
  <c r="L184" i="2"/>
  <c r="I155" i="2"/>
  <c r="J220" i="2"/>
  <c r="L155" i="2"/>
  <c r="O155" i="2"/>
  <c r="O200" i="2"/>
  <c r="J265" i="2"/>
  <c r="L200" i="2"/>
  <c r="I200" i="2"/>
  <c r="O204" i="2"/>
  <c r="J269" i="2"/>
  <c r="L204" i="2"/>
  <c r="I204" i="2"/>
  <c r="O190" i="2"/>
  <c r="J255" i="2"/>
  <c r="L190" i="2"/>
  <c r="I190" i="2"/>
  <c r="O194" i="2"/>
  <c r="J259" i="2"/>
  <c r="I194" i="2"/>
  <c r="L194" i="2"/>
  <c r="L198" i="2"/>
  <c r="J263" i="2"/>
  <c r="I198" i="2"/>
  <c r="O198" i="2"/>
  <c r="I180" i="2"/>
  <c r="J245" i="2"/>
  <c r="L180" i="2"/>
  <c r="O180" i="2"/>
  <c r="L167" i="2"/>
  <c r="J232" i="2"/>
  <c r="I167" i="2"/>
  <c r="O167" i="2"/>
  <c r="I171" i="2"/>
  <c r="J236" i="2"/>
  <c r="L171" i="2"/>
  <c r="O171" i="2"/>
  <c r="I160" i="2"/>
  <c r="J225" i="2"/>
  <c r="O160" i="2"/>
  <c r="L160" i="2"/>
  <c r="O186" i="2"/>
  <c r="J251" i="2"/>
  <c r="L186" i="2"/>
  <c r="I186" i="2"/>
  <c r="O168" i="2"/>
  <c r="J233" i="2"/>
  <c r="I168" i="2"/>
  <c r="L202" i="2"/>
  <c r="J267" i="2"/>
  <c r="I202" i="2"/>
  <c r="O202" i="2"/>
  <c r="J238" i="2"/>
  <c r="L173" i="2"/>
  <c r="I173" i="2"/>
  <c r="I177" i="2" s="1"/>
  <c r="J177" i="2"/>
  <c r="L177" i="2" s="1"/>
  <c r="O173" i="2"/>
  <c r="O177" i="2" s="1"/>
  <c r="K177" i="2"/>
  <c r="K238" i="2"/>
  <c r="O156" i="2"/>
  <c r="J221" i="2"/>
  <c r="I156" i="2"/>
  <c r="I192" i="2"/>
  <c r="J257" i="2"/>
  <c r="L192" i="2"/>
  <c r="O192" i="2"/>
  <c r="I143" i="2"/>
  <c r="O201" i="2"/>
  <c r="J266" i="2"/>
  <c r="L201" i="2"/>
  <c r="I201" i="2"/>
  <c r="O205" i="2"/>
  <c r="J270" i="2"/>
  <c r="I205" i="2"/>
  <c r="L205" i="2"/>
  <c r="K163" i="2"/>
  <c r="K223" i="2"/>
  <c r="I159" i="2"/>
  <c r="J224" i="2"/>
  <c r="O159" i="2"/>
  <c r="K401" i="2"/>
  <c r="O169" i="2"/>
  <c r="J234" i="2"/>
  <c r="I169" i="2"/>
  <c r="I172" i="2" s="1"/>
  <c r="L169" i="2"/>
  <c r="O166" i="2"/>
  <c r="J231" i="2"/>
  <c r="I166" i="2"/>
  <c r="L166" i="2"/>
  <c r="L162" i="2"/>
  <c r="J227" i="2"/>
  <c r="I162" i="2"/>
  <c r="O162" i="2"/>
  <c r="I98" i="2"/>
  <c r="L107" i="2"/>
  <c r="J114" i="2"/>
  <c r="I114" i="2" s="1"/>
  <c r="K397" i="2"/>
  <c r="I256" i="2"/>
  <c r="K321" i="2"/>
  <c r="K386" i="2" s="1"/>
  <c r="O92" i="2"/>
  <c r="O99" i="2" s="1"/>
  <c r="J215" i="2"/>
  <c r="L150" i="2"/>
  <c r="J157" i="2"/>
  <c r="I157" i="2" s="1"/>
  <c r="O150" i="2"/>
  <c r="O157" i="2" s="1"/>
  <c r="I150" i="2"/>
  <c r="K248" i="2"/>
  <c r="K208" i="2"/>
  <c r="J248" i="2"/>
  <c r="O183" i="2"/>
  <c r="O208" i="2" s="1"/>
  <c r="L183" i="2"/>
  <c r="I183" i="2"/>
  <c r="J208" i="2"/>
  <c r="I208" i="2" s="1"/>
  <c r="O267" i="2" l="1"/>
  <c r="J332" i="2"/>
  <c r="L267" i="2"/>
  <c r="I267" i="2"/>
  <c r="L230" i="2"/>
  <c r="J295" i="2"/>
  <c r="I230" i="2"/>
  <c r="O230" i="2"/>
  <c r="J237" i="2"/>
  <c r="K622" i="2"/>
  <c r="K687" i="2" s="1"/>
  <c r="K752" i="2" s="1"/>
  <c r="O219" i="2"/>
  <c r="J284" i="2"/>
  <c r="L219" i="2"/>
  <c r="I219" i="2"/>
  <c r="K455" i="2"/>
  <c r="K520" i="2" s="1"/>
  <c r="K585" i="2" s="1"/>
  <c r="K650" i="2" s="1"/>
  <c r="K715" i="2" s="1"/>
  <c r="K780" i="2" s="1"/>
  <c r="K458" i="2"/>
  <c r="K523" i="2" s="1"/>
  <c r="K588" i="2" s="1"/>
  <c r="K653" i="2" s="1"/>
  <c r="K718" i="2" s="1"/>
  <c r="K783" i="2" s="1"/>
  <c r="K848" i="2" s="1"/>
  <c r="K913" i="2" s="1"/>
  <c r="K978" i="2" s="1"/>
  <c r="K1043" i="2" s="1"/>
  <c r="O239" i="2"/>
  <c r="J304" i="2"/>
  <c r="L239" i="2"/>
  <c r="O114" i="2"/>
  <c r="J283" i="2"/>
  <c r="O218" i="2"/>
  <c r="I218" i="2"/>
  <c r="O271" i="2"/>
  <c r="J336" i="2"/>
  <c r="L271" i="2"/>
  <c r="I271" i="2"/>
  <c r="O256" i="2"/>
  <c r="J321" i="2"/>
  <c r="L256" i="2"/>
  <c r="O243" i="2"/>
  <c r="J308" i="2"/>
  <c r="L243" i="2"/>
  <c r="I243" i="2"/>
  <c r="O252" i="2"/>
  <c r="J317" i="2"/>
  <c r="L252" i="2"/>
  <c r="I252" i="2"/>
  <c r="L215" i="2"/>
  <c r="J280" i="2"/>
  <c r="I215" i="2"/>
  <c r="O215" i="2"/>
  <c r="J222" i="2"/>
  <c r="K466" i="2"/>
  <c r="K531" i="2" s="1"/>
  <c r="K596" i="2" s="1"/>
  <c r="K451" i="2"/>
  <c r="K516" i="2" s="1"/>
  <c r="K581" i="2" s="1"/>
  <c r="K646" i="2" s="1"/>
  <c r="K711" i="2" s="1"/>
  <c r="K776" i="2" s="1"/>
  <c r="K288" i="2"/>
  <c r="K228" i="2"/>
  <c r="I228" i="2" s="1"/>
  <c r="I270" i="2"/>
  <c r="J335" i="2"/>
  <c r="O270" i="2"/>
  <c r="L270" i="2"/>
  <c r="I266" i="2"/>
  <c r="J331" i="2"/>
  <c r="L266" i="2"/>
  <c r="O266" i="2"/>
  <c r="J286" i="2"/>
  <c r="O221" i="2"/>
  <c r="I221" i="2"/>
  <c r="I238" i="2"/>
  <c r="I242" i="2" s="1"/>
  <c r="J303" i="2"/>
  <c r="O238" i="2"/>
  <c r="J242" i="2"/>
  <c r="L242" i="2" s="1"/>
  <c r="L238" i="2"/>
  <c r="J179" i="2"/>
  <c r="L172" i="2"/>
  <c r="K412" i="2"/>
  <c r="K477" i="2" s="1"/>
  <c r="I163" i="2"/>
  <c r="J326" i="2"/>
  <c r="O261" i="2"/>
  <c r="I261" i="2"/>
  <c r="O240" i="2"/>
  <c r="J305" i="2"/>
  <c r="L240" i="2"/>
  <c r="O145" i="2"/>
  <c r="K462" i="2"/>
  <c r="K527" i="2" s="1"/>
  <c r="K592" i="2" s="1"/>
  <c r="J292" i="2"/>
  <c r="L227" i="2"/>
  <c r="O227" i="2"/>
  <c r="I227" i="2"/>
  <c r="I231" i="2"/>
  <c r="J296" i="2"/>
  <c r="L231" i="2"/>
  <c r="O231" i="2"/>
  <c r="J299" i="2"/>
  <c r="O234" i="2"/>
  <c r="L234" i="2"/>
  <c r="I234" i="2"/>
  <c r="O257" i="2"/>
  <c r="J322" i="2"/>
  <c r="L257" i="2"/>
  <c r="I257" i="2"/>
  <c r="O172" i="2"/>
  <c r="K422" i="2"/>
  <c r="K487" i="2" s="1"/>
  <c r="O235" i="2"/>
  <c r="J300" i="2"/>
  <c r="L235" i="2"/>
  <c r="I235" i="2"/>
  <c r="K430" i="2"/>
  <c r="K495" i="2" s="1"/>
  <c r="K560" i="2" s="1"/>
  <c r="L246" i="2"/>
  <c r="J311" i="2"/>
  <c r="O246" i="2"/>
  <c r="I246" i="2"/>
  <c r="L254" i="2"/>
  <c r="J319" i="2"/>
  <c r="I254" i="2"/>
  <c r="O254" i="2"/>
  <c r="L250" i="2"/>
  <c r="J315" i="2"/>
  <c r="I250" i="2"/>
  <c r="O250" i="2"/>
  <c r="K295" i="2"/>
  <c r="K237" i="2"/>
  <c r="O272" i="2"/>
  <c r="J337" i="2"/>
  <c r="L272" i="2"/>
  <c r="I272" i="2"/>
  <c r="O268" i="2"/>
  <c r="J333" i="2"/>
  <c r="L268" i="2"/>
  <c r="I268" i="2"/>
  <c r="O264" i="2"/>
  <c r="J329" i="2"/>
  <c r="L264" i="2"/>
  <c r="I264" i="2"/>
  <c r="O216" i="2"/>
  <c r="J281" i="2"/>
  <c r="I216" i="2"/>
  <c r="J228" i="2"/>
  <c r="J288" i="2"/>
  <c r="I223" i="2"/>
  <c r="L223" i="2"/>
  <c r="O223" i="2"/>
  <c r="L241" i="2"/>
  <c r="J306" i="2"/>
  <c r="O241" i="2"/>
  <c r="K804" i="2"/>
  <c r="K869" i="2" s="1"/>
  <c r="K934" i="2" s="1"/>
  <c r="O179" i="2"/>
  <c r="O210" i="2" s="1"/>
  <c r="K837" i="2"/>
  <c r="L226" i="2"/>
  <c r="J291" i="2"/>
  <c r="I226" i="2"/>
  <c r="O226" i="2"/>
  <c r="I247" i="2"/>
  <c r="J312" i="2"/>
  <c r="L247" i="2"/>
  <c r="O247" i="2"/>
  <c r="O224" i="2"/>
  <c r="J289" i="2"/>
  <c r="I224" i="2"/>
  <c r="K242" i="2"/>
  <c r="K303" i="2"/>
  <c r="J298" i="2"/>
  <c r="O233" i="2"/>
  <c r="I233" i="2"/>
  <c r="I251" i="2"/>
  <c r="J316" i="2"/>
  <c r="L251" i="2"/>
  <c r="O251" i="2"/>
  <c r="O225" i="2"/>
  <c r="J290" i="2"/>
  <c r="L225" i="2"/>
  <c r="I225" i="2"/>
  <c r="O236" i="2"/>
  <c r="J301" i="2"/>
  <c r="I236" i="2"/>
  <c r="L236" i="2"/>
  <c r="O232" i="2"/>
  <c r="J297" i="2"/>
  <c r="L232" i="2"/>
  <c r="I232" i="2"/>
  <c r="O245" i="2"/>
  <c r="J310" i="2"/>
  <c r="I245" i="2"/>
  <c r="L245" i="2"/>
  <c r="O263" i="2"/>
  <c r="J328" i="2"/>
  <c r="L263" i="2"/>
  <c r="I263" i="2"/>
  <c r="J324" i="2"/>
  <c r="I259" i="2"/>
  <c r="O259" i="2"/>
  <c r="L259" i="2"/>
  <c r="I255" i="2"/>
  <c r="J320" i="2"/>
  <c r="L255" i="2"/>
  <c r="O255" i="2"/>
  <c r="L269" i="2"/>
  <c r="J334" i="2"/>
  <c r="I269" i="2"/>
  <c r="O269" i="2"/>
  <c r="L265" i="2"/>
  <c r="J330" i="2"/>
  <c r="I265" i="2"/>
  <c r="O265" i="2"/>
  <c r="O220" i="2"/>
  <c r="J285" i="2"/>
  <c r="L220" i="2"/>
  <c r="I220" i="2"/>
  <c r="O249" i="2"/>
  <c r="J314" i="2"/>
  <c r="I249" i="2"/>
  <c r="L249" i="2"/>
  <c r="L258" i="2"/>
  <c r="J323" i="2"/>
  <c r="I258" i="2"/>
  <c r="O258" i="2"/>
  <c r="J282" i="2"/>
  <c r="O217" i="2"/>
  <c r="O222" i="2" s="1"/>
  <c r="I217" i="2"/>
  <c r="L217" i="2"/>
  <c r="K280" i="2"/>
  <c r="K222" i="2"/>
  <c r="K179" i="2"/>
  <c r="O253" i="2"/>
  <c r="J318" i="2"/>
  <c r="I253" i="2"/>
  <c r="L253" i="2"/>
  <c r="J327" i="2"/>
  <c r="L262" i="2"/>
  <c r="O262" i="2"/>
  <c r="I262" i="2"/>
  <c r="K570" i="2"/>
  <c r="O163" i="2"/>
  <c r="O164" i="2" s="1"/>
  <c r="K828" i="2"/>
  <c r="K893" i="2" s="1"/>
  <c r="K958" i="2" s="1"/>
  <c r="K1023" i="2" s="1"/>
  <c r="O260" i="2"/>
  <c r="J325" i="2"/>
  <c r="L260" i="2"/>
  <c r="K313" i="2"/>
  <c r="K273" i="2"/>
  <c r="J313" i="2"/>
  <c r="J378" i="2" s="1"/>
  <c r="L248" i="2"/>
  <c r="I248" i="2"/>
  <c r="O248" i="2"/>
  <c r="J273" i="2"/>
  <c r="O378" i="2" l="1"/>
  <c r="J443" i="2"/>
  <c r="L378" i="2"/>
  <c r="L330" i="2"/>
  <c r="J395" i="2"/>
  <c r="O330" i="2"/>
  <c r="I330" i="2"/>
  <c r="O310" i="2"/>
  <c r="J375" i="2"/>
  <c r="I310" i="2"/>
  <c r="L310" i="2"/>
  <c r="J363" i="2"/>
  <c r="O298" i="2"/>
  <c r="I298" i="2"/>
  <c r="K542" i="2"/>
  <c r="K607" i="2" s="1"/>
  <c r="K672" i="2" s="1"/>
  <c r="K737" i="2" s="1"/>
  <c r="K802" i="2" s="1"/>
  <c r="K867" i="2" s="1"/>
  <c r="O325" i="2"/>
  <c r="J390" i="2"/>
  <c r="L325" i="2"/>
  <c r="I325" i="2"/>
  <c r="L323" i="2"/>
  <c r="J388" i="2"/>
  <c r="I323" i="2"/>
  <c r="O323" i="2"/>
  <c r="L334" i="2"/>
  <c r="J399" i="2"/>
  <c r="I334" i="2"/>
  <c r="O334" i="2"/>
  <c r="O328" i="2"/>
  <c r="J393" i="2"/>
  <c r="L328" i="2"/>
  <c r="I328" i="2"/>
  <c r="O290" i="2"/>
  <c r="J355" i="2"/>
  <c r="I290" i="2"/>
  <c r="L290" i="2"/>
  <c r="O289" i="2"/>
  <c r="J354" i="2"/>
  <c r="I289" i="2"/>
  <c r="K360" i="2"/>
  <c r="K302" i="2"/>
  <c r="O322" i="2"/>
  <c r="J387" i="2"/>
  <c r="L322" i="2"/>
  <c r="I322" i="2"/>
  <c r="O321" i="2"/>
  <c r="J386" i="2"/>
  <c r="L321" i="2"/>
  <c r="I321" i="2"/>
  <c r="J348" i="2"/>
  <c r="O283" i="2"/>
  <c r="I283" i="2"/>
  <c r="K345" i="2"/>
  <c r="K287" i="2"/>
  <c r="J389" i="2"/>
  <c r="O324" i="2"/>
  <c r="I324" i="2"/>
  <c r="L324" i="2"/>
  <c r="L291" i="2"/>
  <c r="J356" i="2"/>
  <c r="I291" i="2"/>
  <c r="O291" i="2"/>
  <c r="K625" i="2"/>
  <c r="K690" i="2" s="1"/>
  <c r="K755" i="2" s="1"/>
  <c r="J364" i="2"/>
  <c r="O299" i="2"/>
  <c r="I299" i="2"/>
  <c r="L299" i="2"/>
  <c r="O317" i="2"/>
  <c r="J382" i="2"/>
  <c r="L317" i="2"/>
  <c r="I317" i="2"/>
  <c r="K817" i="2"/>
  <c r="K882" i="2" s="1"/>
  <c r="K947" i="2" s="1"/>
  <c r="K1012" i="2" s="1"/>
  <c r="O285" i="2"/>
  <c r="J350" i="2"/>
  <c r="I285" i="2"/>
  <c r="L285" i="2"/>
  <c r="J385" i="2"/>
  <c r="I320" i="2"/>
  <c r="L320" i="2"/>
  <c r="O320" i="2"/>
  <c r="O297" i="2"/>
  <c r="J362" i="2"/>
  <c r="L297" i="2"/>
  <c r="I297" i="2"/>
  <c r="J381" i="2"/>
  <c r="I316" i="2"/>
  <c r="O316" i="2"/>
  <c r="L316" i="2"/>
  <c r="O336" i="2"/>
  <c r="J401" i="2"/>
  <c r="L336" i="2"/>
  <c r="I336" i="2"/>
  <c r="O237" i="2"/>
  <c r="O273" i="2"/>
  <c r="O318" i="2"/>
  <c r="J383" i="2"/>
  <c r="I318" i="2"/>
  <c r="L318" i="2"/>
  <c r="O282" i="2"/>
  <c r="J347" i="2"/>
  <c r="L282" i="2"/>
  <c r="I282" i="2"/>
  <c r="K307" i="2"/>
  <c r="K368" i="2"/>
  <c r="O281" i="2"/>
  <c r="J346" i="2"/>
  <c r="I281" i="2"/>
  <c r="O333" i="2"/>
  <c r="J398" i="2"/>
  <c r="I333" i="2"/>
  <c r="L333" i="2"/>
  <c r="K353" i="2"/>
  <c r="K293" i="2"/>
  <c r="K999" i="2"/>
  <c r="J293" i="2"/>
  <c r="J353" i="2"/>
  <c r="I288" i="2"/>
  <c r="L288" i="2"/>
  <c r="O288" i="2"/>
  <c r="I237" i="2"/>
  <c r="K657" i="2"/>
  <c r="K722" i="2" s="1"/>
  <c r="K787" i="2" s="1"/>
  <c r="O305" i="2"/>
  <c r="J370" i="2"/>
  <c r="L305" i="2"/>
  <c r="J391" i="2"/>
  <c r="O326" i="2"/>
  <c r="I326" i="2"/>
  <c r="O242" i="2"/>
  <c r="I331" i="2"/>
  <c r="J396" i="2"/>
  <c r="L331" i="2"/>
  <c r="O331" i="2"/>
  <c r="I335" i="2"/>
  <c r="J400" i="2"/>
  <c r="L335" i="2"/>
  <c r="O335" i="2"/>
  <c r="K841" i="2"/>
  <c r="I222" i="2"/>
  <c r="L295" i="2"/>
  <c r="J360" i="2"/>
  <c r="I295" i="2"/>
  <c r="J302" i="2"/>
  <c r="O295" i="2"/>
  <c r="O332" i="2"/>
  <c r="J397" i="2"/>
  <c r="L332" i="2"/>
  <c r="I332" i="2"/>
  <c r="O314" i="2"/>
  <c r="J379" i="2"/>
  <c r="I314" i="2"/>
  <c r="L314" i="2"/>
  <c r="O301" i="2"/>
  <c r="J366" i="2"/>
  <c r="I301" i="2"/>
  <c r="L301" i="2"/>
  <c r="I296" i="2"/>
  <c r="J361" i="2"/>
  <c r="L296" i="2"/>
  <c r="O296" i="2"/>
  <c r="K661" i="2"/>
  <c r="K726" i="2" s="1"/>
  <c r="I312" i="2"/>
  <c r="J377" i="2"/>
  <c r="O312" i="2"/>
  <c r="L312" i="2"/>
  <c r="L306" i="2"/>
  <c r="J371" i="2"/>
  <c r="O306" i="2"/>
  <c r="O329" i="2"/>
  <c r="J394" i="2"/>
  <c r="L329" i="2"/>
  <c r="I329" i="2"/>
  <c r="O337" i="2"/>
  <c r="J402" i="2"/>
  <c r="I337" i="2"/>
  <c r="L337" i="2"/>
  <c r="O300" i="2"/>
  <c r="J365" i="2"/>
  <c r="L300" i="2"/>
  <c r="I300" i="2"/>
  <c r="O292" i="2"/>
  <c r="J357" i="2"/>
  <c r="L292" i="2"/>
  <c r="I292" i="2"/>
  <c r="J345" i="2"/>
  <c r="I280" i="2"/>
  <c r="O280" i="2"/>
  <c r="L280" i="2"/>
  <c r="J287" i="2"/>
  <c r="O308" i="2"/>
  <c r="J373" i="2"/>
  <c r="L308" i="2"/>
  <c r="I308" i="2"/>
  <c r="K338" i="2"/>
  <c r="K378" i="2"/>
  <c r="K635" i="2"/>
  <c r="I327" i="2"/>
  <c r="J392" i="2"/>
  <c r="O327" i="2"/>
  <c r="L327" i="2"/>
  <c r="K902" i="2"/>
  <c r="O228" i="2"/>
  <c r="O229" i="2" s="1"/>
  <c r="K244" i="2"/>
  <c r="L315" i="2"/>
  <c r="J380" i="2"/>
  <c r="I315" i="2"/>
  <c r="O315" i="2"/>
  <c r="L319" i="2"/>
  <c r="J384" i="2"/>
  <c r="I319" i="2"/>
  <c r="O319" i="2"/>
  <c r="L311" i="2"/>
  <c r="J376" i="2"/>
  <c r="I311" i="2"/>
  <c r="O311" i="2"/>
  <c r="K552" i="2"/>
  <c r="I179" i="2"/>
  <c r="I303" i="2"/>
  <c r="I307" i="2" s="1"/>
  <c r="J368" i="2"/>
  <c r="O303" i="2"/>
  <c r="L303" i="2"/>
  <c r="J307" i="2"/>
  <c r="L307" i="2" s="1"/>
  <c r="J351" i="2"/>
  <c r="I286" i="2"/>
  <c r="O286" i="2"/>
  <c r="O304" i="2"/>
  <c r="J369" i="2"/>
  <c r="L304" i="2"/>
  <c r="K845" i="2"/>
  <c r="K910" i="2" s="1"/>
  <c r="O284" i="2"/>
  <c r="J349" i="2"/>
  <c r="L284" i="2"/>
  <c r="I284" i="2"/>
  <c r="J244" i="2"/>
  <c r="I244" i="2" s="1"/>
  <c r="L237" i="2"/>
  <c r="I273" i="2"/>
  <c r="J338" i="2"/>
  <c r="I338" i="2" s="1"/>
  <c r="I313" i="2"/>
  <c r="O313" i="2"/>
  <c r="L313" i="2"/>
  <c r="O369" i="2" l="1"/>
  <c r="J434" i="2"/>
  <c r="L369" i="2"/>
  <c r="J416" i="2"/>
  <c r="I351" i="2"/>
  <c r="O351" i="2"/>
  <c r="I368" i="2"/>
  <c r="I372" i="2" s="1"/>
  <c r="J433" i="2"/>
  <c r="L368" i="2"/>
  <c r="O368" i="2"/>
  <c r="J372" i="2"/>
  <c r="L372" i="2" s="1"/>
  <c r="L357" i="2"/>
  <c r="J422" i="2"/>
  <c r="O357" i="2"/>
  <c r="I357" i="2"/>
  <c r="O365" i="2"/>
  <c r="J430" i="2"/>
  <c r="L365" i="2"/>
  <c r="I365" i="2"/>
  <c r="O402" i="2"/>
  <c r="J467" i="2"/>
  <c r="L402" i="2"/>
  <c r="I402" i="2"/>
  <c r="O394" i="2"/>
  <c r="J459" i="2"/>
  <c r="L394" i="2"/>
  <c r="I394" i="2"/>
  <c r="L302" i="2"/>
  <c r="J309" i="2"/>
  <c r="O370" i="2"/>
  <c r="J435" i="2"/>
  <c r="L370" i="2"/>
  <c r="J358" i="2"/>
  <c r="J418" i="2"/>
  <c r="L353" i="2"/>
  <c r="I353" i="2"/>
  <c r="O353" i="2"/>
  <c r="I293" i="2"/>
  <c r="O398" i="2"/>
  <c r="J463" i="2"/>
  <c r="L398" i="2"/>
  <c r="I398" i="2"/>
  <c r="I381" i="2"/>
  <c r="J446" i="2"/>
  <c r="L381" i="2"/>
  <c r="O381" i="2"/>
  <c r="J450" i="2"/>
  <c r="O385" i="2"/>
  <c r="I385" i="2"/>
  <c r="L385" i="2"/>
  <c r="K820" i="2"/>
  <c r="K885" i="2" s="1"/>
  <c r="K950" i="2" s="1"/>
  <c r="K1015" i="2" s="1"/>
  <c r="O356" i="2"/>
  <c r="J421" i="2"/>
  <c r="I356" i="2"/>
  <c r="L356" i="2"/>
  <c r="K367" i="2"/>
  <c r="K425" i="2"/>
  <c r="K932" i="2"/>
  <c r="K997" i="2" s="1"/>
  <c r="O363" i="2"/>
  <c r="J428" i="2"/>
  <c r="I363" i="2"/>
  <c r="O345" i="2"/>
  <c r="J410" i="2"/>
  <c r="I345" i="2"/>
  <c r="L345" i="2"/>
  <c r="J352" i="2"/>
  <c r="K791" i="2"/>
  <c r="I361" i="2"/>
  <c r="J426" i="2"/>
  <c r="O361" i="2"/>
  <c r="L361" i="2"/>
  <c r="O366" i="2"/>
  <c r="J431" i="2"/>
  <c r="L366" i="2"/>
  <c r="I366" i="2"/>
  <c r="O379" i="2"/>
  <c r="J444" i="2"/>
  <c r="L379" i="2"/>
  <c r="I379" i="2"/>
  <c r="O397" i="2"/>
  <c r="J462" i="2"/>
  <c r="L397" i="2"/>
  <c r="I397" i="2"/>
  <c r="K906" i="2"/>
  <c r="I400" i="2"/>
  <c r="J465" i="2"/>
  <c r="O400" i="2"/>
  <c r="L400" i="2"/>
  <c r="I396" i="2"/>
  <c r="J461" i="2"/>
  <c r="O396" i="2"/>
  <c r="L396" i="2"/>
  <c r="O293" i="2"/>
  <c r="K418" i="2"/>
  <c r="K358" i="2"/>
  <c r="K372" i="2"/>
  <c r="K433" i="2"/>
  <c r="O347" i="2"/>
  <c r="J412" i="2"/>
  <c r="L347" i="2"/>
  <c r="I347" i="2"/>
  <c r="O383" i="2"/>
  <c r="J448" i="2"/>
  <c r="L383" i="2"/>
  <c r="I383" i="2"/>
  <c r="I302" i="2"/>
  <c r="J454" i="2"/>
  <c r="I389" i="2"/>
  <c r="L389" i="2"/>
  <c r="O389" i="2"/>
  <c r="O386" i="2"/>
  <c r="J451" i="2"/>
  <c r="L386" i="2"/>
  <c r="I386" i="2"/>
  <c r="O387" i="2"/>
  <c r="J452" i="2"/>
  <c r="L387" i="2"/>
  <c r="I387" i="2"/>
  <c r="K975" i="2"/>
  <c r="K1040" i="2" s="1"/>
  <c r="O338" i="2"/>
  <c r="J367" i="2"/>
  <c r="J425" i="2"/>
  <c r="I360" i="2"/>
  <c r="L360" i="2"/>
  <c r="O360" i="2"/>
  <c r="O391" i="2"/>
  <c r="J456" i="2"/>
  <c r="I391" i="2"/>
  <c r="K852" i="2"/>
  <c r="O382" i="2"/>
  <c r="J447" i="2"/>
  <c r="L382" i="2"/>
  <c r="I382" i="2"/>
  <c r="I287" i="2"/>
  <c r="J413" i="2"/>
  <c r="O348" i="2"/>
  <c r="I348" i="2"/>
  <c r="J419" i="2"/>
  <c r="I354" i="2"/>
  <c r="O354" i="2"/>
  <c r="O355" i="2"/>
  <c r="J420" i="2"/>
  <c r="L355" i="2"/>
  <c r="I355" i="2"/>
  <c r="O393" i="2"/>
  <c r="J458" i="2"/>
  <c r="L393" i="2"/>
  <c r="I393" i="2"/>
  <c r="L399" i="2"/>
  <c r="J464" i="2"/>
  <c r="I399" i="2"/>
  <c r="O399" i="2"/>
  <c r="L388" i="2"/>
  <c r="J453" i="2"/>
  <c r="I388" i="2"/>
  <c r="O388" i="2"/>
  <c r="O390" i="2"/>
  <c r="J455" i="2"/>
  <c r="L390" i="2"/>
  <c r="I390" i="2"/>
  <c r="L443" i="2"/>
  <c r="O443" i="2"/>
  <c r="J508" i="2"/>
  <c r="K700" i="2"/>
  <c r="O349" i="2"/>
  <c r="J414" i="2"/>
  <c r="L349" i="2"/>
  <c r="I349" i="2"/>
  <c r="O307" i="2"/>
  <c r="O309" i="2" s="1"/>
  <c r="K617" i="2"/>
  <c r="K682" i="2" s="1"/>
  <c r="J441" i="2"/>
  <c r="O376" i="2"/>
  <c r="I376" i="2"/>
  <c r="L376" i="2"/>
  <c r="L384" i="2"/>
  <c r="J449" i="2"/>
  <c r="I384" i="2"/>
  <c r="O384" i="2"/>
  <c r="L380" i="2"/>
  <c r="J445" i="2"/>
  <c r="I380" i="2"/>
  <c r="O380" i="2"/>
  <c r="K967" i="2"/>
  <c r="K1032" i="2" s="1"/>
  <c r="I392" i="2"/>
  <c r="J457" i="2"/>
  <c r="O392" i="2"/>
  <c r="L392" i="2"/>
  <c r="I378" i="2"/>
  <c r="K443" i="2"/>
  <c r="K403" i="2"/>
  <c r="O373" i="2"/>
  <c r="J438" i="2"/>
  <c r="L373" i="2"/>
  <c r="I373" i="2"/>
  <c r="O287" i="2"/>
  <c r="O294" i="2" s="1"/>
  <c r="L371" i="2"/>
  <c r="J436" i="2"/>
  <c r="O371" i="2"/>
  <c r="I377" i="2"/>
  <c r="J442" i="2"/>
  <c r="O377" i="2"/>
  <c r="L377" i="2"/>
  <c r="O302" i="2"/>
  <c r="O244" i="2"/>
  <c r="O275" i="2" s="1"/>
  <c r="O346" i="2"/>
  <c r="J411" i="2"/>
  <c r="I346" i="2"/>
  <c r="O401" i="2"/>
  <c r="J466" i="2"/>
  <c r="L401" i="2"/>
  <c r="I401" i="2"/>
  <c r="O362" i="2"/>
  <c r="J427" i="2"/>
  <c r="L362" i="2"/>
  <c r="I362" i="2"/>
  <c r="O350" i="2"/>
  <c r="J415" i="2"/>
  <c r="L350" i="2"/>
  <c r="I350" i="2"/>
  <c r="J429" i="2"/>
  <c r="O364" i="2"/>
  <c r="I364" i="2"/>
  <c r="L364" i="2"/>
  <c r="K410" i="2"/>
  <c r="K352" i="2"/>
  <c r="I352" i="2" s="1"/>
  <c r="K309" i="2"/>
  <c r="O375" i="2"/>
  <c r="J440" i="2"/>
  <c r="L375" i="2"/>
  <c r="J403" i="2"/>
  <c r="I403" i="2" s="1"/>
  <c r="I375" i="2"/>
  <c r="L395" i="2"/>
  <c r="J460" i="2"/>
  <c r="I395" i="2"/>
  <c r="O395" i="2"/>
  <c r="N77" i="2"/>
  <c r="O77" i="2"/>
  <c r="F77" i="2"/>
  <c r="N76" i="2"/>
  <c r="O76" i="2"/>
  <c r="F76" i="2"/>
  <c r="N75" i="2"/>
  <c r="I75" i="2"/>
  <c r="F75" i="2"/>
  <c r="N74" i="2"/>
  <c r="L74" i="2"/>
  <c r="I74" i="2"/>
  <c r="F74" i="2"/>
  <c r="N73" i="2"/>
  <c r="L73" i="2"/>
  <c r="O73" i="2"/>
  <c r="F73" i="2"/>
  <c r="N72" i="2"/>
  <c r="O72" i="2"/>
  <c r="F72" i="2"/>
  <c r="N71" i="2"/>
  <c r="F71" i="2"/>
  <c r="N70" i="2"/>
  <c r="O70" i="2"/>
  <c r="F70" i="2"/>
  <c r="N69" i="2"/>
  <c r="L69" i="2"/>
  <c r="O69" i="2"/>
  <c r="F69" i="2"/>
  <c r="N68" i="2"/>
  <c r="O68" i="2"/>
  <c r="F68" i="2"/>
  <c r="N67" i="2"/>
  <c r="F67" i="2"/>
  <c r="N66" i="2"/>
  <c r="O66" i="2"/>
  <c r="F66" i="2"/>
  <c r="N65" i="2"/>
  <c r="O65" i="2"/>
  <c r="F65" i="2"/>
  <c r="N64" i="2"/>
  <c r="F64" i="2"/>
  <c r="N63" i="2"/>
  <c r="L63" i="2"/>
  <c r="O63" i="2"/>
  <c r="I63" i="2"/>
  <c r="F63" i="2"/>
  <c r="N62" i="2"/>
  <c r="O62" i="2"/>
  <c r="F62" i="2"/>
  <c r="N61" i="2"/>
  <c r="O61" i="2"/>
  <c r="F61" i="2"/>
  <c r="N60" i="2"/>
  <c r="F60" i="2"/>
  <c r="N59" i="2"/>
  <c r="L59" i="2"/>
  <c r="O59" i="2"/>
  <c r="F59" i="2"/>
  <c r="N58" i="2"/>
  <c r="O58" i="2"/>
  <c r="F58" i="2"/>
  <c r="N57" i="2"/>
  <c r="O57" i="2"/>
  <c r="F57" i="2"/>
  <c r="N56" i="2"/>
  <c r="F56" i="2"/>
  <c r="N55" i="2"/>
  <c r="O55" i="2"/>
  <c r="F55" i="2"/>
  <c r="N54" i="2"/>
  <c r="L54" i="2"/>
  <c r="O54" i="2"/>
  <c r="F54" i="2"/>
  <c r="N53" i="2"/>
  <c r="O53" i="2"/>
  <c r="F53" i="2"/>
  <c r="N52" i="2"/>
  <c r="I52" i="2"/>
  <c r="F52" i="2"/>
  <c r="N51" i="2"/>
  <c r="O51" i="2"/>
  <c r="F51" i="2"/>
  <c r="N50" i="2"/>
  <c r="L50" i="2"/>
  <c r="O50" i="2"/>
  <c r="F50" i="2"/>
  <c r="N48" i="2"/>
  <c r="O48" i="2"/>
  <c r="F48" i="2"/>
  <c r="H47" i="2"/>
  <c r="G47" i="2"/>
  <c r="E47" i="2"/>
  <c r="D47" i="2"/>
  <c r="N46" i="2"/>
  <c r="O46" i="2"/>
  <c r="I46" i="2"/>
  <c r="F46" i="2"/>
  <c r="N45" i="2"/>
  <c r="L45" i="2"/>
  <c r="O45" i="2"/>
  <c r="F45" i="2"/>
  <c r="I45" i="2" s="1"/>
  <c r="N44" i="2"/>
  <c r="O44" i="2"/>
  <c r="F44" i="2"/>
  <c r="I44" i="2" s="1"/>
  <c r="N43" i="2"/>
  <c r="N47" i="2" s="1"/>
  <c r="K47" i="2"/>
  <c r="F43" i="2"/>
  <c r="H42" i="2"/>
  <c r="G42" i="2"/>
  <c r="E42" i="2"/>
  <c r="D42" i="2"/>
  <c r="N41" i="2"/>
  <c r="O41" i="2"/>
  <c r="F41" i="2"/>
  <c r="N40" i="2"/>
  <c r="O40" i="2"/>
  <c r="F40" i="2"/>
  <c r="N39" i="2"/>
  <c r="F39" i="2"/>
  <c r="N38" i="2"/>
  <c r="O38" i="2"/>
  <c r="F38" i="2"/>
  <c r="N37" i="2"/>
  <c r="O37" i="2"/>
  <c r="F37" i="2"/>
  <c r="N36" i="2"/>
  <c r="I36" i="2"/>
  <c r="F36" i="2"/>
  <c r="N35" i="2"/>
  <c r="K42" i="2"/>
  <c r="L35" i="2"/>
  <c r="I35" i="2"/>
  <c r="F35" i="2"/>
  <c r="H33" i="2"/>
  <c r="G33" i="2"/>
  <c r="N31" i="2"/>
  <c r="L31" i="2"/>
  <c r="I31" i="2"/>
  <c r="O31" i="2"/>
  <c r="F31" i="2"/>
  <c r="N30" i="2"/>
  <c r="O30" i="2"/>
  <c r="F30" i="2"/>
  <c r="O29" i="2"/>
  <c r="I29" i="2"/>
  <c r="F29" i="2"/>
  <c r="N28" i="2"/>
  <c r="L28" i="2"/>
  <c r="O28" i="2"/>
  <c r="F28" i="2"/>
  <c r="H27" i="2"/>
  <c r="G27" i="2"/>
  <c r="N26" i="2"/>
  <c r="O26" i="2"/>
  <c r="F26" i="2"/>
  <c r="N25" i="2"/>
  <c r="O25" i="2"/>
  <c r="F25" i="2"/>
  <c r="N24" i="2"/>
  <c r="O24" i="2"/>
  <c r="F24" i="2"/>
  <c r="N23" i="2"/>
  <c r="O23" i="2"/>
  <c r="F23" i="2"/>
  <c r="N22" i="2"/>
  <c r="O22" i="2"/>
  <c r="F22" i="2"/>
  <c r="N21" i="2"/>
  <c r="O21" i="2"/>
  <c r="F21" i="2"/>
  <c r="N20" i="2"/>
  <c r="J27" i="2"/>
  <c r="F20" i="2"/>
  <c r="O440" i="2" l="1"/>
  <c r="J505" i="2"/>
  <c r="L440" i="2"/>
  <c r="I440" i="2"/>
  <c r="J468" i="2"/>
  <c r="K475" i="2"/>
  <c r="K417" i="2"/>
  <c r="O429" i="2"/>
  <c r="L429" i="2"/>
  <c r="J494" i="2"/>
  <c r="I429" i="2"/>
  <c r="O442" i="2"/>
  <c r="J507" i="2"/>
  <c r="I442" i="2"/>
  <c r="L442" i="2"/>
  <c r="I438" i="2"/>
  <c r="J503" i="2"/>
  <c r="O438" i="2"/>
  <c r="L438" i="2"/>
  <c r="I414" i="2"/>
  <c r="J479" i="2"/>
  <c r="L414" i="2"/>
  <c r="O414" i="2"/>
  <c r="O508" i="2"/>
  <c r="J573" i="2"/>
  <c r="L508" i="2"/>
  <c r="K917" i="2"/>
  <c r="J432" i="2"/>
  <c r="L425" i="2"/>
  <c r="J490" i="2"/>
  <c r="O425" i="2"/>
  <c r="I425" i="2"/>
  <c r="O454" i="2"/>
  <c r="J519" i="2"/>
  <c r="I454" i="2"/>
  <c r="L454" i="2"/>
  <c r="O448" i="2"/>
  <c r="J513" i="2"/>
  <c r="I448" i="2"/>
  <c r="L448" i="2"/>
  <c r="O412" i="2"/>
  <c r="L412" i="2"/>
  <c r="J477" i="2"/>
  <c r="I412" i="2"/>
  <c r="O450" i="2"/>
  <c r="I450" i="2"/>
  <c r="L450" i="2"/>
  <c r="J515" i="2"/>
  <c r="O435" i="2"/>
  <c r="J500" i="2"/>
  <c r="L435" i="2"/>
  <c r="J437" i="2"/>
  <c r="L437" i="2" s="1"/>
  <c r="I433" i="2"/>
  <c r="I437" i="2" s="1"/>
  <c r="J498" i="2"/>
  <c r="L433" i="2"/>
  <c r="O433" i="2"/>
  <c r="O416" i="2"/>
  <c r="J481" i="2"/>
  <c r="I416" i="2"/>
  <c r="F33" i="2"/>
  <c r="O403" i="2"/>
  <c r="O445" i="2"/>
  <c r="L445" i="2"/>
  <c r="I445" i="2"/>
  <c r="J510" i="2"/>
  <c r="O449" i="2"/>
  <c r="L449" i="2"/>
  <c r="J514" i="2"/>
  <c r="I449" i="2"/>
  <c r="O413" i="2"/>
  <c r="J478" i="2"/>
  <c r="I413" i="2"/>
  <c r="I447" i="2"/>
  <c r="J512" i="2"/>
  <c r="O447" i="2"/>
  <c r="L447" i="2"/>
  <c r="O367" i="2"/>
  <c r="L367" i="2"/>
  <c r="J374" i="2"/>
  <c r="K423" i="2"/>
  <c r="K483" i="2"/>
  <c r="O461" i="2"/>
  <c r="L461" i="2"/>
  <c r="J526" i="2"/>
  <c r="I461" i="2"/>
  <c r="O465" i="2"/>
  <c r="J530" i="2"/>
  <c r="I465" i="2"/>
  <c r="L465" i="2"/>
  <c r="I367" i="2"/>
  <c r="K856" i="2"/>
  <c r="O428" i="2"/>
  <c r="J493" i="2"/>
  <c r="I428" i="2"/>
  <c r="K490" i="2"/>
  <c r="K432" i="2"/>
  <c r="O421" i="2"/>
  <c r="L421" i="2"/>
  <c r="J486" i="2"/>
  <c r="I421" i="2"/>
  <c r="O418" i="2"/>
  <c r="J483" i="2"/>
  <c r="L418" i="2"/>
  <c r="J423" i="2"/>
  <c r="I423" i="2" s="1"/>
  <c r="I418" i="2"/>
  <c r="O411" i="2"/>
  <c r="J476" i="2"/>
  <c r="I411" i="2"/>
  <c r="I441" i="2"/>
  <c r="J506" i="2"/>
  <c r="L441" i="2"/>
  <c r="O441" i="2"/>
  <c r="I455" i="2"/>
  <c r="J520" i="2"/>
  <c r="O455" i="2"/>
  <c r="L455" i="2"/>
  <c r="O453" i="2"/>
  <c r="J518" i="2"/>
  <c r="L453" i="2"/>
  <c r="I453" i="2"/>
  <c r="O464" i="2"/>
  <c r="J529" i="2"/>
  <c r="L464" i="2"/>
  <c r="I464" i="2"/>
  <c r="I458" i="2"/>
  <c r="J523" i="2"/>
  <c r="L458" i="2"/>
  <c r="O458" i="2"/>
  <c r="O420" i="2"/>
  <c r="J485" i="2"/>
  <c r="L420" i="2"/>
  <c r="I420" i="2"/>
  <c r="I419" i="2"/>
  <c r="O419" i="2"/>
  <c r="J484" i="2"/>
  <c r="O340" i="2"/>
  <c r="K437" i="2"/>
  <c r="K498" i="2"/>
  <c r="J417" i="2"/>
  <c r="J475" i="2"/>
  <c r="I410" i="2"/>
  <c r="O410" i="2"/>
  <c r="L410" i="2"/>
  <c r="K374" i="2"/>
  <c r="O358" i="2"/>
  <c r="I358" i="2"/>
  <c r="I309" i="2"/>
  <c r="O459" i="2"/>
  <c r="J524" i="2"/>
  <c r="I459" i="2"/>
  <c r="L459" i="2"/>
  <c r="O467" i="2"/>
  <c r="J532" i="2"/>
  <c r="I467" i="2"/>
  <c r="L467" i="2"/>
  <c r="I430" i="2"/>
  <c r="J495" i="2"/>
  <c r="L430" i="2"/>
  <c r="O430" i="2"/>
  <c r="O422" i="2"/>
  <c r="J487" i="2"/>
  <c r="L422" i="2"/>
  <c r="I422" i="2"/>
  <c r="O372" i="2"/>
  <c r="L434" i="2"/>
  <c r="J499" i="2"/>
  <c r="O434" i="2"/>
  <c r="O460" i="2"/>
  <c r="J525" i="2"/>
  <c r="L460" i="2"/>
  <c r="I460" i="2"/>
  <c r="O415" i="2"/>
  <c r="J480" i="2"/>
  <c r="I415" i="2"/>
  <c r="L415" i="2"/>
  <c r="I427" i="2"/>
  <c r="J492" i="2"/>
  <c r="L427" i="2"/>
  <c r="O427" i="2"/>
  <c r="I466" i="2"/>
  <c r="J531" i="2"/>
  <c r="L466" i="2"/>
  <c r="O466" i="2"/>
  <c r="O436" i="2"/>
  <c r="L436" i="2"/>
  <c r="J501" i="2"/>
  <c r="K508" i="2"/>
  <c r="I508" i="2" s="1"/>
  <c r="K468" i="2"/>
  <c r="O457" i="2"/>
  <c r="J522" i="2"/>
  <c r="I457" i="2"/>
  <c r="L457" i="2"/>
  <c r="K747" i="2"/>
  <c r="K765" i="2"/>
  <c r="I443" i="2"/>
  <c r="O456" i="2"/>
  <c r="J521" i="2"/>
  <c r="I456" i="2"/>
  <c r="O452" i="2"/>
  <c r="J517" i="2"/>
  <c r="L452" i="2"/>
  <c r="I452" i="2"/>
  <c r="I451" i="2"/>
  <c r="J516" i="2"/>
  <c r="L451" i="2"/>
  <c r="O451" i="2"/>
  <c r="K971" i="2"/>
  <c r="K1036" i="2" s="1"/>
  <c r="I462" i="2"/>
  <c r="J527" i="2"/>
  <c r="L462" i="2"/>
  <c r="O462" i="2"/>
  <c r="O444" i="2"/>
  <c r="J509" i="2"/>
  <c r="L444" i="2"/>
  <c r="I444" i="2"/>
  <c r="O431" i="2"/>
  <c r="J496" i="2"/>
  <c r="L431" i="2"/>
  <c r="I431" i="2"/>
  <c r="O426" i="2"/>
  <c r="I426" i="2"/>
  <c r="L426" i="2"/>
  <c r="J491" i="2"/>
  <c r="O352" i="2"/>
  <c r="O446" i="2"/>
  <c r="J511" i="2"/>
  <c r="L446" i="2"/>
  <c r="I446" i="2"/>
  <c r="O463" i="2"/>
  <c r="J528" i="2"/>
  <c r="L463" i="2"/>
  <c r="I463" i="2"/>
  <c r="L55" i="2"/>
  <c r="I58" i="2"/>
  <c r="I59" i="2"/>
  <c r="L62" i="2"/>
  <c r="F27" i="2"/>
  <c r="L20" i="2"/>
  <c r="I23" i="2"/>
  <c r="L25" i="2"/>
  <c r="L51" i="2"/>
  <c r="I55" i="2"/>
  <c r="L58" i="2"/>
  <c r="K33" i="2"/>
  <c r="I20" i="2"/>
  <c r="L22" i="2"/>
  <c r="L30" i="2"/>
  <c r="J33" i="2"/>
  <c r="N42" i="2"/>
  <c r="L41" i="2"/>
  <c r="L46" i="2"/>
  <c r="I51" i="2"/>
  <c r="I71" i="2"/>
  <c r="L77" i="2"/>
  <c r="K78" i="2"/>
  <c r="L70" i="2"/>
  <c r="I70" i="2"/>
  <c r="I67" i="2"/>
  <c r="I64" i="2"/>
  <c r="I60" i="2"/>
  <c r="I56" i="2"/>
  <c r="I43" i="2"/>
  <c r="I47" i="2" s="1"/>
  <c r="I39" i="2"/>
  <c r="F42" i="2"/>
  <c r="J42" i="2"/>
  <c r="L42" i="2" s="1"/>
  <c r="K27" i="2"/>
  <c r="I27" i="2" s="1"/>
  <c r="I26" i="2"/>
  <c r="K49" i="2"/>
  <c r="O43" i="2"/>
  <c r="O47" i="2" s="1"/>
  <c r="F47" i="2"/>
  <c r="O60" i="2"/>
  <c r="O64" i="2"/>
  <c r="O71" i="2"/>
  <c r="J78" i="2"/>
  <c r="O20" i="2"/>
  <c r="O27" i="2" s="1"/>
  <c r="I22" i="2"/>
  <c r="L24" i="2"/>
  <c r="I25" i="2"/>
  <c r="I28" i="2"/>
  <c r="I30" i="2"/>
  <c r="L32" i="2"/>
  <c r="O35" i="2"/>
  <c r="L37" i="2"/>
  <c r="I38" i="2"/>
  <c r="L40" i="2"/>
  <c r="I41" i="2"/>
  <c r="L44" i="2"/>
  <c r="L48" i="2"/>
  <c r="I50" i="2"/>
  <c r="L53" i="2"/>
  <c r="I54" i="2"/>
  <c r="L57" i="2"/>
  <c r="L61" i="2"/>
  <c r="I62" i="2"/>
  <c r="L65" i="2"/>
  <c r="I66" i="2"/>
  <c r="L68" i="2"/>
  <c r="I69" i="2"/>
  <c r="L72" i="2"/>
  <c r="I73" i="2"/>
  <c r="O74" i="2"/>
  <c r="L76" i="2"/>
  <c r="I77" i="2"/>
  <c r="O36" i="2"/>
  <c r="O39" i="2"/>
  <c r="O56" i="2"/>
  <c r="O75" i="2"/>
  <c r="I24" i="2"/>
  <c r="I32" i="2"/>
  <c r="O32" i="2"/>
  <c r="O33" i="2" s="1"/>
  <c r="L36" i="2"/>
  <c r="I37" i="2"/>
  <c r="L39" i="2"/>
  <c r="I40" i="2"/>
  <c r="L43" i="2"/>
  <c r="I48" i="2"/>
  <c r="L52" i="2"/>
  <c r="I53" i="2"/>
  <c r="L56" i="2"/>
  <c r="I57" i="2"/>
  <c r="L60" i="2"/>
  <c r="I61" i="2"/>
  <c r="L64" i="2"/>
  <c r="I65" i="2"/>
  <c r="L67" i="2"/>
  <c r="I68" i="2"/>
  <c r="L71" i="2"/>
  <c r="I72" i="2"/>
  <c r="L75" i="2"/>
  <c r="I76" i="2"/>
  <c r="J47" i="2"/>
  <c r="L47" i="2" s="1"/>
  <c r="O52" i="2"/>
  <c r="O67" i="2"/>
  <c r="I21" i="2"/>
  <c r="O480" i="2" l="1"/>
  <c r="J545" i="2"/>
  <c r="L480" i="2"/>
  <c r="I480" i="2"/>
  <c r="O487" i="2"/>
  <c r="J552" i="2"/>
  <c r="I487" i="2"/>
  <c r="L487" i="2"/>
  <c r="O423" i="2"/>
  <c r="O500" i="2"/>
  <c r="J565" i="2"/>
  <c r="L500" i="2"/>
  <c r="O513" i="2"/>
  <c r="J578" i="2"/>
  <c r="L513" i="2"/>
  <c r="I513" i="2"/>
  <c r="J555" i="2"/>
  <c r="I490" i="2"/>
  <c r="L490" i="2"/>
  <c r="J497" i="2"/>
  <c r="O490" i="2"/>
  <c r="O531" i="2"/>
  <c r="J596" i="2"/>
  <c r="L531" i="2"/>
  <c r="I531" i="2"/>
  <c r="O532" i="2"/>
  <c r="J597" i="2"/>
  <c r="L532" i="2"/>
  <c r="I532" i="2"/>
  <c r="O512" i="2"/>
  <c r="J577" i="2"/>
  <c r="I512" i="2"/>
  <c r="L512" i="2"/>
  <c r="I519" i="2"/>
  <c r="J584" i="2"/>
  <c r="O519" i="2"/>
  <c r="L519" i="2"/>
  <c r="O496" i="2"/>
  <c r="J561" i="2"/>
  <c r="L496" i="2"/>
  <c r="I496" i="2"/>
  <c r="O475" i="2"/>
  <c r="J540" i="2"/>
  <c r="I475" i="2"/>
  <c r="J482" i="2"/>
  <c r="L475" i="2"/>
  <c r="K548" i="2"/>
  <c r="K488" i="2"/>
  <c r="O374" i="2"/>
  <c r="J575" i="2"/>
  <c r="O510" i="2"/>
  <c r="L510" i="2"/>
  <c r="I510" i="2"/>
  <c r="I417" i="2"/>
  <c r="O493" i="2"/>
  <c r="J558" i="2"/>
  <c r="I493" i="2"/>
  <c r="I498" i="2"/>
  <c r="I502" i="2" s="1"/>
  <c r="J563" i="2"/>
  <c r="J502" i="2"/>
  <c r="L502" i="2" s="1"/>
  <c r="L498" i="2"/>
  <c r="O498" i="2"/>
  <c r="O527" i="2"/>
  <c r="J592" i="2"/>
  <c r="L527" i="2"/>
  <c r="I527" i="2"/>
  <c r="O359" i="2"/>
  <c r="O405" i="2" s="1"/>
  <c r="O521" i="2"/>
  <c r="J586" i="2"/>
  <c r="I521" i="2"/>
  <c r="K830" i="2"/>
  <c r="K573" i="2"/>
  <c r="K533" i="2"/>
  <c r="J549" i="2"/>
  <c r="I484" i="2"/>
  <c r="O484" i="2"/>
  <c r="O476" i="2"/>
  <c r="J541" i="2"/>
  <c r="I476" i="2"/>
  <c r="O486" i="2"/>
  <c r="J551" i="2"/>
  <c r="I486" i="2"/>
  <c r="L486" i="2"/>
  <c r="K555" i="2"/>
  <c r="K497" i="2"/>
  <c r="K921" i="2"/>
  <c r="I526" i="2"/>
  <c r="J591" i="2"/>
  <c r="O526" i="2"/>
  <c r="L526" i="2"/>
  <c r="L514" i="2"/>
  <c r="J579" i="2"/>
  <c r="I514" i="2"/>
  <c r="O514" i="2"/>
  <c r="O437" i="2"/>
  <c r="O439" i="2" s="1"/>
  <c r="I515" i="2"/>
  <c r="J580" i="2"/>
  <c r="O515" i="2"/>
  <c r="L515" i="2"/>
  <c r="L432" i="2"/>
  <c r="J439" i="2"/>
  <c r="J559" i="2"/>
  <c r="I494" i="2"/>
  <c r="O494" i="2"/>
  <c r="L494" i="2"/>
  <c r="K540" i="2"/>
  <c r="K482" i="2"/>
  <c r="O505" i="2"/>
  <c r="J570" i="2"/>
  <c r="L505" i="2"/>
  <c r="I505" i="2"/>
  <c r="J533" i="2"/>
  <c r="I533" i="2" s="1"/>
  <c r="O492" i="2"/>
  <c r="J557" i="2"/>
  <c r="L492" i="2"/>
  <c r="I492" i="2"/>
  <c r="J590" i="2"/>
  <c r="O525" i="2"/>
  <c r="L525" i="2"/>
  <c r="I525" i="2"/>
  <c r="O495" i="2"/>
  <c r="J560" i="2"/>
  <c r="I495" i="2"/>
  <c r="L495" i="2"/>
  <c r="O524" i="2"/>
  <c r="J589" i="2"/>
  <c r="L524" i="2"/>
  <c r="I524" i="2"/>
  <c r="J546" i="2"/>
  <c r="O481" i="2"/>
  <c r="I481" i="2"/>
  <c r="O509" i="2"/>
  <c r="J574" i="2"/>
  <c r="L509" i="2"/>
  <c r="I509" i="2"/>
  <c r="O468" i="2"/>
  <c r="K439" i="2"/>
  <c r="O528" i="2"/>
  <c r="J593" i="2"/>
  <c r="L528" i="2"/>
  <c r="I528" i="2"/>
  <c r="I511" i="2"/>
  <c r="J576" i="2"/>
  <c r="O511" i="2"/>
  <c r="L511" i="2"/>
  <c r="I491" i="2"/>
  <c r="J556" i="2"/>
  <c r="O491" i="2"/>
  <c r="L491" i="2"/>
  <c r="I432" i="2"/>
  <c r="O516" i="2"/>
  <c r="J581" i="2"/>
  <c r="I516" i="2"/>
  <c r="L516" i="2"/>
  <c r="O517" i="2"/>
  <c r="J582" i="2"/>
  <c r="L517" i="2"/>
  <c r="I517" i="2"/>
  <c r="K812" i="2"/>
  <c r="K877" i="2" s="1"/>
  <c r="J587" i="2"/>
  <c r="O522" i="2"/>
  <c r="L522" i="2"/>
  <c r="I522" i="2"/>
  <c r="O501" i="2"/>
  <c r="J566" i="2"/>
  <c r="L501" i="2"/>
  <c r="O499" i="2"/>
  <c r="J564" i="2"/>
  <c r="L499" i="2"/>
  <c r="O417" i="2"/>
  <c r="O424" i="2" s="1"/>
  <c r="K502" i="2"/>
  <c r="K563" i="2"/>
  <c r="O485" i="2"/>
  <c r="J550" i="2"/>
  <c r="L485" i="2"/>
  <c r="I485" i="2"/>
  <c r="O523" i="2"/>
  <c r="J588" i="2"/>
  <c r="I523" i="2"/>
  <c r="L523" i="2"/>
  <c r="L529" i="2"/>
  <c r="J594" i="2"/>
  <c r="I529" i="2"/>
  <c r="O529" i="2"/>
  <c r="L518" i="2"/>
  <c r="J583" i="2"/>
  <c r="I518" i="2"/>
  <c r="O518" i="2"/>
  <c r="O520" i="2"/>
  <c r="J585" i="2"/>
  <c r="L520" i="2"/>
  <c r="I520" i="2"/>
  <c r="L506" i="2"/>
  <c r="I506" i="2"/>
  <c r="J571" i="2"/>
  <c r="O506" i="2"/>
  <c r="J488" i="2"/>
  <c r="I488" i="2" s="1"/>
  <c r="J548" i="2"/>
  <c r="L483" i="2"/>
  <c r="I483" i="2"/>
  <c r="O483" i="2"/>
  <c r="O488" i="2" s="1"/>
  <c r="I530" i="2"/>
  <c r="J595" i="2"/>
  <c r="O530" i="2"/>
  <c r="L530" i="2"/>
  <c r="I374" i="2"/>
  <c r="J543" i="2"/>
  <c r="O478" i="2"/>
  <c r="I478" i="2"/>
  <c r="J542" i="2"/>
  <c r="L477" i="2"/>
  <c r="O477" i="2"/>
  <c r="I477" i="2"/>
  <c r="O432" i="2"/>
  <c r="K982" i="2"/>
  <c r="K1047" i="2" s="1"/>
  <c r="O573" i="2"/>
  <c r="J638" i="2"/>
  <c r="I573" i="2"/>
  <c r="L573" i="2"/>
  <c r="O479" i="2"/>
  <c r="J544" i="2"/>
  <c r="L479" i="2"/>
  <c r="I479" i="2"/>
  <c r="O503" i="2"/>
  <c r="J568" i="2"/>
  <c r="L503" i="2"/>
  <c r="I503" i="2"/>
  <c r="I507" i="2"/>
  <c r="J572" i="2"/>
  <c r="L507" i="2"/>
  <c r="O507" i="2"/>
  <c r="I468" i="2"/>
  <c r="I42" i="2"/>
  <c r="I33" i="2"/>
  <c r="I78" i="2"/>
  <c r="O78" i="2"/>
  <c r="J49" i="2"/>
  <c r="O34" i="2"/>
  <c r="O42" i="2"/>
  <c r="O49" i="2" s="1"/>
  <c r="I595" i="2" l="1"/>
  <c r="J660" i="2"/>
  <c r="O595" i="2"/>
  <c r="L595" i="2"/>
  <c r="I572" i="2"/>
  <c r="J637" i="2"/>
  <c r="O572" i="2"/>
  <c r="L572" i="2"/>
  <c r="O568" i="2"/>
  <c r="J633" i="2"/>
  <c r="L568" i="2"/>
  <c r="I568" i="2"/>
  <c r="O544" i="2"/>
  <c r="J609" i="2"/>
  <c r="L544" i="2"/>
  <c r="I544" i="2"/>
  <c r="L638" i="2"/>
  <c r="J703" i="2"/>
  <c r="O638" i="2"/>
  <c r="O542" i="2"/>
  <c r="J607" i="2"/>
  <c r="L542" i="2"/>
  <c r="I542" i="2"/>
  <c r="J553" i="2"/>
  <c r="J613" i="2"/>
  <c r="I548" i="2"/>
  <c r="L548" i="2"/>
  <c r="O548" i="2"/>
  <c r="O585" i="2"/>
  <c r="J650" i="2"/>
  <c r="L585" i="2"/>
  <c r="I585" i="2"/>
  <c r="L583" i="2"/>
  <c r="J648" i="2"/>
  <c r="I583" i="2"/>
  <c r="O583" i="2"/>
  <c r="L594" i="2"/>
  <c r="J659" i="2"/>
  <c r="I594" i="2"/>
  <c r="O594" i="2"/>
  <c r="O588" i="2"/>
  <c r="J653" i="2"/>
  <c r="L588" i="2"/>
  <c r="I588" i="2"/>
  <c r="O550" i="2"/>
  <c r="J615" i="2"/>
  <c r="I550" i="2"/>
  <c r="L550" i="2"/>
  <c r="I556" i="2"/>
  <c r="J621" i="2"/>
  <c r="O556" i="2"/>
  <c r="L556" i="2"/>
  <c r="I576" i="2"/>
  <c r="J641" i="2"/>
  <c r="O576" i="2"/>
  <c r="L576" i="2"/>
  <c r="O593" i="2"/>
  <c r="J658" i="2"/>
  <c r="L593" i="2"/>
  <c r="I593" i="2"/>
  <c r="I497" i="2"/>
  <c r="L579" i="2"/>
  <c r="J644" i="2"/>
  <c r="I579" i="2"/>
  <c r="O579" i="2"/>
  <c r="I591" i="2"/>
  <c r="J656" i="2"/>
  <c r="L591" i="2"/>
  <c r="O591" i="2"/>
  <c r="K504" i="2"/>
  <c r="L551" i="2"/>
  <c r="J616" i="2"/>
  <c r="I551" i="2"/>
  <c r="O551" i="2"/>
  <c r="I563" i="2"/>
  <c r="I567" i="2" s="1"/>
  <c r="J628" i="2"/>
  <c r="J567" i="2"/>
  <c r="L567" i="2" s="1"/>
  <c r="L563" i="2"/>
  <c r="O563" i="2"/>
  <c r="L497" i="2"/>
  <c r="J504" i="2"/>
  <c r="L566" i="2"/>
  <c r="J631" i="2"/>
  <c r="O566" i="2"/>
  <c r="O589" i="2"/>
  <c r="J654" i="2"/>
  <c r="I589" i="2"/>
  <c r="L589" i="2"/>
  <c r="O560" i="2"/>
  <c r="J625" i="2"/>
  <c r="L560" i="2"/>
  <c r="I560" i="2"/>
  <c r="O557" i="2"/>
  <c r="J622" i="2"/>
  <c r="L557" i="2"/>
  <c r="I557" i="2"/>
  <c r="K547" i="2"/>
  <c r="K605" i="2"/>
  <c r="J624" i="2"/>
  <c r="L559" i="2"/>
  <c r="O559" i="2"/>
  <c r="I559" i="2"/>
  <c r="K620" i="2"/>
  <c r="K562" i="2"/>
  <c r="K638" i="2"/>
  <c r="K598" i="2"/>
  <c r="O502" i="2"/>
  <c r="K613" i="2"/>
  <c r="K553" i="2"/>
  <c r="L540" i="2"/>
  <c r="J605" i="2"/>
  <c r="J547" i="2"/>
  <c r="I547" i="2" s="1"/>
  <c r="I540" i="2"/>
  <c r="O540" i="2"/>
  <c r="O561" i="2"/>
  <c r="J626" i="2"/>
  <c r="L561" i="2"/>
  <c r="I561" i="2"/>
  <c r="J649" i="2"/>
  <c r="L584" i="2"/>
  <c r="O584" i="2"/>
  <c r="I584" i="2"/>
  <c r="O577" i="2"/>
  <c r="J642" i="2"/>
  <c r="L577" i="2"/>
  <c r="I577" i="2"/>
  <c r="O597" i="2"/>
  <c r="J662" i="2"/>
  <c r="I597" i="2"/>
  <c r="L597" i="2"/>
  <c r="O596" i="2"/>
  <c r="J661" i="2"/>
  <c r="L596" i="2"/>
  <c r="I596" i="2"/>
  <c r="O565" i="2"/>
  <c r="J630" i="2"/>
  <c r="L565" i="2"/>
  <c r="O482" i="2"/>
  <c r="O489" i="2" s="1"/>
  <c r="O533" i="2"/>
  <c r="K567" i="2"/>
  <c r="K628" i="2"/>
  <c r="O564" i="2"/>
  <c r="J629" i="2"/>
  <c r="L564" i="2"/>
  <c r="J652" i="2"/>
  <c r="I587" i="2"/>
  <c r="O587" i="2"/>
  <c r="L587" i="2"/>
  <c r="O574" i="2"/>
  <c r="J639" i="2"/>
  <c r="I574" i="2"/>
  <c r="L574" i="2"/>
  <c r="J611" i="2"/>
  <c r="O546" i="2"/>
  <c r="I546" i="2"/>
  <c r="L590" i="2"/>
  <c r="J655" i="2"/>
  <c r="O590" i="2"/>
  <c r="I590" i="2"/>
  <c r="O570" i="2"/>
  <c r="J635" i="2"/>
  <c r="I570" i="2"/>
  <c r="L570" i="2"/>
  <c r="J598" i="2"/>
  <c r="K986" i="2"/>
  <c r="K1051" i="2" s="1"/>
  <c r="J651" i="2"/>
  <c r="O586" i="2"/>
  <c r="I586" i="2"/>
  <c r="L575" i="2"/>
  <c r="J640" i="2"/>
  <c r="I575" i="2"/>
  <c r="O575" i="2"/>
  <c r="O578" i="2"/>
  <c r="J643" i="2"/>
  <c r="I578" i="2"/>
  <c r="L578" i="2"/>
  <c r="O552" i="2"/>
  <c r="J617" i="2"/>
  <c r="L552" i="2"/>
  <c r="I552" i="2"/>
  <c r="O545" i="2"/>
  <c r="J610" i="2"/>
  <c r="I545" i="2"/>
  <c r="L545" i="2"/>
  <c r="J608" i="2"/>
  <c r="O543" i="2"/>
  <c r="I543" i="2"/>
  <c r="J636" i="2"/>
  <c r="L571" i="2"/>
  <c r="I571" i="2"/>
  <c r="O571" i="2"/>
  <c r="K942" i="2"/>
  <c r="O582" i="2"/>
  <c r="J647" i="2"/>
  <c r="I582" i="2"/>
  <c r="L582" i="2"/>
  <c r="O581" i="2"/>
  <c r="J646" i="2"/>
  <c r="L581" i="2"/>
  <c r="I581" i="2"/>
  <c r="O470" i="2"/>
  <c r="I439" i="2"/>
  <c r="I580" i="2"/>
  <c r="J645" i="2"/>
  <c r="O580" i="2"/>
  <c r="L580" i="2"/>
  <c r="O541" i="2"/>
  <c r="J606" i="2"/>
  <c r="I541" i="2"/>
  <c r="O549" i="2"/>
  <c r="J614" i="2"/>
  <c r="I549" i="2"/>
  <c r="K895" i="2"/>
  <c r="O592" i="2"/>
  <c r="J657" i="2"/>
  <c r="L592" i="2"/>
  <c r="I592" i="2"/>
  <c r="J623" i="2"/>
  <c r="O558" i="2"/>
  <c r="I558" i="2"/>
  <c r="I482" i="2"/>
  <c r="O497" i="2"/>
  <c r="L555" i="2"/>
  <c r="J620" i="2"/>
  <c r="I555" i="2"/>
  <c r="O555" i="2"/>
  <c r="J562" i="2"/>
  <c r="I49" i="2"/>
  <c r="O80" i="2"/>
  <c r="L629" i="2" l="1"/>
  <c r="J694" i="2"/>
  <c r="O629" i="2"/>
  <c r="O649" i="2"/>
  <c r="J714" i="2"/>
  <c r="L649" i="2"/>
  <c r="I649" i="2"/>
  <c r="J670" i="2"/>
  <c r="L605" i="2"/>
  <c r="O605" i="2"/>
  <c r="J612" i="2"/>
  <c r="I605" i="2"/>
  <c r="K627" i="2"/>
  <c r="K685" i="2"/>
  <c r="O562" i="2"/>
  <c r="O623" i="2"/>
  <c r="J688" i="2"/>
  <c r="I623" i="2"/>
  <c r="O645" i="2"/>
  <c r="J710" i="2"/>
  <c r="L645" i="2"/>
  <c r="I645" i="2"/>
  <c r="K1007" i="2"/>
  <c r="O608" i="2"/>
  <c r="J673" i="2"/>
  <c r="I608" i="2"/>
  <c r="I614" i="2"/>
  <c r="J679" i="2"/>
  <c r="O614" i="2"/>
  <c r="O636" i="2"/>
  <c r="J701" i="2"/>
  <c r="I636" i="2"/>
  <c r="L636" i="2"/>
  <c r="J700" i="2"/>
  <c r="I635" i="2"/>
  <c r="L635" i="2"/>
  <c r="O635" i="2"/>
  <c r="J663" i="2"/>
  <c r="O655" i="2"/>
  <c r="J720" i="2"/>
  <c r="I655" i="2"/>
  <c r="L655" i="2"/>
  <c r="O611" i="2"/>
  <c r="J676" i="2"/>
  <c r="I611" i="2"/>
  <c r="O652" i="2"/>
  <c r="J717" i="2"/>
  <c r="I652" i="2"/>
  <c r="L652" i="2"/>
  <c r="K632" i="2"/>
  <c r="K693" i="2"/>
  <c r="K703" i="2"/>
  <c r="K663" i="2"/>
  <c r="I504" i="2"/>
  <c r="O613" i="2"/>
  <c r="J678" i="2"/>
  <c r="J618" i="2"/>
  <c r="I613" i="2"/>
  <c r="L613" i="2"/>
  <c r="J672" i="2"/>
  <c r="L607" i="2"/>
  <c r="I607" i="2"/>
  <c r="O607" i="2"/>
  <c r="O703" i="2"/>
  <c r="J768" i="2"/>
  <c r="I703" i="2"/>
  <c r="L703" i="2"/>
  <c r="L609" i="2"/>
  <c r="J674" i="2"/>
  <c r="I609" i="2"/>
  <c r="O609" i="2"/>
  <c r="L633" i="2"/>
  <c r="J698" i="2"/>
  <c r="I633" i="2"/>
  <c r="O633" i="2"/>
  <c r="O637" i="2"/>
  <c r="J702" i="2"/>
  <c r="L637" i="2"/>
  <c r="I637" i="2"/>
  <c r="O660" i="2"/>
  <c r="J725" i="2"/>
  <c r="L660" i="2"/>
  <c r="I660" i="2"/>
  <c r="I610" i="2"/>
  <c r="J675" i="2"/>
  <c r="L610" i="2"/>
  <c r="O610" i="2"/>
  <c r="L617" i="2"/>
  <c r="J682" i="2"/>
  <c r="O617" i="2"/>
  <c r="I617" i="2"/>
  <c r="O643" i="2"/>
  <c r="J708" i="2"/>
  <c r="L643" i="2"/>
  <c r="I643" i="2"/>
  <c r="O640" i="2"/>
  <c r="J705" i="2"/>
  <c r="L640" i="2"/>
  <c r="I640" i="2"/>
  <c r="O651" i="2"/>
  <c r="J716" i="2"/>
  <c r="I651" i="2"/>
  <c r="O624" i="2"/>
  <c r="J689" i="2"/>
  <c r="I624" i="2"/>
  <c r="L624" i="2"/>
  <c r="O631" i="2"/>
  <c r="J696" i="2"/>
  <c r="L631" i="2"/>
  <c r="O504" i="2"/>
  <c r="O535" i="2" s="1"/>
  <c r="J671" i="2"/>
  <c r="O606" i="2"/>
  <c r="I606" i="2"/>
  <c r="O639" i="2"/>
  <c r="J704" i="2"/>
  <c r="L639" i="2"/>
  <c r="I639" i="2"/>
  <c r="O547" i="2"/>
  <c r="I562" i="2"/>
  <c r="K670" i="2"/>
  <c r="K612" i="2"/>
  <c r="L622" i="2"/>
  <c r="J687" i="2"/>
  <c r="I622" i="2"/>
  <c r="O622" i="2"/>
  <c r="L625" i="2"/>
  <c r="J690" i="2"/>
  <c r="I625" i="2"/>
  <c r="O625" i="2"/>
  <c r="O654" i="2"/>
  <c r="J719" i="2"/>
  <c r="I654" i="2"/>
  <c r="L654" i="2"/>
  <c r="O658" i="2"/>
  <c r="J723" i="2"/>
  <c r="L658" i="2"/>
  <c r="I658" i="2"/>
  <c r="O641" i="2"/>
  <c r="J706" i="2"/>
  <c r="L641" i="2"/>
  <c r="I641" i="2"/>
  <c r="O621" i="2"/>
  <c r="J686" i="2"/>
  <c r="I621" i="2"/>
  <c r="L621" i="2"/>
  <c r="O615" i="2"/>
  <c r="J680" i="2"/>
  <c r="L615" i="2"/>
  <c r="I615" i="2"/>
  <c r="L653" i="2"/>
  <c r="J718" i="2"/>
  <c r="I653" i="2"/>
  <c r="O653" i="2"/>
  <c r="O659" i="2"/>
  <c r="J724" i="2"/>
  <c r="L659" i="2"/>
  <c r="I659" i="2"/>
  <c r="O648" i="2"/>
  <c r="J713" i="2"/>
  <c r="L648" i="2"/>
  <c r="I648" i="2"/>
  <c r="L650" i="2"/>
  <c r="J715" i="2"/>
  <c r="I650" i="2"/>
  <c r="O650" i="2"/>
  <c r="J627" i="2"/>
  <c r="J685" i="2"/>
  <c r="L620" i="2"/>
  <c r="I620" i="2"/>
  <c r="O620" i="2"/>
  <c r="K960" i="2"/>
  <c r="L646" i="2"/>
  <c r="J711" i="2"/>
  <c r="I646" i="2"/>
  <c r="O646" i="2"/>
  <c r="O647" i="2"/>
  <c r="J712" i="2"/>
  <c r="L647" i="2"/>
  <c r="I647" i="2"/>
  <c r="O598" i="2"/>
  <c r="I598" i="2"/>
  <c r="O630" i="2"/>
  <c r="J695" i="2"/>
  <c r="L630" i="2"/>
  <c r="L661" i="2"/>
  <c r="J726" i="2"/>
  <c r="I661" i="2"/>
  <c r="O661" i="2"/>
  <c r="O662" i="2"/>
  <c r="J727" i="2"/>
  <c r="I662" i="2"/>
  <c r="L662" i="2"/>
  <c r="L642" i="2"/>
  <c r="J707" i="2"/>
  <c r="I642" i="2"/>
  <c r="O642" i="2"/>
  <c r="O626" i="2"/>
  <c r="J691" i="2"/>
  <c r="I626" i="2"/>
  <c r="I627" i="2" s="1"/>
  <c r="L626" i="2"/>
  <c r="K618" i="2"/>
  <c r="K678" i="2"/>
  <c r="K569" i="2"/>
  <c r="J632" i="2"/>
  <c r="L632" i="2" s="1"/>
  <c r="J693" i="2"/>
  <c r="I628" i="2"/>
  <c r="I632" i="2" s="1"/>
  <c r="L628" i="2"/>
  <c r="O628" i="2"/>
  <c r="O632" i="2" s="1"/>
  <c r="O616" i="2"/>
  <c r="J681" i="2"/>
  <c r="L616" i="2"/>
  <c r="I616" i="2"/>
  <c r="O553" i="2"/>
  <c r="O554" i="2" s="1"/>
  <c r="I553" i="2"/>
  <c r="L562" i="2"/>
  <c r="J569" i="2"/>
  <c r="L657" i="2"/>
  <c r="J722" i="2"/>
  <c r="I657" i="2"/>
  <c r="O657" i="2"/>
  <c r="O567" i="2"/>
  <c r="O569" i="2" s="1"/>
  <c r="O656" i="2"/>
  <c r="J721" i="2"/>
  <c r="L656" i="2"/>
  <c r="I656" i="2"/>
  <c r="O644" i="2"/>
  <c r="J709" i="2"/>
  <c r="L644" i="2"/>
  <c r="I644" i="2"/>
  <c r="I638" i="2"/>
  <c r="O600" i="2" l="1"/>
  <c r="O618" i="2"/>
  <c r="K697" i="2"/>
  <c r="K758" i="2"/>
  <c r="I717" i="2"/>
  <c r="J782" i="2"/>
  <c r="O717" i="2"/>
  <c r="L717" i="2"/>
  <c r="O701" i="2"/>
  <c r="J766" i="2"/>
  <c r="L701" i="2"/>
  <c r="I701" i="2"/>
  <c r="J775" i="2"/>
  <c r="O710" i="2"/>
  <c r="L710" i="2"/>
  <c r="I710" i="2"/>
  <c r="J677" i="2"/>
  <c r="J735" i="2"/>
  <c r="I670" i="2"/>
  <c r="L670" i="2"/>
  <c r="O670" i="2"/>
  <c r="O709" i="2"/>
  <c r="J774" i="2"/>
  <c r="I709" i="2"/>
  <c r="L709" i="2"/>
  <c r="O722" i="2"/>
  <c r="J787" i="2"/>
  <c r="L722" i="2"/>
  <c r="I722" i="2"/>
  <c r="O695" i="2"/>
  <c r="J760" i="2"/>
  <c r="L695" i="2"/>
  <c r="K735" i="2"/>
  <c r="K677" i="2"/>
  <c r="I677" i="2" s="1"/>
  <c r="I663" i="2"/>
  <c r="O700" i="2"/>
  <c r="J765" i="2"/>
  <c r="I700" i="2"/>
  <c r="L700" i="2"/>
  <c r="J728" i="2"/>
  <c r="I612" i="2"/>
  <c r="J786" i="2"/>
  <c r="O721" i="2"/>
  <c r="I721" i="2"/>
  <c r="L721" i="2"/>
  <c r="K743" i="2"/>
  <c r="K683" i="2"/>
  <c r="O707" i="2"/>
  <c r="J772" i="2"/>
  <c r="L707" i="2"/>
  <c r="I707" i="2"/>
  <c r="O727" i="2"/>
  <c r="J792" i="2"/>
  <c r="L727" i="2"/>
  <c r="I727" i="2"/>
  <c r="O726" i="2"/>
  <c r="J791" i="2"/>
  <c r="L726" i="2"/>
  <c r="I726" i="2"/>
  <c r="K1025" i="2"/>
  <c r="J750" i="2"/>
  <c r="I685" i="2"/>
  <c r="L685" i="2"/>
  <c r="J692" i="2"/>
  <c r="O685" i="2"/>
  <c r="O715" i="2"/>
  <c r="J780" i="2"/>
  <c r="L715" i="2"/>
  <c r="I715" i="2"/>
  <c r="O713" i="2"/>
  <c r="J778" i="2"/>
  <c r="I713" i="2"/>
  <c r="L713" i="2"/>
  <c r="L724" i="2"/>
  <c r="J789" i="2"/>
  <c r="I724" i="2"/>
  <c r="O724" i="2"/>
  <c r="O718" i="2"/>
  <c r="J783" i="2"/>
  <c r="I718" i="2"/>
  <c r="L718" i="2"/>
  <c r="O680" i="2"/>
  <c r="J745" i="2"/>
  <c r="L680" i="2"/>
  <c r="I680" i="2"/>
  <c r="I686" i="2"/>
  <c r="J751" i="2"/>
  <c r="L686" i="2"/>
  <c r="O686" i="2"/>
  <c r="J771" i="2"/>
  <c r="L706" i="2"/>
  <c r="O706" i="2"/>
  <c r="I706" i="2"/>
  <c r="O723" i="2"/>
  <c r="J788" i="2"/>
  <c r="L723" i="2"/>
  <c r="I723" i="2"/>
  <c r="O719" i="2"/>
  <c r="J784" i="2"/>
  <c r="L719" i="2"/>
  <c r="I719" i="2"/>
  <c r="O690" i="2"/>
  <c r="J755" i="2"/>
  <c r="I690" i="2"/>
  <c r="L690" i="2"/>
  <c r="O687" i="2"/>
  <c r="J752" i="2"/>
  <c r="I687" i="2"/>
  <c r="L687" i="2"/>
  <c r="O704" i="2"/>
  <c r="J769" i="2"/>
  <c r="L704" i="2"/>
  <c r="I704" i="2"/>
  <c r="O696" i="2"/>
  <c r="J761" i="2"/>
  <c r="L696" i="2"/>
  <c r="J754" i="2"/>
  <c r="O689" i="2"/>
  <c r="I689" i="2"/>
  <c r="L689" i="2"/>
  <c r="O716" i="2"/>
  <c r="J781" i="2"/>
  <c r="I716" i="2"/>
  <c r="O705" i="2"/>
  <c r="J770" i="2"/>
  <c r="L705" i="2"/>
  <c r="I705" i="2"/>
  <c r="O708" i="2"/>
  <c r="J773" i="2"/>
  <c r="L708" i="2"/>
  <c r="I708" i="2"/>
  <c r="J683" i="2"/>
  <c r="I683" i="2" s="1"/>
  <c r="J747" i="2"/>
  <c r="O682" i="2"/>
  <c r="L682" i="2"/>
  <c r="I682" i="2"/>
  <c r="O675" i="2"/>
  <c r="J740" i="2"/>
  <c r="L675" i="2"/>
  <c r="I675" i="2"/>
  <c r="I725" i="2"/>
  <c r="J790" i="2"/>
  <c r="O725" i="2"/>
  <c r="L725" i="2"/>
  <c r="I702" i="2"/>
  <c r="J767" i="2"/>
  <c r="O702" i="2"/>
  <c r="L702" i="2"/>
  <c r="O698" i="2"/>
  <c r="J763" i="2"/>
  <c r="L698" i="2"/>
  <c r="I698" i="2"/>
  <c r="O674" i="2"/>
  <c r="J739" i="2"/>
  <c r="L674" i="2"/>
  <c r="I674" i="2"/>
  <c r="O768" i="2"/>
  <c r="J833" i="2"/>
  <c r="L768" i="2"/>
  <c r="I618" i="2"/>
  <c r="O663" i="2"/>
  <c r="J738" i="2"/>
  <c r="O673" i="2"/>
  <c r="I673" i="2"/>
  <c r="K750" i="2"/>
  <c r="K692" i="2"/>
  <c r="K699" i="2" s="1"/>
  <c r="O612" i="2"/>
  <c r="O619" i="2" s="1"/>
  <c r="O694" i="2"/>
  <c r="J759" i="2"/>
  <c r="L694" i="2"/>
  <c r="O681" i="2"/>
  <c r="J746" i="2"/>
  <c r="I681" i="2"/>
  <c r="L681" i="2"/>
  <c r="O691" i="2"/>
  <c r="J756" i="2"/>
  <c r="L691" i="2"/>
  <c r="I691" i="2"/>
  <c r="I569" i="2"/>
  <c r="I693" i="2"/>
  <c r="I697" i="2" s="1"/>
  <c r="J758" i="2"/>
  <c r="L693" i="2"/>
  <c r="O693" i="2"/>
  <c r="O697" i="2" s="1"/>
  <c r="J697" i="2"/>
  <c r="L697" i="2" s="1"/>
  <c r="O712" i="2"/>
  <c r="J777" i="2"/>
  <c r="L712" i="2"/>
  <c r="I712" i="2"/>
  <c r="O711" i="2"/>
  <c r="J776" i="2"/>
  <c r="I711" i="2"/>
  <c r="L711" i="2"/>
  <c r="O627" i="2"/>
  <c r="O634" i="2" s="1"/>
  <c r="L627" i="2"/>
  <c r="J634" i="2"/>
  <c r="O671" i="2"/>
  <c r="J736" i="2"/>
  <c r="I671" i="2"/>
  <c r="O672" i="2"/>
  <c r="J737" i="2"/>
  <c r="I672" i="2"/>
  <c r="L672" i="2"/>
  <c r="O678" i="2"/>
  <c r="J743" i="2"/>
  <c r="L678" i="2"/>
  <c r="I678" i="2"/>
  <c r="K768" i="2"/>
  <c r="I768" i="2" s="1"/>
  <c r="K728" i="2"/>
  <c r="J741" i="2"/>
  <c r="O676" i="2"/>
  <c r="I676" i="2"/>
  <c r="L720" i="2"/>
  <c r="J785" i="2"/>
  <c r="I720" i="2"/>
  <c r="O720" i="2"/>
  <c r="J744" i="2"/>
  <c r="I679" i="2"/>
  <c r="O679" i="2"/>
  <c r="O688" i="2"/>
  <c r="J753" i="2"/>
  <c r="I688" i="2"/>
  <c r="K634" i="2"/>
  <c r="I714" i="2"/>
  <c r="J779" i="2"/>
  <c r="L714" i="2"/>
  <c r="O714" i="2"/>
  <c r="I779" i="2" l="1"/>
  <c r="J844" i="2"/>
  <c r="O779" i="2"/>
  <c r="L779" i="2"/>
  <c r="J818" i="2"/>
  <c r="O753" i="2"/>
  <c r="I753" i="2"/>
  <c r="O744" i="2"/>
  <c r="J809" i="2"/>
  <c r="I744" i="2"/>
  <c r="J808" i="2"/>
  <c r="L743" i="2"/>
  <c r="I743" i="2"/>
  <c r="O743" i="2"/>
  <c r="J748" i="2"/>
  <c r="O737" i="2"/>
  <c r="J802" i="2"/>
  <c r="I737" i="2"/>
  <c r="L737" i="2"/>
  <c r="O756" i="2"/>
  <c r="J821" i="2"/>
  <c r="I756" i="2"/>
  <c r="L756" i="2"/>
  <c r="L746" i="2"/>
  <c r="J811" i="2"/>
  <c r="I746" i="2"/>
  <c r="O746" i="2"/>
  <c r="L747" i="2"/>
  <c r="J812" i="2"/>
  <c r="I747" i="2"/>
  <c r="O747" i="2"/>
  <c r="O773" i="2"/>
  <c r="J838" i="2"/>
  <c r="I773" i="2"/>
  <c r="L773" i="2"/>
  <c r="L770" i="2"/>
  <c r="J835" i="2"/>
  <c r="I770" i="2"/>
  <c r="O770" i="2"/>
  <c r="J819" i="2"/>
  <c r="I754" i="2"/>
  <c r="O754" i="2"/>
  <c r="L754" i="2"/>
  <c r="O692" i="2"/>
  <c r="O699" i="2" s="1"/>
  <c r="L750" i="2"/>
  <c r="J815" i="2"/>
  <c r="I750" i="2"/>
  <c r="J757" i="2"/>
  <c r="O750" i="2"/>
  <c r="K808" i="2"/>
  <c r="K748" i="2"/>
  <c r="J851" i="2"/>
  <c r="L786" i="2"/>
  <c r="I786" i="2"/>
  <c r="O786" i="2"/>
  <c r="L735" i="2"/>
  <c r="J800" i="2"/>
  <c r="I735" i="2"/>
  <c r="J742" i="2"/>
  <c r="O735" i="2"/>
  <c r="O742" i="2" s="1"/>
  <c r="I634" i="2"/>
  <c r="I692" i="2"/>
  <c r="L692" i="2"/>
  <c r="J699" i="2"/>
  <c r="I699" i="2" s="1"/>
  <c r="O791" i="2"/>
  <c r="J856" i="2"/>
  <c r="L791" i="2"/>
  <c r="I791" i="2"/>
  <c r="O792" i="2"/>
  <c r="J857" i="2"/>
  <c r="I792" i="2"/>
  <c r="L792" i="2"/>
  <c r="O772" i="2"/>
  <c r="J837" i="2"/>
  <c r="L772" i="2"/>
  <c r="I772" i="2"/>
  <c r="O765" i="2"/>
  <c r="J830" i="2"/>
  <c r="J793" i="2"/>
  <c r="I793" i="2" s="1"/>
  <c r="L765" i="2"/>
  <c r="I765" i="2"/>
  <c r="K742" i="2"/>
  <c r="K800" i="2"/>
  <c r="O677" i="2"/>
  <c r="I775" i="2"/>
  <c r="J840" i="2"/>
  <c r="L775" i="2"/>
  <c r="O775" i="2"/>
  <c r="L766" i="2"/>
  <c r="J831" i="2"/>
  <c r="I766" i="2"/>
  <c r="O766" i="2"/>
  <c r="J847" i="2"/>
  <c r="I782" i="2"/>
  <c r="O782" i="2"/>
  <c r="L782" i="2"/>
  <c r="O776" i="2"/>
  <c r="J841" i="2"/>
  <c r="L776" i="2"/>
  <c r="I776" i="2"/>
  <c r="J803" i="2"/>
  <c r="O738" i="2"/>
  <c r="I738" i="2"/>
  <c r="L761" i="2"/>
  <c r="J826" i="2"/>
  <c r="O761" i="2"/>
  <c r="O769" i="2"/>
  <c r="J834" i="2"/>
  <c r="L769" i="2"/>
  <c r="I769" i="2"/>
  <c r="O752" i="2"/>
  <c r="J817" i="2"/>
  <c r="L752" i="2"/>
  <c r="I752" i="2"/>
  <c r="O755" i="2"/>
  <c r="J820" i="2"/>
  <c r="L755" i="2"/>
  <c r="I755" i="2"/>
  <c r="O784" i="2"/>
  <c r="J849" i="2"/>
  <c r="I784" i="2"/>
  <c r="L784" i="2"/>
  <c r="O788" i="2"/>
  <c r="J853" i="2"/>
  <c r="I788" i="2"/>
  <c r="L788" i="2"/>
  <c r="I751" i="2"/>
  <c r="J816" i="2"/>
  <c r="L751" i="2"/>
  <c r="O751" i="2"/>
  <c r="O745" i="2"/>
  <c r="J810" i="2"/>
  <c r="I745" i="2"/>
  <c r="L745" i="2"/>
  <c r="O783" i="2"/>
  <c r="J848" i="2"/>
  <c r="L783" i="2"/>
  <c r="I783" i="2"/>
  <c r="L789" i="2"/>
  <c r="J854" i="2"/>
  <c r="I789" i="2"/>
  <c r="O789" i="2"/>
  <c r="L778" i="2"/>
  <c r="J843" i="2"/>
  <c r="I778" i="2"/>
  <c r="O778" i="2"/>
  <c r="O780" i="2"/>
  <c r="J845" i="2"/>
  <c r="L780" i="2"/>
  <c r="I780" i="2"/>
  <c r="I728" i="2"/>
  <c r="O728" i="2"/>
  <c r="K833" i="2"/>
  <c r="K793" i="2"/>
  <c r="O777" i="2"/>
  <c r="J842" i="2"/>
  <c r="L777" i="2"/>
  <c r="I777" i="2"/>
  <c r="L785" i="2"/>
  <c r="J850" i="2"/>
  <c r="I785" i="2"/>
  <c r="O785" i="2"/>
  <c r="J806" i="2"/>
  <c r="I741" i="2"/>
  <c r="O741" i="2"/>
  <c r="O736" i="2"/>
  <c r="J801" i="2"/>
  <c r="I736" i="2"/>
  <c r="I758" i="2"/>
  <c r="I762" i="2" s="1"/>
  <c r="J823" i="2"/>
  <c r="L758" i="2"/>
  <c r="O758" i="2"/>
  <c r="J762" i="2"/>
  <c r="L762" i="2" s="1"/>
  <c r="O759" i="2"/>
  <c r="J824" i="2"/>
  <c r="L759" i="2"/>
  <c r="K815" i="2"/>
  <c r="K757" i="2"/>
  <c r="O665" i="2"/>
  <c r="O833" i="2"/>
  <c r="J898" i="2"/>
  <c r="L833" i="2"/>
  <c r="I833" i="2"/>
  <c r="O739" i="2"/>
  <c r="J804" i="2"/>
  <c r="L739" i="2"/>
  <c r="I739" i="2"/>
  <c r="O763" i="2"/>
  <c r="J828" i="2"/>
  <c r="L763" i="2"/>
  <c r="I763" i="2"/>
  <c r="I767" i="2"/>
  <c r="J832" i="2"/>
  <c r="O767" i="2"/>
  <c r="L767" i="2"/>
  <c r="I790" i="2"/>
  <c r="J855" i="2"/>
  <c r="L790" i="2"/>
  <c r="O790" i="2"/>
  <c r="O740" i="2"/>
  <c r="J805" i="2"/>
  <c r="I740" i="2"/>
  <c r="L740" i="2"/>
  <c r="O683" i="2"/>
  <c r="J846" i="2"/>
  <c r="O781" i="2"/>
  <c r="I781" i="2"/>
  <c r="J836" i="2"/>
  <c r="O771" i="2"/>
  <c r="L771" i="2"/>
  <c r="I771" i="2"/>
  <c r="O760" i="2"/>
  <c r="J825" i="2"/>
  <c r="L760" i="2"/>
  <c r="O787" i="2"/>
  <c r="J852" i="2"/>
  <c r="L787" i="2"/>
  <c r="I787" i="2"/>
  <c r="L774" i="2"/>
  <c r="J839" i="2"/>
  <c r="I774" i="2"/>
  <c r="O774" i="2"/>
  <c r="K762" i="2"/>
  <c r="K823" i="2"/>
  <c r="O824" i="2" l="1"/>
  <c r="J889" i="2"/>
  <c r="L824" i="2"/>
  <c r="O801" i="2"/>
  <c r="J866" i="2"/>
  <c r="I801" i="2"/>
  <c r="K865" i="2"/>
  <c r="K807" i="2"/>
  <c r="J916" i="2"/>
  <c r="I851" i="2"/>
  <c r="O851" i="2"/>
  <c r="L851" i="2"/>
  <c r="J884" i="2"/>
  <c r="L819" i="2"/>
  <c r="O819" i="2"/>
  <c r="I819" i="2"/>
  <c r="K764" i="2"/>
  <c r="I823" i="2"/>
  <c r="I827" i="2" s="1"/>
  <c r="J888" i="2"/>
  <c r="J827" i="2"/>
  <c r="L827" i="2" s="1"/>
  <c r="L823" i="2"/>
  <c r="O823" i="2"/>
  <c r="O841" i="2"/>
  <c r="J906" i="2"/>
  <c r="L841" i="2"/>
  <c r="I841" i="2"/>
  <c r="L831" i="2"/>
  <c r="J896" i="2"/>
  <c r="I831" i="2"/>
  <c r="O831" i="2"/>
  <c r="I840" i="2"/>
  <c r="J905" i="2"/>
  <c r="L840" i="2"/>
  <c r="O840" i="2"/>
  <c r="O830" i="2"/>
  <c r="J895" i="2"/>
  <c r="J858" i="2"/>
  <c r="L830" i="2"/>
  <c r="I830" i="2"/>
  <c r="O837" i="2"/>
  <c r="J902" i="2"/>
  <c r="L837" i="2"/>
  <c r="I837" i="2"/>
  <c r="O857" i="2"/>
  <c r="J922" i="2"/>
  <c r="L857" i="2"/>
  <c r="I857" i="2"/>
  <c r="O856" i="2"/>
  <c r="J921" i="2"/>
  <c r="L856" i="2"/>
  <c r="I856" i="2"/>
  <c r="I742" i="2"/>
  <c r="I748" i="2"/>
  <c r="O808" i="2"/>
  <c r="J873" i="2"/>
  <c r="I808" i="2"/>
  <c r="L808" i="2"/>
  <c r="J871" i="2"/>
  <c r="O806" i="2"/>
  <c r="I806" i="2"/>
  <c r="J764" i="2"/>
  <c r="I764" i="2" s="1"/>
  <c r="L757" i="2"/>
  <c r="O825" i="2"/>
  <c r="J890" i="2"/>
  <c r="L825" i="2"/>
  <c r="J911" i="2"/>
  <c r="O846" i="2"/>
  <c r="I846" i="2"/>
  <c r="O805" i="2"/>
  <c r="J870" i="2"/>
  <c r="L805" i="2"/>
  <c r="I805" i="2"/>
  <c r="I855" i="2"/>
  <c r="J920" i="2"/>
  <c r="L855" i="2"/>
  <c r="O855" i="2"/>
  <c r="I832" i="2"/>
  <c r="J897" i="2"/>
  <c r="L832" i="2"/>
  <c r="O832" i="2"/>
  <c r="O828" i="2"/>
  <c r="J893" i="2"/>
  <c r="L828" i="2"/>
  <c r="I828" i="2"/>
  <c r="J869" i="2"/>
  <c r="I804" i="2"/>
  <c r="L804" i="2"/>
  <c r="O804" i="2"/>
  <c r="O898" i="2"/>
  <c r="J963" i="2"/>
  <c r="L898" i="2"/>
  <c r="K880" i="2"/>
  <c r="K822" i="2"/>
  <c r="K898" i="2"/>
  <c r="K858" i="2"/>
  <c r="L826" i="2"/>
  <c r="J891" i="2"/>
  <c r="O826" i="2"/>
  <c r="J868" i="2"/>
  <c r="O803" i="2"/>
  <c r="I803" i="2"/>
  <c r="J912" i="2"/>
  <c r="O847" i="2"/>
  <c r="I847" i="2"/>
  <c r="L847" i="2"/>
  <c r="O793" i="2"/>
  <c r="K873" i="2"/>
  <c r="K813" i="2"/>
  <c r="L815" i="2"/>
  <c r="J880" i="2"/>
  <c r="I815" i="2"/>
  <c r="O815" i="2"/>
  <c r="J822" i="2"/>
  <c r="O748" i="2"/>
  <c r="O749" i="2" s="1"/>
  <c r="J909" i="2"/>
  <c r="O844" i="2"/>
  <c r="L844" i="2"/>
  <c r="I844" i="2"/>
  <c r="K827" i="2"/>
  <c r="K888" i="2"/>
  <c r="L839" i="2"/>
  <c r="J904" i="2"/>
  <c r="I839" i="2"/>
  <c r="O839" i="2"/>
  <c r="O852" i="2"/>
  <c r="J917" i="2"/>
  <c r="L852" i="2"/>
  <c r="I852" i="2"/>
  <c r="I836" i="2"/>
  <c r="J901" i="2"/>
  <c r="L836" i="2"/>
  <c r="O836" i="2"/>
  <c r="O762" i="2"/>
  <c r="L850" i="2"/>
  <c r="J915" i="2"/>
  <c r="I850" i="2"/>
  <c r="O850" i="2"/>
  <c r="O842" i="2"/>
  <c r="J907" i="2"/>
  <c r="I842" i="2"/>
  <c r="L842" i="2"/>
  <c r="O730" i="2"/>
  <c r="O845" i="2"/>
  <c r="J910" i="2"/>
  <c r="L845" i="2"/>
  <c r="I845" i="2"/>
  <c r="L843" i="2"/>
  <c r="J908" i="2"/>
  <c r="I843" i="2"/>
  <c r="O843" i="2"/>
  <c r="L854" i="2"/>
  <c r="J919" i="2"/>
  <c r="I854" i="2"/>
  <c r="O854" i="2"/>
  <c r="O848" i="2"/>
  <c r="J913" i="2"/>
  <c r="I848" i="2"/>
  <c r="L848" i="2"/>
  <c r="O810" i="2"/>
  <c r="J875" i="2"/>
  <c r="L810" i="2"/>
  <c r="I810" i="2"/>
  <c r="I816" i="2"/>
  <c r="J881" i="2"/>
  <c r="O816" i="2"/>
  <c r="L816" i="2"/>
  <c r="O853" i="2"/>
  <c r="J918" i="2"/>
  <c r="L853" i="2"/>
  <c r="I853" i="2"/>
  <c r="O849" i="2"/>
  <c r="J914" i="2"/>
  <c r="L849" i="2"/>
  <c r="I849" i="2"/>
  <c r="O820" i="2"/>
  <c r="J885" i="2"/>
  <c r="L820" i="2"/>
  <c r="I820" i="2"/>
  <c r="O817" i="2"/>
  <c r="J882" i="2"/>
  <c r="L817" i="2"/>
  <c r="I817" i="2"/>
  <c r="O834" i="2"/>
  <c r="J899" i="2"/>
  <c r="I834" i="2"/>
  <c r="L834" i="2"/>
  <c r="O684" i="2"/>
  <c r="L800" i="2"/>
  <c r="J865" i="2"/>
  <c r="I800" i="2"/>
  <c r="J807" i="2"/>
  <c r="I807" i="2" s="1"/>
  <c r="O800" i="2"/>
  <c r="O757" i="2"/>
  <c r="I757" i="2"/>
  <c r="L835" i="2"/>
  <c r="J900" i="2"/>
  <c r="I835" i="2"/>
  <c r="O835" i="2"/>
  <c r="O838" i="2"/>
  <c r="J903" i="2"/>
  <c r="L838" i="2"/>
  <c r="I838" i="2"/>
  <c r="O812" i="2"/>
  <c r="I812" i="2"/>
  <c r="J877" i="2"/>
  <c r="L812" i="2"/>
  <c r="L811" i="2"/>
  <c r="J876" i="2"/>
  <c r="I811" i="2"/>
  <c r="O811" i="2"/>
  <c r="O821" i="2"/>
  <c r="J886" i="2"/>
  <c r="L821" i="2"/>
  <c r="I821" i="2"/>
  <c r="O802" i="2"/>
  <c r="I802" i="2"/>
  <c r="J867" i="2"/>
  <c r="L802" i="2"/>
  <c r="J813" i="2"/>
  <c r="I813" i="2" s="1"/>
  <c r="J874" i="2"/>
  <c r="I809" i="2"/>
  <c r="O809" i="2"/>
  <c r="O813" i="2" s="1"/>
  <c r="J883" i="2"/>
  <c r="O818" i="2"/>
  <c r="I818" i="2"/>
  <c r="O917" i="2" l="1"/>
  <c r="J982" i="2"/>
  <c r="L917" i="2"/>
  <c r="I917" i="2"/>
  <c r="L880" i="2"/>
  <c r="J945" i="2"/>
  <c r="I880" i="2"/>
  <c r="O880" i="2"/>
  <c r="J887" i="2"/>
  <c r="J977" i="2"/>
  <c r="L912" i="2"/>
  <c r="I912" i="2"/>
  <c r="O912" i="2"/>
  <c r="K963" i="2"/>
  <c r="K923" i="2"/>
  <c r="J938" i="2"/>
  <c r="L873" i="2"/>
  <c r="I873" i="2"/>
  <c r="O873" i="2"/>
  <c r="J878" i="2"/>
  <c r="I878" i="2" s="1"/>
  <c r="I888" i="2"/>
  <c r="I892" i="2" s="1"/>
  <c r="J953" i="2"/>
  <c r="O888" i="2"/>
  <c r="J892" i="2"/>
  <c r="L892" i="2" s="1"/>
  <c r="L888" i="2"/>
  <c r="J932" i="2"/>
  <c r="O867" i="2"/>
  <c r="I867" i="2"/>
  <c r="L867" i="2"/>
  <c r="J942" i="2"/>
  <c r="I877" i="2"/>
  <c r="O877" i="2"/>
  <c r="O878" i="2" s="1"/>
  <c r="L877" i="2"/>
  <c r="L865" i="2"/>
  <c r="J930" i="2"/>
  <c r="O865" i="2"/>
  <c r="I865" i="2"/>
  <c r="J872" i="2"/>
  <c r="O764" i="2"/>
  <c r="J829" i="2"/>
  <c r="I829" i="2" s="1"/>
  <c r="L822" i="2"/>
  <c r="L891" i="2"/>
  <c r="J956" i="2"/>
  <c r="O891" i="2"/>
  <c r="K829" i="2"/>
  <c r="J1028" i="2"/>
  <c r="I963" i="2"/>
  <c r="O963" i="2"/>
  <c r="L963" i="2"/>
  <c r="O893" i="2"/>
  <c r="J958" i="2"/>
  <c r="L893" i="2"/>
  <c r="I893" i="2"/>
  <c r="I897" i="2"/>
  <c r="J962" i="2"/>
  <c r="O897" i="2"/>
  <c r="L897" i="2"/>
  <c r="I920" i="2"/>
  <c r="J985" i="2"/>
  <c r="L920" i="2"/>
  <c r="O920" i="2"/>
  <c r="O870" i="2"/>
  <c r="J935" i="2"/>
  <c r="I870" i="2"/>
  <c r="L870" i="2"/>
  <c r="J976" i="2"/>
  <c r="O911" i="2"/>
  <c r="I911" i="2"/>
  <c r="J936" i="2"/>
  <c r="O871" i="2"/>
  <c r="I871" i="2"/>
  <c r="O827" i="2"/>
  <c r="K930" i="2"/>
  <c r="K872" i="2"/>
  <c r="J966" i="2"/>
  <c r="I901" i="2"/>
  <c r="O901" i="2"/>
  <c r="L901" i="2"/>
  <c r="L904" i="2"/>
  <c r="J969" i="2"/>
  <c r="I904" i="2"/>
  <c r="O904" i="2"/>
  <c r="O795" i="2"/>
  <c r="O858" i="2"/>
  <c r="O874" i="2"/>
  <c r="J939" i="2"/>
  <c r="I874" i="2"/>
  <c r="O886" i="2"/>
  <c r="J951" i="2"/>
  <c r="L886" i="2"/>
  <c r="I886" i="2"/>
  <c r="L876" i="2"/>
  <c r="J941" i="2"/>
  <c r="I876" i="2"/>
  <c r="O876" i="2"/>
  <c r="O903" i="2"/>
  <c r="J968" i="2"/>
  <c r="I903" i="2"/>
  <c r="L903" i="2"/>
  <c r="L900" i="2"/>
  <c r="J965" i="2"/>
  <c r="I900" i="2"/>
  <c r="O900" i="2"/>
  <c r="O807" i="2"/>
  <c r="O814" i="2" s="1"/>
  <c r="O899" i="2"/>
  <c r="J964" i="2"/>
  <c r="L899" i="2"/>
  <c r="I899" i="2"/>
  <c r="O882" i="2"/>
  <c r="J947" i="2"/>
  <c r="L882" i="2"/>
  <c r="I882" i="2"/>
  <c r="O885" i="2"/>
  <c r="J950" i="2"/>
  <c r="L885" i="2"/>
  <c r="I885" i="2"/>
  <c r="O914" i="2"/>
  <c r="J979" i="2"/>
  <c r="I914" i="2"/>
  <c r="L914" i="2"/>
  <c r="O918" i="2"/>
  <c r="J983" i="2"/>
  <c r="I918" i="2"/>
  <c r="L918" i="2"/>
  <c r="I881" i="2"/>
  <c r="J946" i="2"/>
  <c r="L881" i="2"/>
  <c r="O881" i="2"/>
  <c r="O875" i="2"/>
  <c r="J940" i="2"/>
  <c r="I875" i="2"/>
  <c r="L875" i="2"/>
  <c r="O913" i="2"/>
  <c r="J978" i="2"/>
  <c r="L913" i="2"/>
  <c r="I913" i="2"/>
  <c r="L919" i="2"/>
  <c r="J984" i="2"/>
  <c r="I919" i="2"/>
  <c r="O919" i="2"/>
  <c r="L908" i="2"/>
  <c r="J973" i="2"/>
  <c r="I908" i="2"/>
  <c r="O908" i="2"/>
  <c r="O910" i="2"/>
  <c r="J975" i="2"/>
  <c r="L910" i="2"/>
  <c r="I910" i="2"/>
  <c r="K892" i="2"/>
  <c r="K953" i="2"/>
  <c r="O822" i="2"/>
  <c r="K945" i="2"/>
  <c r="K887" i="2"/>
  <c r="K894" i="2" s="1"/>
  <c r="J934" i="2"/>
  <c r="O869" i="2"/>
  <c r="I869" i="2"/>
  <c r="L869" i="2"/>
  <c r="O921" i="2"/>
  <c r="J986" i="2"/>
  <c r="L921" i="2"/>
  <c r="I921" i="2"/>
  <c r="O922" i="2"/>
  <c r="J987" i="2"/>
  <c r="I922" i="2"/>
  <c r="L922" i="2"/>
  <c r="O902" i="2"/>
  <c r="J967" i="2"/>
  <c r="L902" i="2"/>
  <c r="I902" i="2"/>
  <c r="I858" i="2"/>
  <c r="J949" i="2"/>
  <c r="I884" i="2"/>
  <c r="O884" i="2"/>
  <c r="L884" i="2"/>
  <c r="I916" i="2"/>
  <c r="J981" i="2"/>
  <c r="O916" i="2"/>
  <c r="L916" i="2"/>
  <c r="O889" i="2"/>
  <c r="J954" i="2"/>
  <c r="L889" i="2"/>
  <c r="J948" i="2"/>
  <c r="O883" i="2"/>
  <c r="I883" i="2"/>
  <c r="O907" i="2"/>
  <c r="J972" i="2"/>
  <c r="I907" i="2"/>
  <c r="L907" i="2"/>
  <c r="L915" i="2"/>
  <c r="J980" i="2"/>
  <c r="I915" i="2"/>
  <c r="O915" i="2"/>
  <c r="J974" i="2"/>
  <c r="I909" i="2"/>
  <c r="L909" i="2"/>
  <c r="O909" i="2"/>
  <c r="K938" i="2"/>
  <c r="K878" i="2"/>
  <c r="J933" i="2"/>
  <c r="O868" i="2"/>
  <c r="I868" i="2"/>
  <c r="I898" i="2"/>
  <c r="O890" i="2"/>
  <c r="J955" i="2"/>
  <c r="L890" i="2"/>
  <c r="O895" i="2"/>
  <c r="J960" i="2"/>
  <c r="I895" i="2"/>
  <c r="L895" i="2"/>
  <c r="J923" i="2"/>
  <c r="I923" i="2" s="1"/>
  <c r="I905" i="2"/>
  <c r="J970" i="2"/>
  <c r="L905" i="2"/>
  <c r="O905" i="2"/>
  <c r="L896" i="2"/>
  <c r="J961" i="2"/>
  <c r="I896" i="2"/>
  <c r="O896" i="2"/>
  <c r="O906" i="2"/>
  <c r="J971" i="2"/>
  <c r="L906" i="2"/>
  <c r="I906" i="2"/>
  <c r="I822" i="2"/>
  <c r="O866" i="2"/>
  <c r="J931" i="2"/>
  <c r="I866" i="2"/>
  <c r="O961" i="2" l="1"/>
  <c r="J1026" i="2"/>
  <c r="I961" i="2"/>
  <c r="L961" i="2"/>
  <c r="J1046" i="2"/>
  <c r="O981" i="2"/>
  <c r="L981" i="2"/>
  <c r="I981" i="2"/>
  <c r="K952" i="2"/>
  <c r="K1010" i="2"/>
  <c r="K1017" i="2" s="1"/>
  <c r="I887" i="2"/>
  <c r="O969" i="2"/>
  <c r="J1034" i="2"/>
  <c r="L969" i="2"/>
  <c r="I969" i="2"/>
  <c r="O887" i="2"/>
  <c r="O894" i="2" s="1"/>
  <c r="L960" i="2"/>
  <c r="J1025" i="2"/>
  <c r="J988" i="2"/>
  <c r="I960" i="2"/>
  <c r="O960" i="2"/>
  <c r="J998" i="2"/>
  <c r="O933" i="2"/>
  <c r="I933" i="2"/>
  <c r="I949" i="2"/>
  <c r="J1014" i="2"/>
  <c r="O949" i="2"/>
  <c r="L949" i="2"/>
  <c r="O967" i="2"/>
  <c r="J1032" i="2"/>
  <c r="L967" i="2"/>
  <c r="I967" i="2"/>
  <c r="O987" i="2"/>
  <c r="J1052" i="2"/>
  <c r="L987" i="2"/>
  <c r="I987" i="2"/>
  <c r="O986" i="2"/>
  <c r="J1051" i="2"/>
  <c r="I986" i="2"/>
  <c r="L986" i="2"/>
  <c r="O829" i="2"/>
  <c r="I966" i="2"/>
  <c r="J1031" i="2"/>
  <c r="L966" i="2"/>
  <c r="O966" i="2"/>
  <c r="O935" i="2"/>
  <c r="J1000" i="2"/>
  <c r="L935" i="2"/>
  <c r="I935" i="2"/>
  <c r="I985" i="2"/>
  <c r="J1050" i="2"/>
  <c r="O985" i="2"/>
  <c r="L985" i="2"/>
  <c r="I962" i="2"/>
  <c r="J1027" i="2"/>
  <c r="O962" i="2"/>
  <c r="L962" i="2"/>
  <c r="O958" i="2"/>
  <c r="J1023" i="2"/>
  <c r="L958" i="2"/>
  <c r="I958" i="2"/>
  <c r="O956" i="2"/>
  <c r="J1021" i="2"/>
  <c r="L956" i="2"/>
  <c r="J995" i="2"/>
  <c r="L930" i="2"/>
  <c r="I930" i="2"/>
  <c r="J937" i="2"/>
  <c r="I937" i="2" s="1"/>
  <c r="O930" i="2"/>
  <c r="O872" i="2"/>
  <c r="O879" i="2" s="1"/>
  <c r="O892" i="2"/>
  <c r="O971" i="2"/>
  <c r="J1036" i="2"/>
  <c r="I971" i="2"/>
  <c r="L971" i="2"/>
  <c r="I970" i="2"/>
  <c r="J1035" i="2"/>
  <c r="O970" i="2"/>
  <c r="L970" i="2"/>
  <c r="O955" i="2"/>
  <c r="J1020" i="2"/>
  <c r="L955" i="2"/>
  <c r="O954" i="2"/>
  <c r="J1019" i="2"/>
  <c r="L954" i="2"/>
  <c r="O860" i="2"/>
  <c r="J1003" i="2"/>
  <c r="L938" i="2"/>
  <c r="O938" i="2"/>
  <c r="J943" i="2"/>
  <c r="I938" i="2"/>
  <c r="O923" i="2"/>
  <c r="O972" i="2"/>
  <c r="J1037" i="2"/>
  <c r="L972" i="2"/>
  <c r="I972" i="2"/>
  <c r="O934" i="2"/>
  <c r="J999" i="2"/>
  <c r="L934" i="2"/>
  <c r="I934" i="2"/>
  <c r="K957" i="2"/>
  <c r="K1018" i="2"/>
  <c r="K1022" i="2" s="1"/>
  <c r="O975" i="2"/>
  <c r="J1040" i="2"/>
  <c r="L975" i="2"/>
  <c r="I975" i="2"/>
  <c r="L973" i="2"/>
  <c r="I973" i="2"/>
  <c r="O973" i="2"/>
  <c r="J1038" i="2"/>
  <c r="O984" i="2"/>
  <c r="J1049" i="2"/>
  <c r="I984" i="2"/>
  <c r="L984" i="2"/>
  <c r="J1043" i="2"/>
  <c r="I978" i="2"/>
  <c r="L978" i="2"/>
  <c r="O978" i="2"/>
  <c r="O940" i="2"/>
  <c r="J1005" i="2"/>
  <c r="L940" i="2"/>
  <c r="I940" i="2"/>
  <c r="I946" i="2"/>
  <c r="J1011" i="2"/>
  <c r="L946" i="2"/>
  <c r="O946" i="2"/>
  <c r="O983" i="2"/>
  <c r="J1048" i="2"/>
  <c r="L983" i="2"/>
  <c r="I983" i="2"/>
  <c r="O979" i="2"/>
  <c r="J1044" i="2"/>
  <c r="L979" i="2"/>
  <c r="I979" i="2"/>
  <c r="O950" i="2"/>
  <c r="J1015" i="2"/>
  <c r="I950" i="2"/>
  <c r="L950" i="2"/>
  <c r="O947" i="2"/>
  <c r="J1012" i="2"/>
  <c r="I947" i="2"/>
  <c r="L947" i="2"/>
  <c r="O964" i="2"/>
  <c r="J1029" i="2"/>
  <c r="L964" i="2"/>
  <c r="I964" i="2"/>
  <c r="J1004" i="2"/>
  <c r="I939" i="2"/>
  <c r="O939" i="2"/>
  <c r="O976" i="2"/>
  <c r="J1041" i="2"/>
  <c r="I976" i="2"/>
  <c r="L1028" i="2"/>
  <c r="O1028" i="2"/>
  <c r="I1028" i="2"/>
  <c r="I872" i="2"/>
  <c r="O942" i="2"/>
  <c r="J1007" i="2"/>
  <c r="I942" i="2"/>
  <c r="L942" i="2"/>
  <c r="O932" i="2"/>
  <c r="J997" i="2"/>
  <c r="L932" i="2"/>
  <c r="I932" i="2"/>
  <c r="I953" i="2"/>
  <c r="I957" i="2" s="1"/>
  <c r="J1018" i="2"/>
  <c r="L953" i="2"/>
  <c r="O953" i="2"/>
  <c r="O957" i="2" s="1"/>
  <c r="J957" i="2"/>
  <c r="L957" i="2" s="1"/>
  <c r="K1028" i="2"/>
  <c r="K1053" i="2" s="1"/>
  <c r="K988" i="2"/>
  <c r="I977" i="2"/>
  <c r="J1042" i="2"/>
  <c r="O977" i="2"/>
  <c r="L977" i="2"/>
  <c r="J952" i="2"/>
  <c r="J1010" i="2"/>
  <c r="I945" i="2"/>
  <c r="L945" i="2"/>
  <c r="O945" i="2"/>
  <c r="O952" i="2" s="1"/>
  <c r="O982" i="2"/>
  <c r="J1047" i="2"/>
  <c r="L982" i="2"/>
  <c r="I982" i="2"/>
  <c r="O980" i="2"/>
  <c r="J1045" i="2"/>
  <c r="I980" i="2"/>
  <c r="L980" i="2"/>
  <c r="O948" i="2"/>
  <c r="J1013" i="2"/>
  <c r="I948" i="2"/>
  <c r="O931" i="2"/>
  <c r="J996" i="2"/>
  <c r="I931" i="2"/>
  <c r="K1003" i="2"/>
  <c r="K1008" i="2" s="1"/>
  <c r="K943" i="2"/>
  <c r="I974" i="2"/>
  <c r="J1039" i="2"/>
  <c r="L974" i="2"/>
  <c r="O974" i="2"/>
  <c r="O965" i="2"/>
  <c r="J1030" i="2"/>
  <c r="I965" i="2"/>
  <c r="L965" i="2"/>
  <c r="O968" i="2"/>
  <c r="J1033" i="2"/>
  <c r="L968" i="2"/>
  <c r="I968" i="2"/>
  <c r="O941" i="2"/>
  <c r="J1006" i="2"/>
  <c r="L941" i="2"/>
  <c r="I941" i="2"/>
  <c r="O951" i="2"/>
  <c r="J1016" i="2"/>
  <c r="L951" i="2"/>
  <c r="I951" i="2"/>
  <c r="I952" i="2" s="1"/>
  <c r="K937" i="2"/>
  <c r="K995" i="2"/>
  <c r="K1002" i="2" s="1"/>
  <c r="J1001" i="2"/>
  <c r="O936" i="2"/>
  <c r="I936" i="2"/>
  <c r="L887" i="2"/>
  <c r="J894" i="2"/>
  <c r="I894" i="2" s="1"/>
  <c r="O959" i="2" l="1"/>
  <c r="O1029" i="2"/>
  <c r="I1029" i="2"/>
  <c r="L1029" i="2"/>
  <c r="O1015" i="2"/>
  <c r="L1015" i="2"/>
  <c r="I1015" i="2"/>
  <c r="I1011" i="2"/>
  <c r="L1011" i="2"/>
  <c r="O1011" i="2"/>
  <c r="L1049" i="2"/>
  <c r="I1049" i="2"/>
  <c r="O1049" i="2"/>
  <c r="O1001" i="2"/>
  <c r="I1001" i="2"/>
  <c r="I1004" i="2"/>
  <c r="O1004" i="2"/>
  <c r="J1008" i="2"/>
  <c r="I1008" i="2" s="1"/>
  <c r="L1003" i="2"/>
  <c r="O1003" i="2"/>
  <c r="O1008" i="2" s="1"/>
  <c r="I1003" i="2"/>
  <c r="L1021" i="2"/>
  <c r="O1021" i="2"/>
  <c r="I1027" i="2"/>
  <c r="O1027" i="2"/>
  <c r="L1027" i="2"/>
  <c r="I1050" i="2"/>
  <c r="O1050" i="2"/>
  <c r="L1050" i="2"/>
  <c r="O1000" i="2"/>
  <c r="L1000" i="2"/>
  <c r="I1000" i="2"/>
  <c r="I1031" i="2"/>
  <c r="L1031" i="2"/>
  <c r="O1031" i="2"/>
  <c r="I988" i="2"/>
  <c r="L952" i="2"/>
  <c r="J959" i="2"/>
  <c r="O1012" i="2"/>
  <c r="L1012" i="2"/>
  <c r="I1012" i="2"/>
  <c r="O1044" i="2"/>
  <c r="L1044" i="2"/>
  <c r="I1044" i="2"/>
  <c r="O1005" i="2"/>
  <c r="L1005" i="2"/>
  <c r="I1005" i="2"/>
  <c r="O1040" i="2"/>
  <c r="L1040" i="2"/>
  <c r="I1040" i="2"/>
  <c r="O1019" i="2"/>
  <c r="L1019" i="2"/>
  <c r="O1041" i="2"/>
  <c r="I1041" i="2"/>
  <c r="O1023" i="2"/>
  <c r="L1023" i="2"/>
  <c r="I1023" i="2"/>
  <c r="O1006" i="2"/>
  <c r="L1006" i="2"/>
  <c r="I1006" i="2"/>
  <c r="L1030" i="2"/>
  <c r="I1030" i="2"/>
  <c r="O1030" i="2"/>
  <c r="O1013" i="2"/>
  <c r="I1013" i="2"/>
  <c r="O997" i="2"/>
  <c r="I997" i="2"/>
  <c r="L997" i="2"/>
  <c r="I943" i="2"/>
  <c r="O925" i="2"/>
  <c r="O1051" i="2"/>
  <c r="L1051" i="2"/>
  <c r="I1051" i="2"/>
  <c r="O1052" i="2"/>
  <c r="L1052" i="2"/>
  <c r="I1052" i="2"/>
  <c r="O1032" i="2"/>
  <c r="L1032" i="2"/>
  <c r="I1032" i="2"/>
  <c r="I1014" i="2"/>
  <c r="L1014" i="2"/>
  <c r="O1014" i="2"/>
  <c r="O998" i="2"/>
  <c r="I998" i="2"/>
  <c r="I1025" i="2"/>
  <c r="J1053" i="2"/>
  <c r="I1053" i="2" s="1"/>
  <c r="O1025" i="2"/>
  <c r="L1025" i="2"/>
  <c r="K1024" i="2"/>
  <c r="L1026" i="2"/>
  <c r="I1026" i="2"/>
  <c r="O1026" i="2"/>
  <c r="O1048" i="2"/>
  <c r="L1048" i="2"/>
  <c r="I1048" i="2"/>
  <c r="O1043" i="2"/>
  <c r="I1043" i="2"/>
  <c r="L1043" i="2"/>
  <c r="O1016" i="2"/>
  <c r="L1016" i="2"/>
  <c r="I1016" i="2"/>
  <c r="O1033" i="2"/>
  <c r="I1033" i="2"/>
  <c r="L1033" i="2"/>
  <c r="I1039" i="2"/>
  <c r="L1039" i="2"/>
  <c r="O1039" i="2"/>
  <c r="L1045" i="2"/>
  <c r="I1045" i="2"/>
  <c r="O1045" i="2"/>
  <c r="O1047" i="2"/>
  <c r="L1047" i="2"/>
  <c r="I1047" i="2"/>
  <c r="I1018" i="2"/>
  <c r="I1022" i="2" s="1"/>
  <c r="J1022" i="2"/>
  <c r="L1022" i="2" s="1"/>
  <c r="O1018" i="2"/>
  <c r="L1018" i="2"/>
  <c r="O1007" i="2"/>
  <c r="L1007" i="2"/>
  <c r="I1007" i="2"/>
  <c r="I1038" i="2"/>
  <c r="O1038" i="2"/>
  <c r="L1038" i="2"/>
  <c r="O999" i="2"/>
  <c r="I999" i="2"/>
  <c r="L999" i="2"/>
  <c r="O1037" i="2"/>
  <c r="L1037" i="2"/>
  <c r="I1037" i="2"/>
  <c r="O996" i="2"/>
  <c r="I996" i="2"/>
  <c r="J1017" i="2"/>
  <c r="I1010" i="2"/>
  <c r="L1010" i="2"/>
  <c r="O1010" i="2"/>
  <c r="I1042" i="2"/>
  <c r="O1042" i="2"/>
  <c r="L1042" i="2"/>
  <c r="O943" i="2"/>
  <c r="O1020" i="2"/>
  <c r="L1020" i="2"/>
  <c r="I1035" i="2"/>
  <c r="O1035" i="2"/>
  <c r="L1035" i="2"/>
  <c r="O1036" i="2"/>
  <c r="L1036" i="2"/>
  <c r="I1036" i="2"/>
  <c r="O937" i="2"/>
  <c r="O944" i="2" s="1"/>
  <c r="L995" i="2"/>
  <c r="I995" i="2"/>
  <c r="J1002" i="2"/>
  <c r="I1002" i="2" s="1"/>
  <c r="O995" i="2"/>
  <c r="O1002" i="2" s="1"/>
  <c r="O1009" i="2" s="1"/>
  <c r="O988" i="2"/>
  <c r="L1034" i="2"/>
  <c r="I1034" i="2"/>
  <c r="O1034" i="2"/>
  <c r="K959" i="2"/>
  <c r="I1046" i="2"/>
  <c r="L1046" i="2"/>
  <c r="O1046" i="2"/>
  <c r="L1017" i="2" l="1"/>
  <c r="J1024" i="2"/>
  <c r="I1024" i="2" s="1"/>
  <c r="O1022" i="2"/>
  <c r="O1017" i="2"/>
  <c r="O1024" i="2" s="1"/>
  <c r="O1053" i="2"/>
  <c r="I959" i="2"/>
  <c r="O990" i="2"/>
  <c r="I1017" i="2"/>
  <c r="O1055" i="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H358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deblocage</t>
        </r>
      </text>
    </comment>
    <comment ref="H601" authorId="0" shapeId="0" xr:uid="{00000000-0006-0000-0000-000002000000}">
      <text>
        <r>
          <rPr>
            <b/>
            <sz val="20"/>
            <color indexed="81"/>
            <rFont val="Tahoma"/>
            <family val="2"/>
          </rPr>
          <t>journée du 06/01/2011</t>
        </r>
        <r>
          <rPr>
            <sz val="20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M62" authorId="0" shapeId="0" xr:uid="{00000000-0006-0000-0700-00000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VERIFICATION COUT </t>
        </r>
      </text>
    </comment>
    <comment ref="M72" authorId="0" shapeId="0" xr:uid="{00000000-0006-0000-0700-000002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VERIFICATION COUT </t>
        </r>
      </text>
    </comment>
    <comment ref="M74" authorId="0" shapeId="0" xr:uid="{00000000-0006-0000-0700-000003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COUT PROVISOIR</t>
        </r>
      </text>
    </comment>
    <comment ref="M127" authorId="0" shapeId="0" xr:uid="{00000000-0006-0000-0700-000004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VERIFICATION COUT </t>
        </r>
      </text>
    </comment>
    <comment ref="M137" authorId="0" shapeId="0" xr:uid="{00000000-0006-0000-0700-000005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VERIFICATION COUT </t>
        </r>
      </text>
    </comment>
    <comment ref="M139" authorId="0" shapeId="0" xr:uid="{00000000-0006-0000-0700-000006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COUT PROVISOIR</t>
        </r>
      </text>
    </comment>
    <comment ref="M192" authorId="0" shapeId="0" xr:uid="{00000000-0006-0000-0700-000007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VERIFICATION COUT </t>
        </r>
      </text>
    </comment>
    <comment ref="M202" authorId="0" shapeId="0" xr:uid="{00000000-0006-0000-0700-000008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VERIFICATION COUT </t>
        </r>
      </text>
    </comment>
    <comment ref="M204" authorId="0" shapeId="0" xr:uid="{00000000-0006-0000-0700-000009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COUT PROVISOIR</t>
        </r>
      </text>
    </comment>
    <comment ref="M257" authorId="0" shapeId="0" xr:uid="{00000000-0006-0000-0700-00000A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VERIFICATION COUT </t>
        </r>
      </text>
    </comment>
    <comment ref="M267" authorId="0" shapeId="0" xr:uid="{00000000-0006-0000-0700-00000B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VERIFICATION COUT </t>
        </r>
      </text>
    </comment>
    <comment ref="M269" authorId="0" shapeId="0" xr:uid="{00000000-0006-0000-0700-00000C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COUT PROVISOIR</t>
        </r>
      </text>
    </comment>
    <comment ref="M322" authorId="0" shapeId="0" xr:uid="{00000000-0006-0000-0700-00000D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VERIFICATION COUT </t>
        </r>
      </text>
    </comment>
    <comment ref="M332" authorId="0" shapeId="0" xr:uid="{00000000-0006-0000-0700-00000E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VERIFICATION COUT </t>
        </r>
      </text>
    </comment>
    <comment ref="M334" authorId="0" shapeId="0" xr:uid="{00000000-0006-0000-0700-00000F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COUT PROVISOIR</t>
        </r>
      </text>
    </comment>
    <comment ref="M387" authorId="0" shapeId="0" xr:uid="{00000000-0006-0000-0700-000010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VERIFICATION COUT </t>
        </r>
      </text>
    </comment>
    <comment ref="M397" authorId="0" shapeId="0" xr:uid="{00000000-0006-0000-0700-00001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VERIFICATION COUT </t>
        </r>
      </text>
    </comment>
    <comment ref="M399" authorId="0" shapeId="0" xr:uid="{00000000-0006-0000-0700-000012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COUT PROVISOIR</t>
        </r>
      </text>
    </comment>
    <comment ref="M452" authorId="0" shapeId="0" xr:uid="{00000000-0006-0000-0700-000013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VERIFICATION COUT </t>
        </r>
      </text>
    </comment>
    <comment ref="M462" authorId="0" shapeId="0" xr:uid="{00000000-0006-0000-0700-000014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VERIFICATION COUT </t>
        </r>
      </text>
    </comment>
    <comment ref="M464" authorId="0" shapeId="0" xr:uid="{00000000-0006-0000-0700-000015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COUT PROVISOIR</t>
        </r>
      </text>
    </comment>
    <comment ref="M517" authorId="0" shapeId="0" xr:uid="{00000000-0006-0000-0700-000016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VERIFICATION COUT </t>
        </r>
      </text>
    </comment>
    <comment ref="M527" authorId="0" shapeId="0" xr:uid="{00000000-0006-0000-0700-000017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VERIFICATION COUT </t>
        </r>
      </text>
    </comment>
    <comment ref="M529" authorId="0" shapeId="0" xr:uid="{00000000-0006-0000-0700-000018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COUT PROVISOIR</t>
        </r>
      </text>
    </comment>
    <comment ref="M582" authorId="0" shapeId="0" xr:uid="{00000000-0006-0000-0700-000019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VERIFICATION COUT </t>
        </r>
      </text>
    </comment>
    <comment ref="M592" authorId="0" shapeId="0" xr:uid="{00000000-0006-0000-0700-00001A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VERIFICATION COUT </t>
        </r>
      </text>
    </comment>
    <comment ref="M594" authorId="0" shapeId="0" xr:uid="{00000000-0006-0000-0700-00001B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COUT PROVISOIR</t>
        </r>
      </text>
    </comment>
    <comment ref="M647" authorId="0" shapeId="0" xr:uid="{00000000-0006-0000-0700-00001C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VERIFICATION COUT </t>
        </r>
      </text>
    </comment>
    <comment ref="M657" authorId="0" shapeId="0" xr:uid="{00000000-0006-0000-0700-00001D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VERIFICATION COUT </t>
        </r>
      </text>
    </comment>
    <comment ref="M659" authorId="0" shapeId="0" xr:uid="{00000000-0006-0000-0700-00001E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COUT PROVISOIR</t>
        </r>
      </text>
    </comment>
    <comment ref="M712" authorId="0" shapeId="0" xr:uid="{00000000-0006-0000-0700-00001F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VERIFICATION COUT </t>
        </r>
      </text>
    </comment>
    <comment ref="M722" authorId="0" shapeId="0" xr:uid="{00000000-0006-0000-0700-000020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VERIFICATION COUT </t>
        </r>
      </text>
    </comment>
    <comment ref="M724" authorId="0" shapeId="0" xr:uid="{00000000-0006-0000-0700-00002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COUT PROVISOIR</t>
        </r>
      </text>
    </comment>
    <comment ref="M777" authorId="0" shapeId="0" xr:uid="{00000000-0006-0000-0700-000022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VERIFICATION COUT </t>
        </r>
      </text>
    </comment>
    <comment ref="M787" authorId="0" shapeId="0" xr:uid="{00000000-0006-0000-0700-000023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VERIFICATION COUT </t>
        </r>
      </text>
    </comment>
    <comment ref="M789" authorId="0" shapeId="0" xr:uid="{00000000-0006-0000-0700-000024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COUT PROVISOIR</t>
        </r>
      </text>
    </comment>
    <comment ref="M842" authorId="0" shapeId="0" xr:uid="{00000000-0006-0000-0700-000025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VERIFICATION COUT </t>
        </r>
      </text>
    </comment>
    <comment ref="M852" authorId="0" shapeId="0" xr:uid="{00000000-0006-0000-0700-000026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VERIFICATION COUT </t>
        </r>
      </text>
    </comment>
    <comment ref="M854" authorId="0" shapeId="0" xr:uid="{00000000-0006-0000-0700-000027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COUT PROVISOIR</t>
        </r>
      </text>
    </comment>
    <comment ref="M907" authorId="0" shapeId="0" xr:uid="{00000000-0006-0000-0700-000028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VERIFICATION COUT </t>
        </r>
      </text>
    </comment>
    <comment ref="M917" authorId="0" shapeId="0" xr:uid="{00000000-0006-0000-0700-000029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VERIFICATION COUT </t>
        </r>
      </text>
    </comment>
    <comment ref="M919" authorId="0" shapeId="0" xr:uid="{00000000-0006-0000-0700-00002A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COUT PROVISOIR</t>
        </r>
      </text>
    </comment>
    <comment ref="M972" authorId="0" shapeId="0" xr:uid="{00000000-0006-0000-0700-00002B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VERIFICATION COUT </t>
        </r>
      </text>
    </comment>
    <comment ref="M982" authorId="0" shapeId="0" xr:uid="{00000000-0006-0000-0700-00002C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VERIFICATION COUT </t>
        </r>
      </text>
    </comment>
    <comment ref="M984" authorId="0" shapeId="0" xr:uid="{00000000-0006-0000-0700-00002D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COUT PROVISOIR</t>
        </r>
      </text>
    </comment>
    <comment ref="M1037" authorId="0" shapeId="0" xr:uid="{00000000-0006-0000-0700-00002E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VERIFICATION COUT </t>
        </r>
      </text>
    </comment>
    <comment ref="M1047" authorId="0" shapeId="0" xr:uid="{00000000-0006-0000-0700-00002F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VERIFICATION COUT </t>
        </r>
      </text>
    </comment>
    <comment ref="M1049" authorId="0" shapeId="0" xr:uid="{00000000-0006-0000-0700-000030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COUT PROVISOIR</t>
        </r>
      </text>
    </comment>
  </commentList>
</comments>
</file>

<file path=xl/sharedStrings.xml><?xml version="1.0" encoding="utf-8"?>
<sst xmlns="http://schemas.openxmlformats.org/spreadsheetml/2006/main" count="21215" uniqueCount="606">
  <si>
    <t xml:space="preserve"> Consolidé</t>
  </si>
  <si>
    <t>Unité</t>
  </si>
  <si>
    <t xml:space="preserve">Ligne </t>
  </si>
  <si>
    <t>Désignations</t>
  </si>
  <si>
    <t>Production Physique</t>
  </si>
  <si>
    <r>
      <t>Production Valorisée (</t>
    </r>
    <r>
      <rPr>
        <sz val="9"/>
        <color rgb="FFFF0000"/>
        <rFont val="Arial"/>
        <family val="2"/>
      </rPr>
      <t>Valeur en DA</t>
    </r>
    <r>
      <rPr>
        <b/>
        <sz val="9"/>
        <color theme="1"/>
        <rFont val="Arial"/>
        <family val="2"/>
      </rPr>
      <t>)</t>
    </r>
  </si>
  <si>
    <r>
      <t>Observations
(</t>
    </r>
    <r>
      <rPr>
        <sz val="9"/>
        <color rgb="FFFF0000"/>
        <rFont val="Arial"/>
        <family val="2"/>
      </rPr>
      <t>Arrêts,…etc.</t>
    </r>
    <r>
      <rPr>
        <b/>
        <sz val="9"/>
        <color theme="1"/>
        <rFont val="Arial"/>
        <family val="2"/>
      </rPr>
      <t>)</t>
    </r>
  </si>
  <si>
    <t>Objectif</t>
  </si>
  <si>
    <t>Cumul Mois</t>
  </si>
  <si>
    <t>Taux de Réal</t>
  </si>
  <si>
    <t>Cout de
 Revient</t>
  </si>
  <si>
    <t>Montant 
Journée</t>
  </si>
  <si>
    <t>Montant Cumulé</t>
  </si>
  <si>
    <t>Brute</t>
  </si>
  <si>
    <t>Conforme</t>
  </si>
  <si>
    <t>Rebut</t>
  </si>
  <si>
    <t>T7 - 5/1</t>
  </si>
  <si>
    <t>T4</t>
  </si>
  <si>
    <t>T5</t>
  </si>
  <si>
    <t>T3</t>
  </si>
  <si>
    <t>T2</t>
  </si>
  <si>
    <t>TOTAL CONSEVRE</t>
  </si>
  <si>
    <t>Ligne 16oZ</t>
  </si>
  <si>
    <t>Ligne Pails</t>
  </si>
  <si>
    <t>PAILS 3 GLYLAC 2000</t>
  </si>
  <si>
    <t>TOTAL DIVERSE</t>
  </si>
  <si>
    <t>Train 1/2 A</t>
  </si>
  <si>
    <t>Bts 1/2 OT   4C+VBI+CB+VSI</t>
  </si>
  <si>
    <t>Train 1/2 B</t>
  </si>
  <si>
    <t>TOTAL 1/2</t>
  </si>
  <si>
    <t>Train 4/4</t>
  </si>
  <si>
    <t>TOTAL 4/4</t>
  </si>
  <si>
    <t xml:space="preserve">Ligne 4OZ </t>
  </si>
  <si>
    <t>Cblanc CYLINDRIQUE</t>
  </si>
  <si>
    <t>TOTAL 20 L</t>
  </si>
  <si>
    <t xml:space="preserve">Pails 18 l </t>
  </si>
  <si>
    <t>Pails 18 l C BLANC</t>
  </si>
  <si>
    <t>TOTAL 18 L</t>
  </si>
  <si>
    <t>TOTAL 10 L</t>
  </si>
  <si>
    <t>TOTAL 1LØ108</t>
  </si>
  <si>
    <t>Train 1/2 l Ø108</t>
  </si>
  <si>
    <t>TOTAL 1/2 L Ø108</t>
  </si>
  <si>
    <t>Ligne 83</t>
  </si>
  <si>
    <t>TOTAL 1 L Ø 83</t>
  </si>
  <si>
    <t>TOTAL 5/1</t>
  </si>
  <si>
    <t>TOTAL 1/4</t>
  </si>
  <si>
    <t xml:space="preserve">TOTAL 4 oz </t>
  </si>
  <si>
    <t xml:space="preserve">TOTAL 4/4 </t>
  </si>
  <si>
    <t xml:space="preserve">TOTAL 16 oz </t>
  </si>
  <si>
    <t>TOTAL 3 L</t>
  </si>
  <si>
    <t xml:space="preserve">TOTAL 4/4 OT </t>
  </si>
  <si>
    <t>TOTAL 4/4 ON</t>
  </si>
  <si>
    <t xml:space="preserve">TOTAL 1/2 OT </t>
  </si>
  <si>
    <t xml:space="preserve">Unité kouba </t>
  </si>
  <si>
    <t>Fds Ø52,6 VBI VOE  734*725*0,16</t>
  </si>
  <si>
    <t>Fds Ø73 VBI VOE  803*772*0,20</t>
  </si>
  <si>
    <t>Fds Ø73 VBI VOE  803*772*0,18</t>
  </si>
  <si>
    <t>Fds Ø153 VBI VOE  888*708*0,28</t>
  </si>
  <si>
    <t>Fds Ø169 FB NU  775*763*0,23</t>
  </si>
  <si>
    <t>Fds Ø169 VBI/ NU  775*763*0,23</t>
  </si>
  <si>
    <t>BCHS Ø180 CB NU  726*717*0,23</t>
  </si>
  <si>
    <t>CABOUCHONS 36*0,30</t>
  </si>
  <si>
    <t>Unité azzaba</t>
  </si>
  <si>
    <t xml:space="preserve">Presse 1/2 A </t>
  </si>
  <si>
    <t>TFS VBI+VOE</t>
  </si>
  <si>
    <t>FB VBI+VOE</t>
  </si>
  <si>
    <t>Presse 1/2 B</t>
  </si>
  <si>
    <t>Presse 4/4</t>
  </si>
  <si>
    <t>Presse 4oz</t>
  </si>
  <si>
    <t>Unité skikda</t>
  </si>
  <si>
    <t>FDS 20L</t>
  </si>
  <si>
    <t>FBN N/INT</t>
  </si>
  <si>
    <t>FBI V/INT</t>
  </si>
  <si>
    <t>FBN PERCE</t>
  </si>
  <si>
    <t>CVS 20L</t>
  </si>
  <si>
    <t>FBI N/INT</t>
  </si>
  <si>
    <t>FDS 10L</t>
  </si>
  <si>
    <t>FBN</t>
  </si>
  <si>
    <t>CVS 10L</t>
  </si>
  <si>
    <t>FBI NI</t>
  </si>
  <si>
    <t>ANSE 10L</t>
  </si>
  <si>
    <t>ANSE</t>
  </si>
  <si>
    <t>FDS D 108</t>
  </si>
  <si>
    <t>FBI OR</t>
  </si>
  <si>
    <t>BCH D108</t>
  </si>
  <si>
    <t>BGS D108</t>
  </si>
  <si>
    <t>FDS D83</t>
  </si>
  <si>
    <t>FDS PERCE 83</t>
  </si>
  <si>
    <t xml:space="preserve">CABOCHONS </t>
  </si>
  <si>
    <t>CABOUCHONS</t>
  </si>
  <si>
    <t>P.U</t>
  </si>
  <si>
    <t>Montant Journée</t>
  </si>
  <si>
    <t>TELLOISE</t>
  </si>
  <si>
    <t>ICA</t>
  </si>
  <si>
    <t xml:space="preserve">TELLOISE </t>
  </si>
  <si>
    <t>TOTAL AZDU</t>
  </si>
  <si>
    <t>Flash Journalier de Production Accessoires</t>
  </si>
  <si>
    <t>BCHS Ø180 CB VBI  726*717*0,23</t>
  </si>
  <si>
    <t>TOTAL KDU</t>
  </si>
  <si>
    <t xml:space="preserve">TOTAL SKDU </t>
  </si>
  <si>
    <t xml:space="preserve">TOTAL EPE EMB </t>
  </si>
  <si>
    <t>AZDU</t>
  </si>
  <si>
    <t>SKDU</t>
  </si>
  <si>
    <t>KDU</t>
  </si>
  <si>
    <t>TOTAL CONSERVE</t>
  </si>
  <si>
    <t>TOTAL DIVERS</t>
  </si>
  <si>
    <t>Fds Ø99 VBI VOE  850*777*0,21</t>
  </si>
  <si>
    <t>MENAA</t>
  </si>
  <si>
    <t xml:space="preserve">Capacité jour </t>
  </si>
  <si>
    <t xml:space="preserve">BCHS Ø52,6 (sub 10 l) FBN </t>
  </si>
  <si>
    <t>Fds Ø99 VBI VOE  927*911*0,21 (sub)</t>
  </si>
  <si>
    <t>TFS VBI+VOE SUB 1/8</t>
  </si>
  <si>
    <t>FBN SUB 1/8</t>
  </si>
  <si>
    <t>V/INT +4C+CB+VSI</t>
  </si>
  <si>
    <t xml:space="preserve">CAT -CB-ON </t>
  </si>
  <si>
    <t>Bts 1/2  VBI VSIMP OT</t>
  </si>
  <si>
    <t xml:space="preserve">Pails 10 L V/INT 4C+CB+VSI </t>
  </si>
  <si>
    <t xml:space="preserve">FBI V/INT </t>
  </si>
  <si>
    <t>FBN BANDE SUB 1/8</t>
  </si>
  <si>
    <t>BANDES FBN SUB 1/8</t>
  </si>
  <si>
    <t>Bts 4/4 VBI VSIMP ON</t>
  </si>
  <si>
    <t>FBI / V INT SUB</t>
  </si>
  <si>
    <t xml:space="preserve">CAT SICAM CF </t>
  </si>
  <si>
    <t>BANDES TFS FDS SUB 1/8</t>
  </si>
  <si>
    <t xml:space="preserve">CPS 1/12 SUB FDS </t>
  </si>
  <si>
    <t>Bts 16 OZ-NUVSIMP</t>
  </si>
  <si>
    <t>FB VBI+VOE+(VOIE) Ø65</t>
  </si>
  <si>
    <t>TFS VBI+VOE SUB 1/12</t>
  </si>
  <si>
    <t>FDS PERS Ø108</t>
  </si>
  <si>
    <t>BANDES BGS SUBT BCH</t>
  </si>
  <si>
    <t xml:space="preserve">CAT TRISTAR </t>
  </si>
  <si>
    <t>TFS VBI+VOE subt 6 OZ</t>
  </si>
  <si>
    <t>Pails 10 L N/INT CB+4C+VSI</t>
  </si>
  <si>
    <t>TFS VBI+VOE (VOIE)</t>
  </si>
  <si>
    <t>PETROSER</t>
  </si>
  <si>
    <t>FBN SUB 3L ,10L,20L</t>
  </si>
  <si>
    <t xml:space="preserve">C BLANC </t>
  </si>
  <si>
    <t xml:space="preserve">Montant journée </t>
  </si>
  <si>
    <t>Mois: Septembre 2021</t>
  </si>
  <si>
    <r>
      <t>Journée du:</t>
    </r>
    <r>
      <rPr>
        <b/>
        <sz val="9"/>
        <color rgb="FFFF0000"/>
        <rFont val="Arial"/>
        <family val="2"/>
      </rPr>
      <t xml:space="preserve"> 01/09/2021</t>
    </r>
  </si>
  <si>
    <r>
      <t>Journée du:</t>
    </r>
    <r>
      <rPr>
        <b/>
        <sz val="9"/>
        <color rgb="FFFF0000"/>
        <rFont val="Arial"/>
        <family val="2"/>
      </rPr>
      <t xml:space="preserve"> 02/09/2021</t>
    </r>
  </si>
  <si>
    <r>
      <t>Journée du:</t>
    </r>
    <r>
      <rPr>
        <b/>
        <sz val="9"/>
        <color rgb="FFFF0000"/>
        <rFont val="Arial"/>
        <family val="2"/>
      </rPr>
      <t xml:space="preserve"> 05/09/2021</t>
    </r>
  </si>
  <si>
    <r>
      <t>Journée du:</t>
    </r>
    <r>
      <rPr>
        <b/>
        <sz val="9"/>
        <color rgb="FFFF0000"/>
        <rFont val="Arial"/>
        <family val="2"/>
      </rPr>
      <t xml:space="preserve"> 06/09/2021</t>
    </r>
  </si>
  <si>
    <t>Fds Ø52,6 VBI VOE  sub 926*852*0,16</t>
  </si>
  <si>
    <r>
      <t>Journée du:</t>
    </r>
    <r>
      <rPr>
        <b/>
        <sz val="9"/>
        <color rgb="FFFF0000"/>
        <rFont val="Arial"/>
        <family val="2"/>
      </rPr>
      <t xml:space="preserve"> 07/09/2021</t>
    </r>
  </si>
  <si>
    <r>
      <t>Journée du:</t>
    </r>
    <r>
      <rPr>
        <b/>
        <sz val="9"/>
        <color rgb="FFFF0000"/>
        <rFont val="Arial"/>
        <family val="2"/>
      </rPr>
      <t xml:space="preserve"> 08/09/2021</t>
    </r>
  </si>
  <si>
    <r>
      <t>Journée du:</t>
    </r>
    <r>
      <rPr>
        <b/>
        <sz val="9"/>
        <color rgb="FFFF0000"/>
        <rFont val="Arial"/>
        <family val="2"/>
      </rPr>
      <t xml:space="preserve"> 09/09/2021</t>
    </r>
  </si>
  <si>
    <r>
      <t>Journée du:</t>
    </r>
    <r>
      <rPr>
        <b/>
        <sz val="9"/>
        <color rgb="FFFF0000"/>
        <rFont val="Arial"/>
        <family val="2"/>
      </rPr>
      <t xml:space="preserve"> 10+11/09/2021</t>
    </r>
  </si>
  <si>
    <r>
      <t>Journée du:</t>
    </r>
    <r>
      <rPr>
        <b/>
        <sz val="9"/>
        <color rgb="FFFF0000"/>
        <rFont val="Arial"/>
        <family val="2"/>
      </rPr>
      <t xml:space="preserve"> 12/09/2021</t>
    </r>
  </si>
  <si>
    <r>
      <t>Journée du:</t>
    </r>
    <r>
      <rPr>
        <b/>
        <sz val="9"/>
        <color rgb="FFFF0000"/>
        <rFont val="Arial"/>
        <family val="2"/>
      </rPr>
      <t xml:space="preserve"> 13/09/2021</t>
    </r>
  </si>
  <si>
    <r>
      <t>Journée du:</t>
    </r>
    <r>
      <rPr>
        <b/>
        <sz val="9"/>
        <color rgb="FFFF0000"/>
        <rFont val="Arial"/>
        <family val="2"/>
      </rPr>
      <t xml:space="preserve"> 14/09/2021</t>
    </r>
  </si>
  <si>
    <r>
      <t>Journée du:</t>
    </r>
    <r>
      <rPr>
        <b/>
        <sz val="9"/>
        <color rgb="FFFF0000"/>
        <rFont val="Arial"/>
        <family val="2"/>
      </rPr>
      <t xml:space="preserve"> 15/09/2021</t>
    </r>
  </si>
  <si>
    <r>
      <t>Journée du:</t>
    </r>
    <r>
      <rPr>
        <b/>
        <sz val="9"/>
        <color rgb="FFFF0000"/>
        <rFont val="Arial"/>
        <family val="2"/>
      </rPr>
      <t xml:space="preserve"> 18/09/2021</t>
    </r>
  </si>
  <si>
    <r>
      <t>Journée du:</t>
    </r>
    <r>
      <rPr>
        <b/>
        <sz val="9"/>
        <color rgb="FFFF0000"/>
        <rFont val="Arial"/>
        <family val="2"/>
      </rPr>
      <t xml:space="preserve"> 19/09/2021</t>
    </r>
  </si>
  <si>
    <r>
      <t>Journée du:</t>
    </r>
    <r>
      <rPr>
        <b/>
        <sz val="9"/>
        <color rgb="FFFF0000"/>
        <rFont val="Arial"/>
        <family val="2"/>
      </rPr>
      <t xml:space="preserve"> 20/09/2021</t>
    </r>
  </si>
  <si>
    <r>
      <t>Journée du:</t>
    </r>
    <r>
      <rPr>
        <b/>
        <sz val="9"/>
        <color rgb="FFFF0000"/>
        <rFont val="Arial"/>
        <family val="2"/>
      </rPr>
      <t xml:space="preserve"> 21/09/2021</t>
    </r>
  </si>
  <si>
    <t>Bts  0,8 l Ø108  N/INT +4C+CB+VSI</t>
  </si>
  <si>
    <t>Bts 1L Ø 108 V/INT+4C+CB+VSI</t>
  </si>
  <si>
    <t xml:space="preserve">Bts 1L Ø 108 FBN </t>
  </si>
  <si>
    <t>Bts 1/2 L Ø 108 NU/INT +CB+VSI+4C</t>
  </si>
  <si>
    <t>Bts 1 L Ø 83 4C LAQ</t>
  </si>
  <si>
    <t xml:space="preserve">Bts 1 L Ø 83 CB </t>
  </si>
  <si>
    <t>S/TOTAL 1/2</t>
  </si>
  <si>
    <t>S/TOTAL 4/4</t>
  </si>
  <si>
    <t xml:space="preserve">Taux 
rebut </t>
  </si>
  <si>
    <t>Taux de
Réal</t>
  </si>
  <si>
    <t>Taux
 jour</t>
  </si>
  <si>
    <t>Production Valorisée (DA)</t>
  </si>
  <si>
    <t>Avec prix de vente</t>
  </si>
  <si>
    <t>Avec cout de revient</t>
  </si>
  <si>
    <t>PU</t>
  </si>
  <si>
    <t>S/TOTAL -II- AZDU</t>
  </si>
  <si>
    <t>S/TOTAL -I- KDU</t>
  </si>
  <si>
    <t>S/TOTAL -III- SKDU</t>
  </si>
  <si>
    <t>TOTAL GENERAL I+II+III</t>
  </si>
  <si>
    <t xml:space="preserve">MDN </t>
  </si>
  <si>
    <t>Bts 1/2 HARR 0,16</t>
  </si>
  <si>
    <t xml:space="preserve">BOUKRAINE </t>
  </si>
  <si>
    <t>AMOUR</t>
  </si>
  <si>
    <t xml:space="preserve">Bts 1/2 CT </t>
  </si>
  <si>
    <t xml:space="preserve">Bts 1/2  </t>
  </si>
  <si>
    <t xml:space="preserve">ALPHYT  </t>
  </si>
  <si>
    <t>Bts Surpuissant</t>
  </si>
  <si>
    <t xml:space="preserve">SHRIKI </t>
  </si>
  <si>
    <t xml:space="preserve">Pails 18 l  </t>
  </si>
  <si>
    <t xml:space="preserve"> PIGMA </t>
  </si>
  <si>
    <t xml:space="preserve">Bts 1/2 L Ø 108 </t>
  </si>
  <si>
    <t>SOCOV MDN</t>
  </si>
  <si>
    <t xml:space="preserve">BELLAT </t>
  </si>
  <si>
    <t xml:space="preserve">SOCOV  </t>
  </si>
  <si>
    <t>-</t>
  </si>
  <si>
    <t>TRS= Tu ÷ Tr=
(TD x TP x TQ)</t>
  </si>
  <si>
    <t>TD: Taux de Disponibilité</t>
  </si>
  <si>
    <t>TP: Taux de Performance</t>
  </si>
  <si>
    <t>TQ: Taux de Qualité</t>
  </si>
  <si>
    <t>Tf: Temps De Fonctionnement =(Tr-C)</t>
  </si>
  <si>
    <t>Tr: Temps Requis =(To-B)</t>
  </si>
  <si>
    <t>Tn: Temps Net (Tf-A)</t>
  </si>
  <si>
    <t>Tf: Temps De Fonctionnement</t>
  </si>
  <si>
    <t>Tu: Temps Utile =Tn-(To-(To*F ÷ E))</t>
  </si>
  <si>
    <t>Tn: Temps Net</t>
  </si>
  <si>
    <t>Quantité 
Produite
(E)</t>
  </si>
  <si>
    <t>Quantité  
conforme
(F)</t>
  </si>
  <si>
    <t>Quantité 
Rebutée
(G)</t>
  </si>
  <si>
    <t>To: Temps D’ouverture= (8X60)</t>
  </si>
  <si>
    <r>
      <t>Arrêt Planifiés (</t>
    </r>
    <r>
      <rPr>
        <sz val="14"/>
        <color rgb="FFC00000"/>
        <rFont val="Century Gothic"/>
        <family val="2"/>
      </rPr>
      <t>pause repas...</t>
    </r>
    <r>
      <rPr>
        <b/>
        <sz val="14"/>
        <rFont val="Century Gothic"/>
        <family val="2"/>
      </rPr>
      <t>)
(B)</t>
    </r>
  </si>
  <si>
    <r>
      <t>Arrêt Non Planifiés (</t>
    </r>
    <r>
      <rPr>
        <sz val="14"/>
        <color rgb="FFC00000"/>
        <rFont val="Century Gothic"/>
        <family val="2"/>
      </rPr>
      <t>réglage+ fil de cuivre...</t>
    </r>
    <r>
      <rPr>
        <b/>
        <sz val="14"/>
        <rFont val="Century Gothic"/>
        <family val="2"/>
      </rPr>
      <t>)
(C)</t>
    </r>
  </si>
  <si>
    <t>ARRETS (Minutes)</t>
  </si>
  <si>
    <t>Ecarts De Cadences 
(A=B+C)</t>
  </si>
  <si>
    <t xml:space="preserve"> TAUX
(Tf ÷ Tr)</t>
  </si>
  <si>
    <t>TAUX
 (Tn ÷ Tf)</t>
  </si>
  <si>
    <t>TAUX
(Tu ÷ Tn)</t>
  </si>
  <si>
    <t>TANDEM</t>
  </si>
  <si>
    <t>VERNISSEUSE</t>
  </si>
  <si>
    <t>T5 1/2</t>
  </si>
  <si>
    <t>T4 1/4</t>
  </si>
  <si>
    <t>T2 4/4</t>
  </si>
  <si>
    <t>T3 4OZ</t>
  </si>
  <si>
    <t>TOTAL 1/2 L Ø108 + 1 L Ø 83</t>
  </si>
  <si>
    <t>TOTAL 18 L+20 L</t>
  </si>
  <si>
    <t>Conserves</t>
  </si>
  <si>
    <t>Diverses</t>
  </si>
  <si>
    <t>Autres</t>
  </si>
  <si>
    <t>S/TOTAL I</t>
  </si>
  <si>
    <t>S/TOTAL II</t>
  </si>
  <si>
    <t>S/TOTAL III</t>
  </si>
  <si>
    <t>Programme</t>
  </si>
  <si>
    <t>Accesoires</t>
  </si>
  <si>
    <t>Nbre
pièces</t>
  </si>
  <si>
    <t>Boites</t>
  </si>
  <si>
    <r>
      <rPr>
        <b/>
        <u/>
        <sz val="40"/>
        <color theme="0"/>
        <rFont val="Century Gothic"/>
        <family val="2"/>
      </rPr>
      <t>Graphique</t>
    </r>
    <r>
      <rPr>
        <b/>
        <u/>
        <sz val="26"/>
        <color theme="0"/>
        <rFont val="Century Gothic"/>
        <family val="2"/>
      </rPr>
      <t xml:space="preserve">
</t>
    </r>
    <r>
      <rPr>
        <b/>
        <sz val="26"/>
        <color theme="0"/>
        <rFont val="Century Gothic"/>
        <family val="2"/>
      </rPr>
      <t>Mois: Septembre 2021</t>
    </r>
  </si>
  <si>
    <t>CAB</t>
  </si>
  <si>
    <t xml:space="preserve">LFB MDN </t>
  </si>
  <si>
    <t xml:space="preserve">CAT </t>
  </si>
  <si>
    <t xml:space="preserve">TRISTAR </t>
  </si>
  <si>
    <t>4 OZ HARISSA</t>
  </si>
  <si>
    <t>PAILS 3 GLYCAR</t>
  </si>
  <si>
    <t xml:space="preserve">PAILS 3 VERINEX </t>
  </si>
  <si>
    <t>ENAP</t>
  </si>
  <si>
    <t>PAILS 3 SUPERLAC</t>
  </si>
  <si>
    <t>PAILS 3 PRIMAFER</t>
  </si>
  <si>
    <t>PAILS 3 PPI</t>
  </si>
  <si>
    <t>PAILS 3 THIXOMATE</t>
  </si>
  <si>
    <t>ENAP SIG</t>
  </si>
  <si>
    <t>BCHN Ø 180 CB NU       726*717*0,23</t>
  </si>
  <si>
    <t>FDS Ø 73 FB    803*772*0,20  VBI/VOE</t>
  </si>
  <si>
    <t>FDS Ø 52,6 TFS  926*852*0,16</t>
  </si>
  <si>
    <t xml:space="preserve"> N.Int  4C+CB+VSI</t>
  </si>
  <si>
    <t>S/TOTAL -I- AZDU</t>
  </si>
  <si>
    <t>S/TOTAL -I- SKDU</t>
  </si>
  <si>
    <t xml:space="preserve">FDS 20L </t>
  </si>
  <si>
    <t>CVS 20 L</t>
  </si>
  <si>
    <t xml:space="preserve">CPS 1/8 SUB FDS </t>
  </si>
  <si>
    <t>FDS Ø108</t>
  </si>
  <si>
    <t>FDS PER Ø108</t>
  </si>
  <si>
    <t xml:space="preserve">FBI OR </t>
  </si>
  <si>
    <t>BCHN Ø108</t>
  </si>
  <si>
    <t xml:space="preserve">FBN </t>
  </si>
  <si>
    <t xml:space="preserve">CPS 1/8 SUB BGS  </t>
  </si>
  <si>
    <t xml:space="preserve">BGS V/INT SUB </t>
  </si>
  <si>
    <t xml:space="preserve">C/BLANC 1L Ø SUB BGS </t>
  </si>
  <si>
    <t>BGS Ø 108</t>
  </si>
  <si>
    <t>Bidon 3/1</t>
  </si>
  <si>
    <t>Bts 16 OZ ALPHYT (875*865*0,18)</t>
  </si>
  <si>
    <t xml:space="preserve">1/4 CLUB </t>
  </si>
  <si>
    <t>GUETTAF BRAHIM</t>
  </si>
  <si>
    <t xml:space="preserve">S/TOTAL I  CONSERVE </t>
  </si>
  <si>
    <t xml:space="preserve">S/TOTAL II DIVERS </t>
  </si>
  <si>
    <t>S/TOTAL I  CONSERVE AZDU</t>
  </si>
  <si>
    <t>S/TOTAL KDU</t>
  </si>
  <si>
    <t>S/TOTAL II DIVERS  SKDU</t>
  </si>
  <si>
    <t>GLYLAC 2000  4C</t>
  </si>
  <si>
    <t>AUTRES</t>
  </si>
  <si>
    <t>18 L N/INT 4C+CB+VSI</t>
  </si>
  <si>
    <t>18 L V/INT 4C+CB+VSI</t>
  </si>
  <si>
    <t>800GRS Ø108 N/INT 4C+CB+VSI</t>
  </si>
  <si>
    <t xml:space="preserve">CAISSE CARTON </t>
  </si>
  <si>
    <t xml:space="preserve">FUTS </t>
  </si>
  <si>
    <t xml:space="preserve">PERSONNEL </t>
  </si>
  <si>
    <t>CARM</t>
  </si>
  <si>
    <t>OULHASSA</t>
  </si>
  <si>
    <t>1/2 OT 4C+CB+VSI+CPS EXCLU (PRESTATION)</t>
  </si>
  <si>
    <t xml:space="preserve">ROTAION TRANSPORT </t>
  </si>
  <si>
    <t>4/4 FB+VBI+VOE</t>
  </si>
  <si>
    <t>4 OZ TFS VBI +VOE</t>
  </si>
  <si>
    <t>Bidon pails 10 G/2000</t>
  </si>
  <si>
    <t>VERINEX</t>
  </si>
  <si>
    <t xml:space="preserve">16 OZ </t>
  </si>
  <si>
    <t xml:space="preserve">4 OZ harissa </t>
  </si>
  <si>
    <t xml:space="preserve">AMOUR </t>
  </si>
  <si>
    <t>Bts 1/2 OT   4C+VBI+CB+VSI sens inv CPS EXCLU</t>
  </si>
  <si>
    <t>Bts 4/4 OT VBI+VSI</t>
  </si>
  <si>
    <t>ALPHYT</t>
  </si>
  <si>
    <t xml:space="preserve">Bts 1/4 CORNET DE BŒUF </t>
  </si>
  <si>
    <t xml:space="preserve">Bts 1/4  VBI NU VSIMP </t>
  </si>
  <si>
    <t xml:space="preserve">5/1 CB ON </t>
  </si>
  <si>
    <t xml:space="preserve">Bidon pails 20 C/BLANC NI </t>
  </si>
  <si>
    <t xml:space="preserve">Bts 1/2 OT  2C+VBI+VOE sens invers (C B) </t>
  </si>
  <si>
    <t>1/2 OT 4C+VBI+VOE SUB 24 ELEM</t>
  </si>
  <si>
    <t xml:space="preserve">1/2 OT 4C+VBI+VOE </t>
  </si>
  <si>
    <t>BOITES PASTILLE PM</t>
  </si>
  <si>
    <t>1 L  Ø108 C/ BLANC</t>
  </si>
  <si>
    <t>GLYCAR</t>
  </si>
  <si>
    <t xml:space="preserve">MITRAILLE DE CUIVRE </t>
  </si>
  <si>
    <t>ENR</t>
  </si>
  <si>
    <t>*</t>
  </si>
  <si>
    <t>Bts  0,8 l Ø108  N/INT +4C+CB+VSI ENAP</t>
  </si>
  <si>
    <t>Bts  0,8 l Ø108  N/INT +4C+CB+VSI PIGMA</t>
  </si>
  <si>
    <t xml:space="preserve">vernis cellulosique </t>
  </si>
  <si>
    <t xml:space="preserve">divers clients </t>
  </si>
  <si>
    <t xml:space="preserve">PRIMAFER </t>
  </si>
  <si>
    <t xml:space="preserve">DECHET FER BLANC ROND </t>
  </si>
  <si>
    <t xml:space="preserve">1/2  FIGUE TELLOISE </t>
  </si>
  <si>
    <t xml:space="preserve">200 GRS V/TRANSP </t>
  </si>
  <si>
    <t>FDS Ø169  726*717*0,23</t>
  </si>
  <si>
    <t xml:space="preserve">1/2 B TFS VBI+VOE+(VOIE) </t>
  </si>
  <si>
    <t>4/4 OT MDN CAT</t>
  </si>
  <si>
    <t xml:space="preserve">DCT MDN </t>
  </si>
  <si>
    <t>LFB</t>
  </si>
  <si>
    <t xml:space="preserve">FDS Ø 153 VBI VOE </t>
  </si>
  <si>
    <t>FDS Ø169  763*775*0,23</t>
  </si>
  <si>
    <t xml:space="preserve">BCHN FBN SUB BGS </t>
  </si>
  <si>
    <t xml:space="preserve">200 GRS F/FONDU </t>
  </si>
  <si>
    <t>Bts 1/4 F,FONDU GP /CIVIL</t>
  </si>
  <si>
    <t xml:space="preserve">201 GRS F/FONDU GP /CIVIL </t>
  </si>
  <si>
    <t xml:space="preserve">LFB </t>
  </si>
  <si>
    <t>Capacité
 Théorique/M 
(D)</t>
  </si>
  <si>
    <t xml:space="preserve">200 GRS C/BEEF </t>
  </si>
  <si>
    <t xml:space="preserve">4/4 OT MDN COT MDN </t>
  </si>
  <si>
    <t xml:space="preserve">1 L Ø 83 C/BLANC </t>
  </si>
  <si>
    <t xml:space="preserve">20 L C/BLANC </t>
  </si>
  <si>
    <t xml:space="preserve">CONCORDAL </t>
  </si>
  <si>
    <t xml:space="preserve">1L C/BLANC </t>
  </si>
  <si>
    <t xml:space="preserve">Bts 1/2 OT   4C+VBI+VSI </t>
  </si>
  <si>
    <t>BOUKRAINE</t>
  </si>
  <si>
    <t xml:space="preserve">Bts 4/4 OT   4C+VBI+VSI </t>
  </si>
  <si>
    <t>4/4 DCT</t>
  </si>
  <si>
    <t xml:space="preserve">BELHOR SAYEH </t>
  </si>
  <si>
    <t>TRISTAR</t>
  </si>
  <si>
    <t xml:space="preserve">DECHET FER BLANC </t>
  </si>
  <si>
    <t>FDS 169 SUB FDS</t>
  </si>
  <si>
    <t>Bts 1/4 F/FONDU  sub (926*854*0,17) 2c</t>
  </si>
  <si>
    <t xml:space="preserve">1/10 PEINTURE </t>
  </si>
  <si>
    <t xml:space="preserve">20 L D CELLULOSIQUE </t>
  </si>
  <si>
    <t>Bts 1/4 F/FONDU  MDN (926*869*0,17)2c</t>
  </si>
  <si>
    <t xml:space="preserve">Bts 1L Ø 108 N/INT 4C+CB+VSI </t>
  </si>
  <si>
    <t>FDS 169 SUB FDS 108 PERCE</t>
  </si>
  <si>
    <t xml:space="preserve">CPS 10L SUB CVS </t>
  </si>
  <si>
    <t>THIXOMATE</t>
  </si>
  <si>
    <t xml:space="preserve">4/4 TFS VBI+VOE </t>
  </si>
  <si>
    <t xml:space="preserve">BCHN FBN SUB FDS </t>
  </si>
  <si>
    <t xml:space="preserve">Bts 1/4 CORNET  BŒUF  </t>
  </si>
  <si>
    <t>Bts 1/4 CORNET  BŒUF SOCOV (926*854*0,17 )1C</t>
  </si>
  <si>
    <t>4/4 FB VBI+VOE</t>
  </si>
  <si>
    <t>4/4 ON vbi+vsi</t>
  </si>
  <si>
    <t>4/4 OT vbi+vsi</t>
  </si>
  <si>
    <t>DJENADI MOHAMED</t>
  </si>
  <si>
    <t xml:space="preserve">200 grs C/BEEF </t>
  </si>
  <si>
    <t xml:space="preserve">ALVIAR </t>
  </si>
  <si>
    <t xml:space="preserve">4 OZ PURE TOMATE </t>
  </si>
  <si>
    <t>SEDDIKI</t>
  </si>
  <si>
    <t xml:space="preserve">CVS 10L SUB CVS </t>
  </si>
  <si>
    <t>Bts 16 OZ  (909*848*0,18)</t>
  </si>
  <si>
    <t xml:space="preserve">4/4 OT 4C+CB+VSI </t>
  </si>
  <si>
    <t>NAFTAL BEJAIA</t>
  </si>
  <si>
    <t>FDS Ø 99  850*777*0,23   FB</t>
  </si>
  <si>
    <t xml:space="preserve">divers </t>
  </si>
  <si>
    <t>Bts 1/4 CORNET  BŒUF  (926*969*0,17)</t>
  </si>
  <si>
    <t>Bidon 5/1 SIPA</t>
  </si>
  <si>
    <t>SAUCE-PIZZA</t>
  </si>
  <si>
    <t>SAYBOLT-MED</t>
  </si>
  <si>
    <t>1/2 L VERINEX</t>
  </si>
  <si>
    <t>FDS 73</t>
  </si>
  <si>
    <t>NAMAN</t>
  </si>
  <si>
    <t>SIPA</t>
  </si>
  <si>
    <t>FRITA</t>
  </si>
  <si>
    <t>Bidon 5/1 CHAMPION DJENADI MOHAMED</t>
  </si>
  <si>
    <t>4 OZ CT</t>
  </si>
  <si>
    <t>5/1 SAUCE PIZZA</t>
  </si>
  <si>
    <t xml:space="preserve">Mitraille de cuivre </t>
  </si>
  <si>
    <t>SUB  CVS 20L</t>
  </si>
  <si>
    <t>SUBS CVS 20L V/INT</t>
  </si>
  <si>
    <t>Bts 1/2 OT   VBI / VSIMP</t>
  </si>
  <si>
    <t>Bts 1/2 OT   VBI + VSI</t>
  </si>
  <si>
    <t>DIVERS</t>
  </si>
  <si>
    <t>Bts 1/2 OT   2C+VBI+VOE</t>
  </si>
  <si>
    <t>Bts 1/2 OT   2C VBI+VOE (CB)</t>
  </si>
  <si>
    <t>VERNIS MARINE</t>
  </si>
  <si>
    <t>P P I</t>
  </si>
  <si>
    <t>FDS 153 VBI/VOE</t>
  </si>
  <si>
    <t>20 L V/INT 4C+CB+VSI</t>
  </si>
  <si>
    <t>5/1 SAUCE PIZZA   FRITA CHAMPION</t>
  </si>
  <si>
    <t>FDS 99 VBI/VOE</t>
  </si>
  <si>
    <t>SEDDEKI</t>
  </si>
  <si>
    <t>PAILS 3 ANTIROUILLE</t>
  </si>
  <si>
    <t>FDS Ø 73 TFS  803*772*0,18   VBI/VOE</t>
  </si>
  <si>
    <t>Désignation</t>
  </si>
  <si>
    <t>Client</t>
  </si>
  <si>
    <t>Cumul mois</t>
  </si>
  <si>
    <t>Taux 
Réal</t>
  </si>
  <si>
    <t>Ligne 16 OZ</t>
  </si>
  <si>
    <t>Pails 20 L</t>
  </si>
  <si>
    <t>Pails 10 L</t>
  </si>
  <si>
    <t xml:space="preserve">Ligne 800 grs </t>
  </si>
  <si>
    <t>Train 1/2 L Ø108</t>
  </si>
  <si>
    <t>Production valorisée (DA)</t>
  </si>
  <si>
    <t>Montant cumulé</t>
  </si>
  <si>
    <t>Montant 
journée</t>
  </si>
  <si>
    <t>Avec coût de revient</t>
  </si>
  <si>
    <t>FDS 10 L</t>
  </si>
  <si>
    <t>CVS 10 L</t>
  </si>
  <si>
    <t>Valeur en DA/HT</t>
  </si>
  <si>
    <t>Quantité</t>
  </si>
  <si>
    <t>Journalière</t>
  </si>
  <si>
    <t>Cumulée</t>
  </si>
  <si>
    <t>Production
Réalisée</t>
  </si>
  <si>
    <t>Production
Vloriséé</t>
  </si>
  <si>
    <t>Production stockée</t>
  </si>
  <si>
    <t>Chiffre d'affaires</t>
  </si>
  <si>
    <t>/2  L  Ø108 C/ BLANC  N/INT</t>
  </si>
  <si>
    <t>C</t>
  </si>
  <si>
    <t>ANTIROUILLE</t>
  </si>
  <si>
    <t>PAILS 3 VC</t>
  </si>
  <si>
    <t>BOUKARAIN</t>
  </si>
  <si>
    <t xml:space="preserve">Bts 1/2 OT   2C+VBI+VOE </t>
  </si>
  <si>
    <t>1/2 OT  VBI+VSI</t>
  </si>
  <si>
    <t>Bidon pails 10 ANTIROUILLE</t>
  </si>
  <si>
    <t>DGO</t>
  </si>
  <si>
    <t>Bidon 3/1 SAUCE PIZZA</t>
  </si>
  <si>
    <t>Bts 4/4 OT VBI+VSI  FER SUBSTITUTION</t>
  </si>
  <si>
    <t>Bidon 5/1 VBI+CB   VSIMP   nouvelle ligne</t>
  </si>
  <si>
    <t>Bidon 5/1 VBI+CB  VSI nouvelle ligne</t>
  </si>
  <si>
    <t>Bts 1/2 OT   4C+VBI+VSI  INVERS</t>
  </si>
  <si>
    <t xml:space="preserve">Bts 1/2 OT   2C+VSI </t>
  </si>
  <si>
    <t>Bts 4/4 ON 4C +VBI+VSI</t>
  </si>
  <si>
    <t>Bts 4/4 ON   2C+VBI+VOE</t>
  </si>
  <si>
    <t>Bts 1/2 OT   4C+VBI+VSI</t>
  </si>
  <si>
    <t>Bts 1/2 OT   4C+VBI+VSI inverse</t>
  </si>
  <si>
    <t xml:space="preserve">Bts 4/4 ON   2C+VBI+VOE </t>
  </si>
  <si>
    <t>Bts 4/4 ON  4C +VBI+VSI</t>
  </si>
  <si>
    <t>RAHALI</t>
  </si>
  <si>
    <t>VC</t>
  </si>
  <si>
    <t>BTE 3/1 SAUCE PIZZA</t>
  </si>
  <si>
    <t>PIGMA</t>
  </si>
  <si>
    <t>1/2 OT 2C+VBI+VOE</t>
  </si>
  <si>
    <t>NOUICHI</t>
  </si>
  <si>
    <t>Bts 4/4 OT    4C+VBI+CB+VSI</t>
  </si>
  <si>
    <t>1/2 VBI+VOE  TFS</t>
  </si>
  <si>
    <t>Bts 4/4 OT VBI+VSI FER SUBSTITUTION</t>
  </si>
  <si>
    <t>Bts 4/4 ON    4C+VBI+CB+VSI</t>
  </si>
  <si>
    <t xml:space="preserve">Bts 4/4 ON   4C+VBI+CB+VSI </t>
  </si>
  <si>
    <t xml:space="preserve">4 OZ  CT </t>
  </si>
  <si>
    <t>Bts 4/4 ON    2C+VBI+VOE SUBSTITUTION</t>
  </si>
  <si>
    <t>YAMABON</t>
  </si>
  <si>
    <t>ROTATION TRANSPORT</t>
  </si>
  <si>
    <t>FBN PERCE   VI</t>
  </si>
  <si>
    <t>PAILS VERNIS MARINE</t>
  </si>
  <si>
    <t>PAILS 3L VERNIS MARINE</t>
  </si>
  <si>
    <t>Bts 1/2 OT  4C+VBI+CB+VSI</t>
  </si>
  <si>
    <t>Bts 4/4 ON VBI + VSIM</t>
  </si>
  <si>
    <t>Bts 1/2 OT   4C+VBI+CB+VSI    INVERSE</t>
  </si>
  <si>
    <t>4/4 ON 4C+VBI+VB+VSIMP</t>
  </si>
  <si>
    <t>4/4 ON 2C+VBI+VB+VSIMP</t>
  </si>
  <si>
    <t>4/4 OT 4C+VBI+VB+VSIMP</t>
  </si>
  <si>
    <t>SICAM</t>
  </si>
  <si>
    <t xml:space="preserve">1/2 OT 4C+VBI+CB+VSI </t>
  </si>
  <si>
    <t>1/2 OT 4C+VBI+VOE sub24 elem</t>
  </si>
  <si>
    <t>1/2 OT 4C+CB+VBI+VSI</t>
  </si>
  <si>
    <t>AMOR</t>
  </si>
  <si>
    <t>1/2 ON VBI+VOE</t>
  </si>
  <si>
    <t>Bidon 5/1 DJENADI MOHAMED</t>
  </si>
  <si>
    <t>FACTURE D4AVOIR</t>
  </si>
  <si>
    <t>4 OZ OT  HARISSA</t>
  </si>
  <si>
    <t>BOITE PASSTILLE</t>
  </si>
  <si>
    <t>journée du 02/01/2022</t>
  </si>
  <si>
    <t>Journée du: 02/01/2022</t>
  </si>
  <si>
    <r>
      <rPr>
        <b/>
        <u/>
        <sz val="40"/>
        <color theme="0"/>
        <rFont val="Century Gothic"/>
        <family val="2"/>
      </rPr>
      <t>Etat des Ventes</t>
    </r>
    <r>
      <rPr>
        <b/>
        <u/>
        <sz val="26"/>
        <color theme="0"/>
        <rFont val="Century Gothic"/>
        <family val="2"/>
      </rPr>
      <t xml:space="preserve">
</t>
    </r>
    <r>
      <rPr>
        <b/>
        <sz val="26"/>
        <color theme="0"/>
        <rFont val="Century Gothic"/>
        <family val="2"/>
      </rPr>
      <t>Mois: Janvier 2022</t>
    </r>
  </si>
  <si>
    <t>Production 02/01/2022</t>
  </si>
  <si>
    <t>PRODUCTION du 02/01/2022</t>
  </si>
  <si>
    <r>
      <rPr>
        <b/>
        <u/>
        <sz val="40"/>
        <color theme="0"/>
        <rFont val="Century Gothic"/>
        <family val="2"/>
      </rPr>
      <t>Production Valorisée Journalière (Boites)</t>
    </r>
    <r>
      <rPr>
        <b/>
        <u/>
        <sz val="26"/>
        <color theme="0"/>
        <rFont val="Century Gothic"/>
        <family val="2"/>
      </rPr>
      <t xml:space="preserve">
</t>
    </r>
    <r>
      <rPr>
        <b/>
        <sz val="26"/>
        <color theme="0"/>
        <rFont val="Century Gothic"/>
        <family val="2"/>
      </rPr>
      <t>Mois: janvier 2022</t>
    </r>
  </si>
  <si>
    <r>
      <rPr>
        <b/>
        <u/>
        <sz val="40"/>
        <color theme="0"/>
        <rFont val="Century Gothic"/>
        <family val="2"/>
      </rPr>
      <t>Production Physique Journalière (Accessoires)</t>
    </r>
    <r>
      <rPr>
        <b/>
        <u/>
        <sz val="26"/>
        <color theme="0"/>
        <rFont val="Century Gothic"/>
        <family val="2"/>
      </rPr>
      <t xml:space="preserve">
</t>
    </r>
    <r>
      <rPr>
        <b/>
        <sz val="26"/>
        <color theme="0"/>
        <rFont val="Century Gothic"/>
        <family val="2"/>
      </rPr>
      <t>Mois: Janvier 2022.</t>
    </r>
  </si>
  <si>
    <r>
      <rPr>
        <b/>
        <u/>
        <sz val="40"/>
        <color theme="0"/>
        <rFont val="Century Gothic"/>
        <family val="2"/>
      </rPr>
      <t>Activité Consolidée</t>
    </r>
    <r>
      <rPr>
        <b/>
        <u/>
        <sz val="26"/>
        <color theme="0"/>
        <rFont val="Century Gothic"/>
        <family val="2"/>
      </rPr>
      <t xml:space="preserve">
</t>
    </r>
    <r>
      <rPr>
        <b/>
        <sz val="26"/>
        <color theme="0"/>
        <rFont val="Century Gothic"/>
        <family val="2"/>
      </rPr>
      <t>Mois: Janvier 2022</t>
    </r>
  </si>
  <si>
    <r>
      <rPr>
        <b/>
        <u/>
        <sz val="40"/>
        <color theme="0"/>
        <rFont val="Century Gothic"/>
        <family val="2"/>
      </rPr>
      <t xml:space="preserve">Calcul Journalier Du Taux de Rendement Synthétique (T.R.S) </t>
    </r>
    <r>
      <rPr>
        <b/>
        <u/>
        <sz val="26"/>
        <color theme="0"/>
        <rFont val="Century Gothic"/>
        <family val="2"/>
      </rPr>
      <t xml:space="preserve">
</t>
    </r>
    <r>
      <rPr>
        <b/>
        <sz val="26"/>
        <color theme="0"/>
        <rFont val="Century Gothic"/>
        <family val="2"/>
      </rPr>
      <t>Mois: Janvier 2022</t>
    </r>
  </si>
  <si>
    <t>journée du 03/01/2022</t>
  </si>
  <si>
    <t>Journée du: 03/01/2022</t>
  </si>
  <si>
    <t>Production 03/01/2022</t>
  </si>
  <si>
    <t>PRODUCTION du 03/01/2022</t>
  </si>
  <si>
    <r>
      <rPr>
        <b/>
        <u/>
        <sz val="40"/>
        <color theme="0"/>
        <rFont val="Century Gothic"/>
        <family val="2"/>
      </rPr>
      <t>Production Physique Journalière (Boites)</t>
    </r>
    <r>
      <rPr>
        <b/>
        <u/>
        <sz val="26"/>
        <color theme="0"/>
        <rFont val="Century Gothic"/>
        <family val="2"/>
      </rPr>
      <t xml:space="preserve">
</t>
    </r>
    <r>
      <rPr>
        <b/>
        <sz val="26"/>
        <color theme="0"/>
        <rFont val="Century Gothic"/>
        <family val="2"/>
      </rPr>
      <t>Mois: janvier 2022</t>
    </r>
  </si>
  <si>
    <t>journée du 04/01/2022</t>
  </si>
  <si>
    <t>Journée du: 04/01/2022</t>
  </si>
  <si>
    <t>Production 04/01/2022</t>
  </si>
  <si>
    <t>PRODUCTION du 04/01/2022</t>
  </si>
  <si>
    <t>BEN AMARA</t>
  </si>
  <si>
    <t>journée du 05/01/2022</t>
  </si>
  <si>
    <t>Journée du: 05/01/2022</t>
  </si>
  <si>
    <t>PRODUCTION du 05/01/2022</t>
  </si>
  <si>
    <t>Pails 18 l  V/INT  PIGMA</t>
  </si>
  <si>
    <t>Bts 1/2 L Ø 108 NU/INT +CB+VSI+4C ENAP</t>
  </si>
  <si>
    <t>Bts 1/2 L Ø 108  CONCORDAL</t>
  </si>
  <si>
    <t>Bts 1L Ø 108 N/INT 4C+CB+VSI CONCORDAL</t>
  </si>
  <si>
    <t>PAILS 3 CELOSIA</t>
  </si>
  <si>
    <t xml:space="preserve">Bts 4/4 OT   2C+VBI+VSI </t>
  </si>
  <si>
    <t>FDS Ø 52,6 833*801*0,18</t>
  </si>
  <si>
    <t>Production 05/01/2022</t>
  </si>
  <si>
    <t>journée du 06/07/ et 08/01/2022</t>
  </si>
  <si>
    <t>PRODUCTION du 06/07 et 08/01/2022</t>
  </si>
  <si>
    <t>journée du 06/07/08/01/2022</t>
  </si>
  <si>
    <t>Production 06/07/08/01/2022</t>
  </si>
  <si>
    <t>Journée du: 06/07/08/01/2022</t>
  </si>
  <si>
    <t>20 L N/INT 4C+CB+VSI    VC</t>
  </si>
  <si>
    <t>journée du 09/01/2022</t>
  </si>
  <si>
    <t>journée du09/01/2022</t>
  </si>
  <si>
    <t>Journée du: 09/01/2022</t>
  </si>
  <si>
    <t>PRODUCTION du 09/01/2022</t>
  </si>
  <si>
    <t>1 L  Ø108 N/INT 4C+CB+VSI</t>
  </si>
  <si>
    <t>journée du 10/01/2022</t>
  </si>
  <si>
    <t>Journée du: 10/01/2022</t>
  </si>
  <si>
    <t>Production 09/01/2022</t>
  </si>
  <si>
    <t>Production 10/01/2022</t>
  </si>
  <si>
    <t>PRODUCTION du 10/01/2022</t>
  </si>
  <si>
    <t>FDS FBN  108  PERC</t>
  </si>
  <si>
    <t xml:space="preserve">Bts 1/2 OT  4C+VBI+VOE sens invers (C B) </t>
  </si>
  <si>
    <t>CBA</t>
  </si>
  <si>
    <t>Production 15/01/2022</t>
  </si>
  <si>
    <t>PRODUCTION du 15/01/2022</t>
  </si>
  <si>
    <t>journée du 11 AU 15/01/2022</t>
  </si>
  <si>
    <t>Journée du: 11 AU 15/01/2022</t>
  </si>
  <si>
    <t>Bidon pails 10 N/INT 4C+CB+VSI</t>
  </si>
  <si>
    <t>Bts 1/4 CORNET DE BŒUF  SOCOV  CIVIL</t>
  </si>
  <si>
    <t>SOCOV</t>
  </si>
  <si>
    <t>Bts 1/4 BŒUF EN SAUCE SOCOV  CIVIL</t>
  </si>
  <si>
    <t>200 grs BŒUF EN SAUCE</t>
  </si>
  <si>
    <t>journée du 16/01/2022</t>
  </si>
  <si>
    <t>Journée du: 16/01/2022</t>
  </si>
  <si>
    <t>Production 16/01/2022</t>
  </si>
  <si>
    <t>PRODUCTION du 16/01/2022</t>
  </si>
  <si>
    <t>4 OZ DCT</t>
  </si>
  <si>
    <t>5/1 VBI VSIMP</t>
  </si>
  <si>
    <t>BTE 3/1 VBI / CB</t>
  </si>
  <si>
    <t>SARL MOSIDJAM</t>
  </si>
  <si>
    <t>ALGEROISE</t>
  </si>
  <si>
    <t>Bts 1/2 OT   4C+VBI+VOE</t>
  </si>
  <si>
    <t>journée du 17/01/2022</t>
  </si>
  <si>
    <t>Journée du: 17/01/2022</t>
  </si>
  <si>
    <t>Production 17/01/2022</t>
  </si>
  <si>
    <t>PRODUCTION du 17/01/2022</t>
  </si>
  <si>
    <t>PAILS PRIMAFER</t>
  </si>
  <si>
    <t xml:space="preserve">ENAP </t>
  </si>
  <si>
    <t>Bts 4/4 OT CT</t>
  </si>
  <si>
    <t>Bidon 5/1 SIPA  nouvelle ligne</t>
  </si>
  <si>
    <t>4 OZ DCT BANADORA</t>
  </si>
  <si>
    <t>4 OZ DCT  BANADORA</t>
  </si>
  <si>
    <t>journée du 18/01/2022</t>
  </si>
  <si>
    <t>Journée du: 18/01/2022</t>
  </si>
  <si>
    <t>Production 18/01/2022</t>
  </si>
  <si>
    <t>PRODUCTION du 18/01/2022</t>
  </si>
  <si>
    <t>journée du 19/01/2022</t>
  </si>
  <si>
    <t>Journée du: 19/01/2022</t>
  </si>
  <si>
    <t>Production 19/01/2022</t>
  </si>
  <si>
    <t>1/2 L</t>
  </si>
  <si>
    <t>PRODUCTION du 19/01/2022</t>
  </si>
  <si>
    <t>journée du 20/01/2022</t>
  </si>
  <si>
    <t>Journée du: 20/01/2022</t>
  </si>
  <si>
    <t>FDS Ø 52,6 TFS 926*852*0,16</t>
  </si>
  <si>
    <t>Production 22/01/2022</t>
  </si>
  <si>
    <t>journée du 23/01/2022</t>
  </si>
  <si>
    <t>Journée du: 23/01/2022</t>
  </si>
  <si>
    <t>BENAMARA</t>
  </si>
  <si>
    <t>journée du 24/01/2022</t>
  </si>
  <si>
    <t>Journée du: 24/01/2022</t>
  </si>
  <si>
    <t>Production 24/01/2022</t>
  </si>
  <si>
    <t>Production 23/01/2022</t>
  </si>
  <si>
    <t>journée du 25/01/2022</t>
  </si>
  <si>
    <t>Journée du: 25/01/2022</t>
  </si>
  <si>
    <t>Production 25/01/2022</t>
  </si>
  <si>
    <t>Bts 1/2 OT   2C VBI+VSI</t>
  </si>
  <si>
    <t>journée du 26/01/2022</t>
  </si>
  <si>
    <t>Journée du: 26/01/2022</t>
  </si>
  <si>
    <t>Production 26/01/2022</t>
  </si>
  <si>
    <t>journée du 27/01/2022</t>
  </si>
  <si>
    <t>Journée du: 27/01/2022</t>
  </si>
  <si>
    <t>Production 27/01/2022</t>
  </si>
  <si>
    <t>PRODUCTION du 27/01/2022</t>
  </si>
  <si>
    <t>CT-NOUR-TOM</t>
  </si>
  <si>
    <t>journée du 27/28 et 29/01/2022</t>
  </si>
  <si>
    <t>FDS PERC  83</t>
  </si>
  <si>
    <t>FDS Ø 52,6 926*852*0,16</t>
  </si>
  <si>
    <t>BEAMARA</t>
  </si>
  <si>
    <t>4/4 OT 4C+VBI+CB+VSIMP</t>
  </si>
  <si>
    <t xml:space="preserve">1/2 OT 2C+VBI+CB+VSI </t>
  </si>
  <si>
    <t>journée du 30/01/2022</t>
  </si>
  <si>
    <t>Journée du: 30/01/2022</t>
  </si>
  <si>
    <t>Production 30/01/2022</t>
  </si>
  <si>
    <t>PRODUCTION du 30/01/2022</t>
  </si>
  <si>
    <t>journée du 31/01/2022</t>
  </si>
  <si>
    <t>Journée du: 31/01/2022</t>
  </si>
  <si>
    <t>Production 31/01/2022</t>
  </si>
  <si>
    <t>PRODUCTION du 31/01/2022</t>
  </si>
  <si>
    <t>SOCOV-MDN</t>
  </si>
  <si>
    <t xml:space="preserve">200 GRS F/FONDU GP /CIVIL </t>
  </si>
  <si>
    <t>200 grs C/BEEF</t>
  </si>
  <si>
    <t>nouvelle ére</t>
  </si>
  <si>
    <t>1/2 OT 4C+VBI+CB VSI</t>
  </si>
  <si>
    <t>1/2 OT 2C+CB+VBI+VSI</t>
  </si>
  <si>
    <t>nouvell ére</t>
  </si>
  <si>
    <t>journée du 29/01/2022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</si>
</sst>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#,##0.0000"/>
    <numFmt numFmtId="166" formatCode="#,##0.000"/>
  </numFmts>
  <fonts count="4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Arial"/>
      <family val="2"/>
    </font>
    <font>
      <b/>
      <sz val="16"/>
      <color rgb="FFFF0000"/>
      <name val="Arial"/>
      <family val="2"/>
    </font>
    <font>
      <sz val="10"/>
      <name val="Arial"/>
      <family val="2"/>
    </font>
    <font>
      <b/>
      <sz val="11"/>
      <color theme="1"/>
      <name val="Arial"/>
      <family val="2"/>
    </font>
    <font>
      <b/>
      <sz val="9"/>
      <color theme="1"/>
      <name val="Arial"/>
      <family val="2"/>
    </font>
    <font>
      <sz val="9"/>
      <color rgb="FFFF0000"/>
      <name val="Arial"/>
      <family val="2"/>
    </font>
    <font>
      <b/>
      <sz val="9"/>
      <color rgb="FFFF0000"/>
      <name val="Arial"/>
      <family val="2"/>
    </font>
    <font>
      <sz val="9"/>
      <color rgb="FF0000CC"/>
      <name val="Arial"/>
      <family val="2"/>
    </font>
    <font>
      <sz val="9"/>
      <name val="Arial"/>
      <family val="2"/>
    </font>
    <font>
      <b/>
      <sz val="9"/>
      <name val="Arial"/>
      <family val="2"/>
    </font>
    <font>
      <sz val="9"/>
      <color theme="1"/>
      <name val="Arial"/>
      <family val="2"/>
    </font>
    <font>
      <b/>
      <sz val="9"/>
      <color rgb="FFC00000"/>
      <name val="Arial"/>
      <family val="2"/>
    </font>
    <font>
      <b/>
      <u/>
      <sz val="9"/>
      <color rgb="FF0000CC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0"/>
      <name val="Century Gothic"/>
      <family val="2"/>
    </font>
    <font>
      <sz val="11"/>
      <name val="Century Gothic"/>
      <family val="2"/>
    </font>
    <font>
      <b/>
      <sz val="11"/>
      <name val="Century Gothic"/>
      <family val="2"/>
    </font>
    <font>
      <b/>
      <sz val="11"/>
      <color rgb="FF0000CC"/>
      <name val="Century Gothic"/>
      <family val="2"/>
    </font>
    <font>
      <b/>
      <sz val="16"/>
      <name val="Century Gothic"/>
      <family val="2"/>
    </font>
    <font>
      <b/>
      <u/>
      <sz val="26"/>
      <color theme="0"/>
      <name val="Century Gothic"/>
      <family val="2"/>
    </font>
    <font>
      <sz val="12"/>
      <name val="Century Gothic"/>
      <family val="2"/>
    </font>
    <font>
      <b/>
      <sz val="26"/>
      <color theme="0"/>
      <name val="Century Gothic"/>
      <family val="2"/>
    </font>
    <font>
      <b/>
      <u/>
      <sz val="40"/>
      <color theme="0"/>
      <name val="Century Gothic"/>
      <family val="2"/>
    </font>
    <font>
      <b/>
      <sz val="18"/>
      <color theme="0"/>
      <name val="Century Gothic"/>
      <family val="2"/>
    </font>
    <font>
      <b/>
      <sz val="18"/>
      <name val="Century Gothic"/>
      <family val="2"/>
    </font>
    <font>
      <b/>
      <u/>
      <sz val="18"/>
      <color rgb="FFFF0000"/>
      <name val="Century Gothic"/>
      <family val="2"/>
    </font>
    <font>
      <sz val="18"/>
      <name val="Century Gothic"/>
      <family val="2"/>
    </font>
    <font>
      <b/>
      <sz val="18"/>
      <color rgb="FF0000CC"/>
      <name val="Century Gothic"/>
      <family val="2"/>
    </font>
    <font>
      <b/>
      <sz val="20"/>
      <color theme="0"/>
      <name val="Century Gothic"/>
      <family val="2"/>
    </font>
    <font>
      <b/>
      <sz val="14"/>
      <name val="Century Gothic"/>
      <family val="2"/>
    </font>
    <font>
      <sz val="18"/>
      <color rgb="FF0000CC"/>
      <name val="Century Gothic"/>
      <family val="2"/>
    </font>
    <font>
      <sz val="14"/>
      <color rgb="FFC00000"/>
      <name val="Century Gothic"/>
      <family val="2"/>
    </font>
    <font>
      <sz val="18"/>
      <color theme="1"/>
      <name val="Century Gothic"/>
      <family val="2"/>
    </font>
    <font>
      <b/>
      <sz val="24"/>
      <color theme="0"/>
      <name val="Century Gothic"/>
      <family val="2"/>
    </font>
    <font>
      <sz val="24"/>
      <name val="Century Gothic"/>
      <family val="2"/>
    </font>
    <font>
      <b/>
      <sz val="24"/>
      <name val="Century Gothic"/>
      <family val="2"/>
    </font>
    <font>
      <b/>
      <sz val="24"/>
      <color rgb="FF0000CC"/>
      <name val="Century Gothic"/>
      <family val="2"/>
    </font>
    <font>
      <b/>
      <sz val="18"/>
      <color rgb="FFFF0000"/>
      <name val="Century Gothic"/>
      <family val="2"/>
    </font>
    <font>
      <b/>
      <sz val="20"/>
      <name val="Century Gothic"/>
      <family val="2"/>
    </font>
    <font>
      <sz val="18"/>
      <color rgb="FFFF0000"/>
      <name val="Century Gothic"/>
      <family val="2"/>
    </font>
    <font>
      <b/>
      <sz val="18"/>
      <color theme="1"/>
      <name val="Century Gothic"/>
      <family val="2"/>
    </font>
    <font>
      <sz val="18"/>
      <color theme="1"/>
      <name val="Calibri"/>
      <family val="2"/>
      <scheme val="minor"/>
    </font>
    <font>
      <sz val="11"/>
      <color theme="1"/>
      <name val="Century Gothic"/>
      <family val="2"/>
    </font>
    <font>
      <b/>
      <sz val="20"/>
      <color indexed="81"/>
      <name val="Tahoma"/>
      <family val="2"/>
    </font>
    <font>
      <sz val="20"/>
      <color indexed="81"/>
      <name val="Tahoma"/>
      <family val="2"/>
    </font>
  </fonts>
  <fills count="20">
    <fill>
      <patternFill patternType="none"/>
    </fill>
    <fill>
      <patternFill patternType="gray125"/>
    </fill>
    <fill>
      <gradientFill degree="90">
        <stop position="0">
          <color theme="0"/>
        </stop>
        <stop position="1">
          <color rgb="FFFFFF00"/>
        </stop>
      </gradientFill>
    </fill>
    <fill>
      <patternFill patternType="solid">
        <fgColor theme="7" tint="0.79998168889431442"/>
        <bgColor auto="1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59999389629810485"/>
        <bgColor auto="1"/>
      </patternFill>
    </fill>
    <fill>
      <patternFill patternType="solid">
        <fgColor theme="4" tint="0.79998168889431442"/>
        <bgColor auto="1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1"/>
        <bgColor auto="1"/>
      </patternFill>
    </fill>
    <fill>
      <patternFill patternType="solid">
        <fgColor theme="4" tint="-0.499984740745262"/>
        <bgColor auto="1"/>
      </patternFill>
    </fill>
    <fill>
      <patternFill patternType="solid">
        <fgColor rgb="FFFFC00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/>
        <bgColor indexed="64"/>
      </patternFill>
    </fill>
  </fills>
  <borders count="8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theme="0"/>
      </left>
      <right style="medium">
        <color theme="0"/>
      </right>
      <top style="medium">
        <color indexed="64"/>
      </top>
      <bottom style="medium">
        <color indexed="64"/>
      </bottom>
      <diagonal/>
    </border>
    <border>
      <left style="medium">
        <color theme="0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medium">
        <color theme="0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</borders>
  <cellStyleXfs count="4">
    <xf numFmtId="0" fontId="0" fillId="0" borderId="0"/>
    <xf numFmtId="9" fontId="1" fillId="0" borderId="0" applyFont="0" applyFill="0" applyBorder="0" applyAlignment="0" applyProtection="0"/>
    <xf numFmtId="0" fontId="5" fillId="0" borderId="0"/>
    <xf numFmtId="0" fontId="3" fillId="0" borderId="0"/>
  </cellStyleXfs>
  <cellXfs count="1238">
    <xf numFmtId="0" fontId="0" fillId="0" borderId="0" xfId="0"/>
    <xf numFmtId="0" fontId="4" fillId="0" borderId="0" xfId="0" applyFont="1" applyAlignment="1">
      <alignment vertical="center"/>
    </xf>
    <xf numFmtId="0" fontId="7" fillId="6" borderId="20" xfId="0" applyFont="1" applyFill="1" applyBorder="1" applyAlignment="1">
      <alignment horizontal="center" vertical="center" wrapText="1"/>
    </xf>
    <xf numFmtId="3" fontId="11" fillId="4" borderId="25" xfId="0" applyNumberFormat="1" applyFont="1" applyFill="1" applyBorder="1" applyAlignment="1">
      <alignment horizontal="center" vertical="center"/>
    </xf>
    <xf numFmtId="3" fontId="12" fillId="4" borderId="26" xfId="0" applyNumberFormat="1" applyFont="1" applyFill="1" applyBorder="1" applyAlignment="1">
      <alignment horizontal="center" vertical="center"/>
    </xf>
    <xf numFmtId="3" fontId="11" fillId="4" borderId="3" xfId="0" applyNumberFormat="1" applyFont="1" applyFill="1" applyBorder="1" applyAlignment="1">
      <alignment horizontal="center" vertical="center"/>
    </xf>
    <xf numFmtId="3" fontId="12" fillId="4" borderId="25" xfId="0" applyNumberFormat="1" applyFont="1" applyFill="1" applyBorder="1" applyAlignment="1">
      <alignment horizontal="center" vertical="center"/>
    </xf>
    <xf numFmtId="4" fontId="12" fillId="5" borderId="26" xfId="1" applyNumberFormat="1" applyFont="1" applyFill="1" applyBorder="1" applyAlignment="1">
      <alignment horizontal="right" vertical="center"/>
    </xf>
    <xf numFmtId="3" fontId="11" fillId="4" borderId="28" xfId="0" applyNumberFormat="1" applyFont="1" applyFill="1" applyBorder="1" applyAlignment="1">
      <alignment horizontal="center" vertical="center"/>
    </xf>
    <xf numFmtId="3" fontId="12" fillId="4" borderId="13" xfId="0" applyNumberFormat="1" applyFont="1" applyFill="1" applyBorder="1" applyAlignment="1">
      <alignment horizontal="center" vertical="center"/>
    </xf>
    <xf numFmtId="3" fontId="11" fillId="4" borderId="11" xfId="0" applyNumberFormat="1" applyFont="1" applyFill="1" applyBorder="1" applyAlignment="1">
      <alignment horizontal="center" vertical="center"/>
    </xf>
    <xf numFmtId="4" fontId="12" fillId="5" borderId="13" xfId="1" applyNumberFormat="1" applyFont="1" applyFill="1" applyBorder="1" applyAlignment="1">
      <alignment horizontal="right" vertical="center"/>
    </xf>
    <xf numFmtId="3" fontId="12" fillId="4" borderId="40" xfId="0" applyNumberFormat="1" applyFont="1" applyFill="1" applyBorder="1" applyAlignment="1">
      <alignment horizontal="center" vertical="center"/>
    </xf>
    <xf numFmtId="3" fontId="11" fillId="4" borderId="34" xfId="0" applyNumberFormat="1" applyFont="1" applyFill="1" applyBorder="1" applyAlignment="1">
      <alignment horizontal="center" vertical="center"/>
    </xf>
    <xf numFmtId="3" fontId="12" fillId="4" borderId="7" xfId="0" applyNumberFormat="1" applyFont="1" applyFill="1" applyBorder="1" applyAlignment="1">
      <alignment horizontal="center" vertical="center"/>
    </xf>
    <xf numFmtId="4" fontId="12" fillId="5" borderId="7" xfId="1" applyNumberFormat="1" applyFont="1" applyFill="1" applyBorder="1" applyAlignment="1">
      <alignment horizontal="right" vertical="center"/>
    </xf>
    <xf numFmtId="3" fontId="12" fillId="4" borderId="12" xfId="0" applyNumberFormat="1" applyFont="1" applyFill="1" applyBorder="1" applyAlignment="1">
      <alignment horizontal="center" vertical="center"/>
    </xf>
    <xf numFmtId="3" fontId="12" fillId="4" borderId="58" xfId="0" applyNumberFormat="1" applyFont="1" applyFill="1" applyBorder="1" applyAlignment="1">
      <alignment horizontal="center" vertical="center"/>
    </xf>
    <xf numFmtId="0" fontId="11" fillId="0" borderId="42" xfId="0" applyFont="1" applyFill="1" applyBorder="1" applyAlignment="1">
      <alignment horizontal="left" vertical="center" wrapText="1"/>
    </xf>
    <xf numFmtId="3" fontId="12" fillId="4" borderId="45" xfId="0" applyNumberFormat="1" applyFont="1" applyFill="1" applyBorder="1" applyAlignment="1">
      <alignment horizontal="center" vertical="center"/>
    </xf>
    <xf numFmtId="3" fontId="12" fillId="4" borderId="46" xfId="0" applyNumberFormat="1" applyFont="1" applyFill="1" applyBorder="1" applyAlignment="1">
      <alignment horizontal="center" vertical="center"/>
    </xf>
    <xf numFmtId="3" fontId="12" fillId="4" borderId="32" xfId="0" applyNumberFormat="1" applyFont="1" applyFill="1" applyBorder="1" applyAlignment="1">
      <alignment horizontal="center" vertical="center"/>
    </xf>
    <xf numFmtId="0" fontId="11" fillId="0" borderId="29" xfId="0" applyFont="1" applyFill="1" applyBorder="1" applyAlignment="1">
      <alignment horizontal="left" vertical="center"/>
    </xf>
    <xf numFmtId="0" fontId="11" fillId="0" borderId="15" xfId="0" applyFont="1" applyFill="1" applyBorder="1" applyAlignment="1">
      <alignment horizontal="left" vertical="center"/>
    </xf>
    <xf numFmtId="3" fontId="11" fillId="4" borderId="47" xfId="0" applyNumberFormat="1" applyFont="1" applyFill="1" applyBorder="1" applyAlignment="1">
      <alignment horizontal="center" vertical="center"/>
    </xf>
    <xf numFmtId="3" fontId="11" fillId="4" borderId="45" xfId="0" applyNumberFormat="1" applyFont="1" applyFill="1" applyBorder="1" applyAlignment="1">
      <alignment horizontal="center" vertical="center"/>
    </xf>
    <xf numFmtId="4" fontId="12" fillId="5" borderId="46" xfId="1" applyNumberFormat="1" applyFont="1" applyFill="1" applyBorder="1" applyAlignment="1">
      <alignment horizontal="right" vertical="center"/>
    </xf>
    <xf numFmtId="0" fontId="11" fillId="0" borderId="42" xfId="0" applyFont="1" applyFill="1" applyBorder="1" applyAlignment="1">
      <alignment horizontal="left" vertical="center"/>
    </xf>
    <xf numFmtId="0" fontId="11" fillId="0" borderId="8" xfId="0" applyFont="1" applyFill="1" applyBorder="1" applyAlignment="1">
      <alignment horizontal="left" vertical="center"/>
    </xf>
    <xf numFmtId="17" fontId="14" fillId="0" borderId="73" xfId="0" applyNumberFormat="1" applyFont="1" applyBorder="1" applyAlignment="1">
      <alignment horizontal="center" vertical="center"/>
    </xf>
    <xf numFmtId="10" fontId="11" fillId="4" borderId="3" xfId="1" applyNumberFormat="1" applyFont="1" applyFill="1" applyBorder="1" applyAlignment="1">
      <alignment horizontal="center" vertical="center"/>
    </xf>
    <xf numFmtId="4" fontId="12" fillId="5" borderId="7" xfId="0" applyNumberFormat="1" applyFont="1" applyFill="1" applyBorder="1" applyAlignment="1">
      <alignment horizontal="center" vertical="center"/>
    </xf>
    <xf numFmtId="17" fontId="14" fillId="0" borderId="68" xfId="0" applyNumberFormat="1" applyFont="1" applyBorder="1" applyAlignment="1">
      <alignment horizontal="center" vertical="center"/>
    </xf>
    <xf numFmtId="10" fontId="11" fillId="4" borderId="28" xfId="1" applyNumberFormat="1" applyFont="1" applyFill="1" applyBorder="1" applyAlignment="1">
      <alignment horizontal="center" vertical="center"/>
    </xf>
    <xf numFmtId="4" fontId="12" fillId="5" borderId="26" xfId="0" applyNumberFormat="1" applyFont="1" applyFill="1" applyBorder="1" applyAlignment="1">
      <alignment horizontal="center" vertical="center"/>
    </xf>
    <xf numFmtId="17" fontId="14" fillId="0" borderId="14" xfId="0" applyNumberFormat="1" applyFont="1" applyBorder="1" applyAlignment="1">
      <alignment horizontal="center" vertical="center"/>
    </xf>
    <xf numFmtId="4" fontId="12" fillId="5" borderId="13" xfId="0" applyNumberFormat="1" applyFont="1" applyFill="1" applyBorder="1" applyAlignment="1">
      <alignment horizontal="center" vertical="center"/>
    </xf>
    <xf numFmtId="0" fontId="10" fillId="0" borderId="57" xfId="0" applyFont="1" applyFill="1" applyBorder="1" applyAlignment="1">
      <alignment vertical="center"/>
    </xf>
    <xf numFmtId="3" fontId="11" fillId="4" borderId="58" xfId="0" applyNumberFormat="1" applyFont="1" applyFill="1" applyBorder="1" applyAlignment="1">
      <alignment horizontal="center" vertical="center"/>
    </xf>
    <xf numFmtId="0" fontId="10" fillId="0" borderId="59" xfId="0" applyFont="1" applyFill="1" applyBorder="1" applyAlignment="1">
      <alignment vertical="center"/>
    </xf>
    <xf numFmtId="10" fontId="11" fillId="4" borderId="11" xfId="1" applyNumberFormat="1" applyFont="1" applyFill="1" applyBorder="1" applyAlignment="1">
      <alignment horizontal="center" vertical="center"/>
    </xf>
    <xf numFmtId="0" fontId="10" fillId="0" borderId="43" xfId="0" applyFont="1" applyFill="1" applyBorder="1" applyAlignment="1">
      <alignment vertical="center"/>
    </xf>
    <xf numFmtId="3" fontId="11" fillId="0" borderId="45" xfId="0" applyNumberFormat="1" applyFont="1" applyFill="1" applyBorder="1" applyAlignment="1">
      <alignment horizontal="center" vertical="center"/>
    </xf>
    <xf numFmtId="3" fontId="12" fillId="0" borderId="46" xfId="0" applyNumberFormat="1" applyFont="1" applyFill="1" applyBorder="1" applyAlignment="1">
      <alignment horizontal="center" vertical="center"/>
    </xf>
    <xf numFmtId="3" fontId="11" fillId="0" borderId="47" xfId="0" applyNumberFormat="1" applyFont="1" applyFill="1" applyBorder="1" applyAlignment="1">
      <alignment horizontal="center" vertical="center"/>
    </xf>
    <xf numFmtId="3" fontId="12" fillId="0" borderId="45" xfId="0" applyNumberFormat="1" applyFont="1" applyFill="1" applyBorder="1" applyAlignment="1">
      <alignment horizontal="center" vertical="center"/>
    </xf>
    <xf numFmtId="10" fontId="11" fillId="0" borderId="63" xfId="1" applyNumberFormat="1" applyFont="1" applyFill="1" applyBorder="1" applyAlignment="1">
      <alignment horizontal="center" vertical="center"/>
    </xf>
    <xf numFmtId="4" fontId="11" fillId="0" borderId="48" xfId="1" applyNumberFormat="1" applyFont="1" applyFill="1" applyBorder="1" applyAlignment="1">
      <alignment horizontal="right" vertical="center"/>
    </xf>
    <xf numFmtId="4" fontId="12" fillId="0" borderId="46" xfId="1" applyNumberFormat="1" applyFont="1" applyFill="1" applyBorder="1" applyAlignment="1">
      <alignment horizontal="right" vertical="center"/>
    </xf>
    <xf numFmtId="4" fontId="12" fillId="0" borderId="47" xfId="1" applyNumberFormat="1" applyFont="1" applyFill="1" applyBorder="1" applyAlignment="1">
      <alignment horizontal="right" vertical="center"/>
    </xf>
    <xf numFmtId="10" fontId="11" fillId="4" borderId="70" xfId="1" applyNumberFormat="1" applyFont="1" applyFill="1" applyBorder="1" applyAlignment="1">
      <alignment horizontal="center" vertical="center"/>
    </xf>
    <xf numFmtId="10" fontId="11" fillId="4" borderId="62" xfId="1" applyNumberFormat="1" applyFont="1" applyFill="1" applyBorder="1" applyAlignment="1">
      <alignment horizontal="center" vertical="center"/>
    </xf>
    <xf numFmtId="10" fontId="11" fillId="4" borderId="63" xfId="1" applyNumberFormat="1" applyFont="1" applyFill="1" applyBorder="1" applyAlignment="1">
      <alignment horizontal="center" vertical="center"/>
    </xf>
    <xf numFmtId="3" fontId="11" fillId="0" borderId="42" xfId="0" applyNumberFormat="1" applyFont="1" applyFill="1" applyBorder="1" applyAlignment="1">
      <alignment horizontal="center" vertical="center" wrapText="1"/>
    </xf>
    <xf numFmtId="0" fontId="13" fillId="0" borderId="8" xfId="0" applyFont="1" applyBorder="1"/>
    <xf numFmtId="0" fontId="13" fillId="4" borderId="58" xfId="0" applyFont="1" applyFill="1" applyBorder="1" applyAlignment="1">
      <alignment horizontal="center"/>
    </xf>
    <xf numFmtId="3" fontId="7" fillId="4" borderId="7" xfId="0" applyNumberFormat="1" applyFont="1" applyFill="1" applyBorder="1" applyAlignment="1">
      <alignment horizontal="center"/>
    </xf>
    <xf numFmtId="3" fontId="7" fillId="4" borderId="74" xfId="0" applyNumberFormat="1" applyFont="1" applyFill="1" applyBorder="1" applyAlignment="1">
      <alignment horizontal="center"/>
    </xf>
    <xf numFmtId="0" fontId="13" fillId="4" borderId="3" xfId="0" applyFont="1" applyFill="1" applyBorder="1"/>
    <xf numFmtId="0" fontId="13" fillId="5" borderId="58" xfId="0" applyFont="1" applyFill="1" applyBorder="1" applyAlignment="1">
      <alignment horizontal="right"/>
    </xf>
    <xf numFmtId="4" fontId="13" fillId="5" borderId="7" xfId="0" applyNumberFormat="1" applyFont="1" applyFill="1" applyBorder="1"/>
    <xf numFmtId="0" fontId="13" fillId="0" borderId="15" xfId="0" applyFont="1" applyBorder="1"/>
    <xf numFmtId="0" fontId="13" fillId="4" borderId="12" xfId="0" applyFont="1" applyFill="1" applyBorder="1" applyAlignment="1">
      <alignment horizontal="center"/>
    </xf>
    <xf numFmtId="3" fontId="7" fillId="4" borderId="13" xfId="0" applyNumberFormat="1" applyFont="1" applyFill="1" applyBorder="1" applyAlignment="1">
      <alignment horizontal="center"/>
    </xf>
    <xf numFmtId="3" fontId="7" fillId="4" borderId="62" xfId="0" applyNumberFormat="1" applyFont="1" applyFill="1" applyBorder="1" applyAlignment="1">
      <alignment horizontal="center"/>
    </xf>
    <xf numFmtId="0" fontId="13" fillId="4" borderId="11" xfId="0" applyFont="1" applyFill="1" applyBorder="1"/>
    <xf numFmtId="0" fontId="13" fillId="5" borderId="12" xfId="0" applyFont="1" applyFill="1" applyBorder="1" applyAlignment="1">
      <alignment horizontal="right"/>
    </xf>
    <xf numFmtId="4" fontId="13" fillId="5" borderId="13" xfId="0" applyNumberFormat="1" applyFont="1" applyFill="1" applyBorder="1"/>
    <xf numFmtId="0" fontId="10" fillId="0" borderId="75" xfId="0" applyFont="1" applyBorder="1" applyAlignment="1">
      <alignment horizontal="left" vertical="center"/>
    </xf>
    <xf numFmtId="0" fontId="13" fillId="0" borderId="23" xfId="0" applyFont="1" applyBorder="1"/>
    <xf numFmtId="0" fontId="13" fillId="4" borderId="19" xfId="0" applyFont="1" applyFill="1" applyBorder="1" applyAlignment="1">
      <alignment horizontal="center"/>
    </xf>
    <xf numFmtId="3" fontId="7" fillId="4" borderId="20" xfId="0" applyNumberFormat="1" applyFont="1" applyFill="1" applyBorder="1" applyAlignment="1">
      <alignment horizontal="center"/>
    </xf>
    <xf numFmtId="3" fontId="7" fillId="4" borderId="71" xfId="0" applyNumberFormat="1" applyFont="1" applyFill="1" applyBorder="1" applyAlignment="1">
      <alignment horizontal="center"/>
    </xf>
    <xf numFmtId="0" fontId="13" fillId="5" borderId="19" xfId="0" applyFont="1" applyFill="1" applyBorder="1" applyAlignment="1">
      <alignment horizontal="right"/>
    </xf>
    <xf numFmtId="4" fontId="13" fillId="5" borderId="20" xfId="0" applyNumberFormat="1" applyFont="1" applyFill="1" applyBorder="1"/>
    <xf numFmtId="0" fontId="14" fillId="5" borderId="20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4" fontId="12" fillId="5" borderId="42" xfId="1" applyNumberFormat="1" applyFont="1" applyFill="1" applyBorder="1" applyAlignment="1">
      <alignment horizontal="right" vertical="center"/>
    </xf>
    <xf numFmtId="3" fontId="7" fillId="4" borderId="2" xfId="0" applyNumberFormat="1" applyFont="1" applyFill="1" applyBorder="1" applyAlignment="1">
      <alignment horizontal="center"/>
    </xf>
    <xf numFmtId="3" fontId="7" fillId="4" borderId="10" xfId="0" applyNumberFormat="1" applyFont="1" applyFill="1" applyBorder="1" applyAlignment="1">
      <alignment horizontal="center"/>
    </xf>
    <xf numFmtId="3" fontId="7" fillId="4" borderId="21" xfId="0" applyNumberFormat="1" applyFont="1" applyFill="1" applyBorder="1" applyAlignment="1">
      <alignment horizontal="center"/>
    </xf>
    <xf numFmtId="10" fontId="11" fillId="4" borderId="31" xfId="1" applyNumberFormat="1" applyFont="1" applyFill="1" applyBorder="1" applyAlignment="1">
      <alignment horizontal="center" vertical="center"/>
    </xf>
    <xf numFmtId="17" fontId="14" fillId="0" borderId="22" xfId="0" applyNumberFormat="1" applyFont="1" applyBorder="1" applyAlignment="1">
      <alignment horizontal="center" vertical="center"/>
    </xf>
    <xf numFmtId="4" fontId="12" fillId="5" borderId="42" xfId="0" applyNumberFormat="1" applyFont="1" applyFill="1" applyBorder="1" applyAlignment="1">
      <alignment horizontal="center" vertical="center"/>
    </xf>
    <xf numFmtId="3" fontId="11" fillId="0" borderId="51" xfId="0" applyNumberFormat="1" applyFont="1" applyFill="1" applyBorder="1" applyAlignment="1">
      <alignment horizontal="center" vertical="center" wrapText="1"/>
    </xf>
    <xf numFmtId="4" fontId="11" fillId="5" borderId="28" xfId="1" applyNumberFormat="1" applyFont="1" applyFill="1" applyBorder="1" applyAlignment="1">
      <alignment horizontal="right" vertical="center"/>
    </xf>
    <xf numFmtId="4" fontId="11" fillId="5" borderId="7" xfId="0" applyNumberFormat="1" applyFont="1" applyFill="1" applyBorder="1" applyAlignment="1">
      <alignment horizontal="center" vertical="center"/>
    </xf>
    <xf numFmtId="4" fontId="11" fillId="5" borderId="26" xfId="0" applyNumberFormat="1" applyFont="1" applyFill="1" applyBorder="1" applyAlignment="1">
      <alignment horizontal="center" vertical="center"/>
    </xf>
    <xf numFmtId="4" fontId="11" fillId="5" borderId="13" xfId="0" applyNumberFormat="1" applyFont="1" applyFill="1" applyBorder="1" applyAlignment="1">
      <alignment horizontal="center" vertical="center"/>
    </xf>
    <xf numFmtId="4" fontId="11" fillId="5" borderId="20" xfId="0" applyNumberFormat="1" applyFont="1" applyFill="1" applyBorder="1" applyAlignment="1">
      <alignment horizontal="center" vertical="center"/>
    </xf>
    <xf numFmtId="4" fontId="11" fillId="5" borderId="3" xfId="1" applyNumberFormat="1" applyFont="1" applyFill="1" applyBorder="1" applyAlignment="1">
      <alignment horizontal="right" vertical="center"/>
    </xf>
    <xf numFmtId="4" fontId="11" fillId="5" borderId="11" xfId="1" applyNumberFormat="1" applyFont="1" applyFill="1" applyBorder="1" applyAlignment="1">
      <alignment horizontal="right" vertical="center"/>
    </xf>
    <xf numFmtId="4" fontId="11" fillId="0" borderId="47" xfId="1" applyNumberFormat="1" applyFont="1" applyFill="1" applyBorder="1" applyAlignment="1">
      <alignment horizontal="right" vertical="center"/>
    </xf>
    <xf numFmtId="4" fontId="11" fillId="5" borderId="70" xfId="1" applyNumberFormat="1" applyFont="1" applyFill="1" applyBorder="1" applyAlignment="1">
      <alignment horizontal="right" vertical="center"/>
    </xf>
    <xf numFmtId="4" fontId="11" fillId="5" borderId="62" xfId="1" applyNumberFormat="1" applyFont="1" applyFill="1" applyBorder="1" applyAlignment="1">
      <alignment horizontal="right" vertical="center"/>
    </xf>
    <xf numFmtId="4" fontId="11" fillId="5" borderId="47" xfId="1" applyNumberFormat="1" applyFont="1" applyFill="1" applyBorder="1" applyAlignment="1">
      <alignment horizontal="right" vertical="center"/>
    </xf>
    <xf numFmtId="0" fontId="0" fillId="0" borderId="42" xfId="0" applyBorder="1"/>
    <xf numFmtId="4" fontId="2" fillId="0" borderId="42" xfId="0" applyNumberFormat="1" applyFont="1" applyBorder="1" applyAlignment="1">
      <alignment horizontal="center"/>
    </xf>
    <xf numFmtId="0" fontId="14" fillId="4" borderId="36" xfId="0" applyFont="1" applyFill="1" applyBorder="1" applyAlignment="1">
      <alignment horizontal="center" vertical="center"/>
    </xf>
    <xf numFmtId="0" fontId="14" fillId="4" borderId="10" xfId="0" applyFont="1" applyFill="1" applyBorder="1" applyAlignment="1">
      <alignment horizontal="center" vertical="center"/>
    </xf>
    <xf numFmtId="0" fontId="0" fillId="0" borderId="59" xfId="0" applyBorder="1"/>
    <xf numFmtId="0" fontId="0" fillId="0" borderId="0" xfId="0" applyBorder="1"/>
    <xf numFmtId="0" fontId="0" fillId="0" borderId="39" xfId="0" applyBorder="1"/>
    <xf numFmtId="4" fontId="2" fillId="10" borderId="42" xfId="0" applyNumberFormat="1" applyFont="1" applyFill="1" applyBorder="1"/>
    <xf numFmtId="0" fontId="11" fillId="5" borderId="58" xfId="0" applyFont="1" applyFill="1" applyBorder="1" applyAlignment="1">
      <alignment horizontal="right" vertical="center"/>
    </xf>
    <xf numFmtId="0" fontId="11" fillId="5" borderId="25" xfId="0" applyFont="1" applyFill="1" applyBorder="1" applyAlignment="1">
      <alignment horizontal="right" vertical="center"/>
    </xf>
    <xf numFmtId="0" fontId="11" fillId="5" borderId="12" xfId="0" applyFont="1" applyFill="1" applyBorder="1" applyAlignment="1">
      <alignment horizontal="right" vertical="center"/>
    </xf>
    <xf numFmtId="0" fontId="11" fillId="5" borderId="19" xfId="0" applyFont="1" applyFill="1" applyBorder="1" applyAlignment="1">
      <alignment horizontal="right" vertical="center"/>
    </xf>
    <xf numFmtId="0" fontId="14" fillId="4" borderId="17" xfId="0" applyFont="1" applyFill="1" applyBorder="1" applyAlignment="1">
      <alignment horizontal="center" vertical="center"/>
    </xf>
    <xf numFmtId="0" fontId="2" fillId="0" borderId="44" xfId="0" applyFont="1" applyBorder="1" applyAlignment="1">
      <alignment vertical="center"/>
    </xf>
    <xf numFmtId="3" fontId="2" fillId="4" borderId="42" xfId="0" applyNumberFormat="1" applyFont="1" applyFill="1" applyBorder="1" applyAlignment="1">
      <alignment vertical="center"/>
    </xf>
    <xf numFmtId="0" fontId="2" fillId="4" borderId="44" xfId="0" applyFont="1" applyFill="1" applyBorder="1" applyAlignment="1">
      <alignment vertical="center"/>
    </xf>
    <xf numFmtId="0" fontId="2" fillId="0" borderId="42" xfId="0" applyFont="1" applyBorder="1" applyAlignment="1">
      <alignment vertical="center"/>
    </xf>
    <xf numFmtId="0" fontId="2" fillId="0" borderId="61" xfId="0" applyFont="1" applyBorder="1" applyAlignment="1"/>
    <xf numFmtId="0" fontId="2" fillId="0" borderId="42" xfId="0" applyFont="1" applyBorder="1" applyAlignment="1"/>
    <xf numFmtId="3" fontId="2" fillId="0" borderId="42" xfId="0" applyNumberFormat="1" applyFont="1" applyBorder="1" applyAlignment="1"/>
    <xf numFmtId="3" fontId="2" fillId="0" borderId="61" xfId="0" applyNumberFormat="1" applyFont="1" applyBorder="1" applyAlignment="1"/>
    <xf numFmtId="0" fontId="11" fillId="0" borderId="72" xfId="0" applyFont="1" applyFill="1" applyBorder="1" applyAlignment="1">
      <alignment vertical="center"/>
    </xf>
    <xf numFmtId="0" fontId="11" fillId="0" borderId="78" xfId="0" applyFont="1" applyFill="1" applyBorder="1" applyAlignment="1">
      <alignment vertical="center"/>
    </xf>
    <xf numFmtId="0" fontId="11" fillId="0" borderId="65" xfId="0" applyFont="1" applyFill="1" applyBorder="1" applyAlignment="1">
      <alignment vertical="center"/>
    </xf>
    <xf numFmtId="0" fontId="11" fillId="0" borderId="66" xfId="0" applyFont="1" applyFill="1" applyBorder="1" applyAlignment="1">
      <alignment vertical="center"/>
    </xf>
    <xf numFmtId="3" fontId="12" fillId="8" borderId="44" xfId="0" applyNumberFormat="1" applyFont="1" applyFill="1" applyBorder="1" applyAlignment="1">
      <alignment horizontal="center" vertical="center"/>
    </xf>
    <xf numFmtId="3" fontId="12" fillId="8" borderId="61" xfId="0" applyNumberFormat="1" applyFont="1" applyFill="1" applyBorder="1" applyAlignment="1">
      <alignment horizontal="center" vertical="center"/>
    </xf>
    <xf numFmtId="3" fontId="12" fillId="8" borderId="42" xfId="0" applyNumberFormat="1" applyFont="1" applyFill="1" applyBorder="1" applyAlignment="1">
      <alignment horizontal="center" vertical="center"/>
    </xf>
    <xf numFmtId="0" fontId="2" fillId="8" borderId="48" xfId="0" applyFont="1" applyFill="1" applyBorder="1" applyAlignment="1">
      <alignment vertical="center"/>
    </xf>
    <xf numFmtId="3" fontId="2" fillId="8" borderId="46" xfId="0" applyNumberFormat="1" applyFont="1" applyFill="1" applyBorder="1" applyAlignment="1">
      <alignment horizontal="center" vertical="center"/>
    </xf>
    <xf numFmtId="3" fontId="2" fillId="8" borderId="47" xfId="0" applyNumberFormat="1" applyFont="1" applyFill="1" applyBorder="1" applyAlignment="1">
      <alignment horizontal="center" vertical="center"/>
    </xf>
    <xf numFmtId="0" fontId="11" fillId="5" borderId="37" xfId="0" applyFont="1" applyFill="1" applyBorder="1" applyAlignment="1">
      <alignment horizontal="right" vertical="center"/>
    </xf>
    <xf numFmtId="4" fontId="11" fillId="5" borderId="40" xfId="0" applyNumberFormat="1" applyFont="1" applyFill="1" applyBorder="1" applyAlignment="1">
      <alignment horizontal="center" vertical="center"/>
    </xf>
    <xf numFmtId="0" fontId="12" fillId="8" borderId="48" xfId="0" applyFont="1" applyFill="1" applyBorder="1" applyAlignment="1">
      <alignment vertical="center"/>
    </xf>
    <xf numFmtId="3" fontId="12" fillId="8" borderId="46" xfId="0" applyNumberFormat="1" applyFont="1" applyFill="1" applyBorder="1" applyAlignment="1">
      <alignment horizontal="center" vertical="center"/>
    </xf>
    <xf numFmtId="3" fontId="12" fillId="8" borderId="47" xfId="0" applyNumberFormat="1" applyFont="1" applyFill="1" applyBorder="1" applyAlignment="1">
      <alignment horizontal="center" vertical="center"/>
    </xf>
    <xf numFmtId="3" fontId="11" fillId="8" borderId="45" xfId="0" applyNumberFormat="1" applyFont="1" applyFill="1" applyBorder="1" applyAlignment="1">
      <alignment horizontal="center" vertical="center"/>
    </xf>
    <xf numFmtId="3" fontId="11" fillId="8" borderId="46" xfId="0" applyNumberFormat="1" applyFont="1" applyFill="1" applyBorder="1" applyAlignment="1">
      <alignment horizontal="center" vertical="center"/>
    </xf>
    <xf numFmtId="10" fontId="11" fillId="8" borderId="47" xfId="1" applyNumberFormat="1" applyFont="1" applyFill="1" applyBorder="1" applyAlignment="1">
      <alignment horizontal="center" vertical="center"/>
    </xf>
    <xf numFmtId="0" fontId="11" fillId="8" borderId="45" xfId="0" applyFont="1" applyFill="1" applyBorder="1" applyAlignment="1">
      <alignment horizontal="right" vertical="center"/>
    </xf>
    <xf numFmtId="4" fontId="12" fillId="8" borderId="46" xfId="0" applyNumberFormat="1" applyFont="1" applyFill="1" applyBorder="1" applyAlignment="1">
      <alignment horizontal="center" vertical="center"/>
    </xf>
    <xf numFmtId="4" fontId="12" fillId="8" borderId="47" xfId="0" applyNumberFormat="1" applyFont="1" applyFill="1" applyBorder="1" applyAlignment="1">
      <alignment horizontal="center" vertical="center"/>
    </xf>
    <xf numFmtId="10" fontId="11" fillId="8" borderId="44" xfId="1" applyNumberFormat="1" applyFont="1" applyFill="1" applyBorder="1" applyAlignment="1">
      <alignment horizontal="center" vertical="center"/>
    </xf>
    <xf numFmtId="0" fontId="11" fillId="8" borderId="49" xfId="0" applyFont="1" applyFill="1" applyBorder="1" applyAlignment="1">
      <alignment horizontal="right" vertical="center"/>
    </xf>
    <xf numFmtId="0" fontId="14" fillId="8" borderId="49" xfId="0" applyFont="1" applyFill="1" applyBorder="1" applyAlignment="1">
      <alignment horizontal="center" vertical="center"/>
    </xf>
    <xf numFmtId="4" fontId="11" fillId="8" borderId="42" xfId="0" applyNumberFormat="1" applyFont="1" applyFill="1" applyBorder="1" applyAlignment="1">
      <alignment horizontal="center" vertical="center"/>
    </xf>
    <xf numFmtId="0" fontId="7" fillId="6" borderId="19" xfId="0" applyFont="1" applyFill="1" applyBorder="1" applyAlignment="1">
      <alignment horizontal="center" vertical="center" wrapText="1"/>
    </xf>
    <xf numFmtId="0" fontId="9" fillId="5" borderId="12" xfId="0" applyFont="1" applyFill="1" applyBorder="1" applyAlignment="1">
      <alignment horizontal="right" vertical="center"/>
    </xf>
    <xf numFmtId="165" fontId="11" fillId="5" borderId="36" xfId="1" applyNumberFormat="1" applyFont="1" applyFill="1" applyBorder="1" applyAlignment="1">
      <alignment horizontal="right" vertical="center"/>
    </xf>
    <xf numFmtId="165" fontId="11" fillId="5" borderId="10" xfId="1" applyNumberFormat="1" applyFont="1" applyFill="1" applyBorder="1" applyAlignment="1">
      <alignment horizontal="right" vertical="center"/>
    </xf>
    <xf numFmtId="165" fontId="11" fillId="5" borderId="2" xfId="1" applyNumberFormat="1" applyFont="1" applyFill="1" applyBorder="1" applyAlignment="1">
      <alignment horizontal="right" vertical="center"/>
    </xf>
    <xf numFmtId="164" fontId="11" fillId="5" borderId="12" xfId="0" applyNumberFormat="1" applyFont="1" applyFill="1" applyBorder="1" applyAlignment="1">
      <alignment horizontal="right"/>
    </xf>
    <xf numFmtId="164" fontId="13" fillId="5" borderId="12" xfId="0" applyNumberFormat="1" applyFont="1" applyFill="1" applyBorder="1" applyAlignment="1">
      <alignment horizontal="right"/>
    </xf>
    <xf numFmtId="165" fontId="11" fillId="5" borderId="48" xfId="1" applyNumberFormat="1" applyFont="1" applyFill="1" applyBorder="1" applyAlignment="1">
      <alignment horizontal="right" vertical="center"/>
    </xf>
    <xf numFmtId="165" fontId="9" fillId="5" borderId="10" xfId="1" applyNumberFormat="1" applyFont="1" applyFill="1" applyBorder="1" applyAlignment="1">
      <alignment horizontal="right" vertical="center"/>
    </xf>
    <xf numFmtId="2" fontId="12" fillId="5" borderId="13" xfId="0" applyNumberFormat="1" applyFont="1" applyFill="1" applyBorder="1" applyAlignment="1">
      <alignment horizontal="center" vertical="center"/>
    </xf>
    <xf numFmtId="164" fontId="9" fillId="5" borderId="12" xfId="0" applyNumberFormat="1" applyFont="1" applyFill="1" applyBorder="1" applyAlignment="1">
      <alignment horizontal="right"/>
    </xf>
    <xf numFmtId="0" fontId="8" fillId="5" borderId="12" xfId="0" applyFont="1" applyFill="1" applyBorder="1" applyAlignment="1">
      <alignment horizontal="right"/>
    </xf>
    <xf numFmtId="4" fontId="12" fillId="5" borderId="11" xfId="1" applyNumberFormat="1" applyFont="1" applyFill="1" applyBorder="1" applyAlignment="1">
      <alignment horizontal="right" vertical="center"/>
    </xf>
    <xf numFmtId="3" fontId="12" fillId="4" borderId="13" xfId="0" applyNumberFormat="1" applyFont="1" applyFill="1" applyBorder="1" applyAlignment="1">
      <alignment horizontal="center"/>
    </xf>
    <xf numFmtId="3" fontId="12" fillId="4" borderId="62" xfId="0" applyNumberFormat="1" applyFont="1" applyFill="1" applyBorder="1" applyAlignment="1">
      <alignment horizontal="center"/>
    </xf>
    <xf numFmtId="3" fontId="12" fillId="4" borderId="10" xfId="0" applyNumberFormat="1" applyFont="1" applyFill="1" applyBorder="1" applyAlignment="1">
      <alignment horizontal="center"/>
    </xf>
    <xf numFmtId="0" fontId="11" fillId="4" borderId="11" xfId="0" applyFont="1" applyFill="1" applyBorder="1"/>
    <xf numFmtId="4" fontId="11" fillId="5" borderId="13" xfId="0" applyNumberFormat="1" applyFont="1" applyFill="1" applyBorder="1"/>
    <xf numFmtId="0" fontId="10" fillId="0" borderId="14" xfId="0" applyFont="1" applyBorder="1" applyAlignment="1">
      <alignment horizontal="left" vertical="center"/>
    </xf>
    <xf numFmtId="0" fontId="14" fillId="0" borderId="39" xfId="0" applyFont="1" applyBorder="1" applyAlignment="1">
      <alignment horizontal="center" vertical="center"/>
    </xf>
    <xf numFmtId="3" fontId="11" fillId="0" borderId="1" xfId="0" applyNumberFormat="1" applyFont="1" applyFill="1" applyBorder="1" applyAlignment="1">
      <alignment horizontal="center" vertical="center" wrapText="1"/>
    </xf>
    <xf numFmtId="0" fontId="7" fillId="6" borderId="18" xfId="0" applyFont="1" applyFill="1" applyBorder="1" applyAlignment="1">
      <alignment horizontal="center" vertical="center" wrapText="1"/>
    </xf>
    <xf numFmtId="0" fontId="7" fillId="6" borderId="18" xfId="0" applyFont="1" applyFill="1" applyBorder="1" applyAlignment="1">
      <alignment horizontal="center" vertical="center" wrapText="1"/>
    </xf>
    <xf numFmtId="0" fontId="14" fillId="0" borderId="39" xfId="0" applyFont="1" applyBorder="1" applyAlignment="1">
      <alignment horizontal="center" vertical="center"/>
    </xf>
    <xf numFmtId="3" fontId="11" fillId="0" borderId="1" xfId="0" applyNumberFormat="1" applyFont="1" applyFill="1" applyBorder="1" applyAlignment="1">
      <alignment horizontal="center" vertical="center" wrapText="1"/>
    </xf>
    <xf numFmtId="0" fontId="10" fillId="0" borderId="14" xfId="0" applyFont="1" applyBorder="1" applyAlignment="1">
      <alignment horizontal="left" vertical="center"/>
    </xf>
    <xf numFmtId="3" fontId="11" fillId="0" borderId="1" xfId="0" applyNumberFormat="1" applyFont="1" applyFill="1" applyBorder="1" applyAlignment="1">
      <alignment horizontal="center" vertical="center" wrapText="1"/>
    </xf>
    <xf numFmtId="0" fontId="10" fillId="0" borderId="14" xfId="0" applyFont="1" applyBorder="1" applyAlignment="1">
      <alignment horizontal="left" vertical="center"/>
    </xf>
    <xf numFmtId="0" fontId="14" fillId="0" borderId="39" xfId="0" applyFont="1" applyBorder="1" applyAlignment="1">
      <alignment horizontal="center" vertical="center"/>
    </xf>
    <xf numFmtId="0" fontId="7" fillId="6" borderId="18" xfId="0" applyFont="1" applyFill="1" applyBorder="1" applyAlignment="1">
      <alignment horizontal="center" vertical="center" wrapText="1"/>
    </xf>
    <xf numFmtId="3" fontId="11" fillId="0" borderId="1" xfId="0" applyNumberFormat="1" applyFont="1" applyFill="1" applyBorder="1" applyAlignment="1">
      <alignment horizontal="center" vertical="center" wrapText="1"/>
    </xf>
    <xf numFmtId="0" fontId="10" fillId="0" borderId="14" xfId="0" applyFont="1" applyBorder="1" applyAlignment="1">
      <alignment horizontal="left" vertical="center"/>
    </xf>
    <xf numFmtId="0" fontId="7" fillId="6" borderId="18" xfId="0" applyFont="1" applyFill="1" applyBorder="1" applyAlignment="1">
      <alignment horizontal="center" vertical="center" wrapText="1"/>
    </xf>
    <xf numFmtId="0" fontId="14" fillId="0" borderId="39" xfId="0" applyFont="1" applyBorder="1" applyAlignment="1">
      <alignment horizontal="center" vertical="center"/>
    </xf>
    <xf numFmtId="0" fontId="10" fillId="0" borderId="14" xfId="0" applyFont="1" applyBorder="1" applyAlignment="1">
      <alignment horizontal="left" vertical="center"/>
    </xf>
    <xf numFmtId="0" fontId="14" fillId="0" borderId="39" xfId="0" applyFont="1" applyBorder="1" applyAlignment="1">
      <alignment horizontal="center" vertical="center"/>
    </xf>
    <xf numFmtId="3" fontId="11" fillId="0" borderId="1" xfId="0" applyNumberFormat="1" applyFont="1" applyFill="1" applyBorder="1" applyAlignment="1">
      <alignment horizontal="center" vertical="center" wrapText="1"/>
    </xf>
    <xf numFmtId="0" fontId="7" fillId="6" borderId="18" xfId="0" applyFont="1" applyFill="1" applyBorder="1" applyAlignment="1">
      <alignment horizontal="center" vertical="center" wrapText="1"/>
    </xf>
    <xf numFmtId="0" fontId="10" fillId="0" borderId="14" xfId="0" applyFont="1" applyBorder="1" applyAlignment="1">
      <alignment horizontal="left" vertical="center"/>
    </xf>
    <xf numFmtId="3" fontId="11" fillId="0" borderId="1" xfId="0" applyNumberFormat="1" applyFont="1" applyFill="1" applyBorder="1" applyAlignment="1">
      <alignment horizontal="center" vertical="center" wrapText="1"/>
    </xf>
    <xf numFmtId="0" fontId="14" fillId="0" borderId="39" xfId="0" applyFont="1" applyBorder="1" applyAlignment="1">
      <alignment horizontal="center" vertical="center"/>
    </xf>
    <xf numFmtId="0" fontId="7" fillId="6" borderId="18" xfId="0" applyFont="1" applyFill="1" applyBorder="1" applyAlignment="1">
      <alignment horizontal="center" vertical="center" wrapText="1"/>
    </xf>
    <xf numFmtId="0" fontId="10" fillId="0" borderId="14" xfId="0" applyFont="1" applyBorder="1" applyAlignment="1">
      <alignment horizontal="left" vertical="center"/>
    </xf>
    <xf numFmtId="0" fontId="14" fillId="0" borderId="39" xfId="0" applyFont="1" applyBorder="1" applyAlignment="1">
      <alignment horizontal="center" vertical="center"/>
    </xf>
    <xf numFmtId="3" fontId="11" fillId="0" borderId="1" xfId="0" applyNumberFormat="1" applyFont="1" applyFill="1" applyBorder="1" applyAlignment="1">
      <alignment horizontal="center" vertical="center" wrapText="1"/>
    </xf>
    <xf numFmtId="0" fontId="7" fillId="6" borderId="18" xfId="0" applyFont="1" applyFill="1" applyBorder="1" applyAlignment="1">
      <alignment horizontal="center" vertical="center" wrapText="1"/>
    </xf>
    <xf numFmtId="0" fontId="10" fillId="0" borderId="14" xfId="0" applyFont="1" applyBorder="1" applyAlignment="1">
      <alignment horizontal="left" vertical="center"/>
    </xf>
    <xf numFmtId="0" fontId="14" fillId="0" borderId="39" xfId="0" applyFont="1" applyBorder="1" applyAlignment="1">
      <alignment horizontal="center" vertical="center"/>
    </xf>
    <xf numFmtId="3" fontId="11" fillId="0" borderId="1" xfId="0" applyNumberFormat="1" applyFont="1" applyFill="1" applyBorder="1" applyAlignment="1">
      <alignment horizontal="center" vertical="center" wrapText="1"/>
    </xf>
    <xf numFmtId="0" fontId="7" fillId="6" borderId="18" xfId="0" applyFont="1" applyFill="1" applyBorder="1" applyAlignment="1">
      <alignment horizontal="center" vertical="center" wrapText="1"/>
    </xf>
    <xf numFmtId="0" fontId="10" fillId="0" borderId="14" xfId="0" applyFont="1" applyBorder="1" applyAlignment="1">
      <alignment horizontal="left" vertical="center"/>
    </xf>
    <xf numFmtId="0" fontId="14" fillId="0" borderId="39" xfId="0" applyFont="1" applyBorder="1" applyAlignment="1">
      <alignment horizontal="center" vertical="center"/>
    </xf>
    <xf numFmtId="3" fontId="11" fillId="0" borderId="1" xfId="0" applyNumberFormat="1" applyFont="1" applyFill="1" applyBorder="1" applyAlignment="1">
      <alignment horizontal="center" vertical="center" wrapText="1"/>
    </xf>
    <xf numFmtId="0" fontId="7" fillId="6" borderId="18" xfId="0" applyFont="1" applyFill="1" applyBorder="1" applyAlignment="1">
      <alignment horizontal="center" vertical="center" wrapText="1"/>
    </xf>
    <xf numFmtId="0" fontId="10" fillId="0" borderId="14" xfId="0" applyFont="1" applyBorder="1" applyAlignment="1">
      <alignment horizontal="left" vertical="center"/>
    </xf>
    <xf numFmtId="0" fontId="14" fillId="0" borderId="39" xfId="0" applyFont="1" applyBorder="1" applyAlignment="1">
      <alignment horizontal="center" vertical="center"/>
    </xf>
    <xf numFmtId="3" fontId="11" fillId="0" borderId="1" xfId="0" applyNumberFormat="1" applyFont="1" applyFill="1" applyBorder="1" applyAlignment="1">
      <alignment horizontal="center" vertical="center" wrapText="1"/>
    </xf>
    <xf numFmtId="0" fontId="7" fillId="6" borderId="18" xfId="0" applyFont="1" applyFill="1" applyBorder="1" applyAlignment="1">
      <alignment horizontal="center" vertical="center" wrapText="1"/>
    </xf>
    <xf numFmtId="0" fontId="10" fillId="0" borderId="14" xfId="0" applyFont="1" applyBorder="1" applyAlignment="1">
      <alignment horizontal="left" vertical="center"/>
    </xf>
    <xf numFmtId="0" fontId="14" fillId="0" borderId="39" xfId="0" applyFont="1" applyBorder="1" applyAlignment="1">
      <alignment horizontal="center" vertical="center"/>
    </xf>
    <xf numFmtId="3" fontId="11" fillId="0" borderId="1" xfId="0" applyNumberFormat="1" applyFont="1" applyFill="1" applyBorder="1" applyAlignment="1">
      <alignment horizontal="center" vertical="center" wrapText="1"/>
    </xf>
    <xf numFmtId="0" fontId="7" fillId="6" borderId="18" xfId="0" applyFont="1" applyFill="1" applyBorder="1" applyAlignment="1">
      <alignment horizontal="center" vertical="center" wrapText="1"/>
    </xf>
    <xf numFmtId="0" fontId="10" fillId="0" borderId="14" xfId="0" applyFont="1" applyBorder="1" applyAlignment="1">
      <alignment horizontal="left" vertical="center"/>
    </xf>
    <xf numFmtId="0" fontId="14" fillId="0" borderId="39" xfId="0" applyFont="1" applyBorder="1" applyAlignment="1">
      <alignment horizontal="center" vertical="center"/>
    </xf>
    <xf numFmtId="3" fontId="11" fillId="0" borderId="1" xfId="0" applyNumberFormat="1" applyFont="1" applyFill="1" applyBorder="1" applyAlignment="1">
      <alignment horizontal="center" vertical="center" wrapText="1"/>
    </xf>
    <xf numFmtId="0" fontId="7" fillId="6" borderId="18" xfId="0" applyFont="1" applyFill="1" applyBorder="1" applyAlignment="1">
      <alignment horizontal="center" vertical="center" wrapText="1"/>
    </xf>
    <xf numFmtId="0" fontId="10" fillId="0" borderId="14" xfId="0" applyFont="1" applyBorder="1" applyAlignment="1">
      <alignment horizontal="left" vertical="center"/>
    </xf>
    <xf numFmtId="0" fontId="14" fillId="0" borderId="39" xfId="0" applyFont="1" applyBorder="1" applyAlignment="1">
      <alignment horizontal="center" vertical="center"/>
    </xf>
    <xf numFmtId="3" fontId="11" fillId="0" borderId="1" xfId="0" applyNumberFormat="1" applyFont="1" applyFill="1" applyBorder="1" applyAlignment="1">
      <alignment horizontal="center" vertical="center" wrapText="1"/>
    </xf>
    <xf numFmtId="0" fontId="7" fillId="6" borderId="18" xfId="0" applyFont="1" applyFill="1" applyBorder="1" applyAlignment="1">
      <alignment horizontal="center" vertical="center" wrapText="1"/>
    </xf>
    <xf numFmtId="0" fontId="10" fillId="0" borderId="14" xfId="0" applyFont="1" applyBorder="1" applyAlignment="1">
      <alignment horizontal="left" vertical="center"/>
    </xf>
    <xf numFmtId="0" fontId="14" fillId="0" borderId="39" xfId="0" applyFont="1" applyBorder="1" applyAlignment="1">
      <alignment horizontal="center" vertical="center"/>
    </xf>
    <xf numFmtId="3" fontId="11" fillId="0" borderId="1" xfId="0" applyNumberFormat="1" applyFont="1" applyFill="1" applyBorder="1" applyAlignment="1">
      <alignment horizontal="center" vertical="center" wrapText="1"/>
    </xf>
    <xf numFmtId="0" fontId="7" fillId="6" borderId="18" xfId="0" applyFont="1" applyFill="1" applyBorder="1" applyAlignment="1">
      <alignment horizontal="center" vertical="center" wrapText="1"/>
    </xf>
    <xf numFmtId="0" fontId="10" fillId="0" borderId="14" xfId="0" applyFont="1" applyBorder="1" applyAlignment="1">
      <alignment horizontal="left" vertical="center"/>
    </xf>
    <xf numFmtId="0" fontId="14" fillId="0" borderId="39" xfId="0" applyFont="1" applyBorder="1" applyAlignment="1">
      <alignment horizontal="center" vertical="center"/>
    </xf>
    <xf numFmtId="3" fontId="11" fillId="0" borderId="1" xfId="0" applyNumberFormat="1" applyFont="1" applyFill="1" applyBorder="1" applyAlignment="1">
      <alignment horizontal="center" vertical="center" wrapText="1"/>
    </xf>
    <xf numFmtId="0" fontId="7" fillId="6" borderId="18" xfId="0" applyFont="1" applyFill="1" applyBorder="1" applyAlignment="1">
      <alignment horizontal="center" vertical="center" wrapText="1"/>
    </xf>
    <xf numFmtId="0" fontId="22" fillId="0" borderId="0" xfId="0" applyFont="1" applyAlignment="1" applyProtection="1">
      <alignment vertical="center"/>
      <protection locked="0"/>
    </xf>
    <xf numFmtId="0" fontId="20" fillId="0" borderId="0" xfId="0" applyFont="1" applyAlignment="1" applyProtection="1">
      <alignment horizontal="left" vertical="center" wrapText="1"/>
      <protection locked="0"/>
    </xf>
    <xf numFmtId="3" fontId="19" fillId="0" borderId="0" xfId="0" applyNumberFormat="1" applyFont="1" applyAlignment="1" applyProtection="1">
      <alignment horizontal="center" vertical="center"/>
      <protection locked="0"/>
    </xf>
    <xf numFmtId="3" fontId="20" fillId="0" borderId="0" xfId="0" applyNumberFormat="1" applyFont="1" applyAlignment="1" applyProtection="1">
      <alignment horizontal="center" vertical="center"/>
      <protection locked="0"/>
    </xf>
    <xf numFmtId="10" fontId="21" fillId="0" borderId="0" xfId="1" applyNumberFormat="1" applyFont="1" applyAlignment="1" applyProtection="1">
      <alignment horizontal="center" vertical="center"/>
      <protection locked="0"/>
    </xf>
    <xf numFmtId="3" fontId="19" fillId="0" borderId="0" xfId="0" applyNumberFormat="1" applyFont="1" applyAlignment="1" applyProtection="1">
      <alignment horizontal="center" vertical="center" wrapText="1"/>
      <protection locked="0"/>
    </xf>
    <xf numFmtId="10" fontId="20" fillId="0" borderId="0" xfId="1" applyNumberFormat="1" applyFont="1" applyAlignment="1" applyProtection="1">
      <alignment horizontal="center" vertical="center" wrapText="1"/>
      <protection locked="0"/>
    </xf>
    <xf numFmtId="3" fontId="28" fillId="0" borderId="0" xfId="0" applyNumberFormat="1" applyFont="1" applyAlignment="1" applyProtection="1">
      <alignment vertical="center" wrapText="1"/>
      <protection locked="0"/>
    </xf>
    <xf numFmtId="10" fontId="21" fillId="0" borderId="0" xfId="1" applyNumberFormat="1" applyFont="1" applyAlignment="1" applyProtection="1">
      <alignment horizontal="center" vertical="center" wrapText="1"/>
      <protection locked="0"/>
    </xf>
    <xf numFmtId="0" fontId="19" fillId="0" borderId="0" xfId="0" applyFont="1" applyAlignment="1" applyProtection="1">
      <alignment vertical="center"/>
      <protection locked="0"/>
    </xf>
    <xf numFmtId="17" fontId="22" fillId="0" borderId="0" xfId="0" applyNumberFormat="1" applyFont="1" applyAlignment="1" applyProtection="1">
      <alignment vertical="center"/>
      <protection locked="0"/>
    </xf>
    <xf numFmtId="17" fontId="22" fillId="0" borderId="0" xfId="0" applyNumberFormat="1" applyFont="1" applyAlignment="1" applyProtection="1">
      <alignment horizontal="left" vertical="center"/>
      <protection locked="0"/>
    </xf>
    <xf numFmtId="3" fontId="22" fillId="0" borderId="0" xfId="0" applyNumberFormat="1" applyFont="1" applyAlignment="1" applyProtection="1">
      <alignment horizontal="center" vertical="center"/>
      <protection locked="0"/>
    </xf>
    <xf numFmtId="9" fontId="22" fillId="0" borderId="0" xfId="1" applyFont="1" applyAlignment="1" applyProtection="1">
      <alignment horizontal="center" vertical="center"/>
      <protection locked="0"/>
    </xf>
    <xf numFmtId="10" fontId="22" fillId="0" borderId="0" xfId="1" applyNumberFormat="1" applyFont="1" applyAlignment="1" applyProtection="1">
      <alignment horizontal="center" vertical="center"/>
      <protection locked="0"/>
    </xf>
    <xf numFmtId="3" fontId="33" fillId="12" borderId="21" xfId="0" applyNumberFormat="1" applyFont="1" applyFill="1" applyBorder="1" applyAlignment="1" applyProtection="1">
      <alignment horizontal="center" vertical="center" wrapText="1"/>
      <protection locked="0"/>
    </xf>
    <xf numFmtId="0" fontId="33" fillId="12" borderId="20" xfId="0" applyNumberFormat="1" applyFont="1" applyFill="1" applyBorder="1" applyAlignment="1" applyProtection="1">
      <alignment horizontal="center" vertical="center" wrapText="1"/>
      <protection locked="0"/>
    </xf>
    <xf numFmtId="0" fontId="33" fillId="12" borderId="18" xfId="0" applyNumberFormat="1" applyFont="1" applyFill="1" applyBorder="1" applyAlignment="1" applyProtection="1">
      <alignment horizontal="center" vertical="center" wrapText="1"/>
      <protection locked="0"/>
    </xf>
    <xf numFmtId="0" fontId="33" fillId="12" borderId="21" xfId="0" applyNumberFormat="1" applyFont="1" applyFill="1" applyBorder="1" applyAlignment="1" applyProtection="1">
      <alignment horizontal="center" vertical="center" wrapText="1"/>
      <protection locked="0"/>
    </xf>
    <xf numFmtId="3" fontId="33" fillId="12" borderId="20" xfId="0" applyNumberFormat="1" applyFont="1" applyFill="1" applyBorder="1" applyAlignment="1" applyProtection="1">
      <alignment horizontal="center" vertical="center" wrapText="1"/>
      <protection locked="0"/>
    </xf>
    <xf numFmtId="10" fontId="33" fillId="12" borderId="18" xfId="1" applyNumberFormat="1" applyFont="1" applyFill="1" applyBorder="1" applyAlignment="1" applyProtection="1">
      <alignment horizontal="center" vertical="center" wrapText="1"/>
      <protection locked="0"/>
    </xf>
    <xf numFmtId="10" fontId="28" fillId="12" borderId="18" xfId="1" applyNumberFormat="1" applyFont="1" applyFill="1" applyBorder="1" applyAlignment="1" applyProtection="1">
      <alignment horizontal="center" vertical="center" wrapText="1"/>
      <protection locked="0"/>
    </xf>
    <xf numFmtId="3" fontId="33" fillId="12" borderId="19" xfId="0" applyNumberFormat="1" applyFont="1" applyFill="1" applyBorder="1" applyAlignment="1" applyProtection="1">
      <alignment horizontal="center" vertical="center" wrapText="1"/>
      <protection locked="0"/>
    </xf>
    <xf numFmtId="10" fontId="28" fillId="12" borderId="71" xfId="1" applyNumberFormat="1" applyFont="1" applyFill="1" applyBorder="1" applyAlignment="1" applyProtection="1">
      <alignment horizontal="center" vertical="center" wrapText="1"/>
      <protection locked="0"/>
    </xf>
    <xf numFmtId="0" fontId="27" fillId="0" borderId="57" xfId="0" applyFont="1" applyBorder="1" applyAlignment="1" applyProtection="1">
      <alignment horizontal="center" vertical="center"/>
      <protection locked="0"/>
    </xf>
    <xf numFmtId="0" fontId="28" fillId="0" borderId="74" xfId="0" applyFont="1" applyFill="1" applyBorder="1" applyAlignment="1" applyProtection="1">
      <alignment horizontal="left" vertical="center" wrapText="1"/>
      <protection locked="0"/>
    </xf>
    <xf numFmtId="3" fontId="30" fillId="0" borderId="7" xfId="0" applyNumberFormat="1" applyFont="1" applyFill="1" applyBorder="1" applyAlignment="1" applyProtection="1">
      <alignment horizontal="center" vertical="center"/>
      <protection locked="0"/>
    </xf>
    <xf numFmtId="3" fontId="30" fillId="0" borderId="3" xfId="0" applyNumberFormat="1" applyFont="1" applyFill="1" applyBorder="1" applyAlignment="1" applyProtection="1">
      <alignment horizontal="center" vertical="center"/>
      <protection locked="0"/>
    </xf>
    <xf numFmtId="0" fontId="27" fillId="0" borderId="59" xfId="0" applyFont="1" applyBorder="1" applyAlignment="1" applyProtection="1">
      <alignment horizontal="center" vertical="center"/>
      <protection locked="0"/>
    </xf>
    <xf numFmtId="0" fontId="28" fillId="0" borderId="62" xfId="0" applyFont="1" applyFill="1" applyBorder="1" applyAlignment="1" applyProtection="1">
      <alignment horizontal="left" vertical="center" wrapText="1"/>
      <protection locked="0"/>
    </xf>
    <xf numFmtId="3" fontId="30" fillId="0" borderId="13" xfId="0" applyNumberFormat="1" applyFont="1" applyFill="1" applyBorder="1" applyAlignment="1" applyProtection="1">
      <alignment horizontal="center" vertical="center"/>
      <protection locked="0"/>
    </xf>
    <xf numFmtId="3" fontId="30" fillId="0" borderId="11" xfId="0" applyNumberFormat="1" applyFont="1" applyFill="1" applyBorder="1" applyAlignment="1" applyProtection="1">
      <alignment horizontal="center" vertical="center"/>
      <protection locked="0"/>
    </xf>
    <xf numFmtId="0" fontId="28" fillId="0" borderId="59" xfId="0" applyFont="1" applyBorder="1" applyAlignment="1" applyProtection="1">
      <alignment horizontal="center" vertical="center"/>
      <protection locked="0"/>
    </xf>
    <xf numFmtId="0" fontId="30" fillId="0" borderId="62" xfId="0" applyFont="1" applyFill="1" applyBorder="1" applyAlignment="1" applyProtection="1">
      <alignment horizontal="left" vertical="center" wrapText="1"/>
      <protection locked="0"/>
    </xf>
    <xf numFmtId="3" fontId="30" fillId="0" borderId="13" xfId="1" applyNumberFormat="1" applyFont="1" applyFill="1" applyBorder="1" applyAlignment="1" applyProtection="1">
      <alignment horizontal="center" vertical="center"/>
      <protection locked="0"/>
    </xf>
    <xf numFmtId="0" fontId="27" fillId="0" borderId="60" xfId="0" applyFont="1" applyBorder="1" applyAlignment="1" applyProtection="1">
      <alignment horizontal="center" vertical="center"/>
      <protection locked="0"/>
    </xf>
    <xf numFmtId="0" fontId="30" fillId="0" borderId="71" xfId="0" applyFont="1" applyFill="1" applyBorder="1" applyAlignment="1" applyProtection="1">
      <alignment horizontal="left" vertical="center" wrapText="1"/>
      <protection locked="0"/>
    </xf>
    <xf numFmtId="3" fontId="30" fillId="0" borderId="20" xfId="0" applyNumberFormat="1" applyFont="1" applyFill="1" applyBorder="1" applyAlignment="1" applyProtection="1">
      <alignment horizontal="center" vertical="center"/>
      <protection locked="0"/>
    </xf>
    <xf numFmtId="3" fontId="30" fillId="0" borderId="18" xfId="0" applyNumberFormat="1" applyFont="1" applyFill="1" applyBorder="1" applyAlignment="1" applyProtection="1">
      <alignment horizontal="center" vertical="center"/>
      <protection locked="0"/>
    </xf>
    <xf numFmtId="3" fontId="30" fillId="0" borderId="20" xfId="1" applyNumberFormat="1" applyFont="1" applyFill="1" applyBorder="1" applyAlignment="1" applyProtection="1">
      <alignment horizontal="center" vertical="center"/>
      <protection locked="0"/>
    </xf>
    <xf numFmtId="0" fontId="28" fillId="0" borderId="62" xfId="0" applyFont="1" applyFill="1" applyBorder="1" applyAlignment="1" applyProtection="1">
      <alignment horizontal="left" vertical="center"/>
      <protection locked="0"/>
    </xf>
    <xf numFmtId="0" fontId="28" fillId="0" borderId="71" xfId="0" applyFont="1" applyFill="1" applyBorder="1" applyAlignment="1" applyProtection="1">
      <alignment horizontal="left" vertical="center" wrapText="1"/>
      <protection locked="0"/>
    </xf>
    <xf numFmtId="10" fontId="20" fillId="0" borderId="0" xfId="1" applyNumberFormat="1" applyFont="1" applyAlignment="1" applyProtection="1">
      <alignment horizontal="center" vertical="center"/>
      <protection locked="0"/>
    </xf>
    <xf numFmtId="10" fontId="31" fillId="0" borderId="11" xfId="1" applyNumberFormat="1" applyFont="1" applyFill="1" applyBorder="1" applyAlignment="1" applyProtection="1">
      <alignment horizontal="center" vertical="center"/>
    </xf>
    <xf numFmtId="10" fontId="31" fillId="0" borderId="18" xfId="1" applyNumberFormat="1" applyFont="1" applyFill="1" applyBorder="1" applyAlignment="1" applyProtection="1">
      <alignment horizontal="center" vertical="center"/>
    </xf>
    <xf numFmtId="10" fontId="31" fillId="0" borderId="11" xfId="1" applyNumberFormat="1" applyFont="1" applyFill="1" applyBorder="1" applyAlignment="1" applyProtection="1">
      <alignment horizontal="center" vertical="center" wrapText="1"/>
    </xf>
    <xf numFmtId="0" fontId="20" fillId="0" borderId="0" xfId="0" applyFont="1" applyAlignment="1" applyProtection="1">
      <alignment horizontal="center" vertical="center" wrapText="1"/>
      <protection locked="0"/>
    </xf>
    <xf numFmtId="3" fontId="22" fillId="0" borderId="0" xfId="0" applyNumberFormat="1" applyFont="1" applyFill="1" applyAlignment="1" applyProtection="1">
      <alignment horizontal="center" vertical="center"/>
      <protection locked="0"/>
    </xf>
    <xf numFmtId="0" fontId="27" fillId="0" borderId="1" xfId="0" applyFont="1" applyBorder="1" applyAlignment="1" applyProtection="1">
      <alignment horizontal="center" vertical="center"/>
      <protection locked="0"/>
    </xf>
    <xf numFmtId="0" fontId="30" fillId="8" borderId="28" xfId="0" applyFont="1" applyFill="1" applyBorder="1" applyAlignment="1" applyProtection="1">
      <alignment vertical="center"/>
      <protection locked="0"/>
    </xf>
    <xf numFmtId="3" fontId="30" fillId="8" borderId="36" xfId="0" applyNumberFormat="1" applyFont="1" applyFill="1" applyBorder="1" applyAlignment="1" applyProtection="1">
      <alignment horizontal="center" vertical="center"/>
      <protection locked="0"/>
    </xf>
    <xf numFmtId="3" fontId="30" fillId="8" borderId="70" xfId="0" applyNumberFormat="1" applyFont="1" applyFill="1" applyBorder="1" applyAlignment="1" applyProtection="1">
      <alignment horizontal="center" vertical="center"/>
      <protection locked="0"/>
    </xf>
    <xf numFmtId="3" fontId="30" fillId="8" borderId="26" xfId="0" applyNumberFormat="1" applyFont="1" applyFill="1" applyBorder="1" applyAlignment="1" applyProtection="1">
      <alignment horizontal="center" vertical="center"/>
      <protection locked="0"/>
    </xf>
    <xf numFmtId="3" fontId="30" fillId="0" borderId="28" xfId="0" applyNumberFormat="1" applyFont="1" applyFill="1" applyBorder="1" applyAlignment="1" applyProtection="1">
      <alignment horizontal="center" vertical="center"/>
      <protection locked="0"/>
    </xf>
    <xf numFmtId="0" fontId="27" fillId="0" borderId="9" xfId="0" applyFont="1" applyBorder="1" applyAlignment="1" applyProtection="1">
      <alignment horizontal="center" vertical="center"/>
      <protection locked="0"/>
    </xf>
    <xf numFmtId="0" fontId="30" fillId="8" borderId="11" xfId="0" applyFont="1" applyFill="1" applyBorder="1" applyAlignment="1" applyProtection="1">
      <alignment vertical="center"/>
      <protection locked="0"/>
    </xf>
    <xf numFmtId="3" fontId="30" fillId="8" borderId="10" xfId="0" applyNumberFormat="1" applyFont="1" applyFill="1" applyBorder="1" applyAlignment="1" applyProtection="1">
      <alignment horizontal="center" vertical="center"/>
      <protection locked="0"/>
    </xf>
    <xf numFmtId="3" fontId="30" fillId="8" borderId="62" xfId="0" applyNumberFormat="1" applyFont="1" applyFill="1" applyBorder="1" applyAlignment="1" applyProtection="1">
      <alignment horizontal="center" vertical="center"/>
      <protection locked="0"/>
    </xf>
    <xf numFmtId="3" fontId="30" fillId="8" borderId="13" xfId="0" applyNumberFormat="1" applyFont="1" applyFill="1" applyBorder="1" applyAlignment="1" applyProtection="1">
      <alignment horizontal="center" vertical="center"/>
      <protection locked="0"/>
    </xf>
    <xf numFmtId="0" fontId="30" fillId="8" borderId="34" xfId="0" applyFont="1" applyFill="1" applyBorder="1" applyAlignment="1" applyProtection="1">
      <alignment vertical="center"/>
      <protection locked="0"/>
    </xf>
    <xf numFmtId="3" fontId="30" fillId="8" borderId="17" xfId="0" applyNumberFormat="1" applyFont="1" applyFill="1" applyBorder="1" applyAlignment="1" applyProtection="1">
      <alignment horizontal="center" vertical="center"/>
      <protection locked="0"/>
    </xf>
    <xf numFmtId="3" fontId="30" fillId="8" borderId="69" xfId="0" applyNumberFormat="1" applyFont="1" applyFill="1" applyBorder="1" applyAlignment="1" applyProtection="1">
      <alignment horizontal="center" vertical="center"/>
      <protection locked="0"/>
    </xf>
    <xf numFmtId="3" fontId="30" fillId="8" borderId="40" xfId="0" applyNumberFormat="1" applyFont="1" applyFill="1" applyBorder="1" applyAlignment="1" applyProtection="1">
      <alignment horizontal="center" vertical="center"/>
      <protection locked="0"/>
    </xf>
    <xf numFmtId="10" fontId="31" fillId="0" borderId="37" xfId="1" applyNumberFormat="1" applyFont="1" applyFill="1" applyBorder="1" applyAlignment="1" applyProtection="1">
      <alignment horizontal="center" vertical="center"/>
      <protection locked="0"/>
    </xf>
    <xf numFmtId="3" fontId="28" fillId="11" borderId="48" xfId="0" applyNumberFormat="1" applyFont="1" applyFill="1" applyBorder="1" applyAlignment="1" applyProtection="1">
      <alignment horizontal="center" vertical="center"/>
      <protection locked="0"/>
    </xf>
    <xf numFmtId="3" fontId="28" fillId="11" borderId="63" xfId="0" applyNumberFormat="1" applyFont="1" applyFill="1" applyBorder="1" applyAlignment="1" applyProtection="1">
      <alignment horizontal="center" vertical="center"/>
      <protection locked="0"/>
    </xf>
    <xf numFmtId="0" fontId="30" fillId="8" borderId="34" xfId="0" applyFont="1" applyFill="1" applyBorder="1" applyAlignment="1" applyProtection="1">
      <alignment vertical="center" wrapText="1"/>
      <protection locked="0"/>
    </xf>
    <xf numFmtId="3" fontId="30" fillId="8" borderId="35" xfId="0" applyNumberFormat="1" applyFont="1" applyFill="1" applyBorder="1" applyAlignment="1" applyProtection="1">
      <alignment horizontal="center" vertical="center"/>
      <protection locked="0"/>
    </xf>
    <xf numFmtId="3" fontId="30" fillId="8" borderId="64" xfId="0" applyNumberFormat="1" applyFont="1" applyFill="1" applyBorder="1" applyAlignment="1" applyProtection="1">
      <alignment horizontal="center" vertical="center"/>
      <protection locked="0"/>
    </xf>
    <xf numFmtId="3" fontId="30" fillId="8" borderId="38" xfId="0" applyNumberFormat="1" applyFont="1" applyFill="1" applyBorder="1" applyAlignment="1" applyProtection="1">
      <alignment horizontal="center" vertical="center"/>
      <protection locked="0"/>
    </xf>
    <xf numFmtId="3" fontId="30" fillId="0" borderId="31" xfId="0" applyNumberFormat="1" applyFont="1" applyFill="1" applyBorder="1" applyAlignment="1" applyProtection="1">
      <alignment horizontal="center" vertical="center"/>
      <protection locked="0"/>
    </xf>
    <xf numFmtId="16" fontId="30" fillId="8" borderId="28" xfId="0" applyNumberFormat="1" applyFont="1" applyFill="1" applyBorder="1" applyAlignment="1" applyProtection="1">
      <alignment vertical="center"/>
      <protection locked="0"/>
    </xf>
    <xf numFmtId="16" fontId="30" fillId="8" borderId="11" xfId="0" applyNumberFormat="1" applyFont="1" applyFill="1" applyBorder="1" applyAlignment="1" applyProtection="1">
      <alignment vertical="center"/>
      <protection locked="0"/>
    </xf>
    <xf numFmtId="16" fontId="30" fillId="8" borderId="34" xfId="0" applyNumberFormat="1" applyFont="1" applyFill="1" applyBorder="1" applyAlignment="1" applyProtection="1">
      <alignment vertical="center"/>
      <protection locked="0"/>
    </xf>
    <xf numFmtId="0" fontId="18" fillId="0" borderId="0" xfId="0" applyFont="1" applyAlignment="1" applyProtection="1">
      <alignment vertical="center"/>
      <protection locked="0"/>
    </xf>
    <xf numFmtId="0" fontId="30" fillId="8" borderId="11" xfId="0" applyFont="1" applyFill="1" applyBorder="1" applyAlignment="1" applyProtection="1">
      <alignment vertical="center" wrapText="1"/>
      <protection locked="0"/>
    </xf>
    <xf numFmtId="0" fontId="30" fillId="8" borderId="28" xfId="0" applyFont="1" applyFill="1" applyBorder="1" applyAlignment="1" applyProtection="1">
      <alignment vertical="center" wrapText="1"/>
      <protection locked="0"/>
    </xf>
    <xf numFmtId="0" fontId="30" fillId="0" borderId="28" xfId="0" applyFont="1" applyFill="1" applyBorder="1" applyAlignment="1" applyProtection="1">
      <alignment horizontal="left" vertical="center"/>
      <protection locked="0"/>
    </xf>
    <xf numFmtId="0" fontId="30" fillId="0" borderId="11" xfId="0" applyFont="1" applyFill="1" applyBorder="1" applyAlignment="1" applyProtection="1">
      <alignment horizontal="left" vertical="center" wrapText="1"/>
      <protection locked="0"/>
    </xf>
    <xf numFmtId="0" fontId="30" fillId="0" borderId="34" xfId="0" applyFont="1" applyFill="1" applyBorder="1" applyAlignment="1" applyProtection="1">
      <alignment horizontal="left" vertical="center" wrapText="1"/>
      <protection locked="0"/>
    </xf>
    <xf numFmtId="0" fontId="30" fillId="0" borderId="34" xfId="0" applyFont="1" applyFill="1" applyBorder="1" applyAlignment="1" applyProtection="1">
      <alignment horizontal="left" vertical="center"/>
      <protection locked="0"/>
    </xf>
    <xf numFmtId="0" fontId="28" fillId="8" borderId="11" xfId="0" applyFont="1" applyFill="1" applyBorder="1" applyAlignment="1" applyProtection="1">
      <alignment vertical="center" wrapText="1"/>
      <protection locked="0"/>
    </xf>
    <xf numFmtId="0" fontId="28" fillId="11" borderId="42" xfId="0" applyFont="1" applyFill="1" applyBorder="1" applyAlignment="1" applyProtection="1">
      <alignment vertical="center"/>
      <protection locked="0"/>
    </xf>
    <xf numFmtId="0" fontId="30" fillId="0" borderId="11" xfId="0" applyFont="1" applyFill="1" applyBorder="1" applyAlignment="1" applyProtection="1">
      <alignment horizontal="left" vertical="center"/>
      <protection locked="0"/>
    </xf>
    <xf numFmtId="0" fontId="28" fillId="8" borderId="18" xfId="0" applyFont="1" applyFill="1" applyBorder="1" applyAlignment="1" applyProtection="1">
      <alignment vertical="center" wrapText="1"/>
      <protection locked="0"/>
    </xf>
    <xf numFmtId="0" fontId="28" fillId="11" borderId="1" xfId="0" applyFont="1" applyFill="1" applyBorder="1" applyAlignment="1" applyProtection="1">
      <alignment vertical="center"/>
      <protection locked="0"/>
    </xf>
    <xf numFmtId="3" fontId="28" fillId="11" borderId="50" xfId="0" applyNumberFormat="1" applyFont="1" applyFill="1" applyBorder="1" applyAlignment="1" applyProtection="1">
      <alignment horizontal="center" vertical="center"/>
      <protection locked="0"/>
    </xf>
    <xf numFmtId="3" fontId="28" fillId="11" borderId="6" xfId="0" applyNumberFormat="1" applyFont="1" applyFill="1" applyBorder="1" applyAlignment="1" applyProtection="1">
      <alignment horizontal="center" vertical="center"/>
      <protection locked="0"/>
    </xf>
    <xf numFmtId="3" fontId="28" fillId="9" borderId="48" xfId="0" applyNumberFormat="1" applyFont="1" applyFill="1" applyBorder="1" applyAlignment="1" applyProtection="1">
      <alignment horizontal="center" vertical="center"/>
      <protection locked="0"/>
    </xf>
    <xf numFmtId="3" fontId="28" fillId="9" borderId="63" xfId="0" applyNumberFormat="1" applyFont="1" applyFill="1" applyBorder="1" applyAlignment="1" applyProtection="1">
      <alignment horizontal="center" vertical="center"/>
      <protection locked="0"/>
    </xf>
    <xf numFmtId="0" fontId="30" fillId="0" borderId="31" xfId="0" applyFont="1" applyFill="1" applyBorder="1" applyAlignment="1" applyProtection="1">
      <alignment horizontal="left" vertical="center" wrapText="1"/>
      <protection locked="0"/>
    </xf>
    <xf numFmtId="0" fontId="30" fillId="8" borderId="28" xfId="0" applyFont="1" applyFill="1" applyBorder="1" applyAlignment="1" applyProtection="1">
      <alignment horizontal="left" vertical="center"/>
      <protection locked="0"/>
    </xf>
    <xf numFmtId="0" fontId="30" fillId="8" borderId="11" xfId="0" applyFont="1" applyFill="1" applyBorder="1" applyAlignment="1" applyProtection="1">
      <alignment horizontal="left" vertical="center"/>
      <protection locked="0"/>
    </xf>
    <xf numFmtId="0" fontId="30" fillId="8" borderId="34" xfId="0" applyFont="1" applyFill="1" applyBorder="1" applyAlignment="1" applyProtection="1">
      <alignment horizontal="left" vertical="center"/>
      <protection locked="0"/>
    </xf>
    <xf numFmtId="0" fontId="30" fillId="8" borderId="28" xfId="0" applyFont="1" applyFill="1" applyBorder="1" applyAlignment="1" applyProtection="1">
      <alignment horizontal="left" vertical="center" wrapText="1"/>
      <protection locked="0"/>
    </xf>
    <xf numFmtId="3" fontId="30" fillId="0" borderId="70" xfId="0" applyNumberFormat="1" applyFont="1" applyFill="1" applyBorder="1" applyAlignment="1" applyProtection="1">
      <alignment horizontal="center" vertical="center"/>
      <protection locked="0"/>
    </xf>
    <xf numFmtId="3" fontId="30" fillId="0" borderId="62" xfId="0" applyNumberFormat="1" applyFont="1" applyFill="1" applyBorder="1" applyAlignment="1" applyProtection="1">
      <alignment horizontal="center" vertical="center"/>
      <protection locked="0"/>
    </xf>
    <xf numFmtId="3" fontId="30" fillId="0" borderId="69" xfId="0" applyNumberFormat="1" applyFont="1" applyFill="1" applyBorder="1" applyAlignment="1" applyProtection="1">
      <alignment horizontal="center" vertical="center"/>
      <protection locked="0"/>
    </xf>
    <xf numFmtId="0" fontId="27" fillId="0" borderId="16" xfId="0" applyFont="1" applyBorder="1" applyAlignment="1" applyProtection="1">
      <alignment horizontal="center" vertical="center"/>
      <protection locked="0"/>
    </xf>
    <xf numFmtId="0" fontId="24" fillId="0" borderId="0" xfId="0" applyFont="1" applyAlignment="1" applyProtection="1">
      <alignment vertical="center"/>
      <protection locked="0"/>
    </xf>
    <xf numFmtId="3" fontId="28" fillId="11" borderId="48" xfId="0" applyNumberFormat="1" applyFont="1" applyFill="1" applyBorder="1" applyAlignment="1" applyProtection="1">
      <alignment horizontal="center" vertical="center"/>
    </xf>
    <xf numFmtId="3" fontId="28" fillId="11" borderId="46" xfId="0" applyNumberFormat="1" applyFont="1" applyFill="1" applyBorder="1" applyAlignment="1" applyProtection="1">
      <alignment horizontal="center" vertical="center"/>
    </xf>
    <xf numFmtId="3" fontId="28" fillId="11" borderId="47" xfId="0" applyNumberFormat="1" applyFont="1" applyFill="1" applyBorder="1" applyAlignment="1" applyProtection="1">
      <alignment horizontal="center" vertical="center"/>
    </xf>
    <xf numFmtId="3" fontId="28" fillId="11" borderId="63" xfId="0" applyNumberFormat="1" applyFont="1" applyFill="1" applyBorder="1" applyAlignment="1" applyProtection="1">
      <alignment horizontal="center" vertical="center"/>
    </xf>
    <xf numFmtId="3" fontId="27" fillId="13" borderId="46" xfId="0" applyNumberFormat="1" applyFont="1" applyFill="1" applyBorder="1" applyAlignment="1" applyProtection="1">
      <alignment horizontal="center" vertical="center"/>
    </xf>
    <xf numFmtId="3" fontId="27" fillId="13" borderId="47" xfId="0" applyNumberFormat="1" applyFont="1" applyFill="1" applyBorder="1" applyAlignment="1" applyProtection="1">
      <alignment horizontal="center" vertical="center"/>
    </xf>
    <xf numFmtId="3" fontId="27" fillId="13" borderId="48" xfId="0" applyNumberFormat="1" applyFont="1" applyFill="1" applyBorder="1" applyAlignment="1" applyProtection="1">
      <alignment horizontal="center" vertical="center"/>
    </xf>
    <xf numFmtId="3" fontId="27" fillId="13" borderId="63" xfId="0" applyNumberFormat="1" applyFont="1" applyFill="1" applyBorder="1" applyAlignment="1" applyProtection="1">
      <alignment horizontal="center" vertical="center"/>
    </xf>
    <xf numFmtId="3" fontId="28" fillId="16" borderId="46" xfId="0" applyNumberFormat="1" applyFont="1" applyFill="1" applyBorder="1" applyAlignment="1" applyProtection="1">
      <alignment horizontal="center" vertical="center"/>
    </xf>
    <xf numFmtId="3" fontId="28" fillId="16" borderId="47" xfId="0" applyNumberFormat="1" applyFont="1" applyFill="1" applyBorder="1" applyAlignment="1" applyProtection="1">
      <alignment horizontal="center" vertical="center"/>
    </xf>
    <xf numFmtId="3" fontId="28" fillId="16" borderId="48" xfId="0" applyNumberFormat="1" applyFont="1" applyFill="1" applyBorder="1" applyAlignment="1" applyProtection="1">
      <alignment horizontal="center" vertical="center"/>
    </xf>
    <xf numFmtId="3" fontId="28" fillId="16" borderId="63" xfId="0" applyNumberFormat="1" applyFont="1" applyFill="1" applyBorder="1" applyAlignment="1" applyProtection="1">
      <alignment horizontal="center" vertical="center"/>
    </xf>
    <xf numFmtId="3" fontId="28" fillId="8" borderId="36" xfId="0" applyNumberFormat="1" applyFont="1" applyFill="1" applyBorder="1" applyAlignment="1" applyProtection="1">
      <alignment horizontal="center" vertical="center"/>
    </xf>
    <xf numFmtId="3" fontId="28" fillId="8" borderId="10" xfId="0" applyNumberFormat="1" applyFont="1" applyFill="1" applyBorder="1" applyAlignment="1" applyProtection="1">
      <alignment horizontal="center" vertical="center"/>
    </xf>
    <xf numFmtId="3" fontId="28" fillId="8" borderId="17" xfId="0" applyNumberFormat="1" applyFont="1" applyFill="1" applyBorder="1" applyAlignment="1" applyProtection="1">
      <alignment horizontal="center" vertical="center"/>
    </xf>
    <xf numFmtId="3" fontId="28" fillId="8" borderId="35" xfId="0" applyNumberFormat="1" applyFont="1" applyFill="1" applyBorder="1" applyAlignment="1" applyProtection="1">
      <alignment horizontal="center" vertical="center"/>
    </xf>
    <xf numFmtId="10" fontId="31" fillId="0" borderId="25" xfId="1" applyNumberFormat="1" applyFont="1" applyFill="1" applyBorder="1" applyAlignment="1" applyProtection="1">
      <alignment horizontal="center" vertical="center"/>
    </xf>
    <xf numFmtId="10" fontId="31" fillId="0" borderId="12" xfId="1" applyNumberFormat="1" applyFont="1" applyFill="1" applyBorder="1" applyAlignment="1" applyProtection="1">
      <alignment horizontal="center" vertical="center"/>
    </xf>
    <xf numFmtId="10" fontId="31" fillId="0" borderId="37" xfId="1" applyNumberFormat="1" applyFont="1" applyFill="1" applyBorder="1" applyAlignment="1" applyProtection="1">
      <alignment horizontal="center" vertical="center"/>
    </xf>
    <xf numFmtId="10" fontId="28" fillId="11" borderId="45" xfId="1" applyNumberFormat="1" applyFont="1" applyFill="1" applyBorder="1" applyAlignment="1" applyProtection="1">
      <alignment horizontal="center" vertical="center"/>
    </xf>
    <xf numFmtId="10" fontId="31" fillId="0" borderId="32" xfId="1" applyNumberFormat="1" applyFont="1" applyFill="1" applyBorder="1" applyAlignment="1" applyProtection="1">
      <alignment horizontal="center" vertical="center"/>
    </xf>
    <xf numFmtId="10" fontId="27" fillId="13" borderId="45" xfId="1" applyNumberFormat="1" applyFont="1" applyFill="1" applyBorder="1" applyAlignment="1" applyProtection="1">
      <alignment horizontal="center" vertical="center"/>
    </xf>
    <xf numFmtId="10" fontId="28" fillId="16" borderId="45" xfId="1" applyNumberFormat="1" applyFont="1" applyFill="1" applyBorder="1" applyAlignment="1" applyProtection="1">
      <alignment horizontal="center" vertical="center"/>
    </xf>
    <xf numFmtId="10" fontId="31" fillId="0" borderId="28" xfId="1" applyNumberFormat="1" applyFont="1" applyFill="1" applyBorder="1" applyAlignment="1" applyProtection="1">
      <alignment horizontal="center" vertical="center" wrapText="1"/>
    </xf>
    <xf numFmtId="10" fontId="31" fillId="0" borderId="34" xfId="1" applyNumberFormat="1" applyFont="1" applyFill="1" applyBorder="1" applyAlignment="1" applyProtection="1">
      <alignment horizontal="center" vertical="center" wrapText="1"/>
    </xf>
    <xf numFmtId="10" fontId="28" fillId="11" borderId="47" xfId="1" applyNumberFormat="1" applyFont="1" applyFill="1" applyBorder="1" applyAlignment="1" applyProtection="1">
      <alignment horizontal="center" vertical="center"/>
    </xf>
    <xf numFmtId="10" fontId="31" fillId="0" borderId="28" xfId="1" applyNumberFormat="1" applyFont="1" applyFill="1" applyBorder="1" applyAlignment="1" applyProtection="1">
      <alignment horizontal="center" vertical="center"/>
    </xf>
    <xf numFmtId="10" fontId="31" fillId="0" borderId="34" xfId="1" applyNumberFormat="1" applyFont="1" applyFill="1" applyBorder="1" applyAlignment="1" applyProtection="1">
      <alignment horizontal="center" vertical="center"/>
    </xf>
    <xf numFmtId="10" fontId="31" fillId="0" borderId="31" xfId="1" applyNumberFormat="1" applyFont="1" applyFill="1" applyBorder="1" applyAlignment="1" applyProtection="1">
      <alignment horizontal="center" vertical="center"/>
    </xf>
    <xf numFmtId="10" fontId="27" fillId="13" borderId="47" xfId="1" applyNumberFormat="1" applyFont="1" applyFill="1" applyBorder="1" applyAlignment="1" applyProtection="1">
      <alignment horizontal="center" vertical="center"/>
    </xf>
    <xf numFmtId="10" fontId="28" fillId="16" borderId="47" xfId="1" applyNumberFormat="1" applyFont="1" applyFill="1" applyBorder="1" applyAlignment="1" applyProtection="1">
      <alignment horizontal="center" vertical="center"/>
    </xf>
    <xf numFmtId="10" fontId="31" fillId="8" borderId="28" xfId="1" applyNumberFormat="1" applyFont="1" applyFill="1" applyBorder="1" applyAlignment="1" applyProtection="1">
      <alignment horizontal="center" vertical="center"/>
    </xf>
    <xf numFmtId="10" fontId="31" fillId="8" borderId="11" xfId="1" applyNumberFormat="1" applyFont="1" applyFill="1" applyBorder="1" applyAlignment="1" applyProtection="1">
      <alignment horizontal="center" vertical="center"/>
    </xf>
    <xf numFmtId="10" fontId="31" fillId="8" borderId="34" xfId="1" applyNumberFormat="1" applyFont="1" applyFill="1" applyBorder="1" applyAlignment="1" applyProtection="1">
      <alignment horizontal="center" vertical="center"/>
    </xf>
    <xf numFmtId="10" fontId="31" fillId="8" borderId="31" xfId="1" applyNumberFormat="1" applyFont="1" applyFill="1" applyBorder="1" applyAlignment="1" applyProtection="1">
      <alignment horizontal="center" vertical="center"/>
    </xf>
    <xf numFmtId="10" fontId="28" fillId="11" borderId="4" xfId="1" applyNumberFormat="1" applyFont="1" applyFill="1" applyBorder="1" applyAlignment="1" applyProtection="1">
      <alignment horizontal="center" vertical="center"/>
    </xf>
    <xf numFmtId="10" fontId="28" fillId="11" borderId="27" xfId="1" applyNumberFormat="1" applyFont="1" applyFill="1" applyBorder="1" applyAlignment="1" applyProtection="1">
      <alignment horizontal="center" vertical="center"/>
    </xf>
    <xf numFmtId="10" fontId="28" fillId="9" borderId="45" xfId="1" applyNumberFormat="1" applyFont="1" applyFill="1" applyBorder="1" applyAlignment="1" applyProtection="1">
      <alignment horizontal="center" vertical="center"/>
    </xf>
    <xf numFmtId="10" fontId="28" fillId="9" borderId="47" xfId="1" applyNumberFormat="1" applyFont="1" applyFill="1" applyBorder="1" applyAlignment="1" applyProtection="1">
      <alignment horizontal="center" vertical="center"/>
    </xf>
    <xf numFmtId="10" fontId="28" fillId="0" borderId="25" xfId="1" applyNumberFormat="1" applyFont="1" applyFill="1" applyBorder="1" applyAlignment="1" applyProtection="1">
      <alignment horizontal="center" vertical="center"/>
    </xf>
    <xf numFmtId="10" fontId="28" fillId="0" borderId="28" xfId="1" applyNumberFormat="1" applyFont="1" applyFill="1" applyBorder="1" applyAlignment="1" applyProtection="1">
      <alignment horizontal="center" vertical="center"/>
    </xf>
    <xf numFmtId="10" fontId="28" fillId="0" borderId="12" xfId="1" applyNumberFormat="1" applyFont="1" applyFill="1" applyBorder="1" applyAlignment="1" applyProtection="1">
      <alignment horizontal="center" vertical="center"/>
    </xf>
    <xf numFmtId="10" fontId="28" fillId="0" borderId="11" xfId="1" applyNumberFormat="1" applyFont="1" applyFill="1" applyBorder="1" applyAlignment="1" applyProtection="1">
      <alignment horizontal="center" vertical="center"/>
    </xf>
    <xf numFmtId="10" fontId="28" fillId="0" borderId="37" xfId="1" applyNumberFormat="1" applyFont="1" applyFill="1" applyBorder="1" applyAlignment="1" applyProtection="1">
      <alignment horizontal="center" vertical="center"/>
    </xf>
    <xf numFmtId="10" fontId="28" fillId="0" borderId="34" xfId="1" applyNumberFormat="1" applyFont="1" applyFill="1" applyBorder="1" applyAlignment="1" applyProtection="1">
      <alignment horizontal="center" vertical="center"/>
    </xf>
    <xf numFmtId="3" fontId="28" fillId="11" borderId="5" xfId="0" applyNumberFormat="1" applyFont="1" applyFill="1" applyBorder="1" applyAlignment="1" applyProtection="1">
      <alignment horizontal="center" vertical="center"/>
    </xf>
    <xf numFmtId="3" fontId="28" fillId="11" borderId="50" xfId="0" applyNumberFormat="1" applyFont="1" applyFill="1" applyBorder="1" applyAlignment="1" applyProtection="1">
      <alignment horizontal="center" vertical="center"/>
    </xf>
    <xf numFmtId="3" fontId="28" fillId="11" borderId="27" xfId="0" applyNumberFormat="1" applyFont="1" applyFill="1" applyBorder="1" applyAlignment="1" applyProtection="1">
      <alignment horizontal="center" vertical="center"/>
    </xf>
    <xf numFmtId="3" fontId="28" fillId="9" borderId="46" xfId="0" applyNumberFormat="1" applyFont="1" applyFill="1" applyBorder="1" applyAlignment="1" applyProtection="1">
      <alignment horizontal="center" vertical="center"/>
    </xf>
    <xf numFmtId="3" fontId="28" fillId="9" borderId="48" xfId="0" applyNumberFormat="1" applyFont="1" applyFill="1" applyBorder="1" applyAlignment="1" applyProtection="1">
      <alignment horizontal="center" vertical="center"/>
    </xf>
    <xf numFmtId="3" fontId="28" fillId="9" borderId="47" xfId="0" applyNumberFormat="1" applyFont="1" applyFill="1" applyBorder="1" applyAlignment="1" applyProtection="1">
      <alignment horizontal="center" vertical="center"/>
    </xf>
    <xf numFmtId="10" fontId="28" fillId="8" borderId="28" xfId="1" applyNumberFormat="1" applyFont="1" applyFill="1" applyBorder="1" applyAlignment="1" applyProtection="1">
      <alignment horizontal="center" vertical="center"/>
    </xf>
    <xf numFmtId="10" fontId="28" fillId="8" borderId="11" xfId="1" applyNumberFormat="1" applyFont="1" applyFill="1" applyBorder="1" applyAlignment="1" applyProtection="1">
      <alignment horizontal="center" vertical="center"/>
    </xf>
    <xf numFmtId="10" fontId="28" fillId="8" borderId="34" xfId="1" applyNumberFormat="1" applyFont="1" applyFill="1" applyBorder="1" applyAlignment="1" applyProtection="1">
      <alignment horizontal="center" vertical="center"/>
    </xf>
    <xf numFmtId="3" fontId="32" fillId="14" borderId="79" xfId="0" applyNumberFormat="1" applyFont="1" applyFill="1" applyBorder="1" applyAlignment="1" applyProtection="1">
      <alignment horizontal="center" vertical="center"/>
    </xf>
    <xf numFmtId="10" fontId="32" fillId="14" borderId="79" xfId="1" applyNumberFormat="1" applyFont="1" applyFill="1" applyBorder="1" applyAlignment="1" applyProtection="1">
      <alignment horizontal="center" vertical="center"/>
    </xf>
    <xf numFmtId="4" fontId="19" fillId="0" borderId="0" xfId="0" applyNumberFormat="1" applyFont="1" applyAlignment="1" applyProtection="1">
      <alignment horizontal="right" vertical="center"/>
      <protection locked="0"/>
    </xf>
    <xf numFmtId="4" fontId="20" fillId="0" borderId="0" xfId="0" applyNumberFormat="1" applyFont="1" applyAlignment="1" applyProtection="1">
      <alignment horizontal="right" vertical="center"/>
      <protection locked="0"/>
    </xf>
    <xf numFmtId="4" fontId="22" fillId="0" borderId="0" xfId="0" applyNumberFormat="1" applyFont="1" applyAlignment="1" applyProtection="1">
      <alignment horizontal="right" vertical="center"/>
      <protection locked="0"/>
    </xf>
    <xf numFmtId="4" fontId="28" fillId="12" borderId="17" xfId="0" applyNumberFormat="1" applyFont="1" applyFill="1" applyBorder="1" applyAlignment="1" applyProtection="1">
      <alignment horizontal="center" vertical="center" wrapText="1"/>
      <protection locked="0"/>
    </xf>
    <xf numFmtId="4" fontId="30" fillId="0" borderId="25" xfId="1" applyNumberFormat="1" applyFont="1" applyFill="1" applyBorder="1" applyAlignment="1" applyProtection="1">
      <alignment horizontal="right" vertical="center"/>
      <protection locked="0"/>
    </xf>
    <xf numFmtId="4" fontId="30" fillId="0" borderId="36" xfId="0" applyNumberFormat="1" applyFont="1" applyFill="1" applyBorder="1" applyAlignment="1" applyProtection="1">
      <alignment horizontal="right" vertical="center" wrapText="1"/>
      <protection locked="0"/>
    </xf>
    <xf numFmtId="4" fontId="28" fillId="0" borderId="26" xfId="0" applyNumberFormat="1" applyFont="1" applyFill="1" applyBorder="1" applyAlignment="1" applyProtection="1">
      <alignment horizontal="right" vertical="center"/>
      <protection locked="0"/>
    </xf>
    <xf numFmtId="4" fontId="28" fillId="0" borderId="28" xfId="0" applyNumberFormat="1" applyFont="1" applyFill="1" applyBorder="1" applyAlignment="1" applyProtection="1">
      <alignment horizontal="right" vertical="center"/>
      <protection locked="0"/>
    </xf>
    <xf numFmtId="4" fontId="30" fillId="0" borderId="12" xfId="1" applyNumberFormat="1" applyFont="1" applyFill="1" applyBorder="1" applyAlignment="1" applyProtection="1">
      <alignment horizontal="right" vertical="center"/>
      <protection locked="0"/>
    </xf>
    <xf numFmtId="4" fontId="30" fillId="0" borderId="10" xfId="0" applyNumberFormat="1" applyFont="1" applyFill="1" applyBorder="1" applyAlignment="1" applyProtection="1">
      <alignment horizontal="right" vertical="center" wrapText="1"/>
      <protection locked="0"/>
    </xf>
    <xf numFmtId="4" fontId="30" fillId="0" borderId="37" xfId="1" applyNumberFormat="1" applyFont="1" applyFill="1" applyBorder="1" applyAlignment="1" applyProtection="1">
      <alignment horizontal="right" vertical="center"/>
      <protection locked="0"/>
    </xf>
    <xf numFmtId="4" fontId="30" fillId="0" borderId="17" xfId="0" applyNumberFormat="1" applyFont="1" applyFill="1" applyBorder="1" applyAlignment="1" applyProtection="1">
      <alignment horizontal="right" vertical="center" wrapText="1"/>
      <protection locked="0"/>
    </xf>
    <xf numFmtId="4" fontId="28" fillId="0" borderId="40" xfId="0" applyNumberFormat="1" applyFont="1" applyFill="1" applyBorder="1" applyAlignment="1" applyProtection="1">
      <alignment horizontal="right" vertical="center"/>
      <protection locked="0"/>
    </xf>
    <xf numFmtId="4" fontId="28" fillId="0" borderId="34" xfId="0" applyNumberFormat="1" applyFont="1" applyFill="1" applyBorder="1" applyAlignment="1" applyProtection="1">
      <alignment horizontal="right" vertical="center"/>
      <protection locked="0"/>
    </xf>
    <xf numFmtId="4" fontId="28" fillId="11" borderId="45" xfId="0" applyNumberFormat="1" applyFont="1" applyFill="1" applyBorder="1" applyAlignment="1" applyProtection="1">
      <alignment horizontal="right" vertical="center"/>
      <protection locked="0"/>
    </xf>
    <xf numFmtId="4" fontId="28" fillId="11" borderId="48" xfId="0" applyNumberFormat="1" applyFont="1" applyFill="1" applyBorder="1" applyAlignment="1" applyProtection="1">
      <alignment horizontal="right" vertical="center"/>
      <protection locked="0"/>
    </xf>
    <xf numFmtId="4" fontId="30" fillId="0" borderId="35" xfId="0" applyNumberFormat="1" applyFont="1" applyFill="1" applyBorder="1" applyAlignment="1" applyProtection="1">
      <alignment horizontal="right" vertical="center" wrapText="1"/>
      <protection locked="0"/>
    </xf>
    <xf numFmtId="4" fontId="27" fillId="13" borderId="45" xfId="0" applyNumberFormat="1" applyFont="1" applyFill="1" applyBorder="1" applyAlignment="1" applyProtection="1">
      <alignment horizontal="right" vertical="center"/>
      <protection locked="0"/>
    </xf>
    <xf numFmtId="4" fontId="27" fillId="13" borderId="48" xfId="0" applyNumberFormat="1" applyFont="1" applyFill="1" applyBorder="1" applyAlignment="1" applyProtection="1">
      <alignment horizontal="right" vertical="center"/>
      <protection locked="0"/>
    </xf>
    <xf numFmtId="4" fontId="28" fillId="16" borderId="45" xfId="0" applyNumberFormat="1" applyFont="1" applyFill="1" applyBorder="1" applyAlignment="1" applyProtection="1">
      <alignment horizontal="right" vertical="center"/>
      <protection locked="0"/>
    </xf>
    <xf numFmtId="4" fontId="28" fillId="16" borderId="48" xfId="0" applyNumberFormat="1" applyFont="1" applyFill="1" applyBorder="1" applyAlignment="1" applyProtection="1">
      <alignment horizontal="right" vertical="center"/>
      <protection locked="0"/>
    </xf>
    <xf numFmtId="4" fontId="28" fillId="11" borderId="4" xfId="0" applyNumberFormat="1" applyFont="1" applyFill="1" applyBorder="1" applyAlignment="1" applyProtection="1">
      <alignment horizontal="right" vertical="center"/>
      <protection locked="0"/>
    </xf>
    <xf numFmtId="4" fontId="28" fillId="11" borderId="50" xfId="0" applyNumberFormat="1" applyFont="1" applyFill="1" applyBorder="1" applyAlignment="1" applyProtection="1">
      <alignment horizontal="right" vertical="center"/>
      <protection locked="0"/>
    </xf>
    <xf numFmtId="4" fontId="28" fillId="9" borderId="45" xfId="0" applyNumberFormat="1" applyFont="1" applyFill="1" applyBorder="1" applyAlignment="1" applyProtection="1">
      <alignment horizontal="right" vertical="center"/>
      <protection locked="0"/>
    </xf>
    <xf numFmtId="4" fontId="28" fillId="9" borderId="48" xfId="0" applyNumberFormat="1" applyFont="1" applyFill="1" applyBorder="1" applyAlignment="1" applyProtection="1">
      <alignment horizontal="right" vertical="center"/>
      <protection locked="0"/>
    </xf>
    <xf numFmtId="4" fontId="32" fillId="14" borderId="79" xfId="0" applyNumberFormat="1" applyFont="1" applyFill="1" applyBorder="1" applyAlignment="1" applyProtection="1">
      <alignment horizontal="right" vertical="center"/>
      <protection locked="0"/>
    </xf>
    <xf numFmtId="4" fontId="28" fillId="0" borderId="26" xfId="1" applyNumberFormat="1" applyFont="1" applyFill="1" applyBorder="1" applyAlignment="1" applyProtection="1">
      <alignment horizontal="right" vertical="center"/>
    </xf>
    <xf numFmtId="4" fontId="28" fillId="0" borderId="70" xfId="1" applyNumberFormat="1" applyFont="1" applyFill="1" applyBorder="1" applyAlignment="1" applyProtection="1">
      <alignment horizontal="right" vertical="center"/>
    </xf>
    <xf numFmtId="4" fontId="28" fillId="0" borderId="13" xfId="1" applyNumberFormat="1" applyFont="1" applyFill="1" applyBorder="1" applyAlignment="1" applyProtection="1">
      <alignment horizontal="right" vertical="center"/>
    </xf>
    <xf numFmtId="4" fontId="28" fillId="0" borderId="40" xfId="1" applyNumberFormat="1" applyFont="1" applyFill="1" applyBorder="1" applyAlignment="1" applyProtection="1">
      <alignment horizontal="right" vertical="center"/>
    </xf>
    <xf numFmtId="4" fontId="28" fillId="11" borderId="46" xfId="0" applyNumberFormat="1" applyFont="1" applyFill="1" applyBorder="1" applyAlignment="1" applyProtection="1">
      <alignment horizontal="right" vertical="center"/>
    </xf>
    <xf numFmtId="4" fontId="28" fillId="11" borderId="63" xfId="0" applyNumberFormat="1" applyFont="1" applyFill="1" applyBorder="1" applyAlignment="1" applyProtection="1">
      <alignment horizontal="right" vertical="center"/>
    </xf>
    <xf numFmtId="4" fontId="28" fillId="0" borderId="38" xfId="1" applyNumberFormat="1" applyFont="1" applyFill="1" applyBorder="1" applyAlignment="1" applyProtection="1">
      <alignment horizontal="right" vertical="center"/>
    </xf>
    <xf numFmtId="4" fontId="28" fillId="0" borderId="64" xfId="1" applyNumberFormat="1" applyFont="1" applyFill="1" applyBorder="1" applyAlignment="1" applyProtection="1">
      <alignment horizontal="right" vertical="center"/>
    </xf>
    <xf numFmtId="4" fontId="27" fillId="13" borderId="46" xfId="0" applyNumberFormat="1" applyFont="1" applyFill="1" applyBorder="1" applyAlignment="1" applyProtection="1">
      <alignment horizontal="right" vertical="center"/>
    </xf>
    <xf numFmtId="4" fontId="27" fillId="13" borderId="63" xfId="0" applyNumberFormat="1" applyFont="1" applyFill="1" applyBorder="1" applyAlignment="1" applyProtection="1">
      <alignment horizontal="right" vertical="center"/>
    </xf>
    <xf numFmtId="4" fontId="28" fillId="16" borderId="46" xfId="0" applyNumberFormat="1" applyFont="1" applyFill="1" applyBorder="1" applyAlignment="1" applyProtection="1">
      <alignment horizontal="right" vertical="center"/>
    </xf>
    <xf numFmtId="4" fontId="28" fillId="16" borderId="63" xfId="0" applyNumberFormat="1" applyFont="1" applyFill="1" applyBorder="1" applyAlignment="1" applyProtection="1">
      <alignment horizontal="right" vertical="center"/>
    </xf>
    <xf numFmtId="4" fontId="28" fillId="11" borderId="5" xfId="0" applyNumberFormat="1" applyFont="1" applyFill="1" applyBorder="1" applyAlignment="1" applyProtection="1">
      <alignment horizontal="right" vertical="center"/>
    </xf>
    <xf numFmtId="4" fontId="28" fillId="11" borderId="6" xfId="0" applyNumberFormat="1" applyFont="1" applyFill="1" applyBorder="1" applyAlignment="1" applyProtection="1">
      <alignment horizontal="right" vertical="center"/>
    </xf>
    <xf numFmtId="4" fontId="28" fillId="9" borderId="46" xfId="0" applyNumberFormat="1" applyFont="1" applyFill="1" applyBorder="1" applyAlignment="1" applyProtection="1">
      <alignment horizontal="right" vertical="center"/>
    </xf>
    <xf numFmtId="4" fontId="28" fillId="9" borderId="63" xfId="0" applyNumberFormat="1" applyFont="1" applyFill="1" applyBorder="1" applyAlignment="1" applyProtection="1">
      <alignment horizontal="right" vertical="center"/>
    </xf>
    <xf numFmtId="4" fontId="32" fillId="14" borderId="79" xfId="0" applyNumberFormat="1" applyFont="1" applyFill="1" applyBorder="1" applyAlignment="1" applyProtection="1">
      <alignment horizontal="right" vertical="center"/>
    </xf>
    <xf numFmtId="4" fontId="28" fillId="0" borderId="26" xfId="0" applyNumberFormat="1" applyFont="1" applyFill="1" applyBorder="1" applyAlignment="1" applyProtection="1">
      <alignment horizontal="right" vertical="center"/>
    </xf>
    <xf numFmtId="4" fontId="28" fillId="0" borderId="28" xfId="0" applyNumberFormat="1" applyFont="1" applyFill="1" applyBorder="1" applyAlignment="1" applyProtection="1">
      <alignment horizontal="right" vertical="center"/>
    </xf>
    <xf numFmtId="4" fontId="28" fillId="0" borderId="13" xfId="0" applyNumberFormat="1" applyFont="1" applyFill="1" applyBorder="1" applyAlignment="1" applyProtection="1">
      <alignment horizontal="right" vertical="center"/>
    </xf>
    <xf numFmtId="4" fontId="28" fillId="0" borderId="11" xfId="0" applyNumberFormat="1" applyFont="1" applyFill="1" applyBorder="1" applyAlignment="1" applyProtection="1">
      <alignment horizontal="right" vertical="center"/>
    </xf>
    <xf numFmtId="4" fontId="28" fillId="0" borderId="40" xfId="0" applyNumberFormat="1" applyFont="1" applyFill="1" applyBorder="1" applyAlignment="1" applyProtection="1">
      <alignment horizontal="right" vertical="center"/>
    </xf>
    <xf numFmtId="4" fontId="28" fillId="0" borderId="34" xfId="0" applyNumberFormat="1" applyFont="1" applyFill="1" applyBorder="1" applyAlignment="1" applyProtection="1">
      <alignment horizontal="right" vertical="center"/>
    </xf>
    <xf numFmtId="4" fontId="28" fillId="11" borderId="47" xfId="0" applyNumberFormat="1" applyFont="1" applyFill="1" applyBorder="1" applyAlignment="1" applyProtection="1">
      <alignment horizontal="right" vertical="center"/>
    </xf>
    <xf numFmtId="4" fontId="28" fillId="0" borderId="38" xfId="0" applyNumberFormat="1" applyFont="1" applyFill="1" applyBorder="1" applyAlignment="1" applyProtection="1">
      <alignment horizontal="right" vertical="center"/>
    </xf>
    <xf numFmtId="4" fontId="28" fillId="0" borderId="31" xfId="0" applyNumberFormat="1" applyFont="1" applyFill="1" applyBorder="1" applyAlignment="1" applyProtection="1">
      <alignment horizontal="right" vertical="center"/>
    </xf>
    <xf numFmtId="4" fontId="27" fillId="13" borderId="47" xfId="0" applyNumberFormat="1" applyFont="1" applyFill="1" applyBorder="1" applyAlignment="1" applyProtection="1">
      <alignment horizontal="right" vertical="center"/>
    </xf>
    <xf numFmtId="4" fontId="28" fillId="16" borderId="47" xfId="0" applyNumberFormat="1" applyFont="1" applyFill="1" applyBorder="1" applyAlignment="1" applyProtection="1">
      <alignment horizontal="right" vertical="center"/>
    </xf>
    <xf numFmtId="4" fontId="28" fillId="11" borderId="27" xfId="0" applyNumberFormat="1" applyFont="1" applyFill="1" applyBorder="1" applyAlignment="1" applyProtection="1">
      <alignment horizontal="right" vertical="center"/>
    </xf>
    <xf numFmtId="4" fontId="28" fillId="9" borderId="47" xfId="0" applyNumberFormat="1" applyFont="1" applyFill="1" applyBorder="1" applyAlignment="1" applyProtection="1">
      <alignment horizontal="right" vertical="center"/>
    </xf>
    <xf numFmtId="4" fontId="32" fillId="14" borderId="80" xfId="0" applyNumberFormat="1" applyFont="1" applyFill="1" applyBorder="1" applyAlignment="1" applyProtection="1">
      <alignment horizontal="right" vertical="center"/>
    </xf>
    <xf numFmtId="0" fontId="27" fillId="13" borderId="61" xfId="0" applyFont="1" applyFill="1" applyBorder="1" applyAlignment="1" applyProtection="1">
      <alignment horizontal="right" vertical="center" wrapText="1"/>
      <protection locked="0"/>
    </xf>
    <xf numFmtId="0" fontId="30" fillId="8" borderId="22" xfId="0" applyFont="1" applyFill="1" applyBorder="1" applyAlignment="1" applyProtection="1">
      <alignment vertical="center"/>
      <protection locked="0"/>
    </xf>
    <xf numFmtId="3" fontId="30" fillId="8" borderId="28" xfId="0" applyNumberFormat="1" applyFont="1" applyFill="1" applyBorder="1" applyAlignment="1" applyProtection="1">
      <alignment horizontal="center" vertical="center"/>
      <protection locked="0"/>
    </xf>
    <xf numFmtId="3" fontId="30" fillId="8" borderId="11" xfId="0" applyNumberFormat="1" applyFont="1" applyFill="1" applyBorder="1" applyAlignment="1" applyProtection="1">
      <alignment horizontal="center" vertical="center"/>
      <protection locked="0"/>
    </xf>
    <xf numFmtId="0" fontId="28" fillId="8" borderId="37" xfId="0" applyFont="1" applyFill="1" applyBorder="1" applyAlignment="1" applyProtection="1">
      <alignment vertical="center" wrapText="1"/>
      <protection locked="0"/>
    </xf>
    <xf numFmtId="0" fontId="28" fillId="0" borderId="12" xfId="0" applyFont="1" applyFill="1" applyBorder="1" applyAlignment="1" applyProtection="1">
      <alignment vertical="center" wrapText="1"/>
      <protection locked="0"/>
    </xf>
    <xf numFmtId="0" fontId="28" fillId="0" borderId="25" xfId="0" applyFont="1" applyFill="1" applyBorder="1" applyAlignment="1" applyProtection="1">
      <alignment vertical="center" wrapText="1"/>
      <protection locked="0"/>
    </xf>
    <xf numFmtId="0" fontId="28" fillId="8" borderId="10" xfId="0" applyFont="1" applyFill="1" applyBorder="1" applyAlignment="1" applyProtection="1">
      <alignment vertical="center" wrapText="1"/>
      <protection locked="0"/>
    </xf>
    <xf numFmtId="0" fontId="30" fillId="8" borderId="62" xfId="0" applyFont="1" applyFill="1" applyBorder="1" applyAlignment="1" applyProtection="1">
      <alignment vertical="center"/>
      <protection locked="0"/>
    </xf>
    <xf numFmtId="4" fontId="28" fillId="12" borderId="73" xfId="0" applyNumberFormat="1" applyFont="1" applyFill="1" applyBorder="1" applyAlignment="1" applyProtection="1">
      <alignment vertical="center" wrapText="1"/>
      <protection locked="0"/>
    </xf>
    <xf numFmtId="4" fontId="28" fillId="12" borderId="24" xfId="0" applyNumberFormat="1" applyFont="1" applyFill="1" applyBorder="1" applyAlignment="1" applyProtection="1">
      <alignment vertical="center" wrapText="1"/>
      <protection locked="0"/>
    </xf>
    <xf numFmtId="4" fontId="28" fillId="12" borderId="21" xfId="0" applyNumberFormat="1" applyFont="1" applyFill="1" applyBorder="1" applyAlignment="1" applyProtection="1">
      <alignment horizontal="center" vertical="center" wrapText="1"/>
      <protection locked="0"/>
    </xf>
    <xf numFmtId="4" fontId="28" fillId="12" borderId="20" xfId="0" applyNumberFormat="1" applyFont="1" applyFill="1" applyBorder="1" applyAlignment="1" applyProtection="1">
      <alignment horizontal="center" vertical="center" wrapText="1"/>
      <protection locked="0"/>
    </xf>
    <xf numFmtId="4" fontId="28" fillId="12" borderId="18" xfId="0" applyNumberFormat="1" applyFont="1" applyFill="1" applyBorder="1" applyAlignment="1" applyProtection="1">
      <alignment horizontal="center" vertical="center" wrapText="1"/>
      <protection locked="0"/>
    </xf>
    <xf numFmtId="4" fontId="28" fillId="0" borderId="28" xfId="1" applyNumberFormat="1" applyFont="1" applyFill="1" applyBorder="1" applyAlignment="1" applyProtection="1">
      <alignment horizontal="right" vertical="center"/>
    </xf>
    <xf numFmtId="4" fontId="30" fillId="0" borderId="10" xfId="1" applyNumberFormat="1" applyFont="1" applyFill="1" applyBorder="1" applyAlignment="1" applyProtection="1">
      <alignment horizontal="right" vertical="center"/>
      <protection locked="0"/>
    </xf>
    <xf numFmtId="4" fontId="28" fillId="0" borderId="11" xfId="1" applyNumberFormat="1" applyFont="1" applyFill="1" applyBorder="1" applyAlignment="1" applyProtection="1">
      <alignment horizontal="right" vertical="center"/>
    </xf>
    <xf numFmtId="4" fontId="28" fillId="0" borderId="34" xfId="1" applyNumberFormat="1" applyFont="1" applyFill="1" applyBorder="1" applyAlignment="1" applyProtection="1">
      <alignment horizontal="right" vertical="center"/>
    </xf>
    <xf numFmtId="0" fontId="28" fillId="0" borderId="37" xfId="0" applyFont="1" applyFill="1" applyBorder="1" applyAlignment="1" applyProtection="1">
      <alignment vertical="center" wrapText="1"/>
      <protection locked="0"/>
    </xf>
    <xf numFmtId="3" fontId="22" fillId="12" borderId="21" xfId="0" applyNumberFormat="1" applyFont="1" applyFill="1" applyBorder="1" applyAlignment="1" applyProtection="1">
      <alignment horizontal="center" vertical="center" wrapText="1"/>
      <protection locked="0"/>
    </xf>
    <xf numFmtId="3" fontId="22" fillId="12" borderId="20" xfId="0" applyNumberFormat="1" applyFont="1" applyFill="1" applyBorder="1" applyAlignment="1" applyProtection="1">
      <alignment horizontal="center" vertical="center" wrapText="1"/>
      <protection locked="0"/>
    </xf>
    <xf numFmtId="10" fontId="22" fillId="12" borderId="18" xfId="1" applyNumberFormat="1" applyFont="1" applyFill="1" applyBorder="1" applyAlignment="1" applyProtection="1">
      <alignment horizontal="center" vertical="center" wrapText="1"/>
      <protection locked="0"/>
    </xf>
    <xf numFmtId="14" fontId="22" fillId="0" borderId="49" xfId="0" applyNumberFormat="1" applyFont="1" applyBorder="1" applyAlignment="1" applyProtection="1">
      <alignment vertical="center"/>
      <protection locked="0"/>
    </xf>
    <xf numFmtId="0" fontId="22" fillId="0" borderId="49" xfId="0" applyNumberFormat="1" applyFont="1" applyBorder="1" applyAlignment="1" applyProtection="1">
      <alignment vertical="center"/>
      <protection locked="0"/>
    </xf>
    <xf numFmtId="3" fontId="28" fillId="8" borderId="2" xfId="0" applyNumberFormat="1" applyFont="1" applyFill="1" applyBorder="1" applyAlignment="1" applyProtection="1">
      <alignment horizontal="center" vertical="center"/>
    </xf>
    <xf numFmtId="3" fontId="30" fillId="8" borderId="7" xfId="0" applyNumberFormat="1" applyFont="1" applyFill="1" applyBorder="1" applyAlignment="1" applyProtection="1">
      <alignment horizontal="center" vertical="center"/>
      <protection locked="0"/>
    </xf>
    <xf numFmtId="3" fontId="30" fillId="8" borderId="3" xfId="0" applyNumberFormat="1" applyFont="1" applyFill="1" applyBorder="1" applyAlignment="1" applyProtection="1">
      <alignment horizontal="center" vertical="center"/>
      <protection locked="0"/>
    </xf>
    <xf numFmtId="3" fontId="28" fillId="8" borderId="21" xfId="0" applyNumberFormat="1" applyFont="1" applyFill="1" applyBorder="1" applyAlignment="1" applyProtection="1">
      <alignment horizontal="center" vertical="center"/>
    </xf>
    <xf numFmtId="3" fontId="30" fillId="8" borderId="20" xfId="0" applyNumberFormat="1" applyFont="1" applyFill="1" applyBorder="1" applyAlignment="1" applyProtection="1">
      <alignment horizontal="center" vertical="center"/>
      <protection locked="0"/>
    </xf>
    <xf numFmtId="3" fontId="30" fillId="8" borderId="18" xfId="0" applyNumberFormat="1" applyFont="1" applyFill="1" applyBorder="1" applyAlignment="1" applyProtection="1">
      <alignment horizontal="center" vertical="center"/>
      <protection locked="0"/>
    </xf>
    <xf numFmtId="3" fontId="28" fillId="0" borderId="2" xfId="0" applyNumberFormat="1" applyFont="1" applyFill="1" applyBorder="1" applyAlignment="1" applyProtection="1">
      <alignment horizontal="center" vertical="center"/>
      <protection locked="0"/>
    </xf>
    <xf numFmtId="3" fontId="28" fillId="0" borderId="7" xfId="0" applyNumberFormat="1" applyFont="1" applyFill="1" applyBorder="1" applyAlignment="1" applyProtection="1">
      <alignment horizontal="center" vertical="center"/>
      <protection locked="0"/>
    </xf>
    <xf numFmtId="10" fontId="31" fillId="0" borderId="3" xfId="1" applyNumberFormat="1" applyFont="1" applyFill="1" applyBorder="1" applyAlignment="1" applyProtection="1">
      <alignment horizontal="center" vertical="center"/>
      <protection locked="0"/>
    </xf>
    <xf numFmtId="3" fontId="28" fillId="0" borderId="58" xfId="0" applyNumberFormat="1" applyFont="1" applyFill="1" applyBorder="1" applyAlignment="1" applyProtection="1">
      <alignment horizontal="center" vertical="center"/>
      <protection locked="0"/>
    </xf>
    <xf numFmtId="10" fontId="31" fillId="0" borderId="7" xfId="1" applyNumberFormat="1" applyFont="1" applyFill="1" applyBorder="1" applyAlignment="1" applyProtection="1">
      <alignment horizontal="center" vertical="center"/>
      <protection locked="0"/>
    </xf>
    <xf numFmtId="10" fontId="31" fillId="0" borderId="74" xfId="1" applyNumberFormat="1" applyFont="1" applyFill="1" applyBorder="1" applyAlignment="1" applyProtection="1">
      <alignment horizontal="center" vertical="center"/>
      <protection locked="0"/>
    </xf>
    <xf numFmtId="10" fontId="31" fillId="0" borderId="8" xfId="1" applyNumberFormat="1" applyFont="1" applyFill="1" applyBorder="1" applyAlignment="1" applyProtection="1">
      <alignment horizontal="center" vertical="center" wrapText="1"/>
      <protection locked="0"/>
    </xf>
    <xf numFmtId="3" fontId="28" fillId="0" borderId="10" xfId="0" applyNumberFormat="1" applyFont="1" applyFill="1" applyBorder="1" applyAlignment="1" applyProtection="1">
      <alignment horizontal="center" vertical="center"/>
      <protection locked="0"/>
    </xf>
    <xf numFmtId="3" fontId="28" fillId="0" borderId="13" xfId="1" applyNumberFormat="1" applyFont="1" applyFill="1" applyBorder="1" applyAlignment="1" applyProtection="1">
      <alignment horizontal="center" vertical="center"/>
      <protection locked="0"/>
    </xf>
    <xf numFmtId="3" fontId="28" fillId="0" borderId="13" xfId="0" applyNumberFormat="1" applyFont="1" applyFill="1" applyBorder="1" applyAlignment="1" applyProtection="1">
      <alignment horizontal="center" vertical="center"/>
      <protection locked="0"/>
    </xf>
    <xf numFmtId="10" fontId="31" fillId="0" borderId="11" xfId="1" applyNumberFormat="1" applyFont="1" applyFill="1" applyBorder="1" applyAlignment="1" applyProtection="1">
      <alignment horizontal="center" vertical="center"/>
      <protection locked="0"/>
    </xf>
    <xf numFmtId="3" fontId="28" fillId="0" borderId="12" xfId="0" applyNumberFormat="1" applyFont="1" applyFill="1" applyBorder="1" applyAlignment="1" applyProtection="1">
      <alignment horizontal="center" vertical="center"/>
      <protection locked="0"/>
    </xf>
    <xf numFmtId="10" fontId="31" fillId="0" borderId="13" xfId="1" applyNumberFormat="1" applyFont="1" applyFill="1" applyBorder="1" applyAlignment="1" applyProtection="1">
      <alignment horizontal="center" vertical="center"/>
      <protection locked="0"/>
    </xf>
    <xf numFmtId="10" fontId="31" fillId="0" borderId="62" xfId="1" applyNumberFormat="1" applyFont="1" applyFill="1" applyBorder="1" applyAlignment="1" applyProtection="1">
      <alignment horizontal="center" vertical="center"/>
      <protection locked="0"/>
    </xf>
    <xf numFmtId="10" fontId="31" fillId="0" borderId="15" xfId="1" applyNumberFormat="1" applyFont="1" applyFill="1" applyBorder="1" applyAlignment="1" applyProtection="1">
      <alignment horizontal="center" vertical="center"/>
      <protection locked="0"/>
    </xf>
    <xf numFmtId="3" fontId="30" fillId="0" borderId="10" xfId="0" applyNumberFormat="1" applyFont="1" applyFill="1" applyBorder="1" applyAlignment="1" applyProtection="1">
      <alignment horizontal="center" vertical="center"/>
      <protection locked="0"/>
    </xf>
    <xf numFmtId="10" fontId="34" fillId="0" borderId="11" xfId="1" applyNumberFormat="1" applyFont="1" applyFill="1" applyBorder="1" applyAlignment="1" applyProtection="1">
      <alignment horizontal="center" vertical="center"/>
      <protection locked="0"/>
    </xf>
    <xf numFmtId="3" fontId="30" fillId="0" borderId="12" xfId="0" applyNumberFormat="1" applyFont="1" applyFill="1" applyBorder="1" applyAlignment="1" applyProtection="1">
      <alignment horizontal="center" vertical="center"/>
      <protection locked="0"/>
    </xf>
    <xf numFmtId="10" fontId="34" fillId="0" borderId="13" xfId="1" applyNumberFormat="1" applyFont="1" applyFill="1" applyBorder="1" applyAlignment="1" applyProtection="1">
      <alignment horizontal="center" vertical="center"/>
      <protection locked="0"/>
    </xf>
    <xf numFmtId="10" fontId="34" fillId="0" borderId="62" xfId="1" applyNumberFormat="1" applyFont="1" applyFill="1" applyBorder="1" applyAlignment="1" applyProtection="1">
      <alignment horizontal="center" vertical="center"/>
      <protection locked="0"/>
    </xf>
    <xf numFmtId="10" fontId="34" fillId="0" borderId="15" xfId="1" applyNumberFormat="1" applyFont="1" applyFill="1" applyBorder="1" applyAlignment="1" applyProtection="1">
      <alignment horizontal="center" vertical="center"/>
      <protection locked="0"/>
    </xf>
    <xf numFmtId="3" fontId="30" fillId="0" borderId="21" xfId="0" applyNumberFormat="1" applyFont="1" applyFill="1" applyBorder="1" applyAlignment="1" applyProtection="1">
      <alignment horizontal="center" vertical="center"/>
      <protection locked="0"/>
    </xf>
    <xf numFmtId="10" fontId="34" fillId="0" borderId="18" xfId="1" applyNumberFormat="1" applyFont="1" applyFill="1" applyBorder="1" applyAlignment="1" applyProtection="1">
      <alignment horizontal="center" vertical="center"/>
      <protection locked="0"/>
    </xf>
    <xf numFmtId="3" fontId="30" fillId="0" borderId="19" xfId="0" applyNumberFormat="1" applyFont="1" applyFill="1" applyBorder="1" applyAlignment="1" applyProtection="1">
      <alignment horizontal="center" vertical="center"/>
      <protection locked="0"/>
    </xf>
    <xf numFmtId="10" fontId="34" fillId="0" borderId="20" xfId="1" applyNumberFormat="1" applyFont="1" applyFill="1" applyBorder="1" applyAlignment="1" applyProtection="1">
      <alignment horizontal="center" vertical="center"/>
      <protection locked="0"/>
    </xf>
    <xf numFmtId="10" fontId="34" fillId="0" borderId="71" xfId="1" applyNumberFormat="1" applyFont="1" applyFill="1" applyBorder="1" applyAlignment="1" applyProtection="1">
      <alignment horizontal="center" vertical="center"/>
      <protection locked="0"/>
    </xf>
    <xf numFmtId="10" fontId="34" fillId="0" borderId="23" xfId="1" applyNumberFormat="1" applyFont="1" applyFill="1" applyBorder="1" applyAlignment="1" applyProtection="1">
      <alignment horizontal="center" vertical="center"/>
      <protection locked="0"/>
    </xf>
    <xf numFmtId="10" fontId="28" fillId="0" borderId="62" xfId="1" applyNumberFormat="1" applyFont="1" applyFill="1" applyBorder="1" applyAlignment="1" applyProtection="1">
      <alignment horizontal="center" vertical="center"/>
      <protection locked="0"/>
    </xf>
    <xf numFmtId="10" fontId="28" fillId="0" borderId="15" xfId="1" applyNumberFormat="1" applyFont="1" applyFill="1" applyBorder="1" applyAlignment="1" applyProtection="1">
      <alignment horizontal="center" vertical="center"/>
      <protection locked="0"/>
    </xf>
    <xf numFmtId="3" fontId="28" fillId="0" borderId="21" xfId="0" applyNumberFormat="1" applyFont="1" applyFill="1" applyBorder="1" applyAlignment="1" applyProtection="1">
      <alignment horizontal="center" vertical="center"/>
      <protection locked="0"/>
    </xf>
    <xf numFmtId="3" fontId="28" fillId="0" borderId="20" xfId="1" applyNumberFormat="1" applyFont="1" applyFill="1" applyBorder="1" applyAlignment="1" applyProtection="1">
      <alignment horizontal="center" vertical="center"/>
      <protection locked="0"/>
    </xf>
    <xf numFmtId="3" fontId="28" fillId="0" borderId="20" xfId="0" applyNumberFormat="1" applyFont="1" applyFill="1" applyBorder="1" applyAlignment="1" applyProtection="1">
      <alignment horizontal="center" vertical="center"/>
      <protection locked="0"/>
    </xf>
    <xf numFmtId="10" fontId="31" fillId="0" borderId="18" xfId="1" applyNumberFormat="1" applyFont="1" applyFill="1" applyBorder="1" applyAlignment="1" applyProtection="1">
      <alignment horizontal="center" vertical="center"/>
      <protection locked="0"/>
    </xf>
    <xf numFmtId="3" fontId="28" fillId="0" borderId="19" xfId="0" applyNumberFormat="1" applyFont="1" applyFill="1" applyBorder="1" applyAlignment="1" applyProtection="1">
      <alignment horizontal="center" vertical="center"/>
      <protection locked="0"/>
    </xf>
    <xf numFmtId="10" fontId="31" fillId="0" borderId="20" xfId="1" applyNumberFormat="1" applyFont="1" applyFill="1" applyBorder="1" applyAlignment="1" applyProtection="1">
      <alignment horizontal="center" vertical="center"/>
      <protection locked="0"/>
    </xf>
    <xf numFmtId="10" fontId="31" fillId="0" borderId="71" xfId="1" applyNumberFormat="1" applyFont="1" applyFill="1" applyBorder="1" applyAlignment="1" applyProtection="1">
      <alignment horizontal="center" vertical="center"/>
      <protection locked="0"/>
    </xf>
    <xf numFmtId="10" fontId="31" fillId="0" borderId="23" xfId="1" applyNumberFormat="1" applyFont="1" applyFill="1" applyBorder="1" applyAlignment="1" applyProtection="1">
      <alignment horizontal="center" vertical="center"/>
      <protection locked="0"/>
    </xf>
    <xf numFmtId="166" fontId="30" fillId="0" borderId="37" xfId="1" applyNumberFormat="1" applyFont="1" applyFill="1" applyBorder="1" applyAlignment="1" applyProtection="1">
      <alignment horizontal="right" vertical="center"/>
      <protection locked="0"/>
    </xf>
    <xf numFmtId="165" fontId="30" fillId="0" borderId="37" xfId="1" applyNumberFormat="1" applyFont="1" applyFill="1" applyBorder="1" applyAlignment="1" applyProtection="1">
      <alignment horizontal="right" vertical="center"/>
      <protection locked="0"/>
    </xf>
    <xf numFmtId="166" fontId="30" fillId="0" borderId="25" xfId="1" applyNumberFormat="1" applyFont="1" applyFill="1" applyBorder="1" applyAlignment="1" applyProtection="1">
      <alignment horizontal="right" vertical="center"/>
      <protection locked="0"/>
    </xf>
    <xf numFmtId="166" fontId="30" fillId="0" borderId="12" xfId="1" applyNumberFormat="1" applyFont="1" applyFill="1" applyBorder="1" applyAlignment="1" applyProtection="1">
      <alignment horizontal="right" vertical="center"/>
      <protection locked="0"/>
    </xf>
    <xf numFmtId="165" fontId="30" fillId="0" borderId="25" xfId="1" applyNumberFormat="1" applyFont="1" applyFill="1" applyBorder="1" applyAlignment="1" applyProtection="1">
      <alignment horizontal="right" vertical="center"/>
      <protection locked="0"/>
    </xf>
    <xf numFmtId="165" fontId="30" fillId="0" borderId="12" xfId="1" applyNumberFormat="1" applyFont="1" applyFill="1" applyBorder="1" applyAlignment="1" applyProtection="1">
      <alignment horizontal="right" vertical="center"/>
      <protection locked="0"/>
    </xf>
    <xf numFmtId="165" fontId="30" fillId="0" borderId="32" xfId="1" applyNumberFormat="1" applyFont="1" applyFill="1" applyBorder="1" applyAlignment="1" applyProtection="1">
      <alignment horizontal="right" vertical="center"/>
      <protection locked="0"/>
    </xf>
    <xf numFmtId="165" fontId="30" fillId="0" borderId="36" xfId="1" applyNumberFormat="1" applyFont="1" applyFill="1" applyBorder="1" applyAlignment="1" applyProtection="1">
      <alignment horizontal="right" vertical="center"/>
      <protection locked="0"/>
    </xf>
    <xf numFmtId="165" fontId="30" fillId="0" borderId="10" xfId="1" applyNumberFormat="1" applyFont="1" applyFill="1" applyBorder="1" applyAlignment="1" applyProtection="1">
      <alignment horizontal="right" vertical="center"/>
      <protection locked="0"/>
    </xf>
    <xf numFmtId="165" fontId="30" fillId="0" borderId="17" xfId="1" applyNumberFormat="1" applyFont="1" applyFill="1" applyBorder="1" applyAlignment="1" applyProtection="1">
      <alignment horizontal="right" vertical="center"/>
      <protection locked="0"/>
    </xf>
    <xf numFmtId="3" fontId="28" fillId="8" borderId="13" xfId="0" applyNumberFormat="1" applyFont="1" applyFill="1" applyBorder="1" applyAlignment="1" applyProtection="1">
      <alignment horizontal="center" vertical="center"/>
    </xf>
    <xf numFmtId="3" fontId="30" fillId="8" borderId="12" xfId="0" applyNumberFormat="1" applyFont="1" applyFill="1" applyBorder="1" applyAlignment="1" applyProtection="1">
      <alignment horizontal="center" vertical="center"/>
      <protection locked="0"/>
    </xf>
    <xf numFmtId="3" fontId="27" fillId="13" borderId="50" xfId="0" applyNumberFormat="1" applyFont="1" applyFill="1" applyBorder="1" applyAlignment="1" applyProtection="1">
      <alignment horizontal="center" vertical="center"/>
    </xf>
    <xf numFmtId="3" fontId="28" fillId="11" borderId="41" xfId="0" applyNumberFormat="1" applyFont="1" applyFill="1" applyBorder="1" applyAlignment="1" applyProtection="1">
      <alignment horizontal="center" vertical="center"/>
    </xf>
    <xf numFmtId="3" fontId="27" fillId="13" borderId="5" xfId="0" applyNumberFormat="1" applyFont="1" applyFill="1" applyBorder="1" applyAlignment="1" applyProtection="1">
      <alignment horizontal="center" vertical="center"/>
    </xf>
    <xf numFmtId="10" fontId="27" fillId="13" borderId="27" xfId="1" applyNumberFormat="1" applyFont="1" applyFill="1" applyBorder="1" applyAlignment="1" applyProtection="1">
      <alignment horizontal="center" vertical="center"/>
    </xf>
    <xf numFmtId="10" fontId="27" fillId="13" borderId="4" xfId="1" applyNumberFormat="1" applyFont="1" applyFill="1" applyBorder="1" applyAlignment="1" applyProtection="1">
      <alignment horizontal="center" vertical="center"/>
    </xf>
    <xf numFmtId="4" fontId="27" fillId="13" borderId="50" xfId="0" applyNumberFormat="1" applyFont="1" applyFill="1" applyBorder="1" applyAlignment="1" applyProtection="1">
      <alignment horizontal="right" vertical="center"/>
      <protection locked="0"/>
    </xf>
    <xf numFmtId="4" fontId="27" fillId="13" borderId="5" xfId="0" applyNumberFormat="1" applyFont="1" applyFill="1" applyBorder="1" applyAlignment="1" applyProtection="1">
      <alignment horizontal="right" vertical="center"/>
    </xf>
    <xf numFmtId="3" fontId="28" fillId="11" borderId="54" xfId="0" applyNumberFormat="1" applyFont="1" applyFill="1" applyBorder="1" applyAlignment="1" applyProtection="1">
      <alignment horizontal="center" vertical="center"/>
    </xf>
    <xf numFmtId="10" fontId="28" fillId="11" borderId="55" xfId="1" applyNumberFormat="1" applyFont="1" applyFill="1" applyBorder="1" applyAlignment="1" applyProtection="1">
      <alignment horizontal="center" vertical="center"/>
    </xf>
    <xf numFmtId="10" fontId="28" fillId="11" borderId="81" xfId="1" applyNumberFormat="1" applyFont="1" applyFill="1" applyBorder="1" applyAlignment="1" applyProtection="1">
      <alignment horizontal="center" vertical="center"/>
    </xf>
    <xf numFmtId="4" fontId="28" fillId="11" borderId="41" xfId="0" applyNumberFormat="1" applyFont="1" applyFill="1" applyBorder="1" applyAlignment="1" applyProtection="1">
      <alignment horizontal="right" vertical="center"/>
      <protection locked="0"/>
    </xf>
    <xf numFmtId="4" fontId="28" fillId="11" borderId="54" xfId="0" applyNumberFormat="1" applyFont="1" applyFill="1" applyBorder="1" applyAlignment="1" applyProtection="1">
      <alignment horizontal="right" vertical="center"/>
    </xf>
    <xf numFmtId="0" fontId="28" fillId="0" borderId="21" xfId="0" applyFont="1" applyFill="1" applyBorder="1" applyAlignment="1" applyProtection="1">
      <alignment vertical="center" wrapText="1"/>
      <protection locked="0"/>
    </xf>
    <xf numFmtId="3" fontId="27" fillId="13" borderId="6" xfId="0" applyNumberFormat="1" applyFont="1" applyFill="1" applyBorder="1" applyAlignment="1" applyProtection="1">
      <alignment horizontal="center" vertical="center"/>
    </xf>
    <xf numFmtId="3" fontId="28" fillId="11" borderId="67" xfId="0" applyNumberFormat="1" applyFont="1" applyFill="1" applyBorder="1" applyAlignment="1" applyProtection="1">
      <alignment horizontal="center" vertical="center"/>
      <protection locked="0"/>
    </xf>
    <xf numFmtId="3" fontId="30" fillId="8" borderId="2" xfId="0" applyNumberFormat="1" applyFont="1" applyFill="1" applyBorder="1" applyAlignment="1" applyProtection="1">
      <alignment horizontal="center" vertical="center"/>
      <protection locked="0"/>
    </xf>
    <xf numFmtId="3" fontId="30" fillId="8" borderId="34" xfId="0" applyNumberFormat="1" applyFont="1" applyFill="1" applyBorder="1" applyAlignment="1" applyProtection="1">
      <alignment horizontal="center" vertical="center"/>
      <protection locked="0"/>
    </xf>
    <xf numFmtId="3" fontId="28" fillId="8" borderId="11" xfId="0" applyNumberFormat="1" applyFont="1" applyFill="1" applyBorder="1" applyAlignment="1" applyProtection="1">
      <alignment horizontal="center" vertical="center"/>
      <protection locked="0"/>
    </xf>
    <xf numFmtId="3" fontId="30" fillId="8" borderId="21" xfId="0" applyNumberFormat="1" applyFont="1" applyFill="1" applyBorder="1" applyAlignment="1" applyProtection="1">
      <alignment horizontal="center" vertical="center"/>
      <protection locked="0"/>
    </xf>
    <xf numFmtId="10" fontId="31" fillId="8" borderId="3" xfId="1" applyNumberFormat="1" applyFont="1" applyFill="1" applyBorder="1" applyAlignment="1" applyProtection="1">
      <alignment horizontal="center" vertical="center"/>
    </xf>
    <xf numFmtId="10" fontId="31" fillId="8" borderId="18" xfId="1" applyNumberFormat="1" applyFont="1" applyFill="1" applyBorder="1" applyAlignment="1" applyProtection="1">
      <alignment horizontal="center" vertical="center"/>
    </xf>
    <xf numFmtId="10" fontId="31" fillId="0" borderId="3" xfId="1" applyNumberFormat="1" applyFont="1" applyFill="1" applyBorder="1" applyAlignment="1" applyProtection="1">
      <alignment horizontal="center" vertical="center" wrapText="1"/>
    </xf>
    <xf numFmtId="4" fontId="28" fillId="0" borderId="7" xfId="1" applyNumberFormat="1" applyFont="1" applyFill="1" applyBorder="1" applyAlignment="1" applyProtection="1">
      <alignment horizontal="right" vertical="center"/>
    </xf>
    <xf numFmtId="4" fontId="28" fillId="0" borderId="3" xfId="1" applyNumberFormat="1" applyFont="1" applyFill="1" applyBorder="1" applyAlignment="1" applyProtection="1">
      <alignment horizontal="right" vertical="center"/>
    </xf>
    <xf numFmtId="4" fontId="28" fillId="0" borderId="20" xfId="1" applyNumberFormat="1" applyFont="1" applyFill="1" applyBorder="1" applyAlignment="1" applyProtection="1">
      <alignment horizontal="right" vertical="center"/>
    </xf>
    <xf numFmtId="4" fontId="28" fillId="0" borderId="18" xfId="1" applyNumberFormat="1" applyFont="1" applyFill="1" applyBorder="1" applyAlignment="1" applyProtection="1">
      <alignment horizontal="right" vertical="center"/>
    </xf>
    <xf numFmtId="165" fontId="30" fillId="0" borderId="2" xfId="1" applyNumberFormat="1" applyFont="1" applyFill="1" applyBorder="1" applyAlignment="1" applyProtection="1">
      <alignment horizontal="right" vertical="center"/>
      <protection locked="0"/>
    </xf>
    <xf numFmtId="165" fontId="30" fillId="0" borderId="21" xfId="1" applyNumberFormat="1" applyFont="1" applyFill="1" applyBorder="1" applyAlignment="1" applyProtection="1">
      <alignment horizontal="right" vertical="center"/>
      <protection locked="0"/>
    </xf>
    <xf numFmtId="165" fontId="30" fillId="8" borderId="10" xfId="0" applyNumberFormat="1" applyFont="1" applyFill="1" applyBorder="1" applyAlignment="1" applyProtection="1">
      <alignment horizontal="right" vertical="center"/>
      <protection locked="0"/>
    </xf>
    <xf numFmtId="0" fontId="30" fillId="8" borderId="55" xfId="0" applyFont="1" applyFill="1" applyBorder="1" applyAlignment="1" applyProtection="1">
      <alignment vertical="center"/>
      <protection locked="0"/>
    </xf>
    <xf numFmtId="0" fontId="36" fillId="0" borderId="8" xfId="0" applyFont="1" applyBorder="1"/>
    <xf numFmtId="0" fontId="36" fillId="0" borderId="15" xfId="0" applyFont="1" applyBorder="1"/>
    <xf numFmtId="0" fontId="36" fillId="0" borderId="13" xfId="0" applyFont="1" applyBorder="1"/>
    <xf numFmtId="0" fontId="36" fillId="0" borderId="30" xfId="0" applyFont="1" applyBorder="1"/>
    <xf numFmtId="0" fontId="28" fillId="0" borderId="78" xfId="0" applyFont="1" applyFill="1" applyBorder="1" applyAlignment="1" applyProtection="1">
      <alignment vertical="center" wrapText="1"/>
      <protection locked="0"/>
    </xf>
    <xf numFmtId="3" fontId="30" fillId="8" borderId="13" xfId="0" applyNumberFormat="1" applyFont="1" applyFill="1" applyBorder="1" applyAlignment="1" applyProtection="1">
      <alignment horizontal="center" vertical="center"/>
    </xf>
    <xf numFmtId="0" fontId="27" fillId="14" borderId="61" xfId="0" applyFont="1" applyFill="1" applyBorder="1" applyAlignment="1" applyProtection="1">
      <alignment horizontal="right" vertical="center"/>
      <protection locked="0"/>
    </xf>
    <xf numFmtId="4" fontId="37" fillId="14" borderId="79" xfId="0" applyNumberFormat="1" applyFont="1" applyFill="1" applyBorder="1" applyAlignment="1" applyProtection="1">
      <alignment horizontal="right" vertical="center"/>
      <protection locked="0"/>
    </xf>
    <xf numFmtId="4" fontId="38" fillId="8" borderId="28" xfId="0" applyNumberFormat="1" applyFont="1" applyFill="1" applyBorder="1" applyAlignment="1" applyProtection="1">
      <alignment horizontal="right" vertical="center"/>
      <protection locked="0"/>
    </xf>
    <xf numFmtId="4" fontId="38" fillId="8" borderId="36" xfId="0" applyNumberFormat="1" applyFont="1" applyFill="1" applyBorder="1" applyAlignment="1" applyProtection="1">
      <alignment horizontal="right" vertical="center"/>
      <protection locked="0"/>
    </xf>
    <xf numFmtId="9" fontId="39" fillId="8" borderId="70" xfId="1" applyFont="1" applyFill="1" applyBorder="1" applyAlignment="1" applyProtection="1">
      <alignment horizontal="center" vertical="center"/>
      <protection locked="0"/>
    </xf>
    <xf numFmtId="4" fontId="39" fillId="8" borderId="28" xfId="0" applyNumberFormat="1" applyFont="1" applyFill="1" applyBorder="1" applyAlignment="1" applyProtection="1">
      <alignment horizontal="right" vertical="center"/>
    </xf>
    <xf numFmtId="4" fontId="38" fillId="0" borderId="28" xfId="0" applyNumberFormat="1" applyFont="1" applyFill="1" applyBorder="1" applyAlignment="1" applyProtection="1">
      <alignment horizontal="right" vertical="center"/>
      <protection locked="0"/>
    </xf>
    <xf numFmtId="4" fontId="40" fillId="0" borderId="28" xfId="1" applyNumberFormat="1" applyFont="1" applyFill="1" applyBorder="1" applyAlignment="1" applyProtection="1">
      <alignment horizontal="right" vertical="center" wrapText="1"/>
    </xf>
    <xf numFmtId="4" fontId="38" fillId="8" borderId="11" xfId="0" applyNumberFormat="1" applyFont="1" applyFill="1" applyBorder="1" applyAlignment="1" applyProtection="1">
      <alignment horizontal="right" vertical="center"/>
      <protection locked="0"/>
    </xf>
    <xf numFmtId="4" fontId="38" fillId="8" borderId="10" xfId="0" applyNumberFormat="1" applyFont="1" applyFill="1" applyBorder="1" applyAlignment="1" applyProtection="1">
      <alignment horizontal="right" vertical="center"/>
      <protection locked="0"/>
    </xf>
    <xf numFmtId="9" fontId="39" fillId="8" borderId="62" xfId="1" applyFont="1" applyFill="1" applyBorder="1" applyAlignment="1" applyProtection="1">
      <alignment horizontal="center" vertical="center"/>
      <protection locked="0"/>
    </xf>
    <xf numFmtId="4" fontId="39" fillId="8" borderId="11" xfId="0" applyNumberFormat="1" applyFont="1" applyFill="1" applyBorder="1" applyAlignment="1" applyProtection="1">
      <alignment horizontal="right" vertical="center"/>
    </xf>
    <xf numFmtId="4" fontId="38" fillId="0" borderId="11" xfId="0" applyNumberFormat="1" applyFont="1" applyFill="1" applyBorder="1" applyAlignment="1" applyProtection="1">
      <alignment horizontal="right" vertical="center"/>
      <protection locked="0"/>
    </xf>
    <xf numFmtId="4" fontId="40" fillId="0" borderId="11" xfId="1" applyNumberFormat="1" applyFont="1" applyFill="1" applyBorder="1" applyAlignment="1" applyProtection="1">
      <alignment horizontal="right" vertical="center" wrapText="1"/>
    </xf>
    <xf numFmtId="4" fontId="37" fillId="13" borderId="47" xfId="0" applyNumberFormat="1" applyFont="1" applyFill="1" applyBorder="1" applyAlignment="1" applyProtection="1">
      <alignment horizontal="right" vertical="center" wrapText="1"/>
      <protection locked="0"/>
    </xf>
    <xf numFmtId="4" fontId="37" fillId="13" borderId="48" xfId="0" applyNumberFormat="1" applyFont="1" applyFill="1" applyBorder="1" applyAlignment="1" applyProtection="1">
      <alignment horizontal="right" vertical="center"/>
    </xf>
    <xf numFmtId="9" fontId="37" fillId="13" borderId="63" xfId="1" applyFont="1" applyFill="1" applyBorder="1" applyAlignment="1" applyProtection="1">
      <alignment horizontal="center" vertical="center"/>
    </xf>
    <xf numFmtId="4" fontId="37" fillId="13" borderId="47" xfId="0" applyNumberFormat="1" applyFont="1" applyFill="1" applyBorder="1" applyAlignment="1" applyProtection="1">
      <alignment horizontal="right" vertical="center"/>
    </xf>
    <xf numFmtId="4" fontId="40" fillId="0" borderId="28" xfId="1" applyNumberFormat="1" applyFont="1" applyFill="1" applyBorder="1" applyAlignment="1" applyProtection="1">
      <alignment horizontal="right" vertical="center"/>
    </xf>
    <xf numFmtId="4" fontId="38" fillId="8" borderId="11" xfId="0" applyNumberFormat="1" applyFont="1" applyFill="1" applyBorder="1" applyAlignment="1" applyProtection="1">
      <alignment horizontal="right" vertical="center" wrapText="1"/>
      <protection locked="0"/>
    </xf>
    <xf numFmtId="4" fontId="40" fillId="0" borderId="11" xfId="1" applyNumberFormat="1" applyFont="1" applyFill="1" applyBorder="1" applyAlignment="1" applyProtection="1">
      <alignment horizontal="right" vertical="center"/>
    </xf>
    <xf numFmtId="4" fontId="38" fillId="8" borderId="21" xfId="0" applyNumberFormat="1" applyFont="1" applyFill="1" applyBorder="1" applyAlignment="1" applyProtection="1">
      <alignment horizontal="right" vertical="center"/>
      <protection locked="0"/>
    </xf>
    <xf numFmtId="9" fontId="39" fillId="8" borderId="71" xfId="1" applyFont="1" applyFill="1" applyBorder="1" applyAlignment="1" applyProtection="1">
      <alignment horizontal="center" vertical="center"/>
      <protection locked="0"/>
    </xf>
    <xf numFmtId="4" fontId="39" fillId="8" borderId="18" xfId="0" applyNumberFormat="1" applyFont="1" applyFill="1" applyBorder="1" applyAlignment="1" applyProtection="1">
      <alignment horizontal="right" vertical="center"/>
    </xf>
    <xf numFmtId="0" fontId="28" fillId="8" borderId="28" xfId="0" applyFont="1" applyFill="1" applyBorder="1" applyAlignment="1" applyProtection="1">
      <alignment vertical="center"/>
      <protection locked="0"/>
    </xf>
    <xf numFmtId="0" fontId="28" fillId="8" borderId="11" xfId="0" applyFont="1" applyFill="1" applyBorder="1" applyAlignment="1" applyProtection="1">
      <alignment vertical="center"/>
      <protection locked="0"/>
    </xf>
    <xf numFmtId="0" fontId="28" fillId="0" borderId="28" xfId="0" applyFont="1" applyFill="1" applyBorder="1" applyAlignment="1" applyProtection="1">
      <alignment horizontal="left" vertical="center"/>
      <protection locked="0"/>
    </xf>
    <xf numFmtId="4" fontId="25" fillId="14" borderId="79" xfId="0" applyNumberFormat="1" applyFont="1" applyFill="1" applyBorder="1" applyAlignment="1" applyProtection="1">
      <alignment horizontal="right" vertical="center"/>
    </xf>
    <xf numFmtId="9" fontId="25" fillId="14" borderId="79" xfId="1" applyFont="1" applyFill="1" applyBorder="1" applyAlignment="1" applyProtection="1">
      <alignment horizontal="center" vertical="center"/>
    </xf>
    <xf numFmtId="16" fontId="30" fillId="8" borderId="70" xfId="0" applyNumberFormat="1" applyFont="1" applyFill="1" applyBorder="1" applyAlignment="1" applyProtection="1">
      <alignment vertical="center"/>
      <protection locked="0"/>
    </xf>
    <xf numFmtId="4" fontId="28" fillId="8" borderId="17" xfId="0" applyNumberFormat="1" applyFont="1" applyFill="1" applyBorder="1" applyAlignment="1" applyProtection="1">
      <alignment horizontal="center" vertical="center"/>
    </xf>
    <xf numFmtId="165" fontId="28" fillId="8" borderId="17" xfId="0" applyNumberFormat="1" applyFont="1" applyFill="1" applyBorder="1" applyAlignment="1" applyProtection="1">
      <alignment horizontal="center" vertical="center"/>
    </xf>
    <xf numFmtId="4" fontId="27" fillId="13" borderId="46" xfId="0" applyNumberFormat="1" applyFont="1" applyFill="1" applyBorder="1" applyAlignment="1" applyProtection="1">
      <alignment horizontal="center" vertical="center"/>
    </xf>
    <xf numFmtId="0" fontId="28" fillId="0" borderId="2" xfId="0" applyFont="1" applyFill="1" applyBorder="1" applyAlignment="1" applyProtection="1">
      <alignment vertical="center" wrapText="1"/>
      <protection locked="0"/>
    </xf>
    <xf numFmtId="0" fontId="30" fillId="8" borderId="3" xfId="0" applyFont="1" applyFill="1" applyBorder="1" applyAlignment="1" applyProtection="1">
      <alignment vertical="center"/>
      <protection locked="0"/>
    </xf>
    <xf numFmtId="0" fontId="28" fillId="0" borderId="10" xfId="0" applyFont="1" applyFill="1" applyBorder="1" applyAlignment="1" applyProtection="1">
      <alignment vertical="center" wrapText="1"/>
      <protection locked="0"/>
    </xf>
    <xf numFmtId="0" fontId="28" fillId="0" borderId="17" xfId="0" applyFont="1" applyFill="1" applyBorder="1" applyAlignment="1" applyProtection="1">
      <alignment vertical="center" wrapText="1"/>
      <protection locked="0"/>
    </xf>
    <xf numFmtId="0" fontId="28" fillId="0" borderId="36" xfId="0" applyFont="1" applyFill="1" applyBorder="1" applyAlignment="1" applyProtection="1">
      <alignment vertical="center" wrapText="1"/>
      <protection locked="0"/>
    </xf>
    <xf numFmtId="10" fontId="31" fillId="0" borderId="58" xfId="1" applyNumberFormat="1" applyFont="1" applyFill="1" applyBorder="1" applyAlignment="1" applyProtection="1">
      <alignment horizontal="center" vertical="center"/>
    </xf>
    <xf numFmtId="3" fontId="27" fillId="13" borderId="45" xfId="0" applyNumberFormat="1" applyFont="1" applyFill="1" applyBorder="1" applyAlignment="1" applyProtection="1">
      <alignment horizontal="center" vertical="center"/>
    </xf>
    <xf numFmtId="165" fontId="28" fillId="8" borderId="37" xfId="0" applyNumberFormat="1" applyFont="1" applyFill="1" applyBorder="1" applyAlignment="1" applyProtection="1">
      <alignment horizontal="center" vertical="center"/>
    </xf>
    <xf numFmtId="3" fontId="28" fillId="8" borderId="37" xfId="0" applyNumberFormat="1" applyFont="1" applyFill="1" applyBorder="1" applyAlignment="1" applyProtection="1">
      <alignment horizontal="center" vertical="center"/>
    </xf>
    <xf numFmtId="4" fontId="27" fillId="13" borderId="45" xfId="0" applyNumberFormat="1" applyFont="1" applyFill="1" applyBorder="1" applyAlignment="1" applyProtection="1">
      <alignment horizontal="center" vertical="center"/>
    </xf>
    <xf numFmtId="4" fontId="30" fillId="8" borderId="25" xfId="0" applyNumberFormat="1" applyFont="1" applyFill="1" applyBorder="1" applyAlignment="1" applyProtection="1">
      <alignment horizontal="center" vertical="center"/>
    </xf>
    <xf numFmtId="4" fontId="30" fillId="8" borderId="12" xfId="0" applyNumberFormat="1" applyFont="1" applyFill="1" applyBorder="1" applyAlignment="1" applyProtection="1">
      <alignment horizontal="center" vertical="center"/>
    </xf>
    <xf numFmtId="4" fontId="30" fillId="8" borderId="37" xfId="0" applyNumberFormat="1" applyFont="1" applyFill="1" applyBorder="1" applyAlignment="1" applyProtection="1">
      <alignment horizontal="center" vertical="center"/>
    </xf>
    <xf numFmtId="4" fontId="28" fillId="8" borderId="26" xfId="0" applyNumberFormat="1" applyFont="1" applyFill="1" applyBorder="1" applyAlignment="1" applyProtection="1">
      <alignment horizontal="center" vertical="center"/>
      <protection locked="0"/>
    </xf>
    <xf numFmtId="4" fontId="28" fillId="8" borderId="13" xfId="0" applyNumberFormat="1" applyFont="1" applyFill="1" applyBorder="1" applyAlignment="1" applyProtection="1">
      <alignment horizontal="center" vertical="center"/>
      <protection locked="0"/>
    </xf>
    <xf numFmtId="4" fontId="28" fillId="8" borderId="40" xfId="0" applyNumberFormat="1" applyFont="1" applyFill="1" applyBorder="1" applyAlignment="1" applyProtection="1">
      <alignment horizontal="center" vertical="center"/>
      <protection locked="0"/>
    </xf>
    <xf numFmtId="3" fontId="30" fillId="8" borderId="37" xfId="0" applyNumberFormat="1" applyFont="1" applyFill="1" applyBorder="1" applyAlignment="1" applyProtection="1">
      <alignment horizontal="center" vertical="center"/>
    </xf>
    <xf numFmtId="0" fontId="28" fillId="8" borderId="32" xfId="0" applyFont="1" applyFill="1" applyBorder="1" applyAlignment="1" applyProtection="1">
      <alignment horizontal="left" vertical="center"/>
      <protection locked="0"/>
    </xf>
    <xf numFmtId="0" fontId="28" fillId="8" borderId="32" xfId="0" applyFont="1" applyFill="1" applyBorder="1" applyAlignment="1" applyProtection="1">
      <alignment horizontal="center" vertical="center"/>
      <protection locked="0"/>
    </xf>
    <xf numFmtId="3" fontId="28" fillId="0" borderId="2" xfId="1" applyNumberFormat="1" applyFont="1" applyFill="1" applyBorder="1" applyAlignment="1" applyProtection="1">
      <alignment horizontal="center" vertical="center"/>
      <protection locked="0"/>
    </xf>
    <xf numFmtId="3" fontId="28" fillId="0" borderId="10" xfId="1" applyNumberFormat="1" applyFont="1" applyFill="1" applyBorder="1" applyAlignment="1" applyProtection="1">
      <alignment horizontal="center" vertical="center"/>
      <protection locked="0"/>
    </xf>
    <xf numFmtId="4" fontId="30" fillId="8" borderId="17" xfId="0" applyNumberFormat="1" applyFont="1" applyFill="1" applyBorder="1" applyAlignment="1" applyProtection="1">
      <alignment horizontal="center" vertical="center"/>
    </xf>
    <xf numFmtId="3" fontId="30" fillId="8" borderId="17" xfId="0" applyNumberFormat="1" applyFont="1" applyFill="1" applyBorder="1" applyAlignment="1" applyProtection="1">
      <alignment horizontal="center" vertical="center"/>
    </xf>
    <xf numFmtId="3" fontId="30" fillId="0" borderId="7" xfId="1" applyNumberFormat="1" applyFont="1" applyFill="1" applyBorder="1" applyAlignment="1" applyProtection="1">
      <alignment horizontal="center" vertical="center"/>
      <protection locked="0"/>
    </xf>
    <xf numFmtId="3" fontId="28" fillId="0" borderId="21" xfId="1" applyNumberFormat="1" applyFont="1" applyFill="1" applyBorder="1" applyAlignment="1" applyProtection="1">
      <alignment horizontal="center" vertical="center"/>
      <protection locked="0"/>
    </xf>
    <xf numFmtId="3" fontId="30" fillId="0" borderId="74" xfId="1" applyNumberFormat="1" applyFont="1" applyFill="1" applyBorder="1" applyAlignment="1" applyProtection="1">
      <alignment horizontal="center" vertical="center"/>
      <protection locked="0"/>
    </xf>
    <xf numFmtId="3" fontId="30" fillId="0" borderId="62" xfId="1" applyNumberFormat="1" applyFont="1" applyFill="1" applyBorder="1" applyAlignment="1" applyProtection="1">
      <alignment horizontal="center" vertical="center"/>
      <protection locked="0"/>
    </xf>
    <xf numFmtId="3" fontId="30" fillId="0" borderId="71" xfId="0" applyNumberFormat="1" applyFont="1" applyFill="1" applyBorder="1" applyAlignment="1" applyProtection="1">
      <alignment horizontal="center" vertical="center"/>
      <protection locked="0"/>
    </xf>
    <xf numFmtId="3" fontId="28" fillId="0" borderId="8" xfId="0" applyNumberFormat="1" applyFont="1" applyFill="1" applyBorder="1" applyAlignment="1" applyProtection="1">
      <alignment horizontal="center" vertical="center"/>
      <protection locked="0"/>
    </xf>
    <xf numFmtId="3" fontId="28" fillId="0" borderId="15" xfId="0" applyNumberFormat="1" applyFont="1" applyFill="1" applyBorder="1" applyAlignment="1" applyProtection="1">
      <alignment horizontal="center" vertical="center"/>
      <protection locked="0"/>
    </xf>
    <xf numFmtId="3" fontId="28" fillId="0" borderId="62" xfId="1" applyNumberFormat="1" applyFont="1" applyFill="1" applyBorder="1" applyAlignment="1" applyProtection="1">
      <alignment horizontal="center" vertical="center"/>
      <protection locked="0"/>
    </xf>
    <xf numFmtId="3" fontId="28" fillId="0" borderId="71" xfId="1" applyNumberFormat="1" applyFont="1" applyFill="1" applyBorder="1" applyAlignment="1" applyProtection="1">
      <alignment horizontal="center" vertical="center"/>
      <protection locked="0"/>
    </xf>
    <xf numFmtId="3" fontId="28" fillId="0" borderId="23" xfId="0" applyNumberFormat="1" applyFont="1" applyFill="1" applyBorder="1" applyAlignment="1" applyProtection="1">
      <alignment horizontal="center" vertical="center"/>
      <protection locked="0"/>
    </xf>
    <xf numFmtId="3" fontId="28" fillId="0" borderId="23" xfId="0" applyNumberFormat="1" applyFont="1" applyFill="1" applyBorder="1" applyAlignment="1" applyProtection="1">
      <alignment horizontal="center" vertical="center" wrapText="1"/>
      <protection locked="0"/>
    </xf>
    <xf numFmtId="0" fontId="27" fillId="0" borderId="60" xfId="0" applyFont="1" applyBorder="1" applyAlignment="1" applyProtection="1">
      <alignment horizontal="center" vertical="center" wrapText="1"/>
      <protection locked="0"/>
    </xf>
    <xf numFmtId="3" fontId="28" fillId="0" borderId="21" xfId="0" applyNumberFormat="1" applyFont="1" applyFill="1" applyBorder="1" applyAlignment="1" applyProtection="1">
      <alignment horizontal="center" vertical="center" wrapText="1"/>
      <protection locked="0"/>
    </xf>
    <xf numFmtId="3" fontId="30" fillId="0" borderId="20" xfId="0" applyNumberFormat="1" applyFont="1" applyFill="1" applyBorder="1" applyAlignment="1" applyProtection="1">
      <alignment horizontal="center" vertical="center" wrapText="1"/>
      <protection locked="0"/>
    </xf>
    <xf numFmtId="3" fontId="30" fillId="0" borderId="18" xfId="0" applyNumberFormat="1" applyFont="1" applyFill="1" applyBorder="1" applyAlignment="1" applyProtection="1">
      <alignment horizontal="center" vertical="center" wrapText="1"/>
      <protection locked="0"/>
    </xf>
    <xf numFmtId="3" fontId="28" fillId="0" borderId="20" xfId="1" applyNumberFormat="1" applyFont="1" applyFill="1" applyBorder="1" applyAlignment="1" applyProtection="1">
      <alignment horizontal="center" vertical="center" wrapText="1"/>
      <protection locked="0"/>
    </xf>
    <xf numFmtId="3" fontId="28" fillId="0" borderId="20" xfId="0" applyNumberFormat="1" applyFont="1" applyFill="1" applyBorder="1" applyAlignment="1" applyProtection="1">
      <alignment horizontal="center" vertical="center" wrapText="1"/>
      <protection locked="0"/>
    </xf>
    <xf numFmtId="3" fontId="28" fillId="0" borderId="71" xfId="1" applyNumberFormat="1" applyFont="1" applyFill="1" applyBorder="1" applyAlignment="1" applyProtection="1">
      <alignment horizontal="center" vertical="center" wrapText="1"/>
      <protection locked="0"/>
    </xf>
    <xf numFmtId="10" fontId="31" fillId="0" borderId="18" xfId="1" applyNumberFormat="1" applyFont="1" applyFill="1" applyBorder="1" applyAlignment="1" applyProtection="1">
      <alignment horizontal="center" vertical="center" wrapText="1"/>
      <protection locked="0"/>
    </xf>
    <xf numFmtId="3" fontId="28" fillId="0" borderId="19" xfId="0" applyNumberFormat="1" applyFont="1" applyFill="1" applyBorder="1" applyAlignment="1" applyProtection="1">
      <alignment horizontal="center" vertical="center" wrapText="1"/>
      <protection locked="0"/>
    </xf>
    <xf numFmtId="10" fontId="31" fillId="0" borderId="20" xfId="1" applyNumberFormat="1" applyFont="1" applyFill="1" applyBorder="1" applyAlignment="1" applyProtection="1">
      <alignment horizontal="center" vertical="center" wrapText="1"/>
      <protection locked="0"/>
    </xf>
    <xf numFmtId="10" fontId="28" fillId="0" borderId="71" xfId="1" applyNumberFormat="1" applyFont="1" applyFill="1" applyBorder="1" applyAlignment="1" applyProtection="1">
      <alignment horizontal="center" vertical="center" wrapText="1"/>
      <protection locked="0"/>
    </xf>
    <xf numFmtId="10" fontId="28" fillId="0" borderId="23" xfId="1" applyNumberFormat="1" applyFont="1" applyFill="1" applyBorder="1" applyAlignment="1" applyProtection="1">
      <alignment horizontal="center" vertical="center" wrapText="1"/>
      <protection locked="0"/>
    </xf>
    <xf numFmtId="0" fontId="30" fillId="8" borderId="13" xfId="0" applyFont="1" applyFill="1" applyBorder="1" applyAlignment="1" applyProtection="1">
      <alignment vertical="center" wrapText="1"/>
      <protection locked="0"/>
    </xf>
    <xf numFmtId="165" fontId="30" fillId="8" borderId="2" xfId="1" applyNumberFormat="1" applyFont="1" applyFill="1" applyBorder="1" applyAlignment="1" applyProtection="1">
      <alignment horizontal="right" vertical="center"/>
      <protection locked="0"/>
    </xf>
    <xf numFmtId="165" fontId="30" fillId="8" borderId="10" xfId="1" applyNumberFormat="1" applyFont="1" applyFill="1" applyBorder="1" applyAlignment="1" applyProtection="1">
      <alignment horizontal="right" vertical="center"/>
      <protection locked="0"/>
    </xf>
    <xf numFmtId="0" fontId="30" fillId="0" borderId="60" xfId="0" applyFont="1" applyBorder="1" applyAlignment="1" applyProtection="1">
      <alignment vertical="center"/>
      <protection locked="0"/>
    </xf>
    <xf numFmtId="4" fontId="25" fillId="14" borderId="80" xfId="1" applyNumberFormat="1" applyFont="1" applyFill="1" applyBorder="1" applyAlignment="1" applyProtection="1">
      <alignment horizontal="right" vertical="center"/>
    </xf>
    <xf numFmtId="4" fontId="28" fillId="8" borderId="28" xfId="0" applyNumberFormat="1" applyFont="1" applyFill="1" applyBorder="1" applyAlignment="1" applyProtection="1">
      <alignment horizontal="right" vertical="center"/>
    </xf>
    <xf numFmtId="4" fontId="28" fillId="8" borderId="11" xfId="0" applyNumberFormat="1" applyFont="1" applyFill="1" applyBorder="1" applyAlignment="1" applyProtection="1">
      <alignment horizontal="right" vertical="center"/>
    </xf>
    <xf numFmtId="4" fontId="28" fillId="8" borderId="34" xfId="0" applyNumberFormat="1" applyFont="1" applyFill="1" applyBorder="1" applyAlignment="1" applyProtection="1">
      <alignment horizontal="right" vertical="center"/>
    </xf>
    <xf numFmtId="0" fontId="30" fillId="8" borderId="18" xfId="0" applyFont="1" applyFill="1" applyBorder="1" applyAlignment="1" applyProtection="1">
      <alignment vertical="center" wrapText="1"/>
      <protection locked="0"/>
    </xf>
    <xf numFmtId="10" fontId="31" fillId="0" borderId="40" xfId="1" applyNumberFormat="1" applyFont="1" applyFill="1" applyBorder="1" applyAlignment="1" applyProtection="1">
      <alignment horizontal="center" vertical="center"/>
    </xf>
    <xf numFmtId="3" fontId="28" fillId="11" borderId="45" xfId="0" applyNumberFormat="1" applyFont="1" applyFill="1" applyBorder="1" applyAlignment="1" applyProtection="1">
      <alignment horizontal="center" vertical="center"/>
    </xf>
    <xf numFmtId="4" fontId="28" fillId="8" borderId="26" xfId="0" applyNumberFormat="1" applyFont="1" applyFill="1" applyBorder="1" applyAlignment="1" applyProtection="1">
      <alignment horizontal="right" vertical="center"/>
    </xf>
    <xf numFmtId="10" fontId="31" fillId="0" borderId="64" xfId="1" applyNumberFormat="1" applyFont="1" applyFill="1" applyBorder="1" applyAlignment="1" applyProtection="1">
      <alignment horizontal="center" vertical="center"/>
    </xf>
    <xf numFmtId="3" fontId="28" fillId="8" borderId="25" xfId="0" applyNumberFormat="1" applyFont="1" applyFill="1" applyBorder="1" applyAlignment="1" applyProtection="1">
      <alignment horizontal="center" vertical="center"/>
    </xf>
    <xf numFmtId="0" fontId="30" fillId="8" borderId="3" xfId="0" applyFont="1" applyFill="1" applyBorder="1" applyAlignment="1" applyProtection="1">
      <alignment vertical="center" wrapText="1"/>
      <protection locked="0"/>
    </xf>
    <xf numFmtId="165" fontId="30" fillId="0" borderId="13" xfId="1" applyNumberFormat="1" applyFont="1" applyFill="1" applyBorder="1" applyAlignment="1" applyProtection="1">
      <alignment horizontal="right" vertical="center"/>
      <protection locked="0"/>
    </xf>
    <xf numFmtId="4" fontId="28" fillId="8" borderId="13" xfId="0" applyNumberFormat="1" applyFont="1" applyFill="1" applyBorder="1" applyAlignment="1" applyProtection="1">
      <alignment horizontal="right" vertical="center"/>
    </xf>
    <xf numFmtId="3" fontId="28" fillId="8" borderId="58" xfId="0" applyNumberFormat="1" applyFont="1" applyFill="1" applyBorder="1" applyAlignment="1" applyProtection="1">
      <alignment horizontal="center" vertical="center"/>
    </xf>
    <xf numFmtId="0" fontId="30" fillId="8" borderId="78" xfId="0" applyFont="1" applyFill="1" applyBorder="1" applyAlignment="1" applyProtection="1">
      <alignment vertical="center" wrapText="1"/>
      <protection locked="0"/>
    </xf>
    <xf numFmtId="10" fontId="31" fillId="0" borderId="2" xfId="1" applyNumberFormat="1" applyFont="1" applyFill="1" applyBorder="1" applyAlignment="1" applyProtection="1">
      <alignment horizontal="center" vertical="center"/>
    </xf>
    <xf numFmtId="10" fontId="31" fillId="0" borderId="3" xfId="1" applyNumberFormat="1" applyFont="1" applyFill="1" applyBorder="1" applyAlignment="1" applyProtection="1">
      <alignment horizontal="center" vertical="center"/>
    </xf>
    <xf numFmtId="4" fontId="28" fillId="11" borderId="43" xfId="0" applyNumberFormat="1" applyFont="1" applyFill="1" applyBorder="1" applyAlignment="1" applyProtection="1">
      <alignment horizontal="right" vertical="center"/>
      <protection locked="0"/>
    </xf>
    <xf numFmtId="4" fontId="28" fillId="11" borderId="48" xfId="0" applyNumberFormat="1" applyFont="1" applyFill="1" applyBorder="1" applyAlignment="1" applyProtection="1">
      <alignment horizontal="right" vertical="center"/>
    </xf>
    <xf numFmtId="0" fontId="30" fillId="8" borderId="6" xfId="0" applyFont="1" applyFill="1" applyBorder="1" applyAlignment="1" applyProtection="1">
      <alignment vertical="center" wrapText="1"/>
      <protection locked="0"/>
    </xf>
    <xf numFmtId="0" fontId="30" fillId="8" borderId="62" xfId="0" applyFont="1" applyFill="1" applyBorder="1" applyAlignment="1" applyProtection="1">
      <alignment vertical="center" wrapText="1"/>
      <protection locked="0"/>
    </xf>
    <xf numFmtId="0" fontId="30" fillId="8" borderId="67" xfId="0" applyFont="1" applyFill="1" applyBorder="1" applyAlignment="1" applyProtection="1">
      <alignment vertical="center" wrapText="1"/>
      <protection locked="0"/>
    </xf>
    <xf numFmtId="4" fontId="30" fillId="8" borderId="25" xfId="0" applyNumberFormat="1" applyFont="1" applyFill="1" applyBorder="1" applyAlignment="1" applyProtection="1">
      <alignment horizontal="right" vertical="center"/>
      <protection locked="0"/>
    </xf>
    <xf numFmtId="4" fontId="30" fillId="8" borderId="12" xfId="0" applyNumberFormat="1" applyFont="1" applyFill="1" applyBorder="1" applyAlignment="1" applyProtection="1">
      <alignment horizontal="right" vertical="center"/>
      <protection locked="0"/>
    </xf>
    <xf numFmtId="4" fontId="30" fillId="0" borderId="32" xfId="0" applyNumberFormat="1" applyFont="1" applyFill="1" applyBorder="1" applyAlignment="1" applyProtection="1">
      <alignment horizontal="right" vertical="center" wrapText="1"/>
      <protection locked="0"/>
    </xf>
    <xf numFmtId="0" fontId="30" fillId="8" borderId="1" xfId="0" applyFont="1" applyFill="1" applyBorder="1" applyAlignment="1" applyProtection="1">
      <alignment vertical="center" wrapText="1"/>
      <protection locked="0"/>
    </xf>
    <xf numFmtId="165" fontId="30" fillId="0" borderId="4" xfId="1" applyNumberFormat="1" applyFont="1" applyFill="1" applyBorder="1" applyAlignment="1" applyProtection="1">
      <alignment horizontal="right" vertical="center"/>
      <protection locked="0"/>
    </xf>
    <xf numFmtId="4" fontId="28" fillId="8" borderId="7" xfId="0" applyNumberFormat="1" applyFont="1" applyFill="1" applyBorder="1" applyAlignment="1" applyProtection="1">
      <alignment horizontal="right" vertical="center"/>
    </xf>
    <xf numFmtId="4" fontId="28" fillId="8" borderId="3" xfId="0" applyNumberFormat="1" applyFont="1" applyFill="1" applyBorder="1" applyAlignment="1" applyProtection="1">
      <alignment horizontal="right" vertical="center"/>
    </xf>
    <xf numFmtId="0" fontId="30" fillId="8" borderId="10" xfId="0" applyFont="1" applyFill="1" applyBorder="1" applyAlignment="1" applyProtection="1">
      <alignment vertical="center" wrapText="1"/>
      <protection locked="0"/>
    </xf>
    <xf numFmtId="0" fontId="30" fillId="8" borderId="41" xfId="0" applyFont="1" applyFill="1" applyBorder="1" applyAlignment="1" applyProtection="1">
      <alignment vertical="center" wrapText="1"/>
      <protection locked="0"/>
    </xf>
    <xf numFmtId="3" fontId="30" fillId="8" borderId="54" xfId="0" applyNumberFormat="1" applyFont="1" applyFill="1" applyBorder="1" applyAlignment="1" applyProtection="1">
      <alignment horizontal="center" vertical="center"/>
      <protection locked="0"/>
    </xf>
    <xf numFmtId="4" fontId="28" fillId="0" borderId="55" xfId="1" applyNumberFormat="1" applyFont="1" applyFill="1" applyBorder="1" applyAlignment="1" applyProtection="1">
      <alignment horizontal="right" vertical="center"/>
    </xf>
    <xf numFmtId="4" fontId="41" fillId="0" borderId="10" xfId="0" applyNumberFormat="1" applyFont="1" applyFill="1" applyBorder="1" applyAlignment="1" applyProtection="1">
      <alignment horizontal="right" vertical="center" wrapText="1"/>
      <protection locked="0"/>
    </xf>
    <xf numFmtId="0" fontId="30" fillId="8" borderId="8" xfId="0" applyFont="1" applyFill="1" applyBorder="1" applyAlignment="1" applyProtection="1">
      <alignment vertical="center"/>
      <protection locked="0"/>
    </xf>
    <xf numFmtId="0" fontId="30" fillId="8" borderId="15" xfId="0" applyFont="1" applyFill="1" applyBorder="1" applyAlignment="1" applyProtection="1">
      <alignment vertical="center"/>
      <protection locked="0"/>
    </xf>
    <xf numFmtId="0" fontId="30" fillId="8" borderId="33" xfId="0" applyFont="1" applyFill="1" applyBorder="1" applyAlignment="1" applyProtection="1">
      <alignment vertical="center"/>
      <protection locked="0"/>
    </xf>
    <xf numFmtId="0" fontId="30" fillId="8" borderId="23" xfId="0" applyFont="1" applyFill="1" applyBorder="1" applyAlignment="1" applyProtection="1">
      <alignment vertical="center"/>
      <protection locked="0"/>
    </xf>
    <xf numFmtId="0" fontId="30" fillId="8" borderId="72" xfId="0" applyFont="1" applyFill="1" applyBorder="1" applyAlignment="1" applyProtection="1">
      <alignment vertical="center" wrapText="1"/>
      <protection locked="0"/>
    </xf>
    <xf numFmtId="0" fontId="30" fillId="8" borderId="76" xfId="0" applyFont="1" applyFill="1" applyBorder="1" applyAlignment="1" applyProtection="1">
      <alignment vertical="center" wrapText="1"/>
      <protection locked="0"/>
    </xf>
    <xf numFmtId="3" fontId="30" fillId="8" borderId="24" xfId="0" applyNumberFormat="1" applyFont="1" applyFill="1" applyBorder="1" applyAlignment="1" applyProtection="1">
      <alignment horizontal="center" vertical="center"/>
      <protection locked="0"/>
    </xf>
    <xf numFmtId="3" fontId="30" fillId="8" borderId="52" xfId="0" applyNumberFormat="1" applyFont="1" applyFill="1" applyBorder="1" applyAlignment="1" applyProtection="1">
      <alignment horizontal="center" vertical="center"/>
      <protection locked="0"/>
    </xf>
    <xf numFmtId="3" fontId="30" fillId="8" borderId="77" xfId="0" applyNumberFormat="1" applyFont="1" applyFill="1" applyBorder="1" applyAlignment="1" applyProtection="1">
      <alignment horizontal="center" vertical="center"/>
      <protection locked="0"/>
    </xf>
    <xf numFmtId="3" fontId="30" fillId="8" borderId="8" xfId="0" applyNumberFormat="1" applyFont="1" applyFill="1" applyBorder="1" applyAlignment="1" applyProtection="1">
      <alignment horizontal="center" vertical="center"/>
      <protection locked="0"/>
    </xf>
    <xf numFmtId="3" fontId="30" fillId="8" borderId="29" xfId="0" applyNumberFormat="1" applyFont="1" applyFill="1" applyBorder="1" applyAlignment="1" applyProtection="1">
      <alignment horizontal="center" vertical="center"/>
      <protection locked="0"/>
    </xf>
    <xf numFmtId="3" fontId="30" fillId="8" borderId="23" xfId="0" applyNumberFormat="1" applyFont="1" applyFill="1" applyBorder="1" applyAlignment="1" applyProtection="1">
      <alignment horizontal="center" vertical="center"/>
      <protection locked="0"/>
    </xf>
    <xf numFmtId="165" fontId="30" fillId="8" borderId="12" xfId="1" applyNumberFormat="1" applyFont="1" applyFill="1" applyBorder="1" applyAlignment="1" applyProtection="1">
      <alignment horizontal="right" vertical="center"/>
      <protection locked="0"/>
    </xf>
    <xf numFmtId="3" fontId="22" fillId="12" borderId="40" xfId="0" applyNumberFormat="1" applyFont="1" applyFill="1" applyBorder="1" applyAlignment="1" applyProtection="1">
      <alignment horizontal="center" vertical="center" wrapText="1"/>
      <protection locked="0"/>
    </xf>
    <xf numFmtId="3" fontId="22" fillId="12" borderId="34" xfId="0" applyNumberFormat="1" applyFont="1" applyFill="1" applyBorder="1" applyAlignment="1" applyProtection="1">
      <alignment horizontal="center" vertical="center" wrapText="1"/>
      <protection locked="0"/>
    </xf>
    <xf numFmtId="3" fontId="22" fillId="12" borderId="17" xfId="0" applyNumberFormat="1" applyFont="1" applyFill="1" applyBorder="1" applyAlignment="1" applyProtection="1">
      <alignment horizontal="center" vertical="center" wrapText="1"/>
      <protection locked="0"/>
    </xf>
    <xf numFmtId="4" fontId="43" fillId="0" borderId="36" xfId="0" applyNumberFormat="1" applyFont="1" applyFill="1" applyBorder="1" applyAlignment="1" applyProtection="1">
      <alignment horizontal="right" vertical="center" wrapText="1"/>
      <protection locked="0"/>
    </xf>
    <xf numFmtId="10" fontId="28" fillId="8" borderId="12" xfId="1" applyNumberFormat="1" applyFont="1" applyFill="1" applyBorder="1" applyAlignment="1" applyProtection="1">
      <alignment horizontal="center" vertical="center"/>
    </xf>
    <xf numFmtId="10" fontId="31" fillId="0" borderId="19" xfId="1" applyNumberFormat="1" applyFont="1" applyFill="1" applyBorder="1" applyAlignment="1" applyProtection="1">
      <alignment horizontal="center" vertical="center"/>
    </xf>
    <xf numFmtId="165" fontId="43" fillId="0" borderId="12" xfId="1" applyNumberFormat="1" applyFont="1" applyFill="1" applyBorder="1" applyAlignment="1" applyProtection="1">
      <alignment horizontal="right" vertical="center"/>
      <protection locked="0"/>
    </xf>
    <xf numFmtId="4" fontId="41" fillId="0" borderId="26" xfId="1" applyNumberFormat="1" applyFont="1" applyFill="1" applyBorder="1" applyAlignment="1" applyProtection="1">
      <alignment horizontal="right" vertical="center"/>
    </xf>
    <xf numFmtId="3" fontId="43" fillId="8" borderId="13" xfId="0" applyNumberFormat="1" applyFont="1" applyFill="1" applyBorder="1" applyAlignment="1" applyProtection="1">
      <alignment horizontal="center" vertical="center"/>
      <protection locked="0"/>
    </xf>
    <xf numFmtId="3" fontId="43" fillId="8" borderId="11" xfId="0" applyNumberFormat="1" applyFont="1" applyFill="1" applyBorder="1" applyAlignment="1" applyProtection="1">
      <alignment horizontal="center" vertical="center"/>
      <protection locked="0"/>
    </xf>
    <xf numFmtId="3" fontId="30" fillId="8" borderId="5" xfId="0" applyNumberFormat="1" applyFont="1" applyFill="1" applyBorder="1" applyAlignment="1" applyProtection="1">
      <alignment horizontal="center" vertical="center"/>
      <protection locked="0"/>
    </xf>
    <xf numFmtId="3" fontId="28" fillId="11" borderId="55" xfId="0" applyNumberFormat="1" applyFont="1" applyFill="1" applyBorder="1" applyAlignment="1" applyProtection="1">
      <alignment horizontal="center" vertical="center"/>
    </xf>
    <xf numFmtId="3" fontId="28" fillId="8" borderId="65" xfId="0" applyNumberFormat="1" applyFont="1" applyFill="1" applyBorder="1" applyAlignment="1" applyProtection="1">
      <alignment horizontal="center" vertical="center"/>
    </xf>
    <xf numFmtId="3" fontId="28" fillId="8" borderId="76" xfId="0" applyNumberFormat="1" applyFont="1" applyFill="1" applyBorder="1" applyAlignment="1" applyProtection="1">
      <alignment horizontal="center" vertical="center"/>
    </xf>
    <xf numFmtId="3" fontId="28" fillId="11" borderId="38" xfId="0" applyNumberFormat="1" applyFont="1" applyFill="1" applyBorder="1" applyAlignment="1" applyProtection="1">
      <alignment horizontal="center" vertical="center"/>
    </xf>
    <xf numFmtId="3" fontId="28" fillId="11" borderId="31" xfId="0" applyNumberFormat="1" applyFont="1" applyFill="1" applyBorder="1" applyAlignment="1" applyProtection="1">
      <alignment horizontal="center" vertical="center"/>
    </xf>
    <xf numFmtId="3" fontId="28" fillId="8" borderId="72" xfId="0" applyNumberFormat="1" applyFont="1" applyFill="1" applyBorder="1" applyAlignment="1" applyProtection="1">
      <alignment horizontal="center" vertical="center"/>
    </xf>
    <xf numFmtId="3" fontId="28" fillId="8" borderId="78" xfId="0" applyNumberFormat="1" applyFont="1" applyFill="1" applyBorder="1" applyAlignment="1" applyProtection="1">
      <alignment horizontal="center" vertical="center"/>
    </xf>
    <xf numFmtId="3" fontId="28" fillId="8" borderId="66" xfId="0" applyNumberFormat="1" applyFont="1" applyFill="1" applyBorder="1" applyAlignment="1" applyProtection="1">
      <alignment horizontal="center" vertical="center"/>
    </xf>
    <xf numFmtId="4" fontId="28" fillId="8" borderId="12" xfId="0" applyNumberFormat="1" applyFont="1" applyFill="1" applyBorder="1" applyAlignment="1" applyProtection="1">
      <alignment horizontal="center" vertical="center"/>
    </xf>
    <xf numFmtId="3" fontId="27" fillId="13" borderId="41" xfId="0" applyNumberFormat="1" applyFont="1" applyFill="1" applyBorder="1" applyAlignment="1" applyProtection="1">
      <alignment horizontal="center" vertical="center"/>
    </xf>
    <xf numFmtId="3" fontId="30" fillId="8" borderId="78" xfId="0" applyNumberFormat="1" applyFont="1" applyFill="1" applyBorder="1" applyAlignment="1" applyProtection="1">
      <alignment horizontal="center" vertical="center"/>
      <protection locked="0"/>
    </xf>
    <xf numFmtId="3" fontId="30" fillId="8" borderId="65" xfId="0" applyNumberFormat="1" applyFont="1" applyFill="1" applyBorder="1" applyAlignment="1" applyProtection="1">
      <alignment horizontal="center" vertical="center"/>
      <protection locked="0"/>
    </xf>
    <xf numFmtId="3" fontId="30" fillId="8" borderId="15" xfId="0" applyNumberFormat="1" applyFont="1" applyFill="1" applyBorder="1" applyAlignment="1" applyProtection="1">
      <alignment horizontal="center" vertical="center"/>
      <protection locked="0"/>
    </xf>
    <xf numFmtId="3" fontId="43" fillId="0" borderId="28" xfId="0" applyNumberFormat="1" applyFont="1" applyFill="1" applyBorder="1" applyAlignment="1" applyProtection="1">
      <alignment horizontal="center" vertical="center"/>
      <protection locked="0"/>
    </xf>
    <xf numFmtId="3" fontId="44" fillId="8" borderId="8" xfId="0" applyNumberFormat="1" applyFont="1" applyFill="1" applyBorder="1" applyAlignment="1" applyProtection="1">
      <alignment horizontal="center" vertical="center"/>
      <protection locked="0"/>
    </xf>
    <xf numFmtId="4" fontId="19" fillId="0" borderId="0" xfId="0" applyNumberFormat="1" applyFont="1" applyAlignment="1" applyProtection="1">
      <alignment vertical="center"/>
      <protection locked="0"/>
    </xf>
    <xf numFmtId="165" fontId="36" fillId="0" borderId="25" xfId="1" applyNumberFormat="1" applyFont="1" applyFill="1" applyBorder="1" applyAlignment="1" applyProtection="1">
      <alignment horizontal="right" vertical="center"/>
      <protection locked="0"/>
    </xf>
    <xf numFmtId="4" fontId="36" fillId="0" borderId="36" xfId="0" applyNumberFormat="1" applyFont="1" applyFill="1" applyBorder="1" applyAlignment="1" applyProtection="1">
      <alignment horizontal="right" vertical="center" wrapText="1"/>
      <protection locked="0"/>
    </xf>
    <xf numFmtId="3" fontId="36" fillId="0" borderId="13" xfId="0" applyNumberFormat="1" applyFont="1" applyFill="1" applyBorder="1" applyAlignment="1" applyProtection="1">
      <alignment horizontal="center" vertical="center"/>
      <protection locked="0"/>
    </xf>
    <xf numFmtId="4" fontId="43" fillId="0" borderId="10" xfId="0" applyNumberFormat="1" applyFont="1" applyFill="1" applyBorder="1" applyAlignment="1" applyProtection="1">
      <alignment horizontal="right" vertical="center" wrapText="1"/>
      <protection locked="0"/>
    </xf>
    <xf numFmtId="166" fontId="43" fillId="0" borderId="25" xfId="1" applyNumberFormat="1" applyFont="1" applyFill="1" applyBorder="1" applyAlignment="1" applyProtection="1">
      <alignment horizontal="right" vertical="center"/>
      <protection locked="0"/>
    </xf>
    <xf numFmtId="165" fontId="43" fillId="0" borderId="10" xfId="1" applyNumberFormat="1" applyFont="1" applyFill="1" applyBorder="1" applyAlignment="1" applyProtection="1">
      <alignment horizontal="right" vertical="center"/>
      <protection locked="0"/>
    </xf>
    <xf numFmtId="165" fontId="43" fillId="0" borderId="37" xfId="1" applyNumberFormat="1" applyFont="1" applyFill="1" applyBorder="1" applyAlignment="1" applyProtection="1">
      <alignment horizontal="right" vertical="center"/>
      <protection locked="0"/>
    </xf>
    <xf numFmtId="3" fontId="19" fillId="0" borderId="0" xfId="0" applyNumberFormat="1" applyFont="1" applyAlignment="1" applyProtection="1">
      <alignment vertical="center"/>
      <protection locked="0"/>
    </xf>
    <xf numFmtId="0" fontId="44" fillId="0" borderId="9" xfId="0" applyFont="1" applyBorder="1" applyAlignment="1" applyProtection="1">
      <alignment horizontal="center" vertical="center"/>
      <protection locked="0"/>
    </xf>
    <xf numFmtId="3" fontId="36" fillId="8" borderId="26" xfId="0" applyNumberFormat="1" applyFont="1" applyFill="1" applyBorder="1" applyAlignment="1" applyProtection="1">
      <alignment horizontal="center" vertical="center"/>
      <protection locked="0"/>
    </xf>
    <xf numFmtId="4" fontId="41" fillId="8" borderId="12" xfId="0" applyNumberFormat="1" applyFont="1" applyFill="1" applyBorder="1" applyAlignment="1" applyProtection="1">
      <alignment horizontal="center" vertical="center"/>
    </xf>
    <xf numFmtId="10" fontId="41" fillId="0" borderId="11" xfId="1" applyNumberFormat="1" applyFont="1" applyFill="1" applyBorder="1" applyAlignment="1" applyProtection="1">
      <alignment horizontal="center" vertical="center" wrapText="1"/>
    </xf>
    <xf numFmtId="0" fontId="28" fillId="0" borderId="42" xfId="0" applyFont="1" applyFill="1" applyBorder="1" applyAlignment="1" applyProtection="1">
      <alignment horizontal="center" vertical="center" wrapText="1"/>
      <protection locked="0"/>
    </xf>
    <xf numFmtId="165" fontId="43" fillId="0" borderId="17" xfId="1" applyNumberFormat="1" applyFont="1" applyFill="1" applyBorder="1" applyAlignment="1" applyProtection="1">
      <alignment horizontal="right" vertical="center"/>
      <protection locked="0"/>
    </xf>
    <xf numFmtId="3" fontId="36" fillId="8" borderId="13" xfId="0" applyNumberFormat="1" applyFont="1" applyFill="1" applyBorder="1" applyAlignment="1" applyProtection="1">
      <alignment horizontal="center" vertical="center"/>
      <protection locked="0"/>
    </xf>
    <xf numFmtId="3" fontId="28" fillId="8" borderId="10" xfId="0" applyNumberFormat="1" applyFont="1" applyFill="1" applyBorder="1" applyAlignment="1" applyProtection="1">
      <alignment horizontal="center" vertical="center"/>
      <protection locked="0"/>
    </xf>
    <xf numFmtId="3" fontId="28" fillId="8" borderId="62" xfId="0" applyNumberFormat="1" applyFont="1" applyFill="1" applyBorder="1" applyAlignment="1" applyProtection="1">
      <alignment horizontal="center" vertical="center"/>
      <protection locked="0"/>
    </xf>
    <xf numFmtId="3" fontId="28" fillId="8" borderId="13" xfId="0" applyNumberFormat="1" applyFont="1" applyFill="1" applyBorder="1" applyAlignment="1" applyProtection="1">
      <alignment horizontal="center" vertical="center"/>
      <protection locked="0"/>
    </xf>
    <xf numFmtId="0" fontId="20" fillId="0" borderId="0" xfId="0" applyFont="1" applyAlignment="1" applyProtection="1">
      <alignment vertical="center"/>
      <protection locked="0"/>
    </xf>
    <xf numFmtId="4" fontId="28" fillId="8" borderId="26" xfId="1" applyNumberFormat="1" applyFont="1" applyFill="1" applyBorder="1" applyAlignment="1" applyProtection="1">
      <alignment horizontal="right" vertical="center"/>
    </xf>
    <xf numFmtId="0" fontId="27" fillId="8" borderId="9" xfId="0" applyFont="1" applyFill="1" applyBorder="1" applyAlignment="1" applyProtection="1">
      <alignment horizontal="center" vertical="center"/>
      <protection locked="0"/>
    </xf>
    <xf numFmtId="0" fontId="30" fillId="8" borderId="34" xfId="0" applyFont="1" applyFill="1" applyBorder="1" applyAlignment="1" applyProtection="1">
      <alignment horizontal="left" vertical="center" wrapText="1"/>
      <protection locked="0"/>
    </xf>
    <xf numFmtId="165" fontId="43" fillId="8" borderId="37" xfId="1" applyNumberFormat="1" applyFont="1" applyFill="1" applyBorder="1" applyAlignment="1" applyProtection="1">
      <alignment horizontal="right" vertical="center"/>
      <protection locked="0"/>
    </xf>
    <xf numFmtId="4" fontId="28" fillId="8" borderId="70" xfId="1" applyNumberFormat="1" applyFont="1" applyFill="1" applyBorder="1" applyAlignment="1" applyProtection="1">
      <alignment horizontal="right" vertical="center"/>
    </xf>
    <xf numFmtId="4" fontId="30" fillId="8" borderId="17" xfId="0" applyNumberFormat="1" applyFont="1" applyFill="1" applyBorder="1" applyAlignment="1" applyProtection="1">
      <alignment horizontal="right" vertical="center" wrapText="1"/>
      <protection locked="0"/>
    </xf>
    <xf numFmtId="4" fontId="28" fillId="8" borderId="40" xfId="0" applyNumberFormat="1" applyFont="1" applyFill="1" applyBorder="1" applyAlignment="1" applyProtection="1">
      <alignment horizontal="right" vertical="center"/>
    </xf>
    <xf numFmtId="0" fontId="19" fillId="8" borderId="0" xfId="0" applyFont="1" applyFill="1" applyAlignment="1" applyProtection="1">
      <alignment vertical="center"/>
      <protection locked="0"/>
    </xf>
    <xf numFmtId="4" fontId="41" fillId="8" borderId="25" xfId="0" applyNumberFormat="1" applyFont="1" applyFill="1" applyBorder="1" applyAlignment="1" applyProtection="1">
      <alignment horizontal="center" vertical="center"/>
    </xf>
    <xf numFmtId="165" fontId="43" fillId="8" borderId="12" xfId="1" applyNumberFormat="1" applyFont="1" applyFill="1" applyBorder="1" applyAlignment="1" applyProtection="1">
      <alignment horizontal="right" vertical="center"/>
      <protection locked="0"/>
    </xf>
    <xf numFmtId="4" fontId="43" fillId="8" borderId="36" xfId="0" applyNumberFormat="1" applyFont="1" applyFill="1" applyBorder="1" applyAlignment="1" applyProtection="1">
      <alignment horizontal="right" vertical="center" wrapText="1"/>
      <protection locked="0"/>
    </xf>
    <xf numFmtId="4" fontId="43" fillId="8" borderId="10" xfId="0" applyNumberFormat="1" applyFont="1" applyFill="1" applyBorder="1" applyAlignment="1" applyProtection="1">
      <alignment horizontal="right" vertical="center" wrapText="1"/>
      <protection locked="0"/>
    </xf>
    <xf numFmtId="165" fontId="43" fillId="8" borderId="25" xfId="1" applyNumberFormat="1" applyFont="1" applyFill="1" applyBorder="1" applyAlignment="1" applyProtection="1">
      <alignment horizontal="right" vertical="center"/>
      <protection locked="0"/>
    </xf>
    <xf numFmtId="0" fontId="28" fillId="8" borderId="0" xfId="0" applyFont="1" applyFill="1" applyBorder="1" applyAlignment="1" applyProtection="1">
      <alignment horizontal="center" vertical="center" wrapText="1"/>
      <protection locked="0"/>
    </xf>
    <xf numFmtId="0" fontId="27" fillId="13" borderId="61" xfId="0" applyFont="1" applyFill="1" applyBorder="1" applyAlignment="1" applyProtection="1">
      <alignment horizontal="center" vertical="center" wrapText="1"/>
      <protection locked="0"/>
    </xf>
    <xf numFmtId="0" fontId="28" fillId="8" borderId="37" xfId="0" applyFont="1" applyFill="1" applyBorder="1" applyAlignment="1" applyProtection="1">
      <alignment horizontal="center" vertical="center" wrapText="1"/>
      <protection locked="0"/>
    </xf>
    <xf numFmtId="0" fontId="27" fillId="13" borderId="61" xfId="0" applyFont="1" applyFill="1" applyBorder="1" applyAlignment="1" applyProtection="1">
      <alignment horizontal="center" vertical="center"/>
      <protection locked="0"/>
    </xf>
    <xf numFmtId="0" fontId="32" fillId="14" borderId="61" xfId="0" applyFont="1" applyFill="1" applyBorder="1" applyAlignment="1" applyProtection="1">
      <alignment horizontal="center" vertical="center"/>
      <protection locked="0"/>
    </xf>
    <xf numFmtId="4" fontId="28" fillId="12" borderId="40" xfId="0" applyNumberFormat="1" applyFont="1" applyFill="1" applyBorder="1" applyAlignment="1" applyProtection="1">
      <alignment horizontal="center" vertical="center" wrapText="1"/>
      <protection locked="0"/>
    </xf>
    <xf numFmtId="4" fontId="28" fillId="12" borderId="34" xfId="0" applyNumberFormat="1" applyFont="1" applyFill="1" applyBorder="1" applyAlignment="1" applyProtection="1">
      <alignment horizontal="center" vertical="center" wrapText="1"/>
      <protection locked="0"/>
    </xf>
    <xf numFmtId="0" fontId="28" fillId="0" borderId="9" xfId="0" applyFont="1" applyBorder="1" applyAlignment="1" applyProtection="1">
      <alignment horizontal="center" vertical="center"/>
      <protection locked="0"/>
    </xf>
    <xf numFmtId="4" fontId="43" fillId="0" borderId="17" xfId="0" applyNumberFormat="1" applyFont="1" applyFill="1" applyBorder="1" applyAlignment="1" applyProtection="1">
      <alignment horizontal="right" vertical="center" wrapText="1"/>
      <protection locked="0"/>
    </xf>
    <xf numFmtId="0" fontId="45" fillId="0" borderId="13" xfId="0" applyFont="1" applyBorder="1" applyAlignment="1">
      <alignment horizontal="left" vertical="center" wrapText="1"/>
    </xf>
    <xf numFmtId="0" fontId="45" fillId="0" borderId="11" xfId="0" applyFont="1" applyBorder="1" applyAlignment="1">
      <alignment horizontal="left" vertical="center" wrapText="1"/>
    </xf>
    <xf numFmtId="0" fontId="44" fillId="8" borderId="37" xfId="0" applyFont="1" applyFill="1" applyBorder="1" applyAlignment="1" applyProtection="1">
      <alignment horizontal="center" vertical="center" wrapText="1"/>
      <protection locked="0"/>
    </xf>
    <xf numFmtId="0" fontId="36" fillId="8" borderId="34" xfId="0" applyFont="1" applyFill="1" applyBorder="1" applyAlignment="1" applyProtection="1">
      <alignment vertical="center"/>
      <protection locked="0"/>
    </xf>
    <xf numFmtId="0" fontId="36" fillId="8" borderId="22" xfId="0" applyFont="1" applyFill="1" applyBorder="1" applyAlignment="1" applyProtection="1">
      <alignment vertical="center"/>
      <protection locked="0"/>
    </xf>
    <xf numFmtId="3" fontId="36" fillId="8" borderId="17" xfId="0" applyNumberFormat="1" applyFont="1" applyFill="1" applyBorder="1" applyAlignment="1" applyProtection="1">
      <alignment horizontal="center" vertical="center"/>
      <protection locked="0"/>
    </xf>
    <xf numFmtId="3" fontId="36" fillId="8" borderId="28" xfId="0" applyNumberFormat="1" applyFont="1" applyFill="1" applyBorder="1" applyAlignment="1" applyProtection="1">
      <alignment horizontal="center" vertical="center"/>
      <protection locked="0"/>
    </xf>
    <xf numFmtId="4" fontId="36" fillId="8" borderId="17" xfId="0" applyNumberFormat="1" applyFont="1" applyFill="1" applyBorder="1" applyAlignment="1" applyProtection="1">
      <alignment horizontal="center" vertical="center"/>
    </xf>
    <xf numFmtId="3" fontId="36" fillId="8" borderId="37" xfId="0" applyNumberFormat="1" applyFont="1" applyFill="1" applyBorder="1" applyAlignment="1" applyProtection="1">
      <alignment horizontal="center" vertical="center"/>
    </xf>
    <xf numFmtId="4" fontId="44" fillId="8" borderId="40" xfId="0" applyNumberFormat="1" applyFont="1" applyFill="1" applyBorder="1" applyAlignment="1" applyProtection="1">
      <alignment horizontal="center" vertical="center"/>
      <protection locked="0"/>
    </xf>
    <xf numFmtId="10" fontId="44" fillId="8" borderId="34" xfId="1" applyNumberFormat="1" applyFont="1" applyFill="1" applyBorder="1" applyAlignment="1" applyProtection="1">
      <alignment horizontal="center" vertical="center"/>
    </xf>
    <xf numFmtId="0" fontId="46" fillId="0" borderId="0" xfId="0" applyFont="1" applyAlignment="1" applyProtection="1">
      <alignment vertical="center"/>
      <protection locked="0"/>
    </xf>
    <xf numFmtId="4" fontId="37" fillId="17" borderId="47" xfId="1" applyNumberFormat="1" applyFont="1" applyFill="1" applyBorder="1" applyAlignment="1" applyProtection="1">
      <alignment horizontal="right" vertical="center"/>
    </xf>
    <xf numFmtId="3" fontId="27" fillId="13" borderId="54" xfId="0" applyNumberFormat="1" applyFont="1" applyFill="1" applyBorder="1" applyAlignment="1" applyProtection="1">
      <alignment horizontal="center" vertical="center"/>
    </xf>
    <xf numFmtId="3" fontId="28" fillId="11" borderId="43" xfId="0" applyNumberFormat="1" applyFont="1" applyFill="1" applyBorder="1" applyAlignment="1" applyProtection="1">
      <alignment horizontal="center" vertical="center"/>
    </xf>
    <xf numFmtId="3" fontId="28" fillId="11" borderId="42" xfId="0" applyNumberFormat="1" applyFont="1" applyFill="1" applyBorder="1" applyAlignment="1" applyProtection="1">
      <alignment horizontal="center" vertical="center"/>
    </xf>
    <xf numFmtId="0" fontId="28" fillId="8" borderId="0" xfId="0" applyFont="1" applyFill="1" applyBorder="1" applyAlignment="1" applyProtection="1">
      <alignment horizontal="center" vertical="center" wrapText="1"/>
      <protection locked="0"/>
    </xf>
    <xf numFmtId="0" fontId="27" fillId="13" borderId="61" xfId="0" applyFont="1" applyFill="1" applyBorder="1" applyAlignment="1" applyProtection="1">
      <alignment horizontal="center" vertical="center" wrapText="1"/>
      <protection locked="0"/>
    </xf>
    <xf numFmtId="0" fontId="28" fillId="8" borderId="37" xfId="0" applyFont="1" applyFill="1" applyBorder="1" applyAlignment="1" applyProtection="1">
      <alignment horizontal="center" vertical="center" wrapText="1"/>
      <protection locked="0"/>
    </xf>
    <xf numFmtId="0" fontId="32" fillId="14" borderId="61" xfId="0" applyFont="1" applyFill="1" applyBorder="1" applyAlignment="1" applyProtection="1">
      <alignment horizontal="center" vertical="center"/>
      <protection locked="0"/>
    </xf>
    <xf numFmtId="0" fontId="27" fillId="13" borderId="61" xfId="0" applyFont="1" applyFill="1" applyBorder="1" applyAlignment="1" applyProtection="1">
      <alignment horizontal="center" vertical="center"/>
      <protection locked="0"/>
    </xf>
    <xf numFmtId="4" fontId="28" fillId="12" borderId="40" xfId="0" applyNumberFormat="1" applyFont="1" applyFill="1" applyBorder="1" applyAlignment="1" applyProtection="1">
      <alignment horizontal="center" vertical="center" wrapText="1"/>
      <protection locked="0"/>
    </xf>
    <xf numFmtId="4" fontId="28" fillId="12" borderId="34" xfId="0" applyNumberFormat="1" applyFont="1" applyFill="1" applyBorder="1" applyAlignment="1" applyProtection="1">
      <alignment horizontal="center" vertical="center" wrapText="1"/>
      <protection locked="0"/>
    </xf>
    <xf numFmtId="0" fontId="28" fillId="0" borderId="9" xfId="0" applyFont="1" applyBorder="1" applyAlignment="1" applyProtection="1">
      <alignment horizontal="center" vertical="center"/>
      <protection locked="0"/>
    </xf>
    <xf numFmtId="0" fontId="27" fillId="13" borderId="61" xfId="0" applyFont="1" applyFill="1" applyBorder="1" applyAlignment="1" applyProtection="1">
      <alignment horizontal="center" vertical="center"/>
      <protection locked="0"/>
    </xf>
    <xf numFmtId="0" fontId="32" fillId="14" borderId="61" xfId="0" applyFont="1" applyFill="1" applyBorder="1" applyAlignment="1" applyProtection="1">
      <alignment horizontal="center" vertical="center"/>
      <protection locked="0"/>
    </xf>
    <xf numFmtId="0" fontId="28" fillId="8" borderId="37" xfId="0" applyFont="1" applyFill="1" applyBorder="1" applyAlignment="1" applyProtection="1">
      <alignment horizontal="center" vertical="center" wrapText="1"/>
      <protection locked="0"/>
    </xf>
    <xf numFmtId="0" fontId="28" fillId="8" borderId="0" xfId="0" applyFont="1" applyFill="1" applyBorder="1" applyAlignment="1" applyProtection="1">
      <alignment horizontal="center" vertical="center" wrapText="1"/>
      <protection locked="0"/>
    </xf>
    <xf numFmtId="0" fontId="27" fillId="13" borderId="61" xfId="0" applyFont="1" applyFill="1" applyBorder="1" applyAlignment="1" applyProtection="1">
      <alignment horizontal="center" vertical="center" wrapText="1"/>
      <protection locked="0"/>
    </xf>
    <xf numFmtId="4" fontId="28" fillId="12" borderId="40" xfId="0" applyNumberFormat="1" applyFont="1" applyFill="1" applyBorder="1" applyAlignment="1" applyProtection="1">
      <alignment horizontal="center" vertical="center" wrapText="1"/>
      <protection locked="0"/>
    </xf>
    <xf numFmtId="4" fontId="28" fillId="12" borderId="34" xfId="0" applyNumberFormat="1" applyFont="1" applyFill="1" applyBorder="1" applyAlignment="1" applyProtection="1">
      <alignment horizontal="center" vertical="center" wrapText="1"/>
      <protection locked="0"/>
    </xf>
    <xf numFmtId="0" fontId="28" fillId="0" borderId="9" xfId="0" applyFont="1" applyBorder="1" applyAlignment="1" applyProtection="1">
      <alignment horizontal="center" vertical="center"/>
      <protection locked="0"/>
    </xf>
    <xf numFmtId="0" fontId="32" fillId="14" borderId="61" xfId="0" applyFont="1" applyFill="1" applyBorder="1" applyAlignment="1" applyProtection="1">
      <alignment horizontal="center" vertical="center"/>
      <protection locked="0"/>
    </xf>
    <xf numFmtId="0" fontId="28" fillId="8" borderId="37" xfId="0" applyFont="1" applyFill="1" applyBorder="1" applyAlignment="1" applyProtection="1">
      <alignment horizontal="center" vertical="center" wrapText="1"/>
      <protection locked="0"/>
    </xf>
    <xf numFmtId="0" fontId="27" fillId="13" borderId="61" xfId="0" applyFont="1" applyFill="1" applyBorder="1" applyAlignment="1" applyProtection="1">
      <alignment horizontal="center" vertical="center"/>
      <protection locked="0"/>
    </xf>
    <xf numFmtId="0" fontId="28" fillId="8" borderId="0" xfId="0" applyFont="1" applyFill="1" applyBorder="1" applyAlignment="1" applyProtection="1">
      <alignment horizontal="center" vertical="center" wrapText="1"/>
      <protection locked="0"/>
    </xf>
    <xf numFmtId="0" fontId="27" fillId="13" borderId="61" xfId="0" applyFont="1" applyFill="1" applyBorder="1" applyAlignment="1" applyProtection="1">
      <alignment horizontal="center" vertical="center" wrapText="1"/>
      <protection locked="0"/>
    </xf>
    <xf numFmtId="4" fontId="28" fillId="12" borderId="40" xfId="0" applyNumberFormat="1" applyFont="1" applyFill="1" applyBorder="1" applyAlignment="1" applyProtection="1">
      <alignment horizontal="center" vertical="center" wrapText="1"/>
      <protection locked="0"/>
    </xf>
    <xf numFmtId="4" fontId="28" fillId="12" borderId="34" xfId="0" applyNumberFormat="1" applyFont="1" applyFill="1" applyBorder="1" applyAlignment="1" applyProtection="1">
      <alignment horizontal="center" vertical="center" wrapText="1"/>
      <protection locked="0"/>
    </xf>
    <xf numFmtId="0" fontId="28" fillId="0" borderId="9" xfId="0" applyFont="1" applyBorder="1" applyAlignment="1" applyProtection="1">
      <alignment horizontal="center" vertical="center"/>
      <protection locked="0"/>
    </xf>
    <xf numFmtId="165" fontId="43" fillId="0" borderId="36" xfId="1" applyNumberFormat="1" applyFont="1" applyFill="1" applyBorder="1" applyAlignment="1" applyProtection="1">
      <alignment horizontal="right" vertical="center"/>
      <protection locked="0"/>
    </xf>
    <xf numFmtId="0" fontId="27" fillId="13" borderId="61" xfId="0" applyFont="1" applyFill="1" applyBorder="1" applyAlignment="1" applyProtection="1">
      <alignment horizontal="center" vertical="center"/>
      <protection locked="0"/>
    </xf>
    <xf numFmtId="0" fontId="32" fillId="14" borderId="61" xfId="0" applyFont="1" applyFill="1" applyBorder="1" applyAlignment="1" applyProtection="1">
      <alignment horizontal="center" vertical="center"/>
      <protection locked="0"/>
    </xf>
    <xf numFmtId="0" fontId="28" fillId="8" borderId="37" xfId="0" applyFont="1" applyFill="1" applyBorder="1" applyAlignment="1" applyProtection="1">
      <alignment horizontal="center" vertical="center" wrapText="1"/>
      <protection locked="0"/>
    </xf>
    <xf numFmtId="0" fontId="28" fillId="8" borderId="0" xfId="0" applyFont="1" applyFill="1" applyBorder="1" applyAlignment="1" applyProtection="1">
      <alignment horizontal="center" vertical="center" wrapText="1"/>
      <protection locked="0"/>
    </xf>
    <xf numFmtId="0" fontId="27" fillId="13" borderId="61" xfId="0" applyFont="1" applyFill="1" applyBorder="1" applyAlignment="1" applyProtection="1">
      <alignment horizontal="center" vertical="center" wrapText="1"/>
      <protection locked="0"/>
    </xf>
    <xf numFmtId="4" fontId="28" fillId="12" borderId="40" xfId="0" applyNumberFormat="1" applyFont="1" applyFill="1" applyBorder="1" applyAlignment="1" applyProtection="1">
      <alignment horizontal="center" vertical="center" wrapText="1"/>
      <protection locked="0"/>
    </xf>
    <xf numFmtId="4" fontId="28" fillId="12" borderId="34" xfId="0" applyNumberFormat="1" applyFont="1" applyFill="1" applyBorder="1" applyAlignment="1" applyProtection="1">
      <alignment horizontal="center" vertical="center" wrapText="1"/>
      <protection locked="0"/>
    </xf>
    <xf numFmtId="0" fontId="28" fillId="0" borderId="9" xfId="0" applyFont="1" applyBorder="1" applyAlignment="1" applyProtection="1">
      <alignment horizontal="center" vertical="center"/>
      <protection locked="0"/>
    </xf>
    <xf numFmtId="0" fontId="27" fillId="13" borderId="61" xfId="0" applyFont="1" applyFill="1" applyBorder="1" applyAlignment="1" applyProtection="1">
      <alignment horizontal="center" vertical="center"/>
      <protection locked="0"/>
    </xf>
    <xf numFmtId="0" fontId="32" fillId="14" borderId="61" xfId="0" applyFont="1" applyFill="1" applyBorder="1" applyAlignment="1" applyProtection="1">
      <alignment horizontal="center" vertical="center"/>
      <protection locked="0"/>
    </xf>
    <xf numFmtId="0" fontId="28" fillId="8" borderId="37" xfId="0" applyFont="1" applyFill="1" applyBorder="1" applyAlignment="1" applyProtection="1">
      <alignment horizontal="center" vertical="center" wrapText="1"/>
      <protection locked="0"/>
    </xf>
    <xf numFmtId="0" fontId="28" fillId="8" borderId="0" xfId="0" applyFont="1" applyFill="1" applyBorder="1" applyAlignment="1" applyProtection="1">
      <alignment horizontal="center" vertical="center" wrapText="1"/>
      <protection locked="0"/>
    </xf>
    <xf numFmtId="0" fontId="27" fillId="13" borderId="61" xfId="0" applyFont="1" applyFill="1" applyBorder="1" applyAlignment="1" applyProtection="1">
      <alignment horizontal="center" vertical="center" wrapText="1"/>
      <protection locked="0"/>
    </xf>
    <xf numFmtId="4" fontId="28" fillId="12" borderId="40" xfId="0" applyNumberFormat="1" applyFont="1" applyFill="1" applyBorder="1" applyAlignment="1" applyProtection="1">
      <alignment horizontal="center" vertical="center" wrapText="1"/>
      <protection locked="0"/>
    </xf>
    <xf numFmtId="4" fontId="28" fillId="12" borderId="34" xfId="0" applyNumberFormat="1" applyFont="1" applyFill="1" applyBorder="1" applyAlignment="1" applyProtection="1">
      <alignment horizontal="center" vertical="center" wrapText="1"/>
      <protection locked="0"/>
    </xf>
    <xf numFmtId="0" fontId="28" fillId="0" borderId="9" xfId="0" applyFont="1" applyBorder="1" applyAlignment="1" applyProtection="1">
      <alignment horizontal="center" vertical="center"/>
      <protection locked="0"/>
    </xf>
    <xf numFmtId="4" fontId="43" fillId="8" borderId="17" xfId="0" applyNumberFormat="1" applyFont="1" applyFill="1" applyBorder="1" applyAlignment="1" applyProtection="1">
      <alignment horizontal="center" vertical="center"/>
    </xf>
    <xf numFmtId="0" fontId="28" fillId="8" borderId="37" xfId="0" applyFont="1" applyFill="1" applyBorder="1" applyAlignment="1" applyProtection="1">
      <alignment horizontal="center" vertical="center" wrapText="1"/>
      <protection locked="0"/>
    </xf>
    <xf numFmtId="0" fontId="27" fillId="13" borderId="61" xfId="0" applyFont="1" applyFill="1" applyBorder="1" applyAlignment="1" applyProtection="1">
      <alignment horizontal="center" vertical="center"/>
      <protection locked="0"/>
    </xf>
    <xf numFmtId="0" fontId="32" fillId="14" borderId="61" xfId="0" applyFont="1" applyFill="1" applyBorder="1" applyAlignment="1" applyProtection="1">
      <alignment horizontal="center" vertical="center"/>
      <protection locked="0"/>
    </xf>
    <xf numFmtId="0" fontId="28" fillId="8" borderId="37" xfId="0" applyFont="1" applyFill="1" applyBorder="1" applyAlignment="1" applyProtection="1">
      <alignment horizontal="center" vertical="center" wrapText="1"/>
      <protection locked="0"/>
    </xf>
    <xf numFmtId="0" fontId="28" fillId="8" borderId="0" xfId="0" applyFont="1" applyFill="1" applyBorder="1" applyAlignment="1" applyProtection="1">
      <alignment horizontal="center" vertical="center" wrapText="1"/>
      <protection locked="0"/>
    </xf>
    <xf numFmtId="0" fontId="27" fillId="13" borderId="61" xfId="0" applyFont="1" applyFill="1" applyBorder="1" applyAlignment="1" applyProtection="1">
      <alignment horizontal="center" vertical="center" wrapText="1"/>
      <protection locked="0"/>
    </xf>
    <xf numFmtId="4" fontId="28" fillId="12" borderId="40" xfId="0" applyNumberFormat="1" applyFont="1" applyFill="1" applyBorder="1" applyAlignment="1" applyProtection="1">
      <alignment horizontal="center" vertical="center" wrapText="1"/>
      <protection locked="0"/>
    </xf>
    <xf numFmtId="4" fontId="28" fillId="12" borderId="34" xfId="0" applyNumberFormat="1" applyFont="1" applyFill="1" applyBorder="1" applyAlignment="1" applyProtection="1">
      <alignment horizontal="center" vertical="center" wrapText="1"/>
      <protection locked="0"/>
    </xf>
    <xf numFmtId="0" fontId="28" fillId="0" borderId="9" xfId="0" applyFont="1" applyBorder="1" applyAlignment="1" applyProtection="1">
      <alignment horizontal="center" vertical="center"/>
      <protection locked="0"/>
    </xf>
    <xf numFmtId="0" fontId="30" fillId="0" borderId="69" xfId="0" applyFont="1" applyFill="1" applyBorder="1" applyAlignment="1" applyProtection="1">
      <alignment horizontal="left" vertical="center" wrapText="1"/>
      <protection locked="0"/>
    </xf>
    <xf numFmtId="0" fontId="30" fillId="0" borderId="13" xfId="0" applyFont="1" applyFill="1" applyBorder="1" applyAlignment="1" applyProtection="1">
      <alignment horizontal="left" vertical="center" wrapText="1"/>
      <protection locked="0"/>
    </xf>
    <xf numFmtId="3" fontId="36" fillId="8" borderId="11" xfId="0" applyNumberFormat="1" applyFont="1" applyFill="1" applyBorder="1" applyAlignment="1" applyProtection="1">
      <alignment horizontal="center" vertical="center"/>
      <protection locked="0"/>
    </xf>
    <xf numFmtId="0" fontId="27" fillId="13" borderId="61" xfId="0" applyFont="1" applyFill="1" applyBorder="1" applyAlignment="1" applyProtection="1">
      <alignment horizontal="center" vertical="center"/>
      <protection locked="0"/>
    </xf>
    <xf numFmtId="0" fontId="32" fillId="14" borderId="61" xfId="0" applyFont="1" applyFill="1" applyBorder="1" applyAlignment="1" applyProtection="1">
      <alignment horizontal="center" vertical="center"/>
      <protection locked="0"/>
    </xf>
    <xf numFmtId="0" fontId="28" fillId="8" borderId="37" xfId="0" applyFont="1" applyFill="1" applyBorder="1" applyAlignment="1" applyProtection="1">
      <alignment horizontal="center" vertical="center" wrapText="1"/>
      <protection locked="0"/>
    </xf>
    <xf numFmtId="0" fontId="28" fillId="8" borderId="0" xfId="0" applyFont="1" applyFill="1" applyBorder="1" applyAlignment="1" applyProtection="1">
      <alignment horizontal="center" vertical="center" wrapText="1"/>
      <protection locked="0"/>
    </xf>
    <xf numFmtId="0" fontId="27" fillId="13" borderId="61" xfId="0" applyFont="1" applyFill="1" applyBorder="1" applyAlignment="1" applyProtection="1">
      <alignment horizontal="center" vertical="center" wrapText="1"/>
      <protection locked="0"/>
    </xf>
    <xf numFmtId="4" fontId="28" fillId="12" borderId="40" xfId="0" applyNumberFormat="1" applyFont="1" applyFill="1" applyBorder="1" applyAlignment="1" applyProtection="1">
      <alignment horizontal="center" vertical="center" wrapText="1"/>
      <protection locked="0"/>
    </xf>
    <xf numFmtId="4" fontId="28" fillId="12" borderId="34" xfId="0" applyNumberFormat="1" applyFont="1" applyFill="1" applyBorder="1" applyAlignment="1" applyProtection="1">
      <alignment horizontal="center" vertical="center" wrapText="1"/>
      <protection locked="0"/>
    </xf>
    <xf numFmtId="0" fontId="28" fillId="0" borderId="9" xfId="0" applyFont="1" applyBorder="1" applyAlignment="1" applyProtection="1">
      <alignment horizontal="center" vertical="center"/>
      <protection locked="0"/>
    </xf>
    <xf numFmtId="0" fontId="30" fillId="8" borderId="59" xfId="0" applyFont="1" applyFill="1" applyBorder="1" applyAlignment="1" applyProtection="1">
      <alignment vertical="center" wrapText="1"/>
      <protection locked="0"/>
    </xf>
    <xf numFmtId="3" fontId="30" fillId="8" borderId="9" xfId="0" applyNumberFormat="1" applyFont="1" applyFill="1" applyBorder="1" applyAlignment="1" applyProtection="1">
      <alignment horizontal="center" vertical="center"/>
      <protection locked="0"/>
    </xf>
    <xf numFmtId="0" fontId="30" fillId="8" borderId="74" xfId="0" applyFont="1" applyFill="1" applyBorder="1" applyAlignment="1" applyProtection="1">
      <alignment vertical="center" wrapText="1"/>
      <protection locked="0"/>
    </xf>
    <xf numFmtId="3" fontId="30" fillId="8" borderId="73" xfId="0" applyNumberFormat="1" applyFont="1" applyFill="1" applyBorder="1" applyAlignment="1" applyProtection="1">
      <alignment horizontal="center" vertical="center"/>
      <protection locked="0"/>
    </xf>
    <xf numFmtId="3" fontId="30" fillId="8" borderId="0" xfId="0" applyNumberFormat="1" applyFont="1" applyFill="1" applyBorder="1" applyAlignment="1" applyProtection="1">
      <alignment horizontal="center" vertical="center"/>
      <protection locked="0"/>
    </xf>
    <xf numFmtId="3" fontId="30" fillId="8" borderId="14" xfId="0" applyNumberFormat="1" applyFont="1" applyFill="1" applyBorder="1" applyAlignment="1" applyProtection="1">
      <alignment horizontal="center" vertical="center"/>
      <protection locked="0"/>
    </xf>
    <xf numFmtId="3" fontId="30" fillId="8" borderId="75" xfId="0" applyNumberFormat="1" applyFont="1" applyFill="1" applyBorder="1" applyAlignment="1" applyProtection="1">
      <alignment horizontal="center" vertical="center"/>
      <protection locked="0"/>
    </xf>
    <xf numFmtId="10" fontId="31" fillId="8" borderId="74" xfId="1" applyNumberFormat="1" applyFont="1" applyFill="1" applyBorder="1" applyAlignment="1" applyProtection="1">
      <alignment horizontal="center" vertical="center"/>
    </xf>
    <xf numFmtId="10" fontId="31" fillId="8" borderId="64" xfId="1" applyNumberFormat="1" applyFont="1" applyFill="1" applyBorder="1" applyAlignment="1" applyProtection="1">
      <alignment horizontal="center" vertical="center"/>
    </xf>
    <xf numFmtId="10" fontId="31" fillId="8" borderId="62" xfId="1" applyNumberFormat="1" applyFont="1" applyFill="1" applyBorder="1" applyAlignment="1" applyProtection="1">
      <alignment horizontal="center" vertical="center"/>
    </xf>
    <xf numFmtId="10" fontId="31" fillId="8" borderId="71" xfId="1" applyNumberFormat="1" applyFont="1" applyFill="1" applyBorder="1" applyAlignment="1" applyProtection="1">
      <alignment horizontal="center" vertical="center"/>
    </xf>
    <xf numFmtId="3" fontId="28" fillId="11" borderId="81" xfId="0" applyNumberFormat="1" applyFont="1" applyFill="1" applyBorder="1" applyAlignment="1" applyProtection="1">
      <alignment horizontal="center" vertical="center"/>
    </xf>
    <xf numFmtId="10" fontId="31" fillId="0" borderId="10" xfId="1" applyNumberFormat="1" applyFont="1" applyFill="1" applyBorder="1" applyAlignment="1" applyProtection="1">
      <alignment horizontal="center" vertical="center"/>
    </xf>
    <xf numFmtId="10" fontId="31" fillId="0" borderId="21" xfId="1" applyNumberFormat="1" applyFont="1" applyFill="1" applyBorder="1" applyAlignment="1" applyProtection="1">
      <alignment horizontal="center" vertical="center"/>
    </xf>
    <xf numFmtId="3" fontId="30" fillId="8" borderId="74" xfId="0" applyNumberFormat="1" applyFont="1" applyFill="1" applyBorder="1" applyAlignment="1" applyProtection="1">
      <alignment horizontal="center" vertical="center"/>
      <protection locked="0"/>
    </xf>
    <xf numFmtId="3" fontId="30" fillId="8" borderId="71" xfId="0" applyNumberFormat="1" applyFont="1" applyFill="1" applyBorder="1" applyAlignment="1" applyProtection="1">
      <alignment horizontal="center" vertical="center"/>
      <protection locked="0"/>
    </xf>
    <xf numFmtId="0" fontId="30" fillId="8" borderId="65" xfId="0" applyFont="1" applyFill="1" applyBorder="1" applyAlignment="1" applyProtection="1">
      <alignment vertical="center" wrapText="1"/>
      <protection locked="0"/>
    </xf>
    <xf numFmtId="4" fontId="28" fillId="11" borderId="57" xfId="0" applyNumberFormat="1" applyFont="1" applyFill="1" applyBorder="1" applyAlignment="1" applyProtection="1">
      <alignment horizontal="right" vertical="center"/>
      <protection locked="0"/>
    </xf>
    <xf numFmtId="4" fontId="28" fillId="11" borderId="81" xfId="0" applyNumberFormat="1" applyFont="1" applyFill="1" applyBorder="1" applyAlignment="1" applyProtection="1">
      <alignment horizontal="right" vertical="center"/>
      <protection locked="0"/>
    </xf>
    <xf numFmtId="4" fontId="28" fillId="8" borderId="58" xfId="0" applyNumberFormat="1" applyFont="1" applyFill="1" applyBorder="1" applyAlignment="1" applyProtection="1">
      <alignment horizontal="right" vertical="center"/>
    </xf>
    <xf numFmtId="4" fontId="28" fillId="11" borderId="55" xfId="0" applyNumberFormat="1" applyFont="1" applyFill="1" applyBorder="1" applyAlignment="1" applyProtection="1">
      <alignment horizontal="right" vertical="center"/>
    </xf>
    <xf numFmtId="4" fontId="28" fillId="8" borderId="2" xfId="0" applyNumberFormat="1" applyFont="1" applyFill="1" applyBorder="1" applyAlignment="1" applyProtection="1">
      <alignment horizontal="right" vertical="center"/>
    </xf>
    <xf numFmtId="4" fontId="28" fillId="8" borderId="10" xfId="0" applyNumberFormat="1" applyFont="1" applyFill="1" applyBorder="1" applyAlignment="1" applyProtection="1">
      <alignment horizontal="right" vertical="center"/>
    </xf>
    <xf numFmtId="4" fontId="28" fillId="0" borderId="18" xfId="0" applyNumberFormat="1" applyFont="1" applyFill="1" applyBorder="1" applyAlignment="1" applyProtection="1">
      <alignment horizontal="right" vertical="center"/>
    </xf>
    <xf numFmtId="4" fontId="28" fillId="8" borderId="12" xfId="0" applyNumberFormat="1" applyFont="1" applyFill="1" applyBorder="1" applyAlignment="1" applyProtection="1">
      <alignment horizontal="right" vertical="center"/>
    </xf>
    <xf numFmtId="4" fontId="28" fillId="0" borderId="19" xfId="0" applyNumberFormat="1" applyFont="1" applyFill="1" applyBorder="1" applyAlignment="1" applyProtection="1">
      <alignment horizontal="right" vertical="center"/>
    </xf>
    <xf numFmtId="165" fontId="30" fillId="0" borderId="72" xfId="1" applyNumberFormat="1" applyFont="1" applyFill="1" applyBorder="1" applyAlignment="1" applyProtection="1">
      <alignment horizontal="right" vertical="center"/>
      <protection locked="0"/>
    </xf>
    <xf numFmtId="165" fontId="30" fillId="0" borderId="65" xfId="1" applyNumberFormat="1" applyFont="1" applyFill="1" applyBorder="1" applyAlignment="1" applyProtection="1">
      <alignment horizontal="right" vertical="center"/>
      <protection locked="0"/>
    </xf>
    <xf numFmtId="3" fontId="30" fillId="8" borderId="76" xfId="0" applyNumberFormat="1" applyFont="1" applyFill="1" applyBorder="1" applyAlignment="1" applyProtection="1">
      <alignment horizontal="center" vertical="center"/>
      <protection locked="0"/>
    </xf>
    <xf numFmtId="4" fontId="30" fillId="8" borderId="24" xfId="0" applyNumberFormat="1" applyFont="1" applyFill="1" applyBorder="1" applyAlignment="1" applyProtection="1">
      <alignment horizontal="right" vertical="center"/>
      <protection locked="0"/>
    </xf>
    <xf numFmtId="4" fontId="30" fillId="8" borderId="30" xfId="0" applyNumberFormat="1" applyFont="1" applyFill="1" applyBorder="1" applyAlignment="1" applyProtection="1">
      <alignment horizontal="right" vertical="center"/>
      <protection locked="0"/>
    </xf>
    <xf numFmtId="4" fontId="30" fillId="0" borderId="77" xfId="0" applyNumberFormat="1" applyFont="1" applyFill="1" applyBorder="1" applyAlignment="1" applyProtection="1">
      <alignment horizontal="right" vertical="center" wrapText="1"/>
      <protection locked="0"/>
    </xf>
    <xf numFmtId="4" fontId="28" fillId="11" borderId="50" xfId="0" applyNumberFormat="1" applyFont="1" applyFill="1" applyBorder="1" applyAlignment="1" applyProtection="1">
      <alignment horizontal="right" vertical="center"/>
    </xf>
    <xf numFmtId="4" fontId="28" fillId="8" borderId="21" xfId="0" applyNumberFormat="1" applyFont="1" applyFill="1" applyBorder="1" applyAlignment="1" applyProtection="1">
      <alignment horizontal="right" vertical="center"/>
    </xf>
    <xf numFmtId="4" fontId="28" fillId="8" borderId="18" xfId="0" applyNumberFormat="1" applyFont="1" applyFill="1" applyBorder="1" applyAlignment="1" applyProtection="1">
      <alignment horizontal="right" vertical="center"/>
    </xf>
    <xf numFmtId="3" fontId="28" fillId="11" borderId="67" xfId="0" applyNumberFormat="1" applyFont="1" applyFill="1" applyBorder="1" applyAlignment="1" applyProtection="1">
      <alignment horizontal="center" vertical="center"/>
    </xf>
    <xf numFmtId="4" fontId="30" fillId="18" borderId="12" xfId="0" applyNumberFormat="1" applyFont="1" applyFill="1" applyBorder="1" applyAlignment="1" applyProtection="1">
      <alignment horizontal="right" vertical="center"/>
      <protection locked="0"/>
    </xf>
    <xf numFmtId="0" fontId="27" fillId="13" borderId="61" xfId="0" applyFont="1" applyFill="1" applyBorder="1" applyAlignment="1" applyProtection="1">
      <alignment horizontal="center" vertical="center"/>
      <protection locked="0"/>
    </xf>
    <xf numFmtId="0" fontId="32" fillId="14" borderId="61" xfId="0" applyFont="1" applyFill="1" applyBorder="1" applyAlignment="1" applyProtection="1">
      <alignment horizontal="center" vertical="center"/>
      <protection locked="0"/>
    </xf>
    <xf numFmtId="0" fontId="28" fillId="8" borderId="37" xfId="0" applyFont="1" applyFill="1" applyBorder="1" applyAlignment="1" applyProtection="1">
      <alignment horizontal="center" vertical="center" wrapText="1"/>
      <protection locked="0"/>
    </xf>
    <xf numFmtId="0" fontId="28" fillId="8" borderId="0" xfId="0" applyFont="1" applyFill="1" applyBorder="1" applyAlignment="1" applyProtection="1">
      <alignment horizontal="center" vertical="center" wrapText="1"/>
      <protection locked="0"/>
    </xf>
    <xf numFmtId="0" fontId="27" fillId="13" borderId="61" xfId="0" applyFont="1" applyFill="1" applyBorder="1" applyAlignment="1" applyProtection="1">
      <alignment horizontal="center" vertical="center" wrapText="1"/>
      <protection locked="0"/>
    </xf>
    <xf numFmtId="4" fontId="28" fillId="12" borderId="40" xfId="0" applyNumberFormat="1" applyFont="1" applyFill="1" applyBorder="1" applyAlignment="1" applyProtection="1">
      <alignment horizontal="center" vertical="center" wrapText="1"/>
      <protection locked="0"/>
    </xf>
    <xf numFmtId="4" fontId="28" fillId="12" borderId="34" xfId="0" applyNumberFormat="1" applyFont="1" applyFill="1" applyBorder="1" applyAlignment="1" applyProtection="1">
      <alignment horizontal="center" vertical="center" wrapText="1"/>
      <protection locked="0"/>
    </xf>
    <xf numFmtId="0" fontId="28" fillId="0" borderId="9" xfId="0" applyFont="1" applyBorder="1" applyAlignment="1" applyProtection="1">
      <alignment horizontal="center" vertical="center"/>
      <protection locked="0"/>
    </xf>
    <xf numFmtId="3" fontId="28" fillId="8" borderId="73" xfId="0" applyNumberFormat="1" applyFont="1" applyFill="1" applyBorder="1" applyAlignment="1" applyProtection="1">
      <alignment horizontal="center" vertical="center"/>
    </xf>
    <xf numFmtId="3" fontId="28" fillId="8" borderId="14" xfId="0" applyNumberFormat="1" applyFont="1" applyFill="1" applyBorder="1" applyAlignment="1" applyProtection="1">
      <alignment horizontal="center" vertical="center"/>
    </xf>
    <xf numFmtId="3" fontId="28" fillId="8" borderId="75" xfId="0" applyNumberFormat="1" applyFont="1" applyFill="1" applyBorder="1" applyAlignment="1" applyProtection="1">
      <alignment horizontal="center" vertical="center"/>
    </xf>
    <xf numFmtId="10" fontId="44" fillId="19" borderId="47" xfId="1" applyNumberFormat="1" applyFont="1" applyFill="1" applyBorder="1" applyAlignment="1" applyProtection="1">
      <alignment horizontal="center" vertical="center"/>
    </xf>
    <xf numFmtId="3" fontId="30" fillId="8" borderId="62" xfId="0" applyNumberFormat="1" applyFont="1" applyFill="1" applyBorder="1" applyAlignment="1" applyProtection="1">
      <alignment horizontal="center" vertical="center"/>
    </xf>
    <xf numFmtId="3" fontId="28" fillId="8" borderId="12" xfId="0" applyNumberFormat="1" applyFont="1" applyFill="1" applyBorder="1" applyAlignment="1" applyProtection="1">
      <alignment horizontal="center" vertical="center"/>
    </xf>
    <xf numFmtId="3" fontId="28" fillId="8" borderId="19" xfId="0" applyNumberFormat="1" applyFont="1" applyFill="1" applyBorder="1" applyAlignment="1" applyProtection="1">
      <alignment horizontal="center" vertical="center"/>
    </xf>
    <xf numFmtId="0" fontId="30" fillId="8" borderId="15" xfId="0" applyFont="1" applyFill="1" applyBorder="1" applyAlignment="1" applyProtection="1">
      <alignment vertical="center" wrapText="1"/>
      <protection locked="0"/>
    </xf>
    <xf numFmtId="0" fontId="30" fillId="8" borderId="73" xfId="0" applyFont="1" applyFill="1" applyBorder="1" applyAlignment="1" applyProtection="1">
      <alignment vertical="center" wrapText="1"/>
      <protection locked="0"/>
    </xf>
    <xf numFmtId="0" fontId="30" fillId="8" borderId="68" xfId="0" applyFont="1" applyFill="1" applyBorder="1" applyAlignment="1" applyProtection="1">
      <alignment vertical="center" wrapText="1"/>
      <protection locked="0"/>
    </xf>
    <xf numFmtId="0" fontId="30" fillId="8" borderId="14" xfId="0" applyFont="1" applyFill="1" applyBorder="1" applyAlignment="1" applyProtection="1">
      <alignment vertical="center" wrapText="1"/>
      <protection locked="0"/>
    </xf>
    <xf numFmtId="0" fontId="30" fillId="8" borderId="30" xfId="0" applyFont="1" applyFill="1" applyBorder="1" applyAlignment="1" applyProtection="1">
      <alignment vertical="center" wrapText="1"/>
      <protection locked="0"/>
    </xf>
    <xf numFmtId="0" fontId="30" fillId="8" borderId="0" xfId="0" applyFont="1" applyFill="1" applyBorder="1" applyAlignment="1" applyProtection="1">
      <alignment vertical="center" wrapText="1"/>
      <protection locked="0"/>
    </xf>
    <xf numFmtId="0" fontId="30" fillId="8" borderId="75" xfId="0" applyFont="1" applyFill="1" applyBorder="1" applyAlignment="1" applyProtection="1">
      <alignment vertical="center" wrapText="1"/>
      <protection locked="0"/>
    </xf>
    <xf numFmtId="0" fontId="30" fillId="8" borderId="8" xfId="0" applyFont="1" applyFill="1" applyBorder="1" applyAlignment="1" applyProtection="1">
      <alignment vertical="center" wrapText="1"/>
      <protection locked="0"/>
    </xf>
    <xf numFmtId="0" fontId="30" fillId="8" borderId="23" xfId="0" applyFont="1" applyFill="1" applyBorder="1" applyAlignment="1" applyProtection="1">
      <alignment vertical="center" wrapText="1"/>
      <protection locked="0"/>
    </xf>
    <xf numFmtId="0" fontId="27" fillId="13" borderId="61" xfId="0" applyFont="1" applyFill="1" applyBorder="1" applyAlignment="1" applyProtection="1">
      <alignment horizontal="center" vertical="center"/>
      <protection locked="0"/>
    </xf>
    <xf numFmtId="0" fontId="32" fillId="14" borderId="61" xfId="0" applyFont="1" applyFill="1" applyBorder="1" applyAlignment="1" applyProtection="1">
      <alignment horizontal="center" vertical="center"/>
      <protection locked="0"/>
    </xf>
    <xf numFmtId="0" fontId="28" fillId="8" borderId="37" xfId="0" applyFont="1" applyFill="1" applyBorder="1" applyAlignment="1" applyProtection="1">
      <alignment horizontal="center" vertical="center" wrapText="1"/>
      <protection locked="0"/>
    </xf>
    <xf numFmtId="0" fontId="28" fillId="8" borderId="0" xfId="0" applyFont="1" applyFill="1" applyBorder="1" applyAlignment="1" applyProtection="1">
      <alignment horizontal="center" vertical="center" wrapText="1"/>
      <protection locked="0"/>
    </xf>
    <xf numFmtId="0" fontId="27" fillId="13" borderId="61" xfId="0" applyFont="1" applyFill="1" applyBorder="1" applyAlignment="1" applyProtection="1">
      <alignment horizontal="center" vertical="center" wrapText="1"/>
      <protection locked="0"/>
    </xf>
    <xf numFmtId="4" fontId="28" fillId="12" borderId="40" xfId="0" applyNumberFormat="1" applyFont="1" applyFill="1" applyBorder="1" applyAlignment="1" applyProtection="1">
      <alignment horizontal="center" vertical="center" wrapText="1"/>
      <protection locked="0"/>
    </xf>
    <xf numFmtId="4" fontId="28" fillId="12" borderId="34" xfId="0" applyNumberFormat="1" applyFont="1" applyFill="1" applyBorder="1" applyAlignment="1" applyProtection="1">
      <alignment horizontal="center" vertical="center" wrapText="1"/>
      <protection locked="0"/>
    </xf>
    <xf numFmtId="0" fontId="28" fillId="0" borderId="9" xfId="0" applyFont="1" applyBorder="1" applyAlignment="1" applyProtection="1">
      <alignment horizontal="center" vertical="center"/>
      <protection locked="0"/>
    </xf>
    <xf numFmtId="0" fontId="30" fillId="0" borderId="70" xfId="0" applyFont="1" applyFill="1" applyBorder="1" applyAlignment="1" applyProtection="1">
      <alignment horizontal="left" vertical="center"/>
      <protection locked="0"/>
    </xf>
    <xf numFmtId="0" fontId="30" fillId="0" borderId="69" xfId="0" applyFont="1" applyFill="1" applyBorder="1" applyAlignment="1" applyProtection="1">
      <alignment horizontal="left" vertical="center"/>
      <protection locked="0"/>
    </xf>
    <xf numFmtId="3" fontId="30" fillId="8" borderId="25" xfId="0" applyNumberFormat="1" applyFont="1" applyFill="1" applyBorder="1" applyAlignment="1" applyProtection="1">
      <alignment horizontal="center" vertical="center"/>
      <protection locked="0"/>
    </xf>
    <xf numFmtId="3" fontId="30" fillId="8" borderId="37" xfId="0" applyNumberFormat="1" applyFont="1" applyFill="1" applyBorder="1" applyAlignment="1" applyProtection="1">
      <alignment horizontal="center" vertical="center"/>
      <protection locked="0"/>
    </xf>
    <xf numFmtId="0" fontId="28" fillId="11" borderId="16" xfId="0" applyFont="1" applyFill="1" applyBorder="1" applyAlignment="1" applyProtection="1">
      <alignment vertical="center"/>
      <protection locked="0"/>
    </xf>
    <xf numFmtId="0" fontId="30" fillId="0" borderId="8" xfId="0" applyFont="1" applyFill="1" applyBorder="1" applyAlignment="1" applyProtection="1">
      <alignment horizontal="left" vertical="center"/>
      <protection locked="0"/>
    </xf>
    <xf numFmtId="0" fontId="30" fillId="0" borderId="15" xfId="0" applyFont="1" applyFill="1" applyBorder="1" applyAlignment="1" applyProtection="1">
      <alignment horizontal="left" vertical="center" wrapText="1"/>
      <protection locked="0"/>
    </xf>
    <xf numFmtId="0" fontId="30" fillId="0" borderId="15" xfId="0" applyFont="1" applyFill="1" applyBorder="1" applyAlignment="1" applyProtection="1">
      <alignment horizontal="left" vertical="center"/>
      <protection locked="0"/>
    </xf>
    <xf numFmtId="0" fontId="30" fillId="0" borderId="23" xfId="0" applyFont="1" applyFill="1" applyBorder="1" applyAlignment="1" applyProtection="1">
      <alignment horizontal="left" vertical="center" wrapText="1"/>
      <protection locked="0"/>
    </xf>
    <xf numFmtId="0" fontId="27" fillId="13" borderId="61" xfId="0" applyFont="1" applyFill="1" applyBorder="1" applyAlignment="1" applyProtection="1">
      <alignment horizontal="center" vertical="center"/>
      <protection locked="0"/>
    </xf>
    <xf numFmtId="0" fontId="32" fillId="14" borderId="61" xfId="0" applyFont="1" applyFill="1" applyBorder="1" applyAlignment="1" applyProtection="1">
      <alignment horizontal="center" vertical="center"/>
      <protection locked="0"/>
    </xf>
    <xf numFmtId="0" fontId="28" fillId="8" borderId="37" xfId="0" applyFont="1" applyFill="1" applyBorder="1" applyAlignment="1" applyProtection="1">
      <alignment horizontal="center" vertical="center" wrapText="1"/>
      <protection locked="0"/>
    </xf>
    <xf numFmtId="0" fontId="28" fillId="8" borderId="0" xfId="0" applyFont="1" applyFill="1" applyBorder="1" applyAlignment="1" applyProtection="1">
      <alignment horizontal="center" vertical="center" wrapText="1"/>
      <protection locked="0"/>
    </xf>
    <xf numFmtId="0" fontId="27" fillId="13" borderId="61" xfId="0" applyFont="1" applyFill="1" applyBorder="1" applyAlignment="1" applyProtection="1">
      <alignment horizontal="center" vertical="center" wrapText="1"/>
      <protection locked="0"/>
    </xf>
    <xf numFmtId="4" fontId="28" fillId="12" borderId="40" xfId="0" applyNumberFormat="1" applyFont="1" applyFill="1" applyBorder="1" applyAlignment="1" applyProtection="1">
      <alignment horizontal="center" vertical="center" wrapText="1"/>
      <protection locked="0"/>
    </xf>
    <xf numFmtId="4" fontId="28" fillId="12" borderId="34" xfId="0" applyNumberFormat="1" applyFont="1" applyFill="1" applyBorder="1" applyAlignment="1" applyProtection="1">
      <alignment horizontal="center" vertical="center" wrapText="1"/>
      <protection locked="0"/>
    </xf>
    <xf numFmtId="0" fontId="28" fillId="0" borderId="9" xfId="0" applyFont="1" applyBorder="1" applyAlignment="1" applyProtection="1">
      <alignment horizontal="center" vertical="center"/>
      <protection locked="0"/>
    </xf>
    <xf numFmtId="4" fontId="30" fillId="18" borderId="32" xfId="0" applyNumberFormat="1" applyFont="1" applyFill="1" applyBorder="1" applyAlignment="1" applyProtection="1">
      <alignment horizontal="right" vertical="center"/>
      <protection locked="0"/>
    </xf>
    <xf numFmtId="165" fontId="30" fillId="0" borderId="15" xfId="1" applyNumberFormat="1" applyFont="1" applyFill="1" applyBorder="1" applyAlignment="1" applyProtection="1">
      <alignment horizontal="right" vertical="center"/>
      <protection locked="0"/>
    </xf>
    <xf numFmtId="3" fontId="30" fillId="8" borderId="58" xfId="0" applyNumberFormat="1" applyFont="1" applyFill="1" applyBorder="1" applyAlignment="1" applyProtection="1">
      <alignment horizontal="center" vertical="center"/>
      <protection locked="0"/>
    </xf>
    <xf numFmtId="3" fontId="30" fillId="8" borderId="19" xfId="0" applyNumberFormat="1" applyFont="1" applyFill="1" applyBorder="1" applyAlignment="1" applyProtection="1">
      <alignment horizontal="center" vertical="center"/>
      <protection locked="0"/>
    </xf>
    <xf numFmtId="165" fontId="30" fillId="0" borderId="8" xfId="1" applyNumberFormat="1" applyFont="1" applyFill="1" applyBorder="1" applyAlignment="1" applyProtection="1">
      <alignment horizontal="right" vertical="center"/>
      <protection locked="0"/>
    </xf>
    <xf numFmtId="3" fontId="30" fillId="8" borderId="32" xfId="0" applyNumberFormat="1" applyFont="1" applyFill="1" applyBorder="1" applyAlignment="1" applyProtection="1">
      <alignment horizontal="center" vertical="center"/>
      <protection locked="0"/>
    </xf>
    <xf numFmtId="3" fontId="28" fillId="8" borderId="8" xfId="0" applyNumberFormat="1" applyFont="1" applyFill="1" applyBorder="1" applyAlignment="1" applyProtection="1">
      <alignment horizontal="center" vertical="center"/>
    </xf>
    <xf numFmtId="3" fontId="28" fillId="8" borderId="15" xfId="0" applyNumberFormat="1" applyFont="1" applyFill="1" applyBorder="1" applyAlignment="1" applyProtection="1">
      <alignment horizontal="center" vertical="center"/>
    </xf>
    <xf numFmtId="3" fontId="28" fillId="8" borderId="23" xfId="0" applyNumberFormat="1" applyFont="1" applyFill="1" applyBorder="1" applyAlignment="1" applyProtection="1">
      <alignment horizontal="center" vertical="center"/>
    </xf>
    <xf numFmtId="0" fontId="27" fillId="13" borderId="61" xfId="0" applyFont="1" applyFill="1" applyBorder="1" applyAlignment="1" applyProtection="1">
      <alignment horizontal="center" vertical="center"/>
      <protection locked="0"/>
    </xf>
    <xf numFmtId="0" fontId="32" fillId="14" borderId="61" xfId="0" applyFont="1" applyFill="1" applyBorder="1" applyAlignment="1" applyProtection="1">
      <alignment horizontal="center" vertical="center"/>
      <protection locked="0"/>
    </xf>
    <xf numFmtId="0" fontId="28" fillId="8" borderId="37" xfId="0" applyFont="1" applyFill="1" applyBorder="1" applyAlignment="1" applyProtection="1">
      <alignment horizontal="center" vertical="center" wrapText="1"/>
      <protection locked="0"/>
    </xf>
    <xf numFmtId="0" fontId="28" fillId="8" borderId="0" xfId="0" applyFont="1" applyFill="1" applyBorder="1" applyAlignment="1" applyProtection="1">
      <alignment horizontal="center" vertical="center" wrapText="1"/>
      <protection locked="0"/>
    </xf>
    <xf numFmtId="0" fontId="27" fillId="13" borderId="61" xfId="0" applyFont="1" applyFill="1" applyBorder="1" applyAlignment="1" applyProtection="1">
      <alignment horizontal="center" vertical="center" wrapText="1"/>
      <protection locked="0"/>
    </xf>
    <xf numFmtId="4" fontId="28" fillId="12" borderId="40" xfId="0" applyNumberFormat="1" applyFont="1" applyFill="1" applyBorder="1" applyAlignment="1" applyProtection="1">
      <alignment horizontal="center" vertical="center" wrapText="1"/>
      <protection locked="0"/>
    </xf>
    <xf numFmtId="4" fontId="28" fillId="12" borderId="34" xfId="0" applyNumberFormat="1" applyFont="1" applyFill="1" applyBorder="1" applyAlignment="1" applyProtection="1">
      <alignment horizontal="center" vertical="center" wrapText="1"/>
      <protection locked="0"/>
    </xf>
    <xf numFmtId="0" fontId="28" fillId="0" borderId="9" xfId="0" applyFont="1" applyBorder="1" applyAlignment="1" applyProtection="1">
      <alignment horizontal="center" vertical="center"/>
      <protection locked="0"/>
    </xf>
    <xf numFmtId="4" fontId="28" fillId="8" borderId="20" xfId="0" applyNumberFormat="1" applyFont="1" applyFill="1" applyBorder="1" applyAlignment="1" applyProtection="1">
      <alignment horizontal="right" vertical="center"/>
    </xf>
    <xf numFmtId="3" fontId="28" fillId="0" borderId="30" xfId="0" applyNumberFormat="1" applyFont="1" applyFill="1" applyBorder="1" applyAlignment="1" applyProtection="1">
      <alignment horizontal="center" vertical="center"/>
      <protection locked="0"/>
    </xf>
    <xf numFmtId="3" fontId="28" fillId="0" borderId="77" xfId="0" applyNumberFormat="1" applyFont="1" applyFill="1" applyBorder="1" applyAlignment="1" applyProtection="1">
      <alignment horizontal="center" vertical="center"/>
      <protection locked="0"/>
    </xf>
    <xf numFmtId="3" fontId="28" fillId="0" borderId="26" xfId="1" applyNumberFormat="1" applyFont="1" applyFill="1" applyBorder="1" applyAlignment="1" applyProtection="1">
      <alignment horizontal="center" vertical="center"/>
      <protection locked="0"/>
    </xf>
    <xf numFmtId="3" fontId="28" fillId="0" borderId="70" xfId="1" applyNumberFormat="1" applyFont="1" applyFill="1" applyBorder="1" applyAlignment="1" applyProtection="1">
      <alignment horizontal="center" vertical="center"/>
      <protection locked="0"/>
    </xf>
    <xf numFmtId="3" fontId="28" fillId="0" borderId="26" xfId="0" applyNumberFormat="1" applyFont="1" applyFill="1" applyBorder="1" applyAlignment="1" applyProtection="1">
      <alignment horizontal="center" vertical="center"/>
      <protection locked="0"/>
    </xf>
    <xf numFmtId="3" fontId="44" fillId="8" borderId="29" xfId="0" applyNumberFormat="1" applyFont="1" applyFill="1" applyBorder="1" applyAlignment="1" applyProtection="1">
      <alignment horizontal="center" vertical="center"/>
      <protection locked="0"/>
    </xf>
    <xf numFmtId="3" fontId="28" fillId="0" borderId="24" xfId="0" applyNumberFormat="1" applyFont="1" applyFill="1" applyBorder="1" applyAlignment="1" applyProtection="1">
      <alignment horizontal="center" vertical="center"/>
      <protection locked="0"/>
    </xf>
    <xf numFmtId="3" fontId="30" fillId="0" borderId="3" xfId="1" applyNumberFormat="1" applyFont="1" applyFill="1" applyBorder="1" applyAlignment="1" applyProtection="1">
      <alignment horizontal="center" vertical="center"/>
      <protection locked="0"/>
    </xf>
    <xf numFmtId="3" fontId="30" fillId="0" borderId="11" xfId="1" applyNumberFormat="1" applyFont="1" applyFill="1" applyBorder="1" applyAlignment="1" applyProtection="1">
      <alignment horizontal="center" vertical="center"/>
      <protection locked="0"/>
    </xf>
    <xf numFmtId="3" fontId="28" fillId="0" borderId="11" xfId="1" applyNumberFormat="1" applyFont="1" applyFill="1" applyBorder="1" applyAlignment="1" applyProtection="1">
      <alignment horizontal="center" vertical="center"/>
      <protection locked="0"/>
    </xf>
    <xf numFmtId="0" fontId="27" fillId="13" borderId="61" xfId="0" applyFont="1" applyFill="1" applyBorder="1" applyAlignment="1" applyProtection="1">
      <alignment horizontal="center" vertical="center"/>
      <protection locked="0"/>
    </xf>
    <xf numFmtId="0" fontId="32" fillId="14" borderId="61" xfId="0" applyFont="1" applyFill="1" applyBorder="1" applyAlignment="1" applyProtection="1">
      <alignment horizontal="center" vertical="center"/>
      <protection locked="0"/>
    </xf>
    <xf numFmtId="0" fontId="28" fillId="8" borderId="37" xfId="0" applyFont="1" applyFill="1" applyBorder="1" applyAlignment="1" applyProtection="1">
      <alignment horizontal="center" vertical="center" wrapText="1"/>
      <protection locked="0"/>
    </xf>
    <xf numFmtId="0" fontId="28" fillId="8" borderId="0" xfId="0" applyFont="1" applyFill="1" applyBorder="1" applyAlignment="1" applyProtection="1">
      <alignment horizontal="center" vertical="center" wrapText="1"/>
      <protection locked="0"/>
    </xf>
    <xf numFmtId="0" fontId="27" fillId="13" borderId="61" xfId="0" applyFont="1" applyFill="1" applyBorder="1" applyAlignment="1" applyProtection="1">
      <alignment horizontal="center" vertical="center" wrapText="1"/>
      <protection locked="0"/>
    </xf>
    <xf numFmtId="4" fontId="28" fillId="12" borderId="40" xfId="0" applyNumberFormat="1" applyFont="1" applyFill="1" applyBorder="1" applyAlignment="1" applyProtection="1">
      <alignment horizontal="center" vertical="center" wrapText="1"/>
      <protection locked="0"/>
    </xf>
    <xf numFmtId="4" fontId="28" fillId="12" borderId="34" xfId="0" applyNumberFormat="1" applyFont="1" applyFill="1" applyBorder="1" applyAlignment="1" applyProtection="1">
      <alignment horizontal="center" vertical="center" wrapText="1"/>
      <protection locked="0"/>
    </xf>
    <xf numFmtId="0" fontId="28" fillId="0" borderId="9" xfId="0" applyFont="1" applyBorder="1" applyAlignment="1" applyProtection="1">
      <alignment horizontal="center" vertical="center"/>
      <protection locked="0"/>
    </xf>
    <xf numFmtId="0" fontId="27" fillId="13" borderId="61" xfId="0" applyFont="1" applyFill="1" applyBorder="1" applyAlignment="1" applyProtection="1">
      <alignment horizontal="center" vertical="center"/>
      <protection locked="0"/>
    </xf>
    <xf numFmtId="0" fontId="32" fillId="14" borderId="61" xfId="0" applyFont="1" applyFill="1" applyBorder="1" applyAlignment="1" applyProtection="1">
      <alignment horizontal="center" vertical="center"/>
      <protection locked="0"/>
    </xf>
    <xf numFmtId="0" fontId="28" fillId="8" borderId="37" xfId="0" applyFont="1" applyFill="1" applyBorder="1" applyAlignment="1" applyProtection="1">
      <alignment horizontal="center" vertical="center" wrapText="1"/>
      <protection locked="0"/>
    </xf>
    <xf numFmtId="0" fontId="28" fillId="8" borderId="0" xfId="0" applyFont="1" applyFill="1" applyBorder="1" applyAlignment="1" applyProtection="1">
      <alignment horizontal="center" vertical="center" wrapText="1"/>
      <protection locked="0"/>
    </xf>
    <xf numFmtId="0" fontId="27" fillId="13" borderId="61" xfId="0" applyFont="1" applyFill="1" applyBorder="1" applyAlignment="1" applyProtection="1">
      <alignment horizontal="center" vertical="center" wrapText="1"/>
      <protection locked="0"/>
    </xf>
    <xf numFmtId="4" fontId="28" fillId="12" borderId="40" xfId="0" applyNumberFormat="1" applyFont="1" applyFill="1" applyBorder="1" applyAlignment="1" applyProtection="1">
      <alignment horizontal="center" vertical="center" wrapText="1"/>
      <protection locked="0"/>
    </xf>
    <xf numFmtId="4" fontId="28" fillId="12" borderId="34" xfId="0" applyNumberFormat="1" applyFont="1" applyFill="1" applyBorder="1" applyAlignment="1" applyProtection="1">
      <alignment horizontal="center" vertical="center" wrapText="1"/>
      <protection locked="0"/>
    </xf>
    <xf numFmtId="0" fontId="28" fillId="0" borderId="9" xfId="0" applyFont="1" applyBorder="1" applyAlignment="1" applyProtection="1">
      <alignment horizontal="center" vertical="center"/>
      <protection locked="0"/>
    </xf>
    <xf numFmtId="0" fontId="27" fillId="13" borderId="61" xfId="0" applyFont="1" applyFill="1" applyBorder="1" applyAlignment="1" applyProtection="1">
      <alignment horizontal="center" vertical="center"/>
      <protection locked="0"/>
    </xf>
    <xf numFmtId="0" fontId="32" fillId="14" borderId="61" xfId="0" applyFont="1" applyFill="1" applyBorder="1" applyAlignment="1" applyProtection="1">
      <alignment horizontal="center" vertical="center"/>
      <protection locked="0"/>
    </xf>
    <xf numFmtId="0" fontId="28" fillId="8" borderId="37" xfId="0" applyFont="1" applyFill="1" applyBorder="1" applyAlignment="1" applyProtection="1">
      <alignment horizontal="center" vertical="center" wrapText="1"/>
      <protection locked="0"/>
    </xf>
    <xf numFmtId="0" fontId="28" fillId="8" borderId="0" xfId="0" applyFont="1" applyFill="1" applyBorder="1" applyAlignment="1" applyProtection="1">
      <alignment horizontal="center" vertical="center" wrapText="1"/>
      <protection locked="0"/>
    </xf>
    <xf numFmtId="0" fontId="27" fillId="13" borderId="61" xfId="0" applyFont="1" applyFill="1" applyBorder="1" applyAlignment="1" applyProtection="1">
      <alignment horizontal="center" vertical="center" wrapText="1"/>
      <protection locked="0"/>
    </xf>
    <xf numFmtId="4" fontId="28" fillId="12" borderId="40" xfId="0" applyNumberFormat="1" applyFont="1" applyFill="1" applyBorder="1" applyAlignment="1" applyProtection="1">
      <alignment horizontal="center" vertical="center" wrapText="1"/>
      <protection locked="0"/>
    </xf>
    <xf numFmtId="4" fontId="28" fillId="12" borderId="34" xfId="0" applyNumberFormat="1" applyFont="1" applyFill="1" applyBorder="1" applyAlignment="1" applyProtection="1">
      <alignment horizontal="center" vertical="center" wrapText="1"/>
      <protection locked="0"/>
    </xf>
    <xf numFmtId="0" fontId="28" fillId="0" borderId="9" xfId="0" applyFont="1" applyBorder="1" applyAlignment="1" applyProtection="1">
      <alignment horizontal="center" vertical="center"/>
      <protection locked="0"/>
    </xf>
    <xf numFmtId="0" fontId="27" fillId="13" borderId="61" xfId="0" applyFont="1" applyFill="1" applyBorder="1" applyAlignment="1" applyProtection="1">
      <alignment horizontal="center" vertical="center"/>
      <protection locked="0"/>
    </xf>
    <xf numFmtId="0" fontId="32" fillId="14" borderId="61" xfId="0" applyFont="1" applyFill="1" applyBorder="1" applyAlignment="1" applyProtection="1">
      <alignment horizontal="center" vertical="center"/>
      <protection locked="0"/>
    </xf>
    <xf numFmtId="0" fontId="28" fillId="8" borderId="37" xfId="0" applyFont="1" applyFill="1" applyBorder="1" applyAlignment="1" applyProtection="1">
      <alignment horizontal="center" vertical="center" wrapText="1"/>
      <protection locked="0"/>
    </xf>
    <xf numFmtId="0" fontId="28" fillId="8" borderId="0" xfId="0" applyFont="1" applyFill="1" applyBorder="1" applyAlignment="1" applyProtection="1">
      <alignment horizontal="center" vertical="center" wrapText="1"/>
      <protection locked="0"/>
    </xf>
    <xf numFmtId="0" fontId="27" fillId="13" borderId="61" xfId="0" applyFont="1" applyFill="1" applyBorder="1" applyAlignment="1" applyProtection="1">
      <alignment horizontal="center" vertical="center" wrapText="1"/>
      <protection locked="0"/>
    </xf>
    <xf numFmtId="4" fontId="28" fillId="12" borderId="40" xfId="0" applyNumberFormat="1" applyFont="1" applyFill="1" applyBorder="1" applyAlignment="1" applyProtection="1">
      <alignment horizontal="center" vertical="center" wrapText="1"/>
      <protection locked="0"/>
    </xf>
    <xf numFmtId="4" fontId="28" fillId="12" borderId="34" xfId="0" applyNumberFormat="1" applyFont="1" applyFill="1" applyBorder="1" applyAlignment="1" applyProtection="1">
      <alignment horizontal="center" vertical="center" wrapText="1"/>
      <protection locked="0"/>
    </xf>
    <xf numFmtId="0" fontId="28" fillId="0" borderId="9" xfId="0" applyFont="1" applyBorder="1" applyAlignment="1" applyProtection="1">
      <alignment horizontal="center" vertical="center"/>
      <protection locked="0"/>
    </xf>
    <xf numFmtId="0" fontId="27" fillId="13" borderId="61" xfId="0" applyFont="1" applyFill="1" applyBorder="1" applyAlignment="1" applyProtection="1">
      <alignment horizontal="center" vertical="center"/>
      <protection locked="0"/>
    </xf>
    <xf numFmtId="0" fontId="32" fillId="14" borderId="61" xfId="0" applyFont="1" applyFill="1" applyBorder="1" applyAlignment="1" applyProtection="1">
      <alignment horizontal="center" vertical="center"/>
      <protection locked="0"/>
    </xf>
    <xf numFmtId="0" fontId="28" fillId="8" borderId="37" xfId="0" applyFont="1" applyFill="1" applyBorder="1" applyAlignment="1" applyProtection="1">
      <alignment horizontal="center" vertical="center" wrapText="1"/>
      <protection locked="0"/>
    </xf>
    <xf numFmtId="0" fontId="28" fillId="8" borderId="0" xfId="0" applyFont="1" applyFill="1" applyBorder="1" applyAlignment="1" applyProtection="1">
      <alignment horizontal="center" vertical="center" wrapText="1"/>
      <protection locked="0"/>
    </xf>
    <xf numFmtId="0" fontId="27" fillId="13" borderId="61" xfId="0" applyFont="1" applyFill="1" applyBorder="1" applyAlignment="1" applyProtection="1">
      <alignment horizontal="center" vertical="center" wrapText="1"/>
      <protection locked="0"/>
    </xf>
    <xf numFmtId="4" fontId="28" fillId="12" borderId="40" xfId="0" applyNumberFormat="1" applyFont="1" applyFill="1" applyBorder="1" applyAlignment="1" applyProtection="1">
      <alignment horizontal="center" vertical="center" wrapText="1"/>
      <protection locked="0"/>
    </xf>
    <xf numFmtId="4" fontId="28" fillId="12" borderId="34" xfId="0" applyNumberFormat="1" applyFont="1" applyFill="1" applyBorder="1" applyAlignment="1" applyProtection="1">
      <alignment horizontal="center" vertical="center" wrapText="1"/>
      <protection locked="0"/>
    </xf>
    <xf numFmtId="0" fontId="28" fillId="0" borderId="9" xfId="0" applyFont="1" applyBorder="1" applyAlignment="1" applyProtection="1">
      <alignment horizontal="center" vertical="center"/>
      <protection locked="0"/>
    </xf>
    <xf numFmtId="0" fontId="27" fillId="13" borderId="61" xfId="0" applyFont="1" applyFill="1" applyBorder="1" applyAlignment="1" applyProtection="1">
      <alignment horizontal="center" vertical="center"/>
      <protection locked="0"/>
    </xf>
    <xf numFmtId="0" fontId="32" fillId="14" borderId="61" xfId="0" applyFont="1" applyFill="1" applyBorder="1" applyAlignment="1" applyProtection="1">
      <alignment horizontal="center" vertical="center"/>
      <protection locked="0"/>
    </xf>
    <xf numFmtId="0" fontId="28" fillId="8" borderId="37" xfId="0" applyFont="1" applyFill="1" applyBorder="1" applyAlignment="1" applyProtection="1">
      <alignment horizontal="center" vertical="center" wrapText="1"/>
      <protection locked="0"/>
    </xf>
    <xf numFmtId="0" fontId="28" fillId="8" borderId="0" xfId="0" applyFont="1" applyFill="1" applyBorder="1" applyAlignment="1" applyProtection="1">
      <alignment horizontal="center" vertical="center" wrapText="1"/>
      <protection locked="0"/>
    </xf>
    <xf numFmtId="0" fontId="27" fillId="13" borderId="61" xfId="0" applyFont="1" applyFill="1" applyBorder="1" applyAlignment="1" applyProtection="1">
      <alignment horizontal="center" vertical="center" wrapText="1"/>
      <protection locked="0"/>
    </xf>
    <xf numFmtId="4" fontId="28" fillId="12" borderId="40" xfId="0" applyNumberFormat="1" applyFont="1" applyFill="1" applyBorder="1" applyAlignment="1" applyProtection="1">
      <alignment horizontal="center" vertical="center" wrapText="1"/>
      <protection locked="0"/>
    </xf>
    <xf numFmtId="4" fontId="28" fillId="12" borderId="34" xfId="0" applyNumberFormat="1" applyFont="1" applyFill="1" applyBorder="1" applyAlignment="1" applyProtection="1">
      <alignment horizontal="center" vertical="center" wrapText="1"/>
      <protection locked="0"/>
    </xf>
    <xf numFmtId="0" fontId="28" fillId="0" borderId="9" xfId="0" applyFont="1" applyBorder="1" applyAlignment="1" applyProtection="1">
      <alignment horizontal="center" vertical="center"/>
      <protection locked="0"/>
    </xf>
    <xf numFmtId="0" fontId="27" fillId="13" borderId="61" xfId="0" applyFont="1" applyFill="1" applyBorder="1" applyAlignment="1" applyProtection="1">
      <alignment horizontal="center" vertical="center"/>
      <protection locked="0"/>
    </xf>
    <xf numFmtId="0" fontId="32" fillId="14" borderId="61" xfId="0" applyFont="1" applyFill="1" applyBorder="1" applyAlignment="1" applyProtection="1">
      <alignment horizontal="center" vertical="center"/>
      <protection locked="0"/>
    </xf>
    <xf numFmtId="0" fontId="28" fillId="8" borderId="37" xfId="0" applyFont="1" applyFill="1" applyBorder="1" applyAlignment="1" applyProtection="1">
      <alignment horizontal="center" vertical="center" wrapText="1"/>
      <protection locked="0"/>
    </xf>
    <xf numFmtId="0" fontId="28" fillId="8" borderId="0" xfId="0" applyFont="1" applyFill="1" applyBorder="1" applyAlignment="1" applyProtection="1">
      <alignment horizontal="center" vertical="center" wrapText="1"/>
      <protection locked="0"/>
    </xf>
    <xf numFmtId="0" fontId="27" fillId="13" borderId="61" xfId="0" applyFont="1" applyFill="1" applyBorder="1" applyAlignment="1" applyProtection="1">
      <alignment horizontal="center" vertical="center" wrapText="1"/>
      <protection locked="0"/>
    </xf>
    <xf numFmtId="0" fontId="28" fillId="0" borderId="59" xfId="0" applyFont="1" applyFill="1" applyBorder="1" applyAlignment="1" applyProtection="1">
      <alignment horizontal="center" vertical="center" wrapText="1"/>
      <protection locked="0"/>
    </xf>
    <xf numFmtId="4" fontId="28" fillId="12" borderId="40" xfId="0" applyNumberFormat="1" applyFont="1" applyFill="1" applyBorder="1" applyAlignment="1" applyProtection="1">
      <alignment horizontal="center" vertical="center" wrapText="1"/>
      <protection locked="0"/>
    </xf>
    <xf numFmtId="4" fontId="28" fillId="12" borderId="34" xfId="0" applyNumberFormat="1" applyFont="1" applyFill="1" applyBorder="1" applyAlignment="1" applyProtection="1">
      <alignment horizontal="center" vertical="center" wrapText="1"/>
      <protection locked="0"/>
    </xf>
    <xf numFmtId="0" fontId="28" fillId="0" borderId="9" xfId="0" applyFont="1" applyBorder="1" applyAlignment="1" applyProtection="1">
      <alignment horizontal="center" vertical="center"/>
      <protection locked="0"/>
    </xf>
    <xf numFmtId="16" fontId="30" fillId="8" borderId="28" xfId="0" applyNumberFormat="1" applyFont="1" applyFill="1" applyBorder="1" applyAlignment="1" applyProtection="1">
      <alignment horizontal="center" vertical="center"/>
      <protection locked="0"/>
    </xf>
    <xf numFmtId="165" fontId="43" fillId="0" borderId="25" xfId="1" applyNumberFormat="1" applyFont="1" applyFill="1" applyBorder="1" applyAlignment="1" applyProtection="1">
      <alignment horizontal="right" vertical="center"/>
      <protection locked="0"/>
    </xf>
    <xf numFmtId="0" fontId="28" fillId="0" borderId="76" xfId="0" applyFont="1" applyFill="1" applyBorder="1" applyAlignment="1" applyProtection="1">
      <alignment vertical="center" wrapText="1"/>
      <protection locked="0"/>
    </xf>
    <xf numFmtId="0" fontId="36" fillId="0" borderId="33" xfId="0" applyFont="1" applyBorder="1"/>
    <xf numFmtId="4" fontId="40" fillId="18" borderId="28" xfId="1" applyNumberFormat="1" applyFont="1" applyFill="1" applyBorder="1" applyAlignment="1" applyProtection="1">
      <alignment horizontal="right" vertical="center"/>
    </xf>
    <xf numFmtId="4" fontId="30" fillId="18" borderId="17" xfId="0" applyNumberFormat="1" applyFont="1" applyFill="1" applyBorder="1" applyAlignment="1" applyProtection="1">
      <alignment horizontal="center" vertical="center"/>
    </xf>
    <xf numFmtId="4" fontId="40" fillId="8" borderId="28" xfId="1" applyNumberFormat="1" applyFont="1" applyFill="1" applyBorder="1" applyAlignment="1" applyProtection="1">
      <alignment horizontal="right" vertical="center"/>
    </xf>
    <xf numFmtId="4" fontId="28" fillId="8" borderId="62" xfId="0" applyNumberFormat="1" applyFont="1" applyFill="1" applyBorder="1" applyAlignment="1" applyProtection="1">
      <alignment horizontal="right" vertical="center"/>
    </xf>
    <xf numFmtId="4" fontId="28" fillId="8" borderId="74" xfId="0" applyNumberFormat="1" applyFont="1" applyFill="1" applyBorder="1" applyAlignment="1" applyProtection="1">
      <alignment horizontal="right" vertical="center"/>
    </xf>
    <xf numFmtId="4" fontId="28" fillId="8" borderId="71" xfId="0" applyNumberFormat="1" applyFont="1" applyFill="1" applyBorder="1" applyAlignment="1" applyProtection="1">
      <alignment horizontal="right" vertical="center"/>
    </xf>
    <xf numFmtId="4" fontId="28" fillId="8" borderId="25" xfId="0" applyNumberFormat="1" applyFont="1" applyFill="1" applyBorder="1" applyAlignment="1" applyProtection="1">
      <alignment horizontal="right" vertical="center"/>
    </xf>
    <xf numFmtId="4" fontId="30" fillId="8" borderId="8" xfId="0" applyNumberFormat="1" applyFont="1" applyFill="1" applyBorder="1" applyAlignment="1" applyProtection="1">
      <alignment horizontal="right" vertical="center"/>
      <protection locked="0"/>
    </xf>
    <xf numFmtId="4" fontId="30" fillId="8" borderId="15" xfId="0" applyNumberFormat="1" applyFont="1" applyFill="1" applyBorder="1" applyAlignment="1" applyProtection="1">
      <alignment horizontal="right" vertical="center"/>
      <protection locked="0"/>
    </xf>
    <xf numFmtId="4" fontId="30" fillId="18" borderId="15" xfId="0" applyNumberFormat="1" applyFont="1" applyFill="1" applyBorder="1" applyAlignment="1" applyProtection="1">
      <alignment horizontal="right" vertical="center"/>
      <protection locked="0"/>
    </xf>
    <xf numFmtId="4" fontId="30" fillId="0" borderId="16" xfId="0" applyNumberFormat="1" applyFont="1" applyFill="1" applyBorder="1" applyAlignment="1" applyProtection="1">
      <alignment horizontal="right" vertical="center" wrapText="1"/>
      <protection locked="0"/>
    </xf>
    <xf numFmtId="0" fontId="27" fillId="13" borderId="61" xfId="0" applyFont="1" applyFill="1" applyBorder="1" applyAlignment="1" applyProtection="1">
      <alignment horizontal="center" vertical="center"/>
      <protection locked="0"/>
    </xf>
    <xf numFmtId="0" fontId="32" fillId="14" borderId="61" xfId="0" applyFont="1" applyFill="1" applyBorder="1" applyAlignment="1" applyProtection="1">
      <alignment horizontal="center" vertical="center"/>
      <protection locked="0"/>
    </xf>
    <xf numFmtId="0" fontId="28" fillId="8" borderId="37" xfId="0" applyFont="1" applyFill="1" applyBorder="1" applyAlignment="1" applyProtection="1">
      <alignment horizontal="center" vertical="center" wrapText="1"/>
      <protection locked="0"/>
    </xf>
    <xf numFmtId="0" fontId="28" fillId="8" borderId="0" xfId="0" applyFont="1" applyFill="1" applyBorder="1" applyAlignment="1" applyProtection="1">
      <alignment horizontal="center" vertical="center" wrapText="1"/>
      <protection locked="0"/>
    </xf>
    <xf numFmtId="0" fontId="27" fillId="13" borderId="61" xfId="0" applyFont="1" applyFill="1" applyBorder="1" applyAlignment="1" applyProtection="1">
      <alignment horizontal="center" vertical="center" wrapText="1"/>
      <protection locked="0"/>
    </xf>
    <xf numFmtId="0" fontId="28" fillId="0" borderId="59" xfId="0" applyFont="1" applyFill="1" applyBorder="1" applyAlignment="1" applyProtection="1">
      <alignment horizontal="center" vertical="center" wrapText="1"/>
      <protection locked="0"/>
    </xf>
    <xf numFmtId="4" fontId="28" fillId="12" borderId="40" xfId="0" applyNumberFormat="1" applyFont="1" applyFill="1" applyBorder="1" applyAlignment="1" applyProtection="1">
      <alignment horizontal="center" vertical="center" wrapText="1"/>
      <protection locked="0"/>
    </xf>
    <xf numFmtId="4" fontId="28" fillId="12" borderId="34" xfId="0" applyNumberFormat="1" applyFont="1" applyFill="1" applyBorder="1" applyAlignment="1" applyProtection="1">
      <alignment horizontal="center" vertical="center" wrapText="1"/>
      <protection locked="0"/>
    </xf>
    <xf numFmtId="0" fontId="28" fillId="0" borderId="9" xfId="0" applyFont="1" applyBorder="1" applyAlignment="1" applyProtection="1">
      <alignment horizontal="center" vertical="center"/>
      <protection locked="0"/>
    </xf>
    <xf numFmtId="0" fontId="28" fillId="16" borderId="43" xfId="0" applyFont="1" applyFill="1" applyBorder="1" applyAlignment="1" applyProtection="1">
      <alignment horizontal="center" vertical="center" wrapText="1"/>
      <protection locked="0"/>
    </xf>
    <xf numFmtId="0" fontId="28" fillId="16" borderId="61" xfId="0" applyFont="1" applyFill="1" applyBorder="1" applyAlignment="1" applyProtection="1">
      <alignment horizontal="center" vertical="center" wrapText="1"/>
      <protection locked="0"/>
    </xf>
    <xf numFmtId="0" fontId="28" fillId="16" borderId="44" xfId="0" applyFont="1" applyFill="1" applyBorder="1" applyAlignment="1" applyProtection="1">
      <alignment horizontal="center" vertical="center" wrapText="1"/>
      <protection locked="0"/>
    </xf>
    <xf numFmtId="0" fontId="28" fillId="8" borderId="25" xfId="0" applyFont="1" applyFill="1" applyBorder="1" applyAlignment="1" applyProtection="1">
      <alignment horizontal="center" vertical="center" wrapText="1"/>
      <protection locked="0"/>
    </xf>
    <xf numFmtId="0" fontId="28" fillId="8" borderId="12" xfId="0" applyFont="1" applyFill="1" applyBorder="1" applyAlignment="1" applyProtection="1">
      <alignment horizontal="center" vertical="center" wrapText="1"/>
      <protection locked="0"/>
    </xf>
    <xf numFmtId="0" fontId="28" fillId="8" borderId="37" xfId="0" applyFont="1" applyFill="1" applyBorder="1" applyAlignment="1" applyProtection="1">
      <alignment horizontal="center" vertical="center" wrapText="1"/>
      <protection locked="0"/>
    </xf>
    <xf numFmtId="0" fontId="28" fillId="11" borderId="45" xfId="0" applyFont="1" applyFill="1" applyBorder="1" applyAlignment="1" applyProtection="1">
      <alignment horizontal="center" vertical="center" wrapText="1"/>
      <protection locked="0"/>
    </xf>
    <xf numFmtId="0" fontId="28" fillId="11" borderId="61" xfId="0" applyFont="1" applyFill="1" applyBorder="1" applyAlignment="1" applyProtection="1">
      <alignment horizontal="center" vertical="center" wrapText="1"/>
      <protection locked="0"/>
    </xf>
    <xf numFmtId="0" fontId="28" fillId="11" borderId="47" xfId="0" applyFont="1" applyFill="1" applyBorder="1" applyAlignment="1" applyProtection="1">
      <alignment horizontal="center" vertical="center" wrapText="1"/>
      <protection locked="0"/>
    </xf>
    <xf numFmtId="0" fontId="27" fillId="13" borderId="45" xfId="0" applyFont="1" applyFill="1" applyBorder="1" applyAlignment="1" applyProtection="1">
      <alignment horizontal="center" vertical="center"/>
      <protection locked="0"/>
    </xf>
    <xf numFmtId="0" fontId="27" fillId="13" borderId="61" xfId="0" applyFont="1" applyFill="1" applyBorder="1" applyAlignment="1" applyProtection="1">
      <alignment horizontal="center" vertical="center"/>
      <protection locked="0"/>
    </xf>
    <xf numFmtId="0" fontId="27" fillId="13" borderId="47" xfId="0" applyFont="1" applyFill="1" applyBorder="1" applyAlignment="1" applyProtection="1">
      <alignment horizontal="center" vertical="center"/>
      <protection locked="0"/>
    </xf>
    <xf numFmtId="0" fontId="32" fillId="14" borderId="48" xfId="0" applyFont="1" applyFill="1" applyBorder="1" applyAlignment="1" applyProtection="1">
      <alignment horizontal="center" vertical="center"/>
      <protection locked="0"/>
    </xf>
    <xf numFmtId="0" fontId="32" fillId="14" borderId="61" xfId="0" applyFont="1" applyFill="1" applyBorder="1" applyAlignment="1" applyProtection="1">
      <alignment horizontal="center" vertical="center"/>
      <protection locked="0"/>
    </xf>
    <xf numFmtId="0" fontId="32" fillId="14" borderId="63" xfId="0" applyFont="1" applyFill="1" applyBorder="1" applyAlignment="1" applyProtection="1">
      <alignment horizontal="center" vertical="center"/>
      <protection locked="0"/>
    </xf>
    <xf numFmtId="0" fontId="28" fillId="11" borderId="45" xfId="0" applyFont="1" applyFill="1" applyBorder="1" applyAlignment="1" applyProtection="1">
      <alignment horizontal="center" vertical="center"/>
      <protection locked="0"/>
    </xf>
    <xf numFmtId="0" fontId="28" fillId="11" borderId="61" xfId="0" applyFont="1" applyFill="1" applyBorder="1" applyAlignment="1" applyProtection="1">
      <alignment horizontal="center" vertical="center"/>
      <protection locked="0"/>
    </xf>
    <xf numFmtId="0" fontId="28" fillId="11" borderId="47" xfId="0" applyFont="1" applyFill="1" applyBorder="1" applyAlignment="1" applyProtection="1">
      <alignment horizontal="center" vertical="center"/>
      <protection locked="0"/>
    </xf>
    <xf numFmtId="0" fontId="28" fillId="0" borderId="57" xfId="0" applyFont="1" applyFill="1" applyBorder="1" applyAlignment="1" applyProtection="1">
      <alignment horizontal="center" vertical="center" wrapText="1"/>
      <protection locked="0"/>
    </xf>
    <xf numFmtId="0" fontId="28" fillId="0" borderId="59" xfId="0" applyFont="1" applyFill="1" applyBorder="1" applyAlignment="1" applyProtection="1">
      <alignment horizontal="center" vertical="center" wrapText="1"/>
      <protection locked="0"/>
    </xf>
    <xf numFmtId="0" fontId="28" fillId="0" borderId="60" xfId="0" applyFont="1" applyFill="1" applyBorder="1" applyAlignment="1" applyProtection="1">
      <alignment horizontal="center" vertical="center" wrapText="1"/>
      <protection locked="0"/>
    </xf>
    <xf numFmtId="0" fontId="28" fillId="11" borderId="48" xfId="0" applyFont="1" applyFill="1" applyBorder="1" applyAlignment="1" applyProtection="1">
      <alignment horizontal="center" vertical="center" wrapText="1"/>
      <protection locked="0"/>
    </xf>
    <xf numFmtId="0" fontId="28" fillId="11" borderId="49" xfId="0" applyFont="1" applyFill="1" applyBorder="1" applyAlignment="1" applyProtection="1">
      <alignment horizontal="center" vertical="center" wrapText="1"/>
      <protection locked="0"/>
    </xf>
    <xf numFmtId="0" fontId="28" fillId="11" borderId="55" xfId="0" applyFont="1" applyFill="1" applyBorder="1" applyAlignment="1" applyProtection="1">
      <alignment horizontal="center" vertical="center" wrapText="1"/>
      <protection locked="0"/>
    </xf>
    <xf numFmtId="0" fontId="28" fillId="0" borderId="25" xfId="0" applyFont="1" applyFill="1" applyBorder="1" applyAlignment="1" applyProtection="1">
      <alignment horizontal="center" vertical="center" wrapText="1"/>
      <protection locked="0"/>
    </xf>
    <xf numFmtId="0" fontId="28" fillId="0" borderId="12" xfId="0" applyFont="1" applyFill="1" applyBorder="1" applyAlignment="1" applyProtection="1">
      <alignment horizontal="center" vertical="center" wrapText="1"/>
      <protection locked="0"/>
    </xf>
    <xf numFmtId="0" fontId="28" fillId="0" borderId="37" xfId="0" applyFont="1" applyFill="1" applyBorder="1" applyAlignment="1" applyProtection="1">
      <alignment horizontal="center" vertical="center" wrapText="1"/>
      <protection locked="0"/>
    </xf>
    <xf numFmtId="0" fontId="28" fillId="11" borderId="44" xfId="0" applyFont="1" applyFill="1" applyBorder="1" applyAlignment="1" applyProtection="1">
      <alignment horizontal="center" vertical="center" wrapText="1"/>
      <protection locked="0"/>
    </xf>
    <xf numFmtId="0" fontId="27" fillId="13" borderId="45" xfId="0" applyFont="1" applyFill="1" applyBorder="1" applyAlignment="1" applyProtection="1">
      <alignment horizontal="center" vertical="center" wrapText="1"/>
      <protection locked="0"/>
    </xf>
    <xf numFmtId="0" fontId="27" fillId="13" borderId="61" xfId="0" applyFont="1" applyFill="1" applyBorder="1" applyAlignment="1" applyProtection="1">
      <alignment horizontal="center" vertical="center" wrapText="1"/>
      <protection locked="0"/>
    </xf>
    <xf numFmtId="0" fontId="27" fillId="13" borderId="47" xfId="0" applyFont="1" applyFill="1" applyBorder="1" applyAlignment="1" applyProtection="1">
      <alignment horizontal="center" vertical="center" wrapText="1"/>
      <protection locked="0"/>
    </xf>
    <xf numFmtId="0" fontId="28" fillId="16" borderId="51" xfId="0" applyFont="1" applyFill="1" applyBorder="1" applyAlignment="1" applyProtection="1">
      <alignment horizontal="center" vertical="center" wrapText="1"/>
      <protection locked="0"/>
    </xf>
    <xf numFmtId="0" fontId="28" fillId="8" borderId="0" xfId="0" applyFont="1" applyFill="1" applyBorder="1" applyAlignment="1" applyProtection="1">
      <alignment horizontal="center" vertical="center" wrapText="1"/>
      <protection locked="0"/>
    </xf>
    <xf numFmtId="0" fontId="28" fillId="8" borderId="68" xfId="0" applyFont="1" applyFill="1" applyBorder="1" applyAlignment="1" applyProtection="1">
      <alignment horizontal="center" vertical="center" wrapText="1"/>
      <protection locked="0"/>
    </xf>
    <xf numFmtId="0" fontId="28" fillId="8" borderId="22" xfId="0" applyFont="1" applyFill="1" applyBorder="1" applyAlignment="1" applyProtection="1">
      <alignment horizontal="center" vertical="center" wrapText="1"/>
      <protection locked="0"/>
    </xf>
    <xf numFmtId="0" fontId="28" fillId="9" borderId="45" xfId="0" applyFont="1" applyFill="1" applyBorder="1" applyAlignment="1" applyProtection="1">
      <alignment horizontal="center" vertical="center"/>
      <protection locked="0"/>
    </xf>
    <xf numFmtId="0" fontId="28" fillId="9" borderId="61" xfId="0" applyFont="1" applyFill="1" applyBorder="1" applyAlignment="1" applyProtection="1">
      <alignment horizontal="center" vertical="center"/>
      <protection locked="0"/>
    </xf>
    <xf numFmtId="0" fontId="28" fillId="9" borderId="47" xfId="0" applyFont="1" applyFill="1" applyBorder="1" applyAlignment="1" applyProtection="1">
      <alignment horizontal="center" vertical="center"/>
      <protection locked="0"/>
    </xf>
    <xf numFmtId="0" fontId="28" fillId="12" borderId="8" xfId="0" applyFont="1" applyFill="1" applyBorder="1" applyAlignment="1" applyProtection="1">
      <alignment horizontal="center" vertical="center" wrapText="1"/>
      <protection locked="0"/>
    </xf>
    <xf numFmtId="0" fontId="28" fillId="12" borderId="15" xfId="0" applyFont="1" applyFill="1" applyBorder="1" applyAlignment="1" applyProtection="1">
      <alignment horizontal="center" vertical="center" wrapText="1"/>
      <protection locked="0"/>
    </xf>
    <xf numFmtId="0" fontId="28" fillId="12" borderId="33" xfId="0" applyFont="1" applyFill="1" applyBorder="1" applyAlignment="1" applyProtection="1">
      <alignment horizontal="center" vertical="center" wrapText="1"/>
      <protection locked="0"/>
    </xf>
    <xf numFmtId="0" fontId="28" fillId="12" borderId="2" xfId="0" applyFont="1" applyFill="1" applyBorder="1" applyAlignment="1" applyProtection="1">
      <alignment horizontal="center" vertical="center" wrapText="1"/>
      <protection locked="0"/>
    </xf>
    <xf numFmtId="0" fontId="28" fillId="12" borderId="10" xfId="0" applyFont="1" applyFill="1" applyBorder="1" applyAlignment="1" applyProtection="1">
      <alignment horizontal="center" vertical="center" wrapText="1"/>
      <protection locked="0"/>
    </xf>
    <xf numFmtId="0" fontId="28" fillId="12" borderId="21" xfId="0" applyFont="1" applyFill="1" applyBorder="1" applyAlignment="1" applyProtection="1">
      <alignment horizontal="center" vertical="center" wrapText="1"/>
      <protection locked="0"/>
    </xf>
    <xf numFmtId="0" fontId="28" fillId="12" borderId="3" xfId="0" applyFont="1" applyFill="1" applyBorder="1" applyAlignment="1" applyProtection="1">
      <alignment horizontal="center" vertical="center" wrapText="1"/>
      <protection locked="0"/>
    </xf>
    <xf numFmtId="0" fontId="28" fillId="12" borderId="11" xfId="0" applyFont="1" applyFill="1" applyBorder="1" applyAlignment="1" applyProtection="1">
      <alignment horizontal="center" vertical="center" wrapText="1"/>
      <protection locked="0"/>
    </xf>
    <xf numFmtId="0" fontId="28" fillId="12" borderId="18" xfId="0" applyFont="1" applyFill="1" applyBorder="1" applyAlignment="1" applyProtection="1">
      <alignment horizontal="center" vertical="center" wrapText="1"/>
      <protection locked="0"/>
    </xf>
    <xf numFmtId="0" fontId="28" fillId="12" borderId="72" xfId="0" applyFont="1" applyFill="1" applyBorder="1" applyAlignment="1" applyProtection="1">
      <alignment horizontal="center" vertical="center" wrapText="1"/>
      <protection locked="0"/>
    </xf>
    <xf numFmtId="0" fontId="28" fillId="12" borderId="73" xfId="0" applyFont="1" applyFill="1" applyBorder="1" applyAlignment="1" applyProtection="1">
      <alignment horizontal="center" vertical="center" wrapText="1"/>
      <protection locked="0"/>
    </xf>
    <xf numFmtId="0" fontId="28" fillId="12" borderId="24" xfId="0" applyFont="1" applyFill="1" applyBorder="1" applyAlignment="1" applyProtection="1">
      <alignment horizontal="center" vertical="center" wrapText="1"/>
      <protection locked="0"/>
    </xf>
    <xf numFmtId="3" fontId="28" fillId="12" borderId="17" xfId="0" applyNumberFormat="1" applyFont="1" applyFill="1" applyBorder="1" applyAlignment="1" applyProtection="1">
      <alignment horizontal="center" vertical="center" wrapText="1"/>
      <protection locked="0"/>
    </xf>
    <xf numFmtId="3" fontId="28" fillId="12" borderId="41" xfId="0" applyNumberFormat="1" applyFont="1" applyFill="1" applyBorder="1" applyAlignment="1" applyProtection="1">
      <alignment horizontal="center" vertical="center" wrapText="1"/>
      <protection locked="0"/>
    </xf>
    <xf numFmtId="3" fontId="28" fillId="12" borderId="34" xfId="0" applyNumberFormat="1" applyFont="1" applyFill="1" applyBorder="1" applyAlignment="1" applyProtection="1">
      <alignment horizontal="center" vertical="center" wrapText="1"/>
      <protection locked="0"/>
    </xf>
    <xf numFmtId="3" fontId="28" fillId="12" borderId="55" xfId="0" applyNumberFormat="1" applyFont="1" applyFill="1" applyBorder="1" applyAlignment="1" applyProtection="1">
      <alignment horizontal="center" vertical="center" wrapText="1"/>
      <protection locked="0"/>
    </xf>
    <xf numFmtId="14" fontId="29" fillId="12" borderId="65" xfId="0" applyNumberFormat="1" applyFont="1" applyFill="1" applyBorder="1" applyAlignment="1" applyProtection="1">
      <alignment horizontal="center" vertical="center" wrapText="1"/>
      <protection locked="0"/>
    </xf>
    <xf numFmtId="0" fontId="29" fillId="12" borderId="14" xfId="0" applyNumberFormat="1" applyFont="1" applyFill="1" applyBorder="1" applyAlignment="1" applyProtection="1">
      <alignment horizontal="center" vertical="center" wrapText="1"/>
      <protection locked="0"/>
    </xf>
    <xf numFmtId="0" fontId="29" fillId="12" borderId="30" xfId="0" applyNumberFormat="1" applyFont="1" applyFill="1" applyBorder="1" applyAlignment="1" applyProtection="1">
      <alignment horizontal="center" vertical="center" wrapText="1"/>
      <protection locked="0"/>
    </xf>
    <xf numFmtId="3" fontId="28" fillId="12" borderId="65" xfId="0" applyNumberFormat="1" applyFont="1" applyFill="1" applyBorder="1" applyAlignment="1" applyProtection="1">
      <alignment horizontal="center" vertical="center" wrapText="1"/>
      <protection locked="0"/>
    </xf>
    <xf numFmtId="3" fontId="28" fillId="12" borderId="14" xfId="0" applyNumberFormat="1" applyFont="1" applyFill="1" applyBorder="1" applyAlignment="1" applyProtection="1">
      <alignment horizontal="center" vertical="center" wrapText="1"/>
      <protection locked="0"/>
    </xf>
    <xf numFmtId="3" fontId="28" fillId="12" borderId="30" xfId="0" applyNumberFormat="1" applyFont="1" applyFill="1" applyBorder="1" applyAlignment="1" applyProtection="1">
      <alignment horizontal="center" vertical="center" wrapText="1"/>
      <protection locked="0"/>
    </xf>
    <xf numFmtId="10" fontId="28" fillId="12" borderId="17" xfId="1" applyNumberFormat="1" applyFont="1" applyFill="1" applyBorder="1" applyAlignment="1" applyProtection="1">
      <alignment horizontal="center" vertical="center" wrapText="1"/>
      <protection locked="0"/>
    </xf>
    <xf numFmtId="10" fontId="28" fillId="12" borderId="41" xfId="1" applyNumberFormat="1" applyFont="1" applyFill="1" applyBorder="1" applyAlignment="1" applyProtection="1">
      <alignment horizontal="center" vertical="center" wrapText="1"/>
      <protection locked="0"/>
    </xf>
    <xf numFmtId="10" fontId="28" fillId="12" borderId="34" xfId="1" applyNumberFormat="1" applyFont="1" applyFill="1" applyBorder="1" applyAlignment="1" applyProtection="1">
      <alignment horizontal="center" vertical="center" wrapText="1"/>
      <protection locked="0"/>
    </xf>
    <xf numFmtId="10" fontId="28" fillId="12" borderId="55" xfId="1" applyNumberFormat="1" applyFont="1" applyFill="1" applyBorder="1" applyAlignment="1" applyProtection="1">
      <alignment horizontal="center" vertical="center" wrapText="1"/>
      <protection locked="0"/>
    </xf>
    <xf numFmtId="0" fontId="28" fillId="11" borderId="83" xfId="0" applyFont="1" applyFill="1" applyBorder="1" applyAlignment="1" applyProtection="1">
      <alignment horizontal="center" vertical="center" wrapText="1"/>
      <protection locked="0"/>
    </xf>
    <xf numFmtId="0" fontId="28" fillId="11" borderId="27" xfId="0" applyFont="1" applyFill="1" applyBorder="1" applyAlignment="1" applyProtection="1">
      <alignment horizontal="center" vertical="center" wrapText="1"/>
      <protection locked="0"/>
    </xf>
    <xf numFmtId="0" fontId="28" fillId="0" borderId="50" xfId="0" applyFont="1" applyFill="1" applyBorder="1" applyAlignment="1" applyProtection="1">
      <alignment horizontal="center" vertical="center" wrapText="1"/>
      <protection locked="0"/>
    </xf>
    <xf numFmtId="0" fontId="28" fillId="0" borderId="35" xfId="0" applyFont="1" applyFill="1" applyBorder="1" applyAlignment="1" applyProtection="1">
      <alignment horizontal="center" vertical="center" wrapText="1"/>
      <protection locked="0"/>
    </xf>
    <xf numFmtId="0" fontId="28" fillId="0" borderId="41" xfId="0" applyFont="1" applyFill="1" applyBorder="1" applyAlignment="1" applyProtection="1">
      <alignment horizontal="center" vertical="center" wrapText="1"/>
      <protection locked="0"/>
    </xf>
    <xf numFmtId="0" fontId="23" fillId="15" borderId="0" xfId="2" applyFont="1" applyFill="1" applyAlignment="1" applyProtection="1">
      <alignment horizontal="center" vertical="center" wrapText="1"/>
      <protection locked="0"/>
    </xf>
    <xf numFmtId="0" fontId="23" fillId="15" borderId="0" xfId="2" applyFont="1" applyFill="1" applyAlignment="1" applyProtection="1">
      <alignment horizontal="center" vertical="center"/>
      <protection locked="0"/>
    </xf>
    <xf numFmtId="0" fontId="28" fillId="12" borderId="17" xfId="0" applyFont="1" applyFill="1" applyBorder="1" applyAlignment="1" applyProtection="1">
      <alignment horizontal="center" vertical="center" wrapText="1"/>
      <protection locked="0"/>
    </xf>
    <xf numFmtId="0" fontId="28" fillId="12" borderId="34" xfId="0" applyFont="1" applyFill="1" applyBorder="1" applyAlignment="1" applyProtection="1">
      <alignment horizontal="center" vertical="center" wrapText="1"/>
      <protection locked="0"/>
    </xf>
    <xf numFmtId="4" fontId="28" fillId="12" borderId="72" xfId="0" applyNumberFormat="1" applyFont="1" applyFill="1" applyBorder="1" applyAlignment="1" applyProtection="1">
      <alignment horizontal="center" vertical="center" wrapText="1"/>
      <protection locked="0"/>
    </xf>
    <xf numFmtId="4" fontId="28" fillId="12" borderId="73" xfId="0" applyNumberFormat="1" applyFont="1" applyFill="1" applyBorder="1" applyAlignment="1" applyProtection="1">
      <alignment horizontal="center" vertical="center" wrapText="1"/>
      <protection locked="0"/>
    </xf>
    <xf numFmtId="4" fontId="28" fillId="12" borderId="78" xfId="0" applyNumberFormat="1" applyFont="1" applyFill="1" applyBorder="1" applyAlignment="1" applyProtection="1">
      <alignment horizontal="center" vertical="center" wrapText="1"/>
      <protection locked="0"/>
    </xf>
    <xf numFmtId="4" fontId="28" fillId="12" borderId="68" xfId="0" applyNumberFormat="1" applyFont="1" applyFill="1" applyBorder="1" applyAlignment="1" applyProtection="1">
      <alignment horizontal="center" vertical="center" wrapText="1"/>
      <protection locked="0"/>
    </xf>
    <xf numFmtId="4" fontId="28" fillId="12" borderId="52" xfId="0" applyNumberFormat="1" applyFont="1" applyFill="1" applyBorder="1" applyAlignment="1" applyProtection="1">
      <alignment horizontal="center" vertical="center" wrapText="1"/>
      <protection locked="0"/>
    </xf>
    <xf numFmtId="4" fontId="28" fillId="12" borderId="66" xfId="0" applyNumberFormat="1" applyFont="1" applyFill="1" applyBorder="1" applyAlignment="1" applyProtection="1">
      <alignment horizontal="center" vertical="center" wrapText="1"/>
      <protection locked="0"/>
    </xf>
    <xf numFmtId="4" fontId="28" fillId="12" borderId="60" xfId="0" applyNumberFormat="1" applyFont="1" applyFill="1" applyBorder="1" applyAlignment="1" applyProtection="1">
      <alignment horizontal="center" vertical="center" wrapText="1"/>
      <protection locked="0"/>
    </xf>
    <xf numFmtId="4" fontId="28" fillId="12" borderId="40" xfId="0" applyNumberFormat="1" applyFont="1" applyFill="1" applyBorder="1" applyAlignment="1" applyProtection="1">
      <alignment horizontal="center" vertical="center" wrapText="1"/>
      <protection locked="0"/>
    </xf>
    <xf numFmtId="4" fontId="28" fillId="12" borderId="54" xfId="0" applyNumberFormat="1" applyFont="1" applyFill="1" applyBorder="1" applyAlignment="1" applyProtection="1">
      <alignment horizontal="center" vertical="center" wrapText="1"/>
      <protection locked="0"/>
    </xf>
    <xf numFmtId="4" fontId="28" fillId="12" borderId="34" xfId="0" applyNumberFormat="1" applyFont="1" applyFill="1" applyBorder="1" applyAlignment="1" applyProtection="1">
      <alignment horizontal="center" vertical="center" wrapText="1"/>
      <protection locked="0"/>
    </xf>
    <xf numFmtId="4" fontId="28" fillId="12" borderId="55" xfId="0" applyNumberFormat="1" applyFont="1" applyFill="1" applyBorder="1" applyAlignment="1" applyProtection="1">
      <alignment horizontal="center" vertical="center" wrapText="1"/>
      <protection locked="0"/>
    </xf>
    <xf numFmtId="14" fontId="29" fillId="12" borderId="76" xfId="0" applyNumberFormat="1" applyFont="1" applyFill="1" applyBorder="1" applyAlignment="1" applyProtection="1">
      <alignment horizontal="center" vertical="center" wrapText="1"/>
    </xf>
    <xf numFmtId="14" fontId="29" fillId="12" borderId="75" xfId="0" applyNumberFormat="1" applyFont="1" applyFill="1" applyBorder="1" applyAlignment="1" applyProtection="1">
      <alignment horizontal="center" vertical="center" wrapText="1"/>
    </xf>
    <xf numFmtId="14" fontId="29" fillId="12" borderId="77" xfId="0" applyNumberFormat="1" applyFont="1" applyFill="1" applyBorder="1" applyAlignment="1" applyProtection="1">
      <alignment horizontal="center" vertical="center" wrapText="1"/>
    </xf>
    <xf numFmtId="0" fontId="28" fillId="0" borderId="1" xfId="0" applyFont="1" applyFill="1" applyBorder="1" applyAlignment="1" applyProtection="1">
      <alignment horizontal="center" vertical="center" wrapText="1"/>
      <protection locked="0"/>
    </xf>
    <xf numFmtId="0" fontId="28" fillId="0" borderId="9" xfId="0" applyFont="1" applyFill="1" applyBorder="1" applyAlignment="1" applyProtection="1">
      <alignment horizontal="center" vertical="center" wrapText="1"/>
      <protection locked="0"/>
    </xf>
    <xf numFmtId="0" fontId="28" fillId="0" borderId="16" xfId="0" applyFont="1" applyFill="1" applyBorder="1" applyAlignment="1" applyProtection="1">
      <alignment horizontal="center" vertical="center" wrapText="1"/>
      <protection locked="0"/>
    </xf>
    <xf numFmtId="0" fontId="28" fillId="11" borderId="43" xfId="0" applyFont="1" applyFill="1" applyBorder="1" applyAlignment="1" applyProtection="1">
      <alignment horizontal="center" vertical="center" wrapText="1"/>
      <protection locked="0"/>
    </xf>
    <xf numFmtId="0" fontId="28" fillId="11" borderId="56" xfId="0" applyFont="1" applyFill="1" applyBorder="1" applyAlignment="1" applyProtection="1">
      <alignment horizontal="center" vertical="center" wrapText="1"/>
      <protection locked="0"/>
    </xf>
    <xf numFmtId="0" fontId="27" fillId="13" borderId="43" xfId="0" applyFont="1" applyFill="1" applyBorder="1" applyAlignment="1" applyProtection="1">
      <alignment horizontal="center" vertical="center" wrapText="1"/>
      <protection locked="0"/>
    </xf>
    <xf numFmtId="0" fontId="27" fillId="13" borderId="44" xfId="0" applyFont="1" applyFill="1" applyBorder="1" applyAlignment="1" applyProtection="1">
      <alignment horizontal="center" vertical="center" wrapText="1"/>
      <protection locked="0"/>
    </xf>
    <xf numFmtId="0" fontId="32" fillId="14" borderId="43" xfId="0" applyFont="1" applyFill="1" applyBorder="1" applyAlignment="1" applyProtection="1">
      <alignment horizontal="center" vertical="center"/>
      <protection locked="0"/>
    </xf>
    <xf numFmtId="0" fontId="32" fillId="14" borderId="82" xfId="0" applyFont="1" applyFill="1" applyBorder="1" applyAlignment="1" applyProtection="1">
      <alignment horizontal="center" vertical="center"/>
      <protection locked="0"/>
    </xf>
    <xf numFmtId="0" fontId="28" fillId="12" borderId="1" xfId="0" applyFont="1" applyFill="1" applyBorder="1" applyAlignment="1" applyProtection="1">
      <alignment horizontal="center" vertical="center" wrapText="1"/>
      <protection locked="0"/>
    </xf>
    <xf numFmtId="0" fontId="28" fillId="12" borderId="9" xfId="0" applyFont="1" applyFill="1" applyBorder="1" applyAlignment="1" applyProtection="1">
      <alignment horizontal="center" vertical="center" wrapText="1"/>
      <protection locked="0"/>
    </xf>
    <xf numFmtId="0" fontId="28" fillId="12" borderId="16" xfId="0" applyFont="1" applyFill="1" applyBorder="1" applyAlignment="1" applyProtection="1">
      <alignment horizontal="center" vertical="center" wrapText="1"/>
      <protection locked="0"/>
    </xf>
    <xf numFmtId="0" fontId="28" fillId="12" borderId="50" xfId="0" applyFont="1" applyFill="1" applyBorder="1" applyAlignment="1" applyProtection="1">
      <alignment horizontal="center" vertical="center" wrapText="1"/>
      <protection locked="0"/>
    </xf>
    <xf numFmtId="0" fontId="28" fillId="12" borderId="35" xfId="0" applyFont="1" applyFill="1" applyBorder="1" applyAlignment="1" applyProtection="1">
      <alignment horizontal="center" vertical="center" wrapText="1"/>
      <protection locked="0"/>
    </xf>
    <xf numFmtId="0" fontId="28" fillId="12" borderId="41" xfId="0" applyFont="1" applyFill="1" applyBorder="1" applyAlignment="1" applyProtection="1">
      <alignment horizontal="center" vertical="center" wrapText="1"/>
      <protection locked="0"/>
    </xf>
    <xf numFmtId="0" fontId="28" fillId="12" borderId="27" xfId="0" applyFont="1" applyFill="1" applyBorder="1" applyAlignment="1" applyProtection="1">
      <alignment horizontal="center" vertical="center" wrapText="1"/>
      <protection locked="0"/>
    </xf>
    <xf numFmtId="0" fontId="28" fillId="12" borderId="31" xfId="0" applyFont="1" applyFill="1" applyBorder="1" applyAlignment="1" applyProtection="1">
      <alignment horizontal="center" vertical="center" wrapText="1"/>
      <protection locked="0"/>
    </xf>
    <xf numFmtId="0" fontId="28" fillId="12" borderId="55" xfId="0" applyFont="1" applyFill="1" applyBorder="1" applyAlignment="1" applyProtection="1">
      <alignment horizontal="center" vertical="center" wrapText="1"/>
      <protection locked="0"/>
    </xf>
    <xf numFmtId="4" fontId="28" fillId="12" borderId="24" xfId="0" applyNumberFormat="1" applyFont="1" applyFill="1" applyBorder="1" applyAlignment="1" applyProtection="1">
      <alignment horizontal="center" vertical="center" wrapText="1"/>
      <protection locked="0"/>
    </xf>
    <xf numFmtId="0" fontId="29" fillId="12" borderId="65" xfId="0" applyNumberFormat="1" applyFont="1" applyFill="1" applyBorder="1" applyAlignment="1" applyProtection="1">
      <alignment horizontal="center" vertical="center" wrapText="1"/>
      <protection locked="0"/>
    </xf>
    <xf numFmtId="4" fontId="28" fillId="12" borderId="65" xfId="0" applyNumberFormat="1" applyFont="1" applyFill="1" applyBorder="1" applyAlignment="1" applyProtection="1">
      <alignment horizontal="center" vertical="center" wrapText="1"/>
      <protection locked="0"/>
    </xf>
    <xf numFmtId="4" fontId="28" fillId="12" borderId="14" xfId="0" applyNumberFormat="1" applyFont="1" applyFill="1" applyBorder="1" applyAlignment="1" applyProtection="1">
      <alignment horizontal="center" vertical="center" wrapText="1"/>
      <protection locked="0"/>
    </xf>
    <xf numFmtId="4" fontId="28" fillId="12" borderId="30" xfId="0" applyNumberFormat="1" applyFont="1" applyFill="1" applyBorder="1" applyAlignment="1" applyProtection="1">
      <alignment horizontal="center" vertical="center" wrapText="1"/>
      <protection locked="0"/>
    </xf>
    <xf numFmtId="0" fontId="27" fillId="13" borderId="43" xfId="0" applyFont="1" applyFill="1" applyBorder="1" applyAlignment="1" applyProtection="1">
      <alignment horizontal="right" vertical="center" wrapText="1"/>
      <protection locked="0"/>
    </xf>
    <xf numFmtId="0" fontId="27" fillId="13" borderId="45" xfId="0" applyFont="1" applyFill="1" applyBorder="1" applyAlignment="1" applyProtection="1">
      <alignment horizontal="right" vertical="center" wrapText="1"/>
      <protection locked="0"/>
    </xf>
    <xf numFmtId="0" fontId="32" fillId="14" borderId="43" xfId="0" applyFont="1" applyFill="1" applyBorder="1" applyAlignment="1" applyProtection="1">
      <alignment horizontal="right" vertical="center"/>
      <protection locked="0"/>
    </xf>
    <xf numFmtId="0" fontId="32" fillId="14" borderId="45" xfId="0" applyFont="1" applyFill="1" applyBorder="1" applyAlignment="1" applyProtection="1">
      <alignment horizontal="right" vertical="center"/>
      <protection locked="0"/>
    </xf>
    <xf numFmtId="0" fontId="28" fillId="0" borderId="1" xfId="0" applyFont="1" applyBorder="1" applyAlignment="1" applyProtection="1">
      <alignment horizontal="center" vertical="center"/>
      <protection locked="0"/>
    </xf>
    <xf numFmtId="0" fontId="28" fillId="0" borderId="9" xfId="0" applyFont="1" applyBorder="1" applyAlignment="1" applyProtection="1">
      <alignment horizontal="center" vertical="center"/>
      <protection locked="0"/>
    </xf>
    <xf numFmtId="0" fontId="28" fillId="0" borderId="16" xfId="0" applyFont="1" applyBorder="1" applyAlignment="1" applyProtection="1">
      <alignment horizontal="center" vertical="center"/>
      <protection locked="0"/>
    </xf>
    <xf numFmtId="0" fontId="28" fillId="12" borderId="29" xfId="0" applyFont="1" applyFill="1" applyBorder="1" applyAlignment="1" applyProtection="1">
      <alignment horizontal="center" vertical="center" wrapText="1"/>
      <protection locked="0"/>
    </xf>
    <xf numFmtId="0" fontId="28" fillId="12" borderId="36" xfId="0" applyFont="1" applyFill="1" applyBorder="1" applyAlignment="1" applyProtection="1">
      <alignment horizontal="center" vertical="center" wrapText="1"/>
      <protection locked="0"/>
    </xf>
    <xf numFmtId="0" fontId="28" fillId="12" borderId="74" xfId="0" applyFont="1" applyFill="1" applyBorder="1" applyAlignment="1" applyProtection="1">
      <alignment horizontal="center" vertical="center" wrapText="1"/>
      <protection locked="0"/>
    </xf>
    <xf numFmtId="0" fontId="28" fillId="12" borderId="70" xfId="0" applyFont="1" applyFill="1" applyBorder="1" applyAlignment="1" applyProtection="1">
      <alignment horizontal="center" vertical="center" wrapText="1"/>
      <protection locked="0"/>
    </xf>
    <xf numFmtId="0" fontId="28" fillId="12" borderId="62" xfId="0" applyFont="1" applyFill="1" applyBorder="1" applyAlignment="1" applyProtection="1">
      <alignment horizontal="center" vertical="center" wrapText="1"/>
      <protection locked="0"/>
    </xf>
    <xf numFmtId="0" fontId="28" fillId="12" borderId="71" xfId="0" applyFont="1" applyFill="1" applyBorder="1" applyAlignment="1" applyProtection="1">
      <alignment horizontal="center" vertical="center" wrapText="1"/>
      <protection locked="0"/>
    </xf>
    <xf numFmtId="14" fontId="28" fillId="12" borderId="72" xfId="0" applyNumberFormat="1" applyFont="1" applyFill="1" applyBorder="1" applyAlignment="1" applyProtection="1">
      <alignment horizontal="center" vertical="center" wrapText="1"/>
      <protection locked="0"/>
    </xf>
    <xf numFmtId="0" fontId="28" fillId="12" borderId="65" xfId="0" applyFont="1" applyFill="1" applyBorder="1" applyAlignment="1" applyProtection="1">
      <alignment horizontal="center" vertical="center" wrapText="1"/>
      <protection locked="0"/>
    </xf>
    <xf numFmtId="0" fontId="28" fillId="12" borderId="30" xfId="0" applyFont="1" applyFill="1" applyBorder="1" applyAlignment="1" applyProtection="1">
      <alignment horizontal="center" vertical="center" wrapText="1"/>
      <protection locked="0"/>
    </xf>
    <xf numFmtId="0" fontId="28" fillId="12" borderId="14" xfId="0" applyFont="1" applyFill="1" applyBorder="1" applyAlignment="1" applyProtection="1">
      <alignment horizontal="center" vertical="center" wrapText="1"/>
      <protection locked="0"/>
    </xf>
    <xf numFmtId="3" fontId="28" fillId="12" borderId="31" xfId="0" applyNumberFormat="1" applyFont="1" applyFill="1" applyBorder="1" applyAlignment="1" applyProtection="1">
      <alignment horizontal="center" vertical="center" wrapText="1"/>
      <protection locked="0"/>
    </xf>
    <xf numFmtId="3" fontId="28" fillId="12" borderId="66" xfId="0" applyNumberFormat="1" applyFont="1" applyFill="1" applyBorder="1" applyAlignment="1" applyProtection="1">
      <alignment horizontal="center" vertical="center" wrapText="1"/>
      <protection locked="0"/>
    </xf>
    <xf numFmtId="3" fontId="28" fillId="12" borderId="60" xfId="0" applyNumberFormat="1" applyFont="1" applyFill="1" applyBorder="1" applyAlignment="1" applyProtection="1">
      <alignment horizontal="center" vertical="center" wrapText="1"/>
      <protection locked="0"/>
    </xf>
    <xf numFmtId="3" fontId="28" fillId="12" borderId="40" xfId="0" applyNumberFormat="1" applyFont="1" applyFill="1" applyBorder="1" applyAlignment="1" applyProtection="1">
      <alignment horizontal="center" vertical="center" wrapText="1"/>
      <protection locked="0"/>
    </xf>
    <xf numFmtId="3" fontId="28" fillId="12" borderId="54" xfId="0" applyNumberFormat="1" applyFont="1" applyFill="1" applyBorder="1" applyAlignment="1" applyProtection="1">
      <alignment horizontal="center" vertical="center" wrapText="1"/>
      <protection locked="0"/>
    </xf>
    <xf numFmtId="10" fontId="28" fillId="12" borderId="53" xfId="1" applyNumberFormat="1" applyFont="1" applyFill="1" applyBorder="1" applyAlignment="1" applyProtection="1">
      <alignment horizontal="center" vertical="center" wrapText="1"/>
      <protection locked="0"/>
    </xf>
    <xf numFmtId="10" fontId="28" fillId="12" borderId="56" xfId="1" applyNumberFormat="1" applyFont="1" applyFill="1" applyBorder="1" applyAlignment="1" applyProtection="1">
      <alignment horizontal="center" vertical="center" wrapText="1"/>
      <protection locked="0"/>
    </xf>
    <xf numFmtId="0" fontId="28" fillId="12" borderId="28" xfId="0" applyFont="1" applyFill="1" applyBorder="1" applyAlignment="1" applyProtection="1">
      <alignment horizontal="center" vertical="center" wrapText="1"/>
      <protection locked="0"/>
    </xf>
    <xf numFmtId="0" fontId="42" fillId="12" borderId="72" xfId="0" applyFont="1" applyFill="1" applyBorder="1" applyAlignment="1" applyProtection="1">
      <alignment horizontal="center" vertical="center" wrapText="1"/>
      <protection locked="0"/>
    </xf>
    <xf numFmtId="0" fontId="42" fillId="12" borderId="73" xfId="0" applyFont="1" applyFill="1" applyBorder="1" applyAlignment="1" applyProtection="1">
      <alignment horizontal="center" vertical="center" wrapText="1"/>
      <protection locked="0"/>
    </xf>
    <xf numFmtId="0" fontId="42" fillId="12" borderId="24" xfId="0" applyFont="1" applyFill="1" applyBorder="1" applyAlignment="1" applyProtection="1">
      <alignment horizontal="center" vertical="center" wrapText="1"/>
      <protection locked="0"/>
    </xf>
    <xf numFmtId="0" fontId="42" fillId="12" borderId="1" xfId="0" applyFont="1" applyFill="1" applyBorder="1" applyAlignment="1" applyProtection="1">
      <alignment horizontal="center" vertical="center" wrapText="1"/>
      <protection locked="0"/>
    </xf>
    <xf numFmtId="0" fontId="42" fillId="12" borderId="9" xfId="0" applyFont="1" applyFill="1" applyBorder="1" applyAlignment="1" applyProtection="1">
      <alignment horizontal="center" vertical="center" wrapText="1"/>
      <protection locked="0"/>
    </xf>
    <xf numFmtId="0" fontId="42" fillId="12" borderId="16" xfId="0" applyFont="1" applyFill="1" applyBorder="1" applyAlignment="1" applyProtection="1">
      <alignment horizontal="center" vertical="center" wrapText="1"/>
      <protection locked="0"/>
    </xf>
    <xf numFmtId="0" fontId="42" fillId="12" borderId="65" xfId="0" applyFont="1" applyFill="1" applyBorder="1" applyAlignment="1" applyProtection="1">
      <alignment horizontal="center" vertical="center" wrapText="1"/>
      <protection locked="0"/>
    </xf>
    <xf numFmtId="0" fontId="42" fillId="12" borderId="14" xfId="0" applyFont="1" applyFill="1" applyBorder="1" applyAlignment="1" applyProtection="1">
      <alignment horizontal="center" vertical="center" wrapText="1"/>
      <protection locked="0"/>
    </xf>
    <xf numFmtId="0" fontId="42" fillId="12" borderId="30" xfId="0" applyFont="1" applyFill="1" applyBorder="1" applyAlignment="1" applyProtection="1">
      <alignment horizontal="center" vertical="center" wrapText="1"/>
      <protection locked="0"/>
    </xf>
    <xf numFmtId="3" fontId="42" fillId="12" borderId="17" xfId="0" applyNumberFormat="1" applyFont="1" applyFill="1" applyBorder="1" applyAlignment="1" applyProtection="1">
      <alignment horizontal="center" vertical="center" wrapText="1"/>
      <protection locked="0"/>
    </xf>
    <xf numFmtId="3" fontId="42" fillId="12" borderId="41" xfId="0" applyNumberFormat="1" applyFont="1" applyFill="1" applyBorder="1" applyAlignment="1" applyProtection="1">
      <alignment horizontal="center" vertical="center" wrapText="1"/>
      <protection locked="0"/>
    </xf>
    <xf numFmtId="3" fontId="42" fillId="12" borderId="69" xfId="0" applyNumberFormat="1" applyFont="1" applyFill="1" applyBorder="1" applyAlignment="1" applyProtection="1">
      <alignment horizontal="center" vertical="center" wrapText="1"/>
      <protection locked="0"/>
    </xf>
    <xf numFmtId="3" fontId="42" fillId="12" borderId="67" xfId="0" applyNumberFormat="1" applyFont="1" applyFill="1" applyBorder="1" applyAlignment="1" applyProtection="1">
      <alignment horizontal="center" vertical="center" wrapText="1"/>
      <protection locked="0"/>
    </xf>
    <xf numFmtId="0" fontId="42" fillId="12" borderId="34" xfId="0" applyNumberFormat="1" applyFont="1" applyFill="1" applyBorder="1" applyAlignment="1" applyProtection="1">
      <alignment horizontal="center" vertical="center" wrapText="1"/>
      <protection locked="0"/>
    </xf>
    <xf numFmtId="0" fontId="42" fillId="12" borderId="55" xfId="0" applyNumberFormat="1" applyFont="1" applyFill="1" applyBorder="1" applyAlignment="1" applyProtection="1">
      <alignment horizontal="center" vertical="center" wrapText="1"/>
      <protection locked="0"/>
    </xf>
    <xf numFmtId="3" fontId="42" fillId="12" borderId="66" xfId="0" applyNumberFormat="1" applyFont="1" applyFill="1" applyBorder="1" applyAlignment="1" applyProtection="1">
      <alignment horizontal="center" vertical="center" wrapText="1"/>
      <protection locked="0"/>
    </xf>
    <xf numFmtId="3" fontId="42" fillId="12" borderId="60" xfId="0" applyNumberFormat="1" applyFont="1" applyFill="1" applyBorder="1" applyAlignment="1" applyProtection="1">
      <alignment horizontal="center" vertical="center" wrapText="1"/>
      <protection locked="0"/>
    </xf>
    <xf numFmtId="3" fontId="42" fillId="12" borderId="34" xfId="0" applyNumberFormat="1" applyFont="1" applyFill="1" applyBorder="1" applyAlignment="1" applyProtection="1">
      <alignment horizontal="center" vertical="center" wrapText="1"/>
      <protection locked="0"/>
    </xf>
    <xf numFmtId="3" fontId="42" fillId="12" borderId="55" xfId="0" applyNumberFormat="1" applyFont="1" applyFill="1" applyBorder="1" applyAlignment="1" applyProtection="1">
      <alignment horizontal="center" vertical="center" wrapText="1"/>
      <protection locked="0"/>
    </xf>
    <xf numFmtId="10" fontId="28" fillId="12" borderId="1" xfId="1" applyNumberFormat="1" applyFont="1" applyFill="1" applyBorder="1" applyAlignment="1" applyProtection="1">
      <alignment horizontal="center" vertical="center" wrapText="1"/>
      <protection locked="0"/>
    </xf>
    <xf numFmtId="10" fontId="28" fillId="12" borderId="16" xfId="1" applyNumberFormat="1" applyFont="1" applyFill="1" applyBorder="1" applyAlignment="1" applyProtection="1">
      <alignment horizontal="center" vertical="center" wrapText="1"/>
      <protection locked="0"/>
    </xf>
    <xf numFmtId="0" fontId="2" fillId="10" borderId="43" xfId="0" applyFont="1" applyFill="1" applyBorder="1" applyAlignment="1">
      <alignment horizontal="center"/>
    </xf>
    <xf numFmtId="0" fontId="2" fillId="10" borderId="61" xfId="0" applyFont="1" applyFill="1" applyBorder="1" applyAlignment="1">
      <alignment horizontal="center"/>
    </xf>
    <xf numFmtId="0" fontId="2" fillId="10" borderId="44" xfId="0" applyFont="1" applyFill="1" applyBorder="1" applyAlignment="1">
      <alignment horizontal="center"/>
    </xf>
    <xf numFmtId="0" fontId="2" fillId="0" borderId="43" xfId="0" applyFont="1" applyBorder="1" applyAlignment="1">
      <alignment horizontal="center" vertical="center"/>
    </xf>
    <xf numFmtId="0" fontId="2" fillId="0" borderId="6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 textRotation="45"/>
    </xf>
    <xf numFmtId="0" fontId="6" fillId="0" borderId="9" xfId="0" applyFont="1" applyBorder="1" applyAlignment="1">
      <alignment horizontal="center" vertical="center" textRotation="45"/>
    </xf>
    <xf numFmtId="0" fontId="6" fillId="0" borderId="16" xfId="0" applyFont="1" applyBorder="1" applyAlignment="1">
      <alignment horizontal="center" vertical="center" textRotation="45"/>
    </xf>
    <xf numFmtId="0" fontId="10" fillId="0" borderId="73" xfId="0" applyFont="1" applyBorder="1" applyAlignment="1">
      <alignment horizontal="left" vertical="center"/>
    </xf>
    <xf numFmtId="0" fontId="10" fillId="0" borderId="14" xfId="0" applyFont="1" applyBorder="1" applyAlignment="1">
      <alignment horizontal="left" vertical="center"/>
    </xf>
    <xf numFmtId="0" fontId="3" fillId="0" borderId="27" xfId="0" applyFont="1" applyBorder="1" applyAlignment="1">
      <alignment horizontal="center"/>
    </xf>
    <xf numFmtId="0" fontId="3" fillId="0" borderId="31" xfId="0" applyFont="1" applyBorder="1" applyAlignment="1">
      <alignment horizontal="center"/>
    </xf>
    <xf numFmtId="0" fontId="3" fillId="0" borderId="55" xfId="0" applyFont="1" applyBorder="1" applyAlignment="1">
      <alignment horizontal="center"/>
    </xf>
    <xf numFmtId="0" fontId="10" fillId="0" borderId="53" xfId="0" applyFont="1" applyBorder="1" applyAlignment="1">
      <alignment horizontal="left" vertical="center"/>
    </xf>
    <xf numFmtId="0" fontId="10" fillId="0" borderId="52" xfId="0" applyFont="1" applyBorder="1" applyAlignment="1">
      <alignment horizontal="left" vertical="center"/>
    </xf>
    <xf numFmtId="0" fontId="2" fillId="0" borderId="43" xfId="0" applyFont="1" applyBorder="1" applyAlignment="1">
      <alignment horizontal="center"/>
    </xf>
    <xf numFmtId="0" fontId="2" fillId="0" borderId="61" xfId="0" applyFont="1" applyBorder="1" applyAlignment="1">
      <alignment horizontal="center"/>
    </xf>
    <xf numFmtId="0" fontId="2" fillId="0" borderId="44" xfId="0" applyFont="1" applyBorder="1" applyAlignment="1">
      <alignment horizontal="center"/>
    </xf>
    <xf numFmtId="0" fontId="2" fillId="0" borderId="1" xfId="0" applyFont="1" applyBorder="1" applyAlignment="1">
      <alignment horizontal="center" vertical="center" textRotation="45"/>
    </xf>
    <xf numFmtId="0" fontId="2" fillId="0" borderId="9" xfId="0" applyFont="1" applyBorder="1" applyAlignment="1">
      <alignment horizontal="center" vertical="center" textRotation="45"/>
    </xf>
    <xf numFmtId="0" fontId="14" fillId="0" borderId="27" xfId="0" applyFont="1" applyBorder="1" applyAlignment="1">
      <alignment horizontal="center" vertical="center"/>
    </xf>
    <xf numFmtId="0" fontId="14" fillId="0" borderId="31" xfId="0" applyFont="1" applyBorder="1" applyAlignment="1">
      <alignment horizontal="center" vertical="center"/>
    </xf>
    <xf numFmtId="0" fontId="14" fillId="0" borderId="39" xfId="0" applyFont="1" applyBorder="1" applyAlignment="1">
      <alignment horizontal="center" vertical="center"/>
    </xf>
    <xf numFmtId="0" fontId="14" fillId="0" borderId="55" xfId="0" applyFont="1" applyBorder="1" applyAlignment="1">
      <alignment horizontal="center" vertical="center"/>
    </xf>
    <xf numFmtId="0" fontId="12" fillId="0" borderId="43" xfId="0" applyFont="1" applyFill="1" applyBorder="1" applyAlignment="1">
      <alignment horizontal="center" vertical="center"/>
    </xf>
    <xf numFmtId="0" fontId="12" fillId="0" borderId="61" xfId="0" applyFont="1" applyFill="1" applyBorder="1" applyAlignment="1">
      <alignment horizontal="center" vertical="center"/>
    </xf>
    <xf numFmtId="0" fontId="2" fillId="0" borderId="49" xfId="0" applyFont="1" applyBorder="1" applyAlignment="1">
      <alignment horizontal="center" vertical="center"/>
    </xf>
    <xf numFmtId="0" fontId="2" fillId="0" borderId="44" xfId="0" applyFont="1" applyBorder="1" applyAlignment="1">
      <alignment horizontal="center" vertical="center"/>
    </xf>
    <xf numFmtId="0" fontId="2" fillId="0" borderId="16" xfId="0" applyFont="1" applyBorder="1" applyAlignment="1">
      <alignment horizontal="center" vertical="center" textRotation="45"/>
    </xf>
    <xf numFmtId="3" fontId="11" fillId="0" borderId="1" xfId="0" applyNumberFormat="1" applyFont="1" applyFill="1" applyBorder="1" applyAlignment="1">
      <alignment horizontal="center" vertical="center" wrapText="1"/>
    </xf>
    <xf numFmtId="3" fontId="11" fillId="0" borderId="9" xfId="0" applyNumberFormat="1" applyFont="1" applyFill="1" applyBorder="1" applyAlignment="1">
      <alignment horizontal="center" vertical="center" wrapText="1"/>
    </xf>
    <xf numFmtId="3" fontId="11" fillId="0" borderId="16" xfId="0" applyNumberFormat="1" applyFont="1" applyFill="1" applyBorder="1" applyAlignment="1">
      <alignment horizontal="center" vertical="center" wrapText="1"/>
    </xf>
    <xf numFmtId="0" fontId="10" fillId="0" borderId="57" xfId="0" applyFont="1" applyFill="1" applyBorder="1" applyAlignment="1">
      <alignment horizontal="left" vertical="center"/>
    </xf>
    <xf numFmtId="0" fontId="10" fillId="0" borderId="59" xfId="0" applyFont="1" applyFill="1" applyBorder="1" applyAlignment="1">
      <alignment horizontal="left" vertical="center"/>
    </xf>
    <xf numFmtId="0" fontId="0" fillId="9" borderId="1" xfId="0" applyFill="1" applyBorder="1" applyAlignment="1">
      <alignment horizontal="center" vertical="center"/>
    </xf>
    <xf numFmtId="0" fontId="0" fillId="9" borderId="9" xfId="0" applyFill="1" applyBorder="1" applyAlignment="1">
      <alignment horizontal="center" vertical="center"/>
    </xf>
    <xf numFmtId="0" fontId="7" fillId="3" borderId="72" xfId="0" applyFont="1" applyFill="1" applyBorder="1" applyAlignment="1">
      <alignment horizontal="center" vertical="center"/>
    </xf>
    <xf numFmtId="0" fontId="7" fillId="3" borderId="65" xfId="0" applyFont="1" applyFill="1" applyBorder="1" applyAlignment="1">
      <alignment horizontal="center" vertical="center"/>
    </xf>
    <xf numFmtId="0" fontId="7" fillId="3" borderId="66" xfId="0" applyFont="1" applyFill="1" applyBorder="1" applyAlignment="1">
      <alignment horizontal="center" vertical="center"/>
    </xf>
    <xf numFmtId="0" fontId="7" fillId="3" borderId="8" xfId="0" applyFont="1" applyFill="1" applyBorder="1" applyAlignment="1">
      <alignment horizontal="center" vertical="center" wrapText="1"/>
    </xf>
    <xf numFmtId="0" fontId="7" fillId="3" borderId="15" xfId="0" applyFont="1" applyFill="1" applyBorder="1" applyAlignment="1">
      <alignment horizontal="center" vertical="center" wrapText="1"/>
    </xf>
    <xf numFmtId="0" fontId="7" fillId="3" borderId="33" xfId="0" applyFont="1" applyFill="1" applyBorder="1" applyAlignment="1">
      <alignment horizontal="center" vertical="center" wrapText="1"/>
    </xf>
    <xf numFmtId="0" fontId="7" fillId="4" borderId="50" xfId="0" applyFont="1" applyFill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/>
    </xf>
    <xf numFmtId="0" fontId="7" fillId="4" borderId="27" xfId="0" applyFont="1" applyFill="1" applyBorder="1" applyAlignment="1">
      <alignment horizontal="center" vertical="center"/>
    </xf>
    <xf numFmtId="0" fontId="7" fillId="5" borderId="2" xfId="0" applyFont="1" applyFill="1" applyBorder="1" applyAlignment="1">
      <alignment horizontal="center" vertical="center"/>
    </xf>
    <xf numFmtId="0" fontId="7" fillId="5" borderId="7" xfId="0" applyFont="1" applyFill="1" applyBorder="1" applyAlignment="1">
      <alignment horizontal="center" vertical="center"/>
    </xf>
    <xf numFmtId="0" fontId="7" fillId="5" borderId="3" xfId="0" applyFont="1" applyFill="1" applyBorder="1" applyAlignment="1">
      <alignment horizontal="center" vertical="center"/>
    </xf>
    <xf numFmtId="0" fontId="7" fillId="6" borderId="10" xfId="0" applyFont="1" applyFill="1" applyBorder="1" applyAlignment="1">
      <alignment horizontal="center" vertical="center" wrapText="1"/>
    </xf>
    <xf numFmtId="0" fontId="7" fillId="6" borderId="21" xfId="0" applyFont="1" applyFill="1" applyBorder="1" applyAlignment="1">
      <alignment horizontal="center" vertical="center" wrapText="1"/>
    </xf>
    <xf numFmtId="0" fontId="7" fillId="6" borderId="13" xfId="0" applyFont="1" applyFill="1" applyBorder="1" applyAlignment="1">
      <alignment horizontal="center" vertical="center" wrapText="1"/>
    </xf>
    <xf numFmtId="0" fontId="7" fillId="6" borderId="11" xfId="0" applyFont="1" applyFill="1" applyBorder="1" applyAlignment="1">
      <alignment horizontal="center" vertical="center" wrapText="1"/>
    </xf>
    <xf numFmtId="0" fontId="7" fillId="6" borderId="12" xfId="0" applyFont="1" applyFill="1" applyBorder="1" applyAlignment="1">
      <alignment horizontal="center" vertical="center" wrapText="1"/>
    </xf>
    <xf numFmtId="0" fontId="7" fillId="6" borderId="18" xfId="0" applyFont="1" applyFill="1" applyBorder="1" applyAlignment="1">
      <alignment horizontal="center" vertical="center" wrapText="1"/>
    </xf>
    <xf numFmtId="0" fontId="7" fillId="7" borderId="10" xfId="0" applyFont="1" applyFill="1" applyBorder="1" applyAlignment="1">
      <alignment horizontal="center" vertical="center" wrapText="1"/>
    </xf>
    <xf numFmtId="0" fontId="7" fillId="7" borderId="17" xfId="0" applyFont="1" applyFill="1" applyBorder="1" applyAlignment="1">
      <alignment horizontal="center" vertical="center" wrapText="1"/>
    </xf>
    <xf numFmtId="0" fontId="7" fillId="7" borderId="13" xfId="0" applyFont="1" applyFill="1" applyBorder="1" applyAlignment="1">
      <alignment horizontal="center" vertical="center" wrapText="1"/>
    </xf>
    <xf numFmtId="0" fontId="7" fillId="7" borderId="40" xfId="0" applyFont="1" applyFill="1" applyBorder="1" applyAlignment="1">
      <alignment horizontal="center" vertical="center" wrapText="1"/>
    </xf>
    <xf numFmtId="0" fontId="7" fillId="7" borderId="11" xfId="0" applyFont="1" applyFill="1" applyBorder="1" applyAlignment="1">
      <alignment horizontal="center" vertical="center" wrapText="1"/>
    </xf>
    <xf numFmtId="0" fontId="7" fillId="7" borderId="34" xfId="0" applyFont="1" applyFill="1" applyBorder="1" applyAlignment="1">
      <alignment horizontal="center" vertical="center" wrapText="1"/>
    </xf>
    <xf numFmtId="0" fontId="15" fillId="2" borderId="0" xfId="2" applyFont="1" applyFill="1" applyAlignment="1">
      <alignment horizontal="center" vertical="center"/>
    </xf>
    <xf numFmtId="17" fontId="14" fillId="0" borderId="0" xfId="0" applyNumberFormat="1" applyFont="1" applyAlignment="1">
      <alignment horizontal="center" vertical="center"/>
    </xf>
    <xf numFmtId="0" fontId="14" fillId="0" borderId="0" xfId="0" applyFont="1" applyAlignment="1">
      <alignment horizontal="center" vertical="center"/>
    </xf>
  </cellXfs>
  <cellStyles count="4">
    <cellStyle name="Normal" xfId="0" builtinId="0"/>
    <cellStyle name="Normal 3" xfId="2" xr:uid="{00000000-0005-0000-0000-000001000000}"/>
    <cellStyle name="Normal 4" xfId="3" xr:uid="{00000000-0005-0000-0000-000002000000}"/>
    <cellStyle name="Percent" xfId="1" builtinId="5"/>
  </cellStyles>
  <dxfs count="32">
    <dxf>
      <font>
        <color theme="7" tint="0.79998168889431442"/>
      </font>
    </dxf>
    <dxf>
      <font>
        <color theme="7" tint="0.79998168889431442"/>
      </font>
    </dxf>
    <dxf>
      <font>
        <color theme="7" tint="0.79998168889431442"/>
      </font>
    </dxf>
    <dxf>
      <font>
        <color theme="7" tint="0.79998168889431442"/>
      </font>
    </dxf>
    <dxf>
      <font>
        <color theme="7" tint="0.79998168889431442"/>
      </font>
    </dxf>
    <dxf>
      <font>
        <color theme="7" tint="0.79998168889431442"/>
      </font>
    </dxf>
    <dxf>
      <font>
        <color theme="7" tint="0.79998168889431442"/>
      </font>
    </dxf>
    <dxf>
      <font>
        <color theme="7" tint="0.79998168889431442"/>
      </font>
    </dxf>
    <dxf>
      <font>
        <color theme="7" tint="0.79998168889431442"/>
      </font>
    </dxf>
    <dxf>
      <font>
        <color theme="7" tint="0.79998168889431442"/>
      </font>
    </dxf>
    <dxf>
      <font>
        <color theme="7" tint="0.79998168889431442"/>
      </font>
    </dxf>
    <dxf>
      <font>
        <color theme="7" tint="0.79998168889431442"/>
      </font>
    </dxf>
    <dxf>
      <font>
        <color theme="7" tint="0.79998168889431442"/>
      </font>
    </dxf>
    <dxf>
      <font>
        <color theme="7" tint="0.79998168889431442"/>
      </font>
    </dxf>
    <dxf>
      <font>
        <color theme="7" tint="0.79998168889431442"/>
      </font>
    </dxf>
    <dxf>
      <font>
        <color theme="7" tint="0.79998168889431442"/>
      </font>
    </dxf>
    <dxf>
      <font>
        <color theme="7" tint="0.79998168889431442"/>
      </font>
    </dxf>
    <dxf>
      <font>
        <color theme="7" tint="0.79998168889431442"/>
      </font>
    </dxf>
    <dxf>
      <font>
        <color theme="7" tint="0.79998168889431442"/>
      </font>
    </dxf>
    <dxf>
      <font>
        <color theme="7" tint="0.79998168889431442"/>
      </font>
    </dxf>
    <dxf>
      <font>
        <color theme="7" tint="0.79998168889431442"/>
      </font>
    </dxf>
    <dxf>
      <font>
        <color theme="7" tint="0.79998168889431442"/>
      </font>
    </dxf>
    <dxf>
      <font>
        <color theme="7" tint="0.79998168889431442"/>
      </font>
    </dxf>
    <dxf>
      <font>
        <color theme="7" tint="0.79998168889431442"/>
      </font>
    </dxf>
    <dxf>
      <font>
        <color theme="7" tint="0.79998168889431442"/>
      </font>
    </dxf>
    <dxf>
      <font>
        <color theme="7" tint="0.79998168889431442"/>
      </font>
    </dxf>
    <dxf>
      <font>
        <color theme="7" tint="0.79998168889431442"/>
      </font>
    </dxf>
    <dxf>
      <font>
        <color theme="7" tint="0.79998168889431442"/>
      </font>
    </dxf>
    <dxf>
      <font>
        <color theme="7" tint="0.79998168889431442"/>
      </font>
    </dxf>
    <dxf>
      <font>
        <color theme="7" tint="0.79998168889431442"/>
      </font>
    </dxf>
    <dxf>
      <font>
        <color theme="7" tint="0.79998168889431442"/>
      </font>
    </dxf>
    <dxf>
      <font>
        <color theme="7" tint="0.79998168889431442"/>
      </font>
    </dxf>
  </dxfs>
  <tableStyles count="0" defaultTableStyle="TableStyleMedium2" defaultPivotStyle="PivotStyleLight16"/>
  <colors>
    <mruColors>
      <color rgb="FF000000"/>
      <color rgb="FF0000CC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71434</xdr:colOff>
      <xdr:row>0</xdr:row>
      <xdr:rowOff>0</xdr:rowOff>
    </xdr:from>
    <xdr:to>
      <xdr:col>11</xdr:col>
      <xdr:colOff>1112472</xdr:colOff>
      <xdr:row>5</xdr:row>
      <xdr:rowOff>487362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4" y="103188"/>
          <a:ext cx="20426366" cy="1306512"/>
        </a:xfrm>
        <a:prstGeom prst="rect">
          <a:avLst/>
        </a:prstGeom>
        <a:ln w="88900" cap="sq" cmpd="thickThin">
          <a:noFill/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0</xdr:col>
      <xdr:colOff>147634</xdr:colOff>
      <xdr:row>0</xdr:row>
      <xdr:rowOff>0</xdr:rowOff>
    </xdr:from>
    <xdr:ext cx="19759616" cy="1581150"/>
    <xdr:pic>
      <xdr:nvPicPr>
        <xdr:cNvPr id="4" name="Imag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4" y="0"/>
          <a:ext cx="19759616" cy="1581150"/>
        </a:xfrm>
        <a:prstGeom prst="rect">
          <a:avLst/>
        </a:prstGeom>
        <a:ln w="88900" cap="sq" cmpd="thickThin">
          <a:noFill/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71435</xdr:colOff>
      <xdr:row>0</xdr:row>
      <xdr:rowOff>103188</xdr:rowOff>
    </xdr:from>
    <xdr:to>
      <xdr:col>9</xdr:col>
      <xdr:colOff>523240</xdr:colOff>
      <xdr:row>6</xdr:row>
      <xdr:rowOff>381000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5" y="103188"/>
          <a:ext cx="20578765" cy="1344612"/>
        </a:xfrm>
        <a:prstGeom prst="rect">
          <a:avLst/>
        </a:prstGeom>
        <a:ln w="88900" cap="sq" cmpd="thickThin">
          <a:noFill/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71434</xdr:colOff>
      <xdr:row>0</xdr:row>
      <xdr:rowOff>103188</xdr:rowOff>
    </xdr:from>
    <xdr:to>
      <xdr:col>18</xdr:col>
      <xdr:colOff>400050</xdr:colOff>
      <xdr:row>6</xdr:row>
      <xdr:rowOff>381000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4" y="103188"/>
          <a:ext cx="26690006" cy="1375092"/>
        </a:xfrm>
        <a:prstGeom prst="rect">
          <a:avLst/>
        </a:prstGeom>
        <a:ln w="88900" cap="sq" cmpd="thickThin">
          <a:noFill/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300034</xdr:colOff>
      <xdr:row>0</xdr:row>
      <xdr:rowOff>122238</xdr:rowOff>
    </xdr:from>
    <xdr:to>
      <xdr:col>8</xdr:col>
      <xdr:colOff>1885950</xdr:colOff>
      <xdr:row>6</xdr:row>
      <xdr:rowOff>133350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034" y="122238"/>
          <a:ext cx="18407066" cy="1268412"/>
        </a:xfrm>
        <a:prstGeom prst="rect">
          <a:avLst/>
        </a:prstGeom>
        <a:ln w="88900" cap="sq" cmpd="thickThin">
          <a:noFill/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19844</xdr:colOff>
      <xdr:row>6</xdr:row>
      <xdr:rowOff>277812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23931563" cy="1587500"/>
        </a:xfrm>
        <a:prstGeom prst="rect">
          <a:avLst/>
        </a:prstGeom>
        <a:ln w="88900" cap="sq" cmpd="thickThin">
          <a:noFill/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33334</xdr:colOff>
      <xdr:row>0</xdr:row>
      <xdr:rowOff>46038</xdr:rowOff>
    </xdr:from>
    <xdr:to>
      <xdr:col>19</xdr:col>
      <xdr:colOff>838200</xdr:colOff>
      <xdr:row>6</xdr:row>
      <xdr:rowOff>323850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334" y="46038"/>
          <a:ext cx="28122566" cy="1535112"/>
        </a:xfrm>
        <a:prstGeom prst="rect">
          <a:avLst/>
        </a:prstGeom>
        <a:ln w="88900" cap="sq" cmpd="thickThin">
          <a:noFill/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71434</xdr:colOff>
      <xdr:row>0</xdr:row>
      <xdr:rowOff>103188</xdr:rowOff>
    </xdr:from>
    <xdr:to>
      <xdr:col>19</xdr:col>
      <xdr:colOff>1466850</xdr:colOff>
      <xdr:row>6</xdr:row>
      <xdr:rowOff>381000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4" y="103188"/>
          <a:ext cx="28827416" cy="1329372"/>
        </a:xfrm>
        <a:prstGeom prst="rect">
          <a:avLst/>
        </a:prstGeom>
        <a:ln w="88900" cap="sq" cmpd="thickThin">
          <a:noFill/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190499</xdr:colOff>
      <xdr:row>0</xdr:row>
      <xdr:rowOff>0</xdr:rowOff>
    </xdr:from>
    <xdr:to>
      <xdr:col>16</xdr:col>
      <xdr:colOff>504825</xdr:colOff>
      <xdr:row>9</xdr:row>
      <xdr:rowOff>180975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499" y="0"/>
          <a:ext cx="12696826" cy="1895475"/>
        </a:xfrm>
        <a:prstGeom prst="rect">
          <a:avLst/>
        </a:prstGeom>
        <a:ln w="88900" cap="sq" cmpd="thickThin">
          <a:noFill/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1" Type="http://schemas.openxmlformats.org/officeDocument/2006/relationships/externalLinkPath" Target="file:///C:\Users\user\Desktop\Activit&#233;%20Journali&#232;re.xlsx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1" Type="http://schemas.openxmlformats.org/officeDocument/2006/relationships/externalLinkPath" Target="file:///C:\Users\user\Desktop\Activit&#233;%20Journali&#232;re.xlsx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C00000"/>
  </sheetPr>
  <dimension ref="A6:O2324"/>
  <sheetViews>
    <sheetView view="pageBreakPreview" zoomScale="51" zoomScaleNormal="30" zoomScaleSheetLayoutView="51" workbookViewId="0">
      <selection activeCell="H2266" sqref="H2266"/>
    </sheetView>
  </sheetViews>
  <sheetFormatPr defaultColWidth="9.109375" defaultRowHeight="13.8" x14ac:dyDescent="0.3"/>
  <cols>
    <col min="1" max="1" width="10.109375" style="229" customWidth="1"/>
    <col min="2" max="2" width="18.6640625" style="266" customWidth="1"/>
    <col min="3" max="3" width="85.5546875" style="266" customWidth="1"/>
    <col min="4" max="4" width="34.6640625" style="229" customWidth="1"/>
    <col min="5" max="5" width="21.88671875" style="222" customWidth="1"/>
    <col min="6" max="6" width="22" style="222" customWidth="1"/>
    <col min="7" max="7" width="19.88671875" style="223" customWidth="1"/>
    <col min="8" max="8" width="16.109375" style="222" customWidth="1"/>
    <col min="9" max="9" width="15.6640625" style="222" customWidth="1"/>
    <col min="10" max="10" width="16.109375" style="224" customWidth="1"/>
    <col min="11" max="11" width="19.88671875" style="223" customWidth="1"/>
    <col min="12" max="12" width="23.88671875" style="222" customWidth="1"/>
    <col min="13" max="13" width="15.6640625" style="222" customWidth="1"/>
    <col min="14" max="14" width="17" style="224" customWidth="1"/>
    <col min="15" max="15" width="16.44140625" style="224" customWidth="1"/>
    <col min="16" max="16384" width="9.109375" style="229"/>
  </cols>
  <sheetData>
    <row r="6" spans="1:15" ht="67.2" customHeight="1" x14ac:dyDescent="0.3">
      <c r="A6" s="220" t="s">
        <v>0</v>
      </c>
    </row>
    <row r="8" spans="1:15" ht="81" customHeight="1" x14ac:dyDescent="0.3">
      <c r="A8" s="1088" t="s">
        <v>487</v>
      </c>
      <c r="B8" s="1089"/>
      <c r="C8" s="1089"/>
      <c r="D8" s="1089"/>
      <c r="E8" s="1089"/>
      <c r="F8" s="1089"/>
      <c r="G8" s="1089"/>
      <c r="H8" s="1089"/>
      <c r="I8" s="1089"/>
      <c r="J8" s="1089"/>
      <c r="K8" s="1089"/>
      <c r="L8" s="1089"/>
      <c r="M8" s="1089"/>
      <c r="N8" s="1089"/>
      <c r="O8" s="1089"/>
    </row>
    <row r="9" spans="1:15" ht="24.6" customHeight="1" thickBot="1" x14ac:dyDescent="0.35">
      <c r="A9" s="230"/>
      <c r="B9" s="230"/>
      <c r="C9" s="230"/>
      <c r="D9" s="230"/>
      <c r="E9" s="232"/>
      <c r="F9" s="232"/>
      <c r="G9" s="455"/>
      <c r="H9" s="456"/>
      <c r="I9" s="456"/>
      <c r="J9" s="456"/>
      <c r="K9" s="232"/>
      <c r="L9" s="232"/>
      <c r="M9" s="232"/>
      <c r="N9" s="234"/>
      <c r="O9" s="234"/>
    </row>
    <row r="10" spans="1:15" ht="23.4" x14ac:dyDescent="0.3">
      <c r="A10" s="1057" t="s">
        <v>1</v>
      </c>
      <c r="B10" s="1060" t="s">
        <v>2</v>
      </c>
      <c r="C10" s="1063" t="s">
        <v>396</v>
      </c>
      <c r="D10" s="1063" t="s">
        <v>397</v>
      </c>
      <c r="E10" s="1066" t="s">
        <v>4</v>
      </c>
      <c r="F10" s="1067"/>
      <c r="G10" s="1067"/>
      <c r="H10" s="1067"/>
      <c r="I10" s="1067"/>
      <c r="J10" s="1067"/>
      <c r="K10" s="1067"/>
      <c r="L10" s="1067"/>
      <c r="M10" s="1067"/>
      <c r="N10" s="1067"/>
      <c r="O10" s="1068"/>
    </row>
    <row r="11" spans="1:15" ht="23.4" x14ac:dyDescent="0.3">
      <c r="A11" s="1058"/>
      <c r="B11" s="1061"/>
      <c r="C11" s="1064"/>
      <c r="D11" s="1064"/>
      <c r="E11" s="1069" t="s">
        <v>7</v>
      </c>
      <c r="F11" s="1071" t="s">
        <v>108</v>
      </c>
      <c r="G11" s="1073" t="s">
        <v>474</v>
      </c>
      <c r="H11" s="1074"/>
      <c r="I11" s="1074"/>
      <c r="J11" s="1075"/>
      <c r="K11" s="1076" t="s">
        <v>398</v>
      </c>
      <c r="L11" s="1077"/>
      <c r="M11" s="1078"/>
      <c r="N11" s="1079" t="s">
        <v>399</v>
      </c>
      <c r="O11" s="1081" t="s">
        <v>164</v>
      </c>
    </row>
    <row r="12" spans="1:15" ht="41.4" thickBot="1" x14ac:dyDescent="0.35">
      <c r="A12" s="1059"/>
      <c r="B12" s="1062"/>
      <c r="C12" s="1065"/>
      <c r="D12" s="1065"/>
      <c r="E12" s="1070"/>
      <c r="F12" s="1072"/>
      <c r="G12" s="452" t="s">
        <v>13</v>
      </c>
      <c r="H12" s="453" t="s">
        <v>14</v>
      </c>
      <c r="I12" s="453" t="s">
        <v>15</v>
      </c>
      <c r="J12" s="454" t="s">
        <v>166</v>
      </c>
      <c r="K12" s="680" t="s">
        <v>13</v>
      </c>
      <c r="L12" s="678" t="s">
        <v>14</v>
      </c>
      <c r="M12" s="679" t="s">
        <v>15</v>
      </c>
      <c r="N12" s="1080"/>
      <c r="O12" s="1082"/>
    </row>
    <row r="13" spans="1:15" ht="24" thickBot="1" x14ac:dyDescent="0.35">
      <c r="A13" s="268" t="s">
        <v>103</v>
      </c>
      <c r="B13" s="1043" t="s">
        <v>16</v>
      </c>
      <c r="C13" s="269" t="s">
        <v>368</v>
      </c>
      <c r="D13" s="269" t="s">
        <v>369</v>
      </c>
      <c r="E13" s="270"/>
      <c r="F13" s="271"/>
      <c r="G13" s="332">
        <f>+H13+I13</f>
        <v>0</v>
      </c>
      <c r="H13" s="272"/>
      <c r="I13" s="272"/>
      <c r="J13" s="351"/>
      <c r="K13" s="457">
        <f>+L13+M13</f>
        <v>0</v>
      </c>
      <c r="L13" s="688">
        <f>+H13</f>
        <v>0</v>
      </c>
      <c r="M13" s="688">
        <f>+I13</f>
        <v>0</v>
      </c>
      <c r="N13" s="336" t="str">
        <f>IFERROR(K13/E13,"-")</f>
        <v>-</v>
      </c>
      <c r="O13" s="343" t="str">
        <f t="shared" ref="O13:O14" si="0">IFERROR(M13/K13,"-")</f>
        <v>-</v>
      </c>
    </row>
    <row r="14" spans="1:15" ht="23.4" x14ac:dyDescent="0.3">
      <c r="A14" s="274" t="s">
        <v>103</v>
      </c>
      <c r="B14" s="1044"/>
      <c r="C14" s="275" t="s">
        <v>376</v>
      </c>
      <c r="D14" s="275" t="s">
        <v>375</v>
      </c>
      <c r="E14" s="276"/>
      <c r="F14" s="277"/>
      <c r="G14" s="333">
        <f t="shared" ref="G14:G16" si="1">+H14+I14</f>
        <v>0</v>
      </c>
      <c r="H14" s="278"/>
      <c r="I14" s="278"/>
      <c r="J14" s="352" t="str">
        <f>IFERROR(G14/#REF!,"-")</f>
        <v>-</v>
      </c>
      <c r="K14" s="690">
        <f t="shared" ref="K14:K16" si="2">+L14+M14</f>
        <v>0</v>
      </c>
      <c r="L14" s="527">
        <f t="shared" ref="L14:L16" si="3">+H14</f>
        <v>0</v>
      </c>
      <c r="M14" s="459">
        <f t="shared" ref="M14:M16" si="4">+I14</f>
        <v>0</v>
      </c>
      <c r="N14" s="337" t="str">
        <f t="shared" ref="N14:N16" si="5">IFERROR(K14/E14,"-")</f>
        <v>-</v>
      </c>
      <c r="O14" s="265" t="str">
        <f t="shared" si="0"/>
        <v>-</v>
      </c>
    </row>
    <row r="15" spans="1:15" s="723" customFormat="1" ht="23.4" x14ac:dyDescent="0.3">
      <c r="A15" s="274" t="s">
        <v>103</v>
      </c>
      <c r="B15" s="1044"/>
      <c r="C15" s="573" t="s">
        <v>431</v>
      </c>
      <c r="D15" s="573" t="s">
        <v>366</v>
      </c>
      <c r="E15" s="720"/>
      <c r="F15" s="721"/>
      <c r="G15" s="333">
        <f t="shared" si="1"/>
        <v>0</v>
      </c>
      <c r="H15" s="722"/>
      <c r="I15" s="722"/>
      <c r="J15" s="352" t="str">
        <f>IFERROR(G15/#REF!,"-")</f>
        <v>-</v>
      </c>
      <c r="K15" s="690">
        <f t="shared" si="2"/>
        <v>0</v>
      </c>
      <c r="L15" s="720">
        <f t="shared" si="3"/>
        <v>0</v>
      </c>
      <c r="M15" s="529">
        <f t="shared" si="4"/>
        <v>0</v>
      </c>
      <c r="N15" s="337" t="str">
        <f t="shared" si="5"/>
        <v>-</v>
      </c>
      <c r="O15" s="265" t="str">
        <f>IFERROR(M15/K15,"-")</f>
        <v>-</v>
      </c>
    </row>
    <row r="16" spans="1:15" ht="24" thickBot="1" x14ac:dyDescent="0.35">
      <c r="A16" s="274" t="s">
        <v>103</v>
      </c>
      <c r="B16" s="1045"/>
      <c r="C16" s="279" t="s">
        <v>428</v>
      </c>
      <c r="D16" s="279" t="s">
        <v>374</v>
      </c>
      <c r="E16" s="280"/>
      <c r="F16" s="281"/>
      <c r="G16" s="334">
        <f t="shared" si="1"/>
        <v>0</v>
      </c>
      <c r="H16" s="272"/>
      <c r="I16" s="272"/>
      <c r="J16" s="353" t="str">
        <f>IFERROR(G16/#REF!,"-")</f>
        <v>-</v>
      </c>
      <c r="K16" s="691">
        <f t="shared" si="2"/>
        <v>0</v>
      </c>
      <c r="L16" s="530">
        <f t="shared" si="3"/>
        <v>0</v>
      </c>
      <c r="M16" s="462">
        <f t="shared" si="4"/>
        <v>0</v>
      </c>
      <c r="N16" s="338" t="str">
        <f t="shared" si="5"/>
        <v>-</v>
      </c>
      <c r="O16" s="344" t="str">
        <f t="shared" ref="O16:O34" si="6">IFERROR(M16/K16,"-")</f>
        <v>-</v>
      </c>
    </row>
    <row r="17" spans="1:15" ht="24" thickBot="1" x14ac:dyDescent="0.35">
      <c r="A17" s="274" t="s">
        <v>103</v>
      </c>
      <c r="B17" s="1025" t="s">
        <v>44</v>
      </c>
      <c r="C17" s="1026"/>
      <c r="D17" s="1027"/>
      <c r="E17" s="320">
        <f>SUM(E13:E16)</f>
        <v>0</v>
      </c>
      <c r="F17" s="285">
        <v>15000</v>
      </c>
      <c r="G17" s="320">
        <f>SUM(G13:G16)</f>
        <v>0</v>
      </c>
      <c r="H17" s="321">
        <f t="shared" ref="H17:I17" si="7">SUM(H13:H16)</f>
        <v>0</v>
      </c>
      <c r="I17" s="321">
        <f t="shared" si="7"/>
        <v>0</v>
      </c>
      <c r="J17" s="345">
        <f>+G17/F17</f>
        <v>0</v>
      </c>
      <c r="K17" s="320">
        <f t="shared" ref="K17" si="8">SUM(K13:K16)</f>
        <v>0</v>
      </c>
      <c r="L17" s="692">
        <f>SUM(L13:L16)</f>
        <v>0</v>
      </c>
      <c r="M17" s="693">
        <f>SUM(M13:M16)</f>
        <v>0</v>
      </c>
      <c r="N17" s="339" t="str">
        <f>IFERROR(K17/E17,"-")</f>
        <v>-</v>
      </c>
      <c r="O17" s="345" t="str">
        <f t="shared" si="6"/>
        <v>-</v>
      </c>
    </row>
    <row r="18" spans="1:15" ht="23.4" x14ac:dyDescent="0.3">
      <c r="A18" s="274" t="s">
        <v>103</v>
      </c>
      <c r="B18" s="1043" t="s">
        <v>17</v>
      </c>
      <c r="C18" s="269" t="s">
        <v>294</v>
      </c>
      <c r="D18" s="269"/>
      <c r="E18" s="270"/>
      <c r="F18" s="271"/>
      <c r="G18" s="332">
        <f t="shared" ref="G18:G24" si="9">+H18+I18</f>
        <v>0</v>
      </c>
      <c r="H18" s="272"/>
      <c r="I18" s="272"/>
      <c r="J18" s="351" t="str">
        <f>IFERROR(G18/#REF!,"-")</f>
        <v>-</v>
      </c>
      <c r="K18" s="694">
        <f t="shared" ref="K18:K24" si="10">+L18+M18</f>
        <v>0</v>
      </c>
      <c r="L18" s="527">
        <f t="shared" ref="L18:L24" si="11">+H18</f>
        <v>0</v>
      </c>
      <c r="M18" s="459">
        <f t="shared" ref="M18:M24" si="12">+I18</f>
        <v>0</v>
      </c>
      <c r="N18" s="336" t="str">
        <f t="shared" ref="N18:N24" si="13">IFERROR(K18/E18,"-")</f>
        <v>-</v>
      </c>
      <c r="O18" s="346" t="str">
        <f t="shared" si="6"/>
        <v>-</v>
      </c>
    </row>
    <row r="19" spans="1:15" ht="23.4" x14ac:dyDescent="0.3">
      <c r="A19" s="274" t="s">
        <v>103</v>
      </c>
      <c r="B19" s="1044"/>
      <c r="C19" s="275" t="s">
        <v>344</v>
      </c>
      <c r="D19" s="275" t="s">
        <v>232</v>
      </c>
      <c r="E19" s="276"/>
      <c r="F19" s="277"/>
      <c r="G19" s="333">
        <f t="shared" si="9"/>
        <v>0</v>
      </c>
      <c r="H19" s="278"/>
      <c r="I19" s="278"/>
      <c r="J19" s="352" t="str">
        <f>IFERROR(G19/#REF!,"-")</f>
        <v>-</v>
      </c>
      <c r="K19" s="690">
        <f t="shared" si="10"/>
        <v>0</v>
      </c>
      <c r="L19" s="276">
        <f t="shared" si="11"/>
        <v>0</v>
      </c>
      <c r="M19" s="436">
        <f t="shared" si="12"/>
        <v>0</v>
      </c>
      <c r="N19" s="337" t="str">
        <f t="shared" si="13"/>
        <v>-</v>
      </c>
      <c r="O19" s="263" t="str">
        <f t="shared" si="6"/>
        <v>-</v>
      </c>
    </row>
    <row r="20" spans="1:15" ht="23.4" x14ac:dyDescent="0.3">
      <c r="A20" s="274" t="s">
        <v>103</v>
      </c>
      <c r="B20" s="1044"/>
      <c r="C20" s="275" t="s">
        <v>367</v>
      </c>
      <c r="D20" s="275" t="s">
        <v>187</v>
      </c>
      <c r="E20" s="276"/>
      <c r="F20" s="277"/>
      <c r="G20" s="333">
        <f t="shared" si="9"/>
        <v>6352</v>
      </c>
      <c r="H20" s="278">
        <v>6120</v>
      </c>
      <c r="I20" s="278">
        <v>232</v>
      </c>
      <c r="J20" s="352" t="str">
        <f>IFERROR(G20/#REF!,"-")</f>
        <v>-</v>
      </c>
      <c r="K20" s="690">
        <f t="shared" si="10"/>
        <v>6352</v>
      </c>
      <c r="L20" s="276">
        <f t="shared" si="11"/>
        <v>6120</v>
      </c>
      <c r="M20" s="436">
        <f t="shared" si="12"/>
        <v>232</v>
      </c>
      <c r="N20" s="337" t="str">
        <f t="shared" si="13"/>
        <v>-</v>
      </c>
      <c r="O20" s="263">
        <f t="shared" si="6"/>
        <v>3.6523929471032744E-2</v>
      </c>
    </row>
    <row r="21" spans="1:15" ht="23.4" x14ac:dyDescent="0.3">
      <c r="A21" s="274" t="s">
        <v>103</v>
      </c>
      <c r="B21" s="1044"/>
      <c r="C21" s="275" t="s">
        <v>293</v>
      </c>
      <c r="D21" s="275" t="s">
        <v>188</v>
      </c>
      <c r="E21" s="276"/>
      <c r="F21" s="277"/>
      <c r="G21" s="333">
        <f t="shared" si="9"/>
        <v>0</v>
      </c>
      <c r="H21" s="278"/>
      <c r="I21" s="278"/>
      <c r="J21" s="352" t="str">
        <f>IFERROR(G21/#REF!,"-")</f>
        <v>-</v>
      </c>
      <c r="K21" s="690">
        <f t="shared" si="10"/>
        <v>0</v>
      </c>
      <c r="L21" s="276">
        <f t="shared" si="11"/>
        <v>0</v>
      </c>
      <c r="M21" s="436">
        <f t="shared" si="12"/>
        <v>0</v>
      </c>
      <c r="N21" s="337" t="str">
        <f t="shared" si="13"/>
        <v>-</v>
      </c>
      <c r="O21" s="263" t="str">
        <f t="shared" si="6"/>
        <v>-</v>
      </c>
    </row>
    <row r="22" spans="1:15" ht="23.4" x14ac:dyDescent="0.3">
      <c r="A22" s="274" t="s">
        <v>103</v>
      </c>
      <c r="B22" s="1044"/>
      <c r="C22" s="275" t="s">
        <v>323</v>
      </c>
      <c r="D22" s="275" t="s">
        <v>318</v>
      </c>
      <c r="E22" s="276"/>
      <c r="F22" s="277"/>
      <c r="G22" s="333">
        <f t="shared" si="9"/>
        <v>0</v>
      </c>
      <c r="H22" s="278"/>
      <c r="I22" s="278"/>
      <c r="J22" s="352" t="str">
        <f>IFERROR(G22/#REF!,"-")</f>
        <v>-</v>
      </c>
      <c r="K22" s="690">
        <f t="shared" si="10"/>
        <v>0</v>
      </c>
      <c r="L22" s="276">
        <f t="shared" si="11"/>
        <v>0</v>
      </c>
      <c r="M22" s="436">
        <f t="shared" si="12"/>
        <v>0</v>
      </c>
      <c r="N22" s="337" t="str">
        <f t="shared" si="13"/>
        <v>-</v>
      </c>
      <c r="O22" s="263" t="str">
        <f t="shared" si="6"/>
        <v>-</v>
      </c>
    </row>
    <row r="23" spans="1:15" ht="23.4" x14ac:dyDescent="0.3">
      <c r="A23" s="274" t="s">
        <v>103</v>
      </c>
      <c r="B23" s="1044"/>
      <c r="C23" s="275" t="s">
        <v>352</v>
      </c>
      <c r="D23" s="275" t="s">
        <v>189</v>
      </c>
      <c r="E23" s="276"/>
      <c r="F23" s="277"/>
      <c r="G23" s="333">
        <f t="shared" si="9"/>
        <v>0</v>
      </c>
      <c r="H23" s="278"/>
      <c r="I23" s="278"/>
      <c r="J23" s="352" t="str">
        <f>IFERROR(G23/#REF!,"-")</f>
        <v>-</v>
      </c>
      <c r="K23" s="690">
        <f t="shared" si="10"/>
        <v>0</v>
      </c>
      <c r="L23" s="276">
        <f t="shared" si="11"/>
        <v>0</v>
      </c>
      <c r="M23" s="436">
        <f t="shared" si="12"/>
        <v>0</v>
      </c>
      <c r="N23" s="337" t="str">
        <f t="shared" si="13"/>
        <v>-</v>
      </c>
      <c r="O23" s="263" t="str">
        <f t="shared" si="6"/>
        <v>-</v>
      </c>
    </row>
    <row r="24" spans="1:15" ht="24" thickBot="1" x14ac:dyDescent="0.35">
      <c r="A24" s="274" t="s">
        <v>103</v>
      </c>
      <c r="B24" s="1045"/>
      <c r="C24" s="279" t="s">
        <v>341</v>
      </c>
      <c r="D24" s="279" t="s">
        <v>232</v>
      </c>
      <c r="E24" s="280"/>
      <c r="F24" s="281"/>
      <c r="G24" s="334">
        <f t="shared" si="9"/>
        <v>0</v>
      </c>
      <c r="H24" s="282"/>
      <c r="I24" s="282"/>
      <c r="J24" s="353" t="str">
        <f>IFERROR(G24/#REF!,"-")</f>
        <v>-</v>
      </c>
      <c r="K24" s="691">
        <f t="shared" si="10"/>
        <v>0</v>
      </c>
      <c r="L24" s="530">
        <f t="shared" si="11"/>
        <v>0</v>
      </c>
      <c r="M24" s="462">
        <f t="shared" si="12"/>
        <v>0</v>
      </c>
      <c r="N24" s="338" t="str">
        <f t="shared" si="13"/>
        <v>-</v>
      </c>
      <c r="O24" s="347" t="str">
        <f t="shared" si="6"/>
        <v>-</v>
      </c>
    </row>
    <row r="25" spans="1:15" ht="24" thickBot="1" x14ac:dyDescent="0.35">
      <c r="A25" s="274" t="s">
        <v>103</v>
      </c>
      <c r="B25" s="1025" t="s">
        <v>45</v>
      </c>
      <c r="C25" s="1026"/>
      <c r="D25" s="1027"/>
      <c r="E25" s="320">
        <f>SUM(E18:E24)</f>
        <v>0</v>
      </c>
      <c r="F25" s="285">
        <v>100000</v>
      </c>
      <c r="G25" s="320">
        <f>SUM(G18:G24)</f>
        <v>6352</v>
      </c>
      <c r="H25" s="321">
        <f t="shared" ref="H25:I25" si="14">SUM(H18:H24)</f>
        <v>6120</v>
      </c>
      <c r="I25" s="321">
        <f t="shared" si="14"/>
        <v>232</v>
      </c>
      <c r="J25" s="345">
        <f>+G25/F25</f>
        <v>6.3519999999999993E-2</v>
      </c>
      <c r="K25" s="320">
        <f>SUM(K18:K24)</f>
        <v>6352</v>
      </c>
      <c r="L25" s="519">
        <f>SUM(L18:L24)</f>
        <v>6120</v>
      </c>
      <c r="M25" s="689">
        <f t="shared" ref="M25" si="15">SUM(M18:M24)</f>
        <v>232</v>
      </c>
      <c r="N25" s="339" t="str">
        <f>IFERROR(K25/E25,"-")</f>
        <v>-</v>
      </c>
      <c r="O25" s="345">
        <f t="shared" si="6"/>
        <v>3.6523929471032744E-2</v>
      </c>
    </row>
    <row r="26" spans="1:15" ht="23.4" x14ac:dyDescent="0.3">
      <c r="A26" s="274" t="s">
        <v>103</v>
      </c>
      <c r="B26" s="1043" t="s">
        <v>18</v>
      </c>
      <c r="C26" s="269" t="s">
        <v>312</v>
      </c>
      <c r="D26" s="269" t="s">
        <v>92</v>
      </c>
      <c r="E26" s="270"/>
      <c r="F26" s="271"/>
      <c r="G26" s="332">
        <f t="shared" ref="G26:G32" si="16">+H26+I26</f>
        <v>0</v>
      </c>
      <c r="H26" s="272"/>
      <c r="I26" s="272"/>
      <c r="J26" s="351" t="str">
        <f>IFERROR(G26/#REF!,"-")</f>
        <v>-</v>
      </c>
      <c r="K26" s="332">
        <f t="shared" ref="K26:K32" si="17">+L26+M26</f>
        <v>0</v>
      </c>
      <c r="L26" s="272">
        <f t="shared" ref="L26:L32" si="18">+H26</f>
        <v>0</v>
      </c>
      <c r="M26" s="273">
        <f t="shared" ref="M26:M32" si="19">+I26</f>
        <v>0</v>
      </c>
      <c r="N26" s="336" t="str">
        <f t="shared" ref="N26:N33" si="20">IFERROR(K26/E26,"-")</f>
        <v>-</v>
      </c>
      <c r="O26" s="346" t="str">
        <f t="shared" si="6"/>
        <v>-</v>
      </c>
    </row>
    <row r="27" spans="1:15" ht="23.4" x14ac:dyDescent="0.3">
      <c r="A27" s="274" t="s">
        <v>103</v>
      </c>
      <c r="B27" s="1044"/>
      <c r="C27" s="275" t="s">
        <v>233</v>
      </c>
      <c r="D27" s="275" t="s">
        <v>234</v>
      </c>
      <c r="E27" s="276"/>
      <c r="F27" s="277"/>
      <c r="G27" s="333">
        <f t="shared" si="16"/>
        <v>0</v>
      </c>
      <c r="H27" s="278"/>
      <c r="I27" s="278"/>
      <c r="J27" s="352" t="str">
        <f>IFERROR(G27/#REF!,"-")</f>
        <v>-</v>
      </c>
      <c r="K27" s="333">
        <f t="shared" si="17"/>
        <v>0</v>
      </c>
      <c r="L27" s="272">
        <f t="shared" si="18"/>
        <v>0</v>
      </c>
      <c r="M27" s="273">
        <f t="shared" si="19"/>
        <v>0</v>
      </c>
      <c r="N27" s="337" t="str">
        <f t="shared" si="20"/>
        <v>-</v>
      </c>
      <c r="O27" s="263" t="str">
        <f t="shared" si="6"/>
        <v>-</v>
      </c>
    </row>
    <row r="28" spans="1:15" ht="23.4" x14ac:dyDescent="0.3">
      <c r="A28" s="274" t="s">
        <v>103</v>
      </c>
      <c r="B28" s="1044"/>
      <c r="C28" s="275" t="s">
        <v>115</v>
      </c>
      <c r="D28" s="275"/>
      <c r="E28" s="276"/>
      <c r="F28" s="277"/>
      <c r="G28" s="333">
        <f t="shared" si="16"/>
        <v>0</v>
      </c>
      <c r="H28" s="278"/>
      <c r="I28" s="278"/>
      <c r="J28" s="352" t="str">
        <f>IFERROR(G28/#REF!,"-")</f>
        <v>-</v>
      </c>
      <c r="K28" s="333">
        <f t="shared" si="17"/>
        <v>0</v>
      </c>
      <c r="L28" s="272">
        <f t="shared" si="18"/>
        <v>0</v>
      </c>
      <c r="M28" s="273">
        <f t="shared" si="19"/>
        <v>0</v>
      </c>
      <c r="N28" s="337" t="str">
        <f t="shared" si="20"/>
        <v>-</v>
      </c>
      <c r="O28" s="263" t="str">
        <f t="shared" si="6"/>
        <v>-</v>
      </c>
    </row>
    <row r="29" spans="1:15" ht="23.4" x14ac:dyDescent="0.3">
      <c r="A29" s="274" t="s">
        <v>103</v>
      </c>
      <c r="B29" s="1044"/>
      <c r="C29" s="275" t="s">
        <v>122</v>
      </c>
      <c r="D29" s="275"/>
      <c r="E29" s="276"/>
      <c r="F29" s="277"/>
      <c r="G29" s="333">
        <f t="shared" si="16"/>
        <v>0</v>
      </c>
      <c r="H29" s="278"/>
      <c r="I29" s="278"/>
      <c r="J29" s="352" t="str">
        <f>IFERROR(G29/#REF!,"-")</f>
        <v>-</v>
      </c>
      <c r="K29" s="333">
        <f t="shared" si="17"/>
        <v>0</v>
      </c>
      <c r="L29" s="272">
        <f t="shared" si="18"/>
        <v>0</v>
      </c>
      <c r="M29" s="273">
        <f t="shared" si="19"/>
        <v>0</v>
      </c>
      <c r="N29" s="337" t="str">
        <f t="shared" si="20"/>
        <v>-</v>
      </c>
      <c r="O29" s="263" t="str">
        <f t="shared" si="6"/>
        <v>-</v>
      </c>
    </row>
    <row r="30" spans="1:15" ht="23.4" x14ac:dyDescent="0.3">
      <c r="A30" s="274" t="s">
        <v>103</v>
      </c>
      <c r="B30" s="1044"/>
      <c r="C30" s="275" t="s">
        <v>176</v>
      </c>
      <c r="D30" s="275" t="s">
        <v>177</v>
      </c>
      <c r="E30" s="276"/>
      <c r="F30" s="277"/>
      <c r="G30" s="333">
        <f t="shared" si="16"/>
        <v>0</v>
      </c>
      <c r="H30" s="278"/>
      <c r="I30" s="278"/>
      <c r="J30" s="352" t="str">
        <f>IFERROR(G30/#REF!,"-")</f>
        <v>-</v>
      </c>
      <c r="K30" s="333">
        <f t="shared" si="17"/>
        <v>0</v>
      </c>
      <c r="L30" s="272">
        <f t="shared" si="18"/>
        <v>0</v>
      </c>
      <c r="M30" s="273">
        <f t="shared" si="19"/>
        <v>0</v>
      </c>
      <c r="N30" s="337" t="str">
        <f t="shared" si="20"/>
        <v>-</v>
      </c>
      <c r="O30" s="263" t="str">
        <f t="shared" si="6"/>
        <v>-</v>
      </c>
    </row>
    <row r="31" spans="1:15" ht="23.4" x14ac:dyDescent="0.3">
      <c r="A31" s="274" t="s">
        <v>103</v>
      </c>
      <c r="B31" s="1044"/>
      <c r="C31" s="275" t="s">
        <v>179</v>
      </c>
      <c r="D31" s="275" t="s">
        <v>178</v>
      </c>
      <c r="E31" s="276"/>
      <c r="F31" s="277"/>
      <c r="G31" s="333">
        <f t="shared" si="16"/>
        <v>0</v>
      </c>
      <c r="H31" s="278"/>
      <c r="I31" s="278"/>
      <c r="J31" s="352" t="str">
        <f>IFERROR(G31/#REF!,"-")</f>
        <v>-</v>
      </c>
      <c r="K31" s="333">
        <f t="shared" si="17"/>
        <v>0</v>
      </c>
      <c r="L31" s="272">
        <f t="shared" si="18"/>
        <v>0</v>
      </c>
      <c r="M31" s="273">
        <f t="shared" si="19"/>
        <v>0</v>
      </c>
      <c r="N31" s="337" t="str">
        <f t="shared" si="20"/>
        <v>-</v>
      </c>
      <c r="O31" s="263" t="str">
        <f t="shared" si="6"/>
        <v>-</v>
      </c>
    </row>
    <row r="32" spans="1:15" ht="24" thickBot="1" x14ac:dyDescent="0.35">
      <c r="A32" s="274" t="s">
        <v>103</v>
      </c>
      <c r="B32" s="1045"/>
      <c r="C32" s="286" t="s">
        <v>180</v>
      </c>
      <c r="D32" s="286" t="s">
        <v>107</v>
      </c>
      <c r="E32" s="280"/>
      <c r="F32" s="281"/>
      <c r="G32" s="334">
        <f t="shared" si="16"/>
        <v>0</v>
      </c>
      <c r="H32" s="282"/>
      <c r="I32" s="282"/>
      <c r="J32" s="353" t="str">
        <f>IFERROR(G32/#REF!,"-")</f>
        <v>-</v>
      </c>
      <c r="K32" s="334">
        <f t="shared" si="17"/>
        <v>0</v>
      </c>
      <c r="L32" s="272">
        <f t="shared" si="18"/>
        <v>0</v>
      </c>
      <c r="M32" s="273">
        <f t="shared" si="19"/>
        <v>0</v>
      </c>
      <c r="N32" s="338" t="str">
        <f t="shared" si="20"/>
        <v>-</v>
      </c>
      <c r="O32" s="347" t="str">
        <f t="shared" si="6"/>
        <v>-</v>
      </c>
    </row>
    <row r="33" spans="1:15" ht="24" thickBot="1" x14ac:dyDescent="0.35">
      <c r="A33" s="274" t="s">
        <v>103</v>
      </c>
      <c r="B33" s="1025" t="s">
        <v>29</v>
      </c>
      <c r="C33" s="1026"/>
      <c r="D33" s="1027"/>
      <c r="E33" s="320">
        <f t="shared" ref="E33" si="21">SUM(E26:E32)</f>
        <v>0</v>
      </c>
      <c r="F33" s="285">
        <v>80000</v>
      </c>
      <c r="G33" s="320">
        <f>SUM(G26:G32)</f>
        <v>0</v>
      </c>
      <c r="H33" s="321">
        <f t="shared" ref="H33:I33" si="22">SUM(H26:H32)</f>
        <v>0</v>
      </c>
      <c r="I33" s="321">
        <f t="shared" si="22"/>
        <v>0</v>
      </c>
      <c r="J33" s="345">
        <f>+G33/F33</f>
        <v>0</v>
      </c>
      <c r="K33" s="320">
        <f t="shared" ref="K33:M33" si="23">SUM(K26:K32)</f>
        <v>0</v>
      </c>
      <c r="L33" s="321">
        <f>SUM(L26:L32)</f>
        <v>0</v>
      </c>
      <c r="M33" s="322">
        <f t="shared" si="23"/>
        <v>0</v>
      </c>
      <c r="N33" s="339" t="str">
        <f t="shared" si="20"/>
        <v>-</v>
      </c>
      <c r="O33" s="345" t="str">
        <f t="shared" si="6"/>
        <v>-</v>
      </c>
    </row>
    <row r="34" spans="1:15" ht="24" thickBot="1" x14ac:dyDescent="0.35">
      <c r="A34" s="252" t="s">
        <v>103</v>
      </c>
      <c r="B34" s="1085" t="s">
        <v>19</v>
      </c>
      <c r="C34" s="641" t="s">
        <v>235</v>
      </c>
      <c r="D34" s="669" t="s">
        <v>177</v>
      </c>
      <c r="E34" s="674"/>
      <c r="F34" s="671">
        <v>220000</v>
      </c>
      <c r="G34" s="644">
        <f t="shared" ref="G34:G36" si="24">+H34+I34</f>
        <v>0</v>
      </c>
      <c r="H34" s="458"/>
      <c r="I34" s="458"/>
      <c r="J34" s="531" t="str">
        <f>IFERROR(G34/#REF!,"-")</f>
        <v>-</v>
      </c>
      <c r="K34" s="457">
        <f>+L34+M34</f>
        <v>0</v>
      </c>
      <c r="L34" s="458">
        <f t="shared" ref="L34:L36" si="25">+H34</f>
        <v>0</v>
      </c>
      <c r="M34" s="459">
        <f t="shared" ref="M34:M36" si="26">+I34</f>
        <v>0</v>
      </c>
      <c r="N34" s="646" t="str">
        <f>IFERROR(K34/E34,"-")</f>
        <v>-</v>
      </c>
      <c r="O34" s="647" t="str">
        <f t="shared" si="6"/>
        <v>-</v>
      </c>
    </row>
    <row r="35" spans="1:15" ht="24" thickBot="1" x14ac:dyDescent="0.35">
      <c r="A35" s="252"/>
      <c r="B35" s="1086"/>
      <c r="C35" s="296" t="s">
        <v>377</v>
      </c>
      <c r="D35" s="645" t="s">
        <v>423</v>
      </c>
      <c r="E35" s="675"/>
      <c r="F35" s="672"/>
      <c r="G35" s="640">
        <f t="shared" si="24"/>
        <v>118733</v>
      </c>
      <c r="H35" s="272">
        <v>118272</v>
      </c>
      <c r="I35" s="272">
        <v>461</v>
      </c>
      <c r="J35" s="351" t="str">
        <f>IFERROR(G35/#REF!,"-")</f>
        <v>-</v>
      </c>
      <c r="K35" s="335">
        <f>+L35+M35</f>
        <v>118733</v>
      </c>
      <c r="L35" s="458">
        <f t="shared" si="25"/>
        <v>118272</v>
      </c>
      <c r="M35" s="459">
        <f t="shared" si="26"/>
        <v>461</v>
      </c>
      <c r="N35" s="340" t="str">
        <f t="shared" ref="N35:N36" si="27">IFERROR(K35/E35,"-")</f>
        <v>-</v>
      </c>
      <c r="O35" s="639">
        <f>IFERROR(M35/K35,"-")</f>
        <v>3.8826610967464814E-3</v>
      </c>
    </row>
    <row r="36" spans="1:15" ht="24" thickBot="1" x14ac:dyDescent="0.35">
      <c r="A36" s="252"/>
      <c r="B36" s="1087"/>
      <c r="C36" s="635" t="s">
        <v>342</v>
      </c>
      <c r="D36" s="670"/>
      <c r="E36" s="676"/>
      <c r="F36" s="673"/>
      <c r="G36" s="589">
        <f t="shared" si="24"/>
        <v>0</v>
      </c>
      <c r="H36" s="282"/>
      <c r="I36" s="282"/>
      <c r="J36" s="353"/>
      <c r="K36" s="460">
        <f>+L36+M36</f>
        <v>0</v>
      </c>
      <c r="L36" s="458">
        <f t="shared" si="25"/>
        <v>0</v>
      </c>
      <c r="M36" s="459">
        <f t="shared" si="26"/>
        <v>0</v>
      </c>
      <c r="N36" s="338" t="str">
        <f t="shared" si="27"/>
        <v>-</v>
      </c>
      <c r="O36" s="636" t="str">
        <f t="shared" ref="O36:O93" si="28">IFERROR(M36/K36,"-")</f>
        <v>-</v>
      </c>
    </row>
    <row r="37" spans="1:15" ht="24" thickBot="1" x14ac:dyDescent="0.35">
      <c r="A37" s="274" t="s">
        <v>103</v>
      </c>
      <c r="B37" s="1040" t="s">
        <v>46</v>
      </c>
      <c r="C37" s="1026"/>
      <c r="D37" s="1027"/>
      <c r="E37" s="320">
        <f>SUM(E34:E36)</f>
        <v>0</v>
      </c>
      <c r="F37" s="323">
        <f t="shared" ref="F37" si="29">SUM(F34)</f>
        <v>220000</v>
      </c>
      <c r="G37" s="320">
        <f>SUM(G34)</f>
        <v>0</v>
      </c>
      <c r="H37" s="321">
        <f>SUM(H34:H36)</f>
        <v>118272</v>
      </c>
      <c r="I37" s="321">
        <f>SUM(I34:I36)</f>
        <v>461</v>
      </c>
      <c r="J37" s="345">
        <f>+G37/F37</f>
        <v>0</v>
      </c>
      <c r="K37" s="637">
        <f>SUM(K34:K35)</f>
        <v>118733</v>
      </c>
      <c r="L37" s="321">
        <f>SUM(L34:L35)</f>
        <v>118272</v>
      </c>
      <c r="M37" s="322">
        <f>SUM(M34:M35)</f>
        <v>461</v>
      </c>
      <c r="N37" s="339" t="str">
        <f>IFERROR(K37/E37,"-")</f>
        <v>-</v>
      </c>
      <c r="O37" s="345">
        <f t="shared" si="28"/>
        <v>3.8826610967464814E-3</v>
      </c>
    </row>
    <row r="38" spans="1:15" ht="23.4" x14ac:dyDescent="0.3">
      <c r="A38" s="274" t="s">
        <v>103</v>
      </c>
      <c r="B38" s="1043" t="s">
        <v>20</v>
      </c>
      <c r="C38" s="291" t="s">
        <v>317</v>
      </c>
      <c r="D38" s="291" t="s">
        <v>289</v>
      </c>
      <c r="E38" s="270"/>
      <c r="F38" s="271"/>
      <c r="G38" s="332">
        <f t="shared" ref="G38:G40" si="30">+H38+I38</f>
        <v>0</v>
      </c>
      <c r="H38" s="272"/>
      <c r="I38" s="272"/>
      <c r="J38" s="351" t="str">
        <f>IFERROR(G38/#REF!,"-")</f>
        <v>-</v>
      </c>
      <c r="K38" s="332">
        <f t="shared" ref="K38:K40" si="31">+L38+M38</f>
        <v>0</v>
      </c>
      <c r="L38" s="272">
        <f t="shared" ref="L38:L40" si="32">+H38</f>
        <v>0</v>
      </c>
      <c r="M38" s="273">
        <f t="shared" ref="M38:M40" si="33">+I38</f>
        <v>0</v>
      </c>
      <c r="N38" s="336" t="str">
        <f t="shared" ref="N38:N41" si="34">IFERROR(K38/E38,"-")</f>
        <v>-</v>
      </c>
      <c r="O38" s="346" t="str">
        <f t="shared" si="28"/>
        <v>-</v>
      </c>
    </row>
    <row r="39" spans="1:15" ht="23.4" x14ac:dyDescent="0.3">
      <c r="A39" s="274" t="s">
        <v>103</v>
      </c>
      <c r="B39" s="1044"/>
      <c r="C39" s="292" t="s">
        <v>114</v>
      </c>
      <c r="D39" s="292"/>
      <c r="E39" s="276"/>
      <c r="F39" s="277"/>
      <c r="G39" s="333">
        <f t="shared" si="30"/>
        <v>0</v>
      </c>
      <c r="H39" s="278"/>
      <c r="I39" s="278"/>
      <c r="J39" s="352" t="str">
        <f>IFERROR(G39/#REF!,"-")</f>
        <v>-</v>
      </c>
      <c r="K39" s="333">
        <f t="shared" si="31"/>
        <v>0</v>
      </c>
      <c r="L39" s="272">
        <f t="shared" si="32"/>
        <v>0</v>
      </c>
      <c r="M39" s="273">
        <f t="shared" si="33"/>
        <v>0</v>
      </c>
      <c r="N39" s="337" t="str">
        <f t="shared" si="34"/>
        <v>-</v>
      </c>
      <c r="O39" s="263" t="str">
        <f t="shared" si="28"/>
        <v>-</v>
      </c>
    </row>
    <row r="40" spans="1:15" ht="24" thickBot="1" x14ac:dyDescent="0.35">
      <c r="A40" s="274" t="s">
        <v>103</v>
      </c>
      <c r="B40" s="1045"/>
      <c r="C40" s="293" t="s">
        <v>120</v>
      </c>
      <c r="D40" s="293"/>
      <c r="E40" s="280"/>
      <c r="F40" s="281"/>
      <c r="G40" s="334">
        <f t="shared" si="30"/>
        <v>0</v>
      </c>
      <c r="H40" s="282"/>
      <c r="I40" s="282"/>
      <c r="J40" s="353" t="str">
        <f>IFERROR(G40/#REF!,"-")</f>
        <v>-</v>
      </c>
      <c r="K40" s="334">
        <f t="shared" si="31"/>
        <v>0</v>
      </c>
      <c r="L40" s="272">
        <f t="shared" si="32"/>
        <v>0</v>
      </c>
      <c r="M40" s="273">
        <f t="shared" si="33"/>
        <v>0</v>
      </c>
      <c r="N40" s="338" t="str">
        <f t="shared" si="34"/>
        <v>-</v>
      </c>
      <c r="O40" s="347" t="str">
        <f t="shared" si="28"/>
        <v>-</v>
      </c>
    </row>
    <row r="41" spans="1:15" ht="24" thickBot="1" x14ac:dyDescent="0.35">
      <c r="A41" s="274" t="s">
        <v>103</v>
      </c>
      <c r="B41" s="1026" t="s">
        <v>47</v>
      </c>
      <c r="C41" s="1026"/>
      <c r="D41" s="1046"/>
      <c r="E41" s="320">
        <f t="shared" ref="E41" si="35">SUM(E38:E40)</f>
        <v>0</v>
      </c>
      <c r="F41" s="285">
        <v>50000</v>
      </c>
      <c r="G41" s="320">
        <f>SUM(G38:G40)</f>
        <v>0</v>
      </c>
      <c r="H41" s="321">
        <f t="shared" ref="H41:I41" si="36">SUM(H38:H40)</f>
        <v>0</v>
      </c>
      <c r="I41" s="321">
        <f t="shared" si="36"/>
        <v>0</v>
      </c>
      <c r="J41" s="345">
        <f>+G41/F41</f>
        <v>0</v>
      </c>
      <c r="K41" s="320">
        <f t="shared" ref="K41:M41" si="37">SUM(K38:K40)</f>
        <v>0</v>
      </c>
      <c r="L41" s="321">
        <f t="shared" si="37"/>
        <v>0</v>
      </c>
      <c r="M41" s="322">
        <f t="shared" si="37"/>
        <v>0</v>
      </c>
      <c r="N41" s="339" t="str">
        <f t="shared" si="34"/>
        <v>-</v>
      </c>
      <c r="O41" s="345" t="str">
        <f t="shared" si="28"/>
        <v>-</v>
      </c>
    </row>
    <row r="42" spans="1:15" ht="24" thickBot="1" x14ac:dyDescent="0.35">
      <c r="A42" s="274" t="s">
        <v>103</v>
      </c>
      <c r="B42" s="1047" t="s">
        <v>21</v>
      </c>
      <c r="C42" s="1048"/>
      <c r="D42" s="1049"/>
      <c r="E42" s="326">
        <f>+E17+E25+E33+E37+E41</f>
        <v>0</v>
      </c>
      <c r="F42" s="327">
        <f>+F17+F25+F33+F37+F41</f>
        <v>465000</v>
      </c>
      <c r="G42" s="326">
        <f>+G17+G25+G33+G37+G41</f>
        <v>6352</v>
      </c>
      <c r="H42" s="324">
        <f>+H17+H25+H33+H37+H41</f>
        <v>124392</v>
      </c>
      <c r="I42" s="324">
        <f>+I17+I25+I33+I37+I41</f>
        <v>693</v>
      </c>
      <c r="J42" s="349">
        <f>+G42/F42</f>
        <v>1.3660215053763441E-2</v>
      </c>
      <c r="K42" s="326">
        <f>+K17+K25+K33+K37+K41</f>
        <v>125085</v>
      </c>
      <c r="L42" s="324">
        <f>+L17+L25+L33+L37+L41</f>
        <v>124392</v>
      </c>
      <c r="M42" s="325">
        <f>+M17+M25+M33+M37+M41</f>
        <v>693</v>
      </c>
      <c r="N42" s="341" t="str">
        <f>IFERROR(K42/E42,"-")</f>
        <v>-</v>
      </c>
      <c r="O42" s="349">
        <f t="shared" si="28"/>
        <v>5.5402326418035738E-3</v>
      </c>
    </row>
    <row r="43" spans="1:15" ht="23.4" x14ac:dyDescent="0.3">
      <c r="A43" s="274" t="s">
        <v>103</v>
      </c>
      <c r="B43" s="1043" t="s">
        <v>400</v>
      </c>
      <c r="C43" s="269" t="s">
        <v>125</v>
      </c>
      <c r="D43" s="269"/>
      <c r="E43" s="270"/>
      <c r="F43" s="271"/>
      <c r="G43" s="332">
        <f t="shared" ref="G43:G46" si="38">+H43+I43</f>
        <v>0</v>
      </c>
      <c r="H43" s="272"/>
      <c r="I43" s="272"/>
      <c r="J43" s="351" t="str">
        <f>IFERROR(G43/#REF!,"-")</f>
        <v>-</v>
      </c>
      <c r="K43" s="332">
        <f t="shared" ref="K43:K46" si="39">+L43+M43</f>
        <v>0</v>
      </c>
      <c r="L43" s="272">
        <f t="shared" ref="L43:L46" si="40">+H43</f>
        <v>0</v>
      </c>
      <c r="M43" s="273">
        <f t="shared" ref="M43:M46" si="41">+I43</f>
        <v>0</v>
      </c>
      <c r="N43" s="336" t="str">
        <f t="shared" ref="N43:N58" si="42">IFERROR(K43/E43,"-")</f>
        <v>-</v>
      </c>
      <c r="O43" s="346" t="str">
        <f t="shared" si="28"/>
        <v>-</v>
      </c>
    </row>
    <row r="44" spans="1:15" ht="23.4" x14ac:dyDescent="0.3">
      <c r="A44" s="274" t="s">
        <v>103</v>
      </c>
      <c r="B44" s="1044"/>
      <c r="C44" s="295" t="s">
        <v>263</v>
      </c>
      <c r="D44" s="295" t="s">
        <v>181</v>
      </c>
      <c r="E44" s="276"/>
      <c r="F44" s="277"/>
      <c r="G44" s="333">
        <f t="shared" si="38"/>
        <v>0</v>
      </c>
      <c r="H44" s="278"/>
      <c r="I44" s="278"/>
      <c r="J44" s="352" t="str">
        <f>IFERROR(G44/#REF!,"-")</f>
        <v>-</v>
      </c>
      <c r="K44" s="333">
        <f t="shared" si="39"/>
        <v>0</v>
      </c>
      <c r="L44" s="272">
        <f t="shared" si="40"/>
        <v>0</v>
      </c>
      <c r="M44" s="273">
        <f t="shared" si="41"/>
        <v>0</v>
      </c>
      <c r="N44" s="337" t="str">
        <f t="shared" si="42"/>
        <v>-</v>
      </c>
      <c r="O44" s="263" t="str">
        <f t="shared" si="28"/>
        <v>-</v>
      </c>
    </row>
    <row r="45" spans="1:15" ht="23.4" x14ac:dyDescent="0.3">
      <c r="A45" s="274" t="s">
        <v>103</v>
      </c>
      <c r="B45" s="1044"/>
      <c r="C45" s="295" t="s">
        <v>362</v>
      </c>
      <c r="D45" s="295" t="s">
        <v>181</v>
      </c>
      <c r="E45" s="276"/>
      <c r="F45" s="277"/>
      <c r="G45" s="333">
        <f t="shared" si="38"/>
        <v>0</v>
      </c>
      <c r="H45" s="278"/>
      <c r="I45" s="278"/>
      <c r="J45" s="352" t="str">
        <f>IFERROR(G45/#REF!,"-")</f>
        <v>-</v>
      </c>
      <c r="K45" s="333">
        <f t="shared" si="39"/>
        <v>0</v>
      </c>
      <c r="L45" s="272">
        <f t="shared" si="40"/>
        <v>0</v>
      </c>
      <c r="M45" s="273">
        <f t="shared" si="41"/>
        <v>0</v>
      </c>
      <c r="N45" s="337" t="str">
        <f t="shared" si="42"/>
        <v>-</v>
      </c>
      <c r="O45" s="263" t="str">
        <f t="shared" si="28"/>
        <v>-</v>
      </c>
    </row>
    <row r="46" spans="1:15" ht="24" thickBot="1" x14ac:dyDescent="0.35">
      <c r="A46" s="274" t="s">
        <v>103</v>
      </c>
      <c r="B46" s="1045"/>
      <c r="C46" s="279" t="s">
        <v>182</v>
      </c>
      <c r="D46" s="279" t="s">
        <v>93</v>
      </c>
      <c r="E46" s="280"/>
      <c r="F46" s="281"/>
      <c r="G46" s="334">
        <f t="shared" si="38"/>
        <v>0</v>
      </c>
      <c r="H46" s="282"/>
      <c r="I46" s="282"/>
      <c r="J46" s="353" t="str">
        <f>IFERROR(G46/#REF!,"-")</f>
        <v>-</v>
      </c>
      <c r="K46" s="334">
        <f t="shared" si="39"/>
        <v>0</v>
      </c>
      <c r="L46" s="272">
        <f t="shared" si="40"/>
        <v>0</v>
      </c>
      <c r="M46" s="273">
        <f t="shared" si="41"/>
        <v>0</v>
      </c>
      <c r="N46" s="338" t="str">
        <f t="shared" si="42"/>
        <v>-</v>
      </c>
      <c r="O46" s="347" t="str">
        <f t="shared" si="28"/>
        <v>-</v>
      </c>
    </row>
    <row r="47" spans="1:15" ht="24" thickBot="1" x14ac:dyDescent="0.35">
      <c r="A47" s="274" t="s">
        <v>103</v>
      </c>
      <c r="B47" s="1025" t="s">
        <v>48</v>
      </c>
      <c r="C47" s="1026"/>
      <c r="D47" s="1027"/>
      <c r="E47" s="284">
        <f>SUM(E43:E46)</f>
        <v>0</v>
      </c>
      <c r="F47" s="285">
        <v>80000</v>
      </c>
      <c r="G47" s="320">
        <f>SUM(G43:G46)</f>
        <v>0</v>
      </c>
      <c r="H47" s="321">
        <f t="shared" ref="H47:I47" si="43">SUM(H43:H46)</f>
        <v>0</v>
      </c>
      <c r="I47" s="321">
        <f t="shared" si="43"/>
        <v>0</v>
      </c>
      <c r="J47" s="345">
        <f>+G47/F47</f>
        <v>0</v>
      </c>
      <c r="K47" s="320">
        <f t="shared" ref="K47:M47" si="44">SUM(K43:K46)</f>
        <v>0</v>
      </c>
      <c r="L47" s="321">
        <f>SUM(L43:L46)</f>
        <v>0</v>
      </c>
      <c r="M47" s="322">
        <f t="shared" si="44"/>
        <v>0</v>
      </c>
      <c r="N47" s="339" t="str">
        <f t="shared" si="42"/>
        <v>-</v>
      </c>
      <c r="O47" s="345" t="str">
        <f t="shared" si="28"/>
        <v>-</v>
      </c>
    </row>
    <row r="48" spans="1:15" ht="23.4" x14ac:dyDescent="0.3">
      <c r="A48" s="274" t="s">
        <v>103</v>
      </c>
      <c r="B48" s="1043" t="s">
        <v>23</v>
      </c>
      <c r="C48" s="275" t="s">
        <v>240</v>
      </c>
      <c r="D48" s="296" t="s">
        <v>238</v>
      </c>
      <c r="E48" s="270"/>
      <c r="F48" s="271"/>
      <c r="G48" s="332">
        <f t="shared" ref="G48:G56" si="45">+H48+I48</f>
        <v>0</v>
      </c>
      <c r="H48" s="272"/>
      <c r="I48" s="272"/>
      <c r="J48" s="351" t="str">
        <f>IFERROR(G48/#REF!,"-")</f>
        <v>-</v>
      </c>
      <c r="K48" s="332">
        <f t="shared" ref="K48:K56" si="46">+L48+M48</f>
        <v>0</v>
      </c>
      <c r="L48" s="272">
        <f t="shared" ref="L48:L56" si="47">+H48</f>
        <v>0</v>
      </c>
      <c r="M48" s="273">
        <f t="shared" ref="M48:M56" si="48">+I48</f>
        <v>0</v>
      </c>
      <c r="N48" s="336" t="str">
        <f t="shared" si="42"/>
        <v>-</v>
      </c>
      <c r="O48" s="346" t="str">
        <f t="shared" si="28"/>
        <v>-</v>
      </c>
    </row>
    <row r="49" spans="1:15" ht="23.4" x14ac:dyDescent="0.3">
      <c r="A49" s="274" t="s">
        <v>103</v>
      </c>
      <c r="B49" s="1044"/>
      <c r="C49" s="275" t="s">
        <v>24</v>
      </c>
      <c r="D49" s="275" t="s">
        <v>238</v>
      </c>
      <c r="E49" s="276"/>
      <c r="F49" s="277"/>
      <c r="G49" s="333">
        <f t="shared" si="45"/>
        <v>0</v>
      </c>
      <c r="H49" s="278"/>
      <c r="I49" s="278"/>
      <c r="J49" s="352" t="str">
        <f>IFERROR(G49/#REF!,"-")</f>
        <v>-</v>
      </c>
      <c r="K49" s="333">
        <f t="shared" si="46"/>
        <v>0</v>
      </c>
      <c r="L49" s="272">
        <f t="shared" si="47"/>
        <v>0</v>
      </c>
      <c r="M49" s="273">
        <f t="shared" si="48"/>
        <v>0</v>
      </c>
      <c r="N49" s="337" t="str">
        <f t="shared" si="42"/>
        <v>-</v>
      </c>
      <c r="O49" s="263" t="str">
        <f t="shared" si="28"/>
        <v>-</v>
      </c>
    </row>
    <row r="50" spans="1:15" ht="23.4" x14ac:dyDescent="0.3">
      <c r="A50" s="274" t="s">
        <v>103</v>
      </c>
      <c r="B50" s="1044"/>
      <c r="C50" s="275" t="s">
        <v>236</v>
      </c>
      <c r="D50" s="275" t="s">
        <v>238</v>
      </c>
      <c r="E50" s="276"/>
      <c r="F50" s="277"/>
      <c r="G50" s="333">
        <f t="shared" si="45"/>
        <v>0</v>
      </c>
      <c r="H50" s="278"/>
      <c r="I50" s="278"/>
      <c r="J50" s="352" t="str">
        <f>IFERROR(G50/#REF!,"-")</f>
        <v>-</v>
      </c>
      <c r="K50" s="333">
        <f t="shared" si="46"/>
        <v>0</v>
      </c>
      <c r="L50" s="272">
        <f t="shared" si="47"/>
        <v>0</v>
      </c>
      <c r="M50" s="273">
        <f t="shared" si="48"/>
        <v>0</v>
      </c>
      <c r="N50" s="337" t="str">
        <f t="shared" si="42"/>
        <v>-</v>
      </c>
      <c r="O50" s="263" t="str">
        <f t="shared" si="28"/>
        <v>-</v>
      </c>
    </row>
    <row r="51" spans="1:15" ht="23.4" x14ac:dyDescent="0.3">
      <c r="A51" s="274" t="s">
        <v>103</v>
      </c>
      <c r="B51" s="1044"/>
      <c r="C51" s="275" t="s">
        <v>237</v>
      </c>
      <c r="D51" s="275" t="s">
        <v>238</v>
      </c>
      <c r="E51" s="276"/>
      <c r="F51" s="277"/>
      <c r="G51" s="333">
        <f t="shared" si="45"/>
        <v>0</v>
      </c>
      <c r="H51" s="278"/>
      <c r="I51" s="278"/>
      <c r="J51" s="352" t="str">
        <f>IFERROR(G51/#REF!,"-")</f>
        <v>-</v>
      </c>
      <c r="K51" s="333">
        <f t="shared" si="46"/>
        <v>0</v>
      </c>
      <c r="L51" s="272">
        <f t="shared" si="47"/>
        <v>0</v>
      </c>
      <c r="M51" s="273">
        <f t="shared" si="48"/>
        <v>0</v>
      </c>
      <c r="N51" s="337" t="str">
        <f t="shared" si="42"/>
        <v>-</v>
      </c>
      <c r="O51" s="263" t="str">
        <f t="shared" si="28"/>
        <v>-</v>
      </c>
    </row>
    <row r="52" spans="1:15" ht="23.4" x14ac:dyDescent="0.3">
      <c r="A52" s="274" t="s">
        <v>103</v>
      </c>
      <c r="B52" s="1044"/>
      <c r="C52" s="295" t="s">
        <v>394</v>
      </c>
      <c r="D52" s="275" t="s">
        <v>238</v>
      </c>
      <c r="E52" s="276"/>
      <c r="F52" s="277"/>
      <c r="G52" s="333">
        <f t="shared" si="45"/>
        <v>0</v>
      </c>
      <c r="H52" s="278"/>
      <c r="I52" s="278"/>
      <c r="J52" s="352" t="str">
        <f>IFERROR(G52/#REF!,"-")</f>
        <v>-</v>
      </c>
      <c r="K52" s="333">
        <f t="shared" si="46"/>
        <v>0</v>
      </c>
      <c r="L52" s="272">
        <f t="shared" si="47"/>
        <v>0</v>
      </c>
      <c r="M52" s="273">
        <f t="shared" si="48"/>
        <v>0</v>
      </c>
      <c r="N52" s="337" t="str">
        <f t="shared" si="42"/>
        <v>-</v>
      </c>
      <c r="O52" s="263" t="str">
        <f t="shared" si="28"/>
        <v>-</v>
      </c>
    </row>
    <row r="53" spans="1:15" ht="23.4" x14ac:dyDescent="0.3">
      <c r="A53" s="274" t="s">
        <v>103</v>
      </c>
      <c r="B53" s="1044"/>
      <c r="C53" s="295" t="s">
        <v>422</v>
      </c>
      <c r="D53" s="275" t="s">
        <v>238</v>
      </c>
      <c r="E53" s="276"/>
      <c r="F53" s="277"/>
      <c r="G53" s="333">
        <f t="shared" si="45"/>
        <v>0</v>
      </c>
      <c r="H53" s="278"/>
      <c r="I53" s="278"/>
      <c r="J53" s="352" t="str">
        <f>IFERROR(G53/#REF!,"-")</f>
        <v>-</v>
      </c>
      <c r="K53" s="333">
        <f t="shared" si="46"/>
        <v>0</v>
      </c>
      <c r="L53" s="272">
        <f t="shared" si="47"/>
        <v>0</v>
      </c>
      <c r="M53" s="273">
        <f t="shared" si="48"/>
        <v>0</v>
      </c>
      <c r="N53" s="337" t="str">
        <f t="shared" si="42"/>
        <v>-</v>
      </c>
      <c r="O53" s="263" t="str">
        <f t="shared" si="28"/>
        <v>-</v>
      </c>
    </row>
    <row r="54" spans="1:15" ht="23.4" x14ac:dyDescent="0.3">
      <c r="A54" s="274" t="s">
        <v>103</v>
      </c>
      <c r="B54" s="1044"/>
      <c r="C54" s="295" t="s">
        <v>241</v>
      </c>
      <c r="D54" s="275" t="s">
        <v>243</v>
      </c>
      <c r="E54" s="276"/>
      <c r="F54" s="277"/>
      <c r="G54" s="333">
        <f t="shared" si="45"/>
        <v>0</v>
      </c>
      <c r="H54" s="278"/>
      <c r="I54" s="278"/>
      <c r="J54" s="352" t="str">
        <f>IFERROR(G54/#REF!,"-")</f>
        <v>-</v>
      </c>
      <c r="K54" s="333">
        <f t="shared" si="46"/>
        <v>0</v>
      </c>
      <c r="L54" s="272">
        <f t="shared" si="47"/>
        <v>0</v>
      </c>
      <c r="M54" s="273">
        <f t="shared" si="48"/>
        <v>0</v>
      </c>
      <c r="N54" s="337" t="str">
        <f t="shared" si="42"/>
        <v>-</v>
      </c>
      <c r="O54" s="263" t="str">
        <f t="shared" si="28"/>
        <v>-</v>
      </c>
    </row>
    <row r="55" spans="1:15" ht="23.4" x14ac:dyDescent="0.3">
      <c r="A55" s="274"/>
      <c r="B55" s="1045"/>
      <c r="C55" s="295" t="s">
        <v>456</v>
      </c>
      <c r="D55" s="275" t="s">
        <v>238</v>
      </c>
      <c r="E55" s="280"/>
      <c r="F55" s="281"/>
      <c r="G55" s="333">
        <f t="shared" si="45"/>
        <v>0</v>
      </c>
      <c r="H55" s="282"/>
      <c r="I55" s="282"/>
      <c r="J55" s="352" t="str">
        <f>IFERROR(G55/#REF!,"-")</f>
        <v>-</v>
      </c>
      <c r="K55" s="333">
        <f t="shared" si="46"/>
        <v>0</v>
      </c>
      <c r="L55" s="272">
        <f t="shared" si="47"/>
        <v>0</v>
      </c>
      <c r="M55" s="273">
        <f t="shared" si="48"/>
        <v>0</v>
      </c>
      <c r="N55" s="338"/>
      <c r="O55" s="347"/>
    </row>
    <row r="56" spans="1:15" ht="24" thickBot="1" x14ac:dyDescent="0.35">
      <c r="A56" s="274" t="s">
        <v>103</v>
      </c>
      <c r="B56" s="1045"/>
      <c r="C56" s="295" t="s">
        <v>242</v>
      </c>
      <c r="D56" s="275" t="s">
        <v>238</v>
      </c>
      <c r="E56" s="280"/>
      <c r="F56" s="281"/>
      <c r="G56" s="334">
        <f t="shared" si="45"/>
        <v>0</v>
      </c>
      <c r="H56" s="282"/>
      <c r="I56" s="282"/>
      <c r="J56" s="353" t="str">
        <f>IFERROR(G56/#REF!,"-")</f>
        <v>-</v>
      </c>
      <c r="K56" s="334">
        <f t="shared" si="46"/>
        <v>0</v>
      </c>
      <c r="L56" s="272">
        <f t="shared" si="47"/>
        <v>0</v>
      </c>
      <c r="M56" s="273">
        <f t="shared" si="48"/>
        <v>0</v>
      </c>
      <c r="N56" s="338" t="str">
        <f t="shared" si="42"/>
        <v>-</v>
      </c>
      <c r="O56" s="347" t="str">
        <f t="shared" si="28"/>
        <v>-</v>
      </c>
    </row>
    <row r="57" spans="1:15" ht="24" thickBot="1" x14ac:dyDescent="0.35">
      <c r="A57" s="274" t="s">
        <v>103</v>
      </c>
      <c r="B57" s="1025" t="s">
        <v>49</v>
      </c>
      <c r="C57" s="1026"/>
      <c r="D57" s="1027"/>
      <c r="E57" s="284">
        <f>SUM(E48:E56)</f>
        <v>0</v>
      </c>
      <c r="F57" s="285">
        <v>14000</v>
      </c>
      <c r="G57" s="320">
        <f>SUM(G48:G56)</f>
        <v>0</v>
      </c>
      <c r="H57" s="321">
        <f t="shared" ref="H57:I57" si="49">SUM(H48:H56)</f>
        <v>0</v>
      </c>
      <c r="I57" s="321">
        <f t="shared" si="49"/>
        <v>0</v>
      </c>
      <c r="J57" s="345">
        <f>+G58/F58</f>
        <v>0</v>
      </c>
      <c r="K57" s="320">
        <f>SUM(K48:K56)</f>
        <v>0</v>
      </c>
      <c r="L57" s="321">
        <f>+H57</f>
        <v>0</v>
      </c>
      <c r="M57" s="322">
        <f>+I57</f>
        <v>0</v>
      </c>
      <c r="N57" s="339" t="str">
        <f t="shared" si="42"/>
        <v>-</v>
      </c>
      <c r="O57" s="345" t="str">
        <f t="shared" si="28"/>
        <v>-</v>
      </c>
    </row>
    <row r="58" spans="1:15" ht="24" thickBot="1" x14ac:dyDescent="0.35">
      <c r="A58" s="274" t="s">
        <v>103</v>
      </c>
      <c r="B58" s="1047" t="s">
        <v>25</v>
      </c>
      <c r="C58" s="1048"/>
      <c r="D58" s="1049"/>
      <c r="E58" s="326">
        <f t="shared" ref="E58:F58" si="50">+E47+E57</f>
        <v>0</v>
      </c>
      <c r="F58" s="327">
        <f t="shared" si="50"/>
        <v>94000</v>
      </c>
      <c r="G58" s="326">
        <f>+G47+G57</f>
        <v>0</v>
      </c>
      <c r="H58" s="324">
        <f t="shared" ref="H58:I58" si="51">+H47+H57</f>
        <v>0</v>
      </c>
      <c r="I58" s="324">
        <f t="shared" si="51"/>
        <v>0</v>
      </c>
      <c r="J58" s="349" t="str">
        <f>IFERROR(G58/#REF!,"-")</f>
        <v>-</v>
      </c>
      <c r="K58" s="326">
        <f t="shared" ref="K58" si="52">+K47+K57</f>
        <v>0</v>
      </c>
      <c r="L58" s="324">
        <f>+L47+L57</f>
        <v>0</v>
      </c>
      <c r="M58" s="325">
        <f t="shared" ref="M58" si="53">+M47+M57</f>
        <v>0</v>
      </c>
      <c r="N58" s="341" t="str">
        <f t="shared" si="42"/>
        <v>-</v>
      </c>
      <c r="O58" s="349" t="str">
        <f t="shared" si="28"/>
        <v>-</v>
      </c>
    </row>
    <row r="59" spans="1:15" ht="24" thickBot="1" x14ac:dyDescent="0.35">
      <c r="A59" s="274" t="s">
        <v>103</v>
      </c>
      <c r="B59" s="1019" t="s">
        <v>172</v>
      </c>
      <c r="C59" s="1020"/>
      <c r="D59" s="1021"/>
      <c r="E59" s="330">
        <f>+E42+E58</f>
        <v>0</v>
      </c>
      <c r="F59" s="331">
        <f t="shared" ref="F59:I59" si="54">+F42+F58</f>
        <v>559000</v>
      </c>
      <c r="G59" s="330">
        <f t="shared" si="54"/>
        <v>6352</v>
      </c>
      <c r="H59" s="328">
        <f t="shared" si="54"/>
        <v>124392</v>
      </c>
      <c r="I59" s="328">
        <f t="shared" si="54"/>
        <v>693</v>
      </c>
      <c r="J59" s="350">
        <f>+G59/F59</f>
        <v>1.136314847942755E-2</v>
      </c>
      <c r="K59" s="330">
        <f>+K42+K58</f>
        <v>125085</v>
      </c>
      <c r="L59" s="328">
        <f t="shared" ref="L59:M59" si="55">+L42+L58</f>
        <v>124392</v>
      </c>
      <c r="M59" s="329">
        <f t="shared" si="55"/>
        <v>693</v>
      </c>
      <c r="N59" s="342" t="str">
        <f>IFERROR(K59/E59,"-")</f>
        <v>-</v>
      </c>
      <c r="O59" s="350">
        <f t="shared" si="28"/>
        <v>5.5402326418035738E-3</v>
      </c>
    </row>
    <row r="60" spans="1:15" ht="23.4" x14ac:dyDescent="0.3">
      <c r="A60" s="268" t="s">
        <v>101</v>
      </c>
      <c r="B60" s="1051" t="s">
        <v>26</v>
      </c>
      <c r="C60" s="297" t="s">
        <v>297</v>
      </c>
      <c r="D60" s="297" t="s">
        <v>177</v>
      </c>
      <c r="E60" s="270"/>
      <c r="F60" s="271"/>
      <c r="G60" s="332">
        <f t="shared" ref="G60:G69" si="56">+H60+I60</f>
        <v>0</v>
      </c>
      <c r="H60" s="272"/>
      <c r="I60" s="272"/>
      <c r="J60" s="351" t="str">
        <f>IFERROR(G60/#REF!,"-")</f>
        <v>-</v>
      </c>
      <c r="K60" s="332">
        <f t="shared" ref="K60:K69" si="57">+L60+M60</f>
        <v>0</v>
      </c>
      <c r="L60" s="272">
        <f t="shared" ref="L60:L69" si="58">+H60</f>
        <v>0</v>
      </c>
      <c r="M60" s="273">
        <f t="shared" ref="M60:M69" si="59">+I60</f>
        <v>0</v>
      </c>
      <c r="N60" s="336" t="str">
        <f t="shared" ref="N60:N61" si="60">IFERROR(K60/E60,"-")</f>
        <v>-</v>
      </c>
      <c r="O60" s="346" t="str">
        <f t="shared" si="28"/>
        <v>-</v>
      </c>
    </row>
    <row r="61" spans="1:15" ht="23.4" x14ac:dyDescent="0.3">
      <c r="A61" s="274" t="s">
        <v>101</v>
      </c>
      <c r="B61" s="1051"/>
      <c r="C61" s="298" t="s">
        <v>424</v>
      </c>
      <c r="D61" s="298" t="s">
        <v>423</v>
      </c>
      <c r="E61" s="276"/>
      <c r="F61" s="277"/>
      <c r="G61" s="333">
        <f t="shared" si="56"/>
        <v>72587</v>
      </c>
      <c r="H61" s="278">
        <v>71604</v>
      </c>
      <c r="I61" s="278">
        <v>983</v>
      </c>
      <c r="J61" s="352" t="str">
        <f>IFERROR(G61/#REF!,"-")</f>
        <v>-</v>
      </c>
      <c r="K61" s="333">
        <f t="shared" si="57"/>
        <v>72587</v>
      </c>
      <c r="L61" s="272">
        <f t="shared" si="58"/>
        <v>71604</v>
      </c>
      <c r="M61" s="273">
        <f t="shared" si="59"/>
        <v>983</v>
      </c>
      <c r="N61" s="337" t="str">
        <f t="shared" si="60"/>
        <v>-</v>
      </c>
      <c r="O61" s="263">
        <f t="shared" si="28"/>
        <v>1.3542369845840164E-2</v>
      </c>
    </row>
    <row r="62" spans="1:15" ht="23.4" x14ac:dyDescent="0.3">
      <c r="A62" s="274" t="s">
        <v>101</v>
      </c>
      <c r="B62" s="1051"/>
      <c r="C62" s="299" t="s">
        <v>27</v>
      </c>
      <c r="D62" s="299" t="s">
        <v>334</v>
      </c>
      <c r="E62" s="280"/>
      <c r="F62" s="281"/>
      <c r="G62" s="333">
        <f t="shared" si="56"/>
        <v>0</v>
      </c>
      <c r="H62" s="282"/>
      <c r="I62" s="282"/>
      <c r="J62" s="353" t="str">
        <f>IFERROR(G62/#REF!,"-")</f>
        <v>-</v>
      </c>
      <c r="K62" s="333">
        <f t="shared" si="57"/>
        <v>0</v>
      </c>
      <c r="L62" s="272">
        <f t="shared" si="58"/>
        <v>0</v>
      </c>
      <c r="M62" s="273">
        <f t="shared" si="59"/>
        <v>0</v>
      </c>
      <c r="N62" s="283"/>
      <c r="O62" s="263" t="str">
        <f t="shared" si="28"/>
        <v>-</v>
      </c>
    </row>
    <row r="63" spans="1:15" ht="23.4" x14ac:dyDescent="0.3">
      <c r="A63" s="274" t="s">
        <v>101</v>
      </c>
      <c r="B63" s="1051"/>
      <c r="C63" s="299" t="s">
        <v>27</v>
      </c>
      <c r="D63" s="299" t="s">
        <v>234</v>
      </c>
      <c r="E63" s="280"/>
      <c r="F63" s="281"/>
      <c r="G63" s="333">
        <f t="shared" si="56"/>
        <v>0</v>
      </c>
      <c r="H63" s="282"/>
      <c r="I63" s="282"/>
      <c r="J63" s="353" t="str">
        <f>IFERROR(G63/#REF!,"-")</f>
        <v>-</v>
      </c>
      <c r="K63" s="333">
        <f t="shared" si="57"/>
        <v>0</v>
      </c>
      <c r="L63" s="272">
        <f t="shared" si="58"/>
        <v>0</v>
      </c>
      <c r="M63" s="273">
        <f t="shared" si="59"/>
        <v>0</v>
      </c>
      <c r="N63" s="283"/>
      <c r="O63" s="263" t="str">
        <f t="shared" si="28"/>
        <v>-</v>
      </c>
    </row>
    <row r="64" spans="1:15" ht="23.4" x14ac:dyDescent="0.3">
      <c r="A64" s="274" t="s">
        <v>101</v>
      </c>
      <c r="B64" s="1051"/>
      <c r="C64" s="299" t="s">
        <v>27</v>
      </c>
      <c r="D64" s="299" t="s">
        <v>279</v>
      </c>
      <c r="E64" s="280"/>
      <c r="F64" s="281"/>
      <c r="G64" s="333">
        <f t="shared" si="56"/>
        <v>0</v>
      </c>
      <c r="H64" s="282"/>
      <c r="I64" s="282"/>
      <c r="J64" s="353" t="str">
        <f>IFERROR(G64/#REF!,"-")</f>
        <v>-</v>
      </c>
      <c r="K64" s="333">
        <f t="shared" si="57"/>
        <v>0</v>
      </c>
      <c r="L64" s="272">
        <f t="shared" si="58"/>
        <v>0</v>
      </c>
      <c r="M64" s="273">
        <f t="shared" si="59"/>
        <v>0</v>
      </c>
      <c r="N64" s="283"/>
      <c r="O64" s="263" t="str">
        <f t="shared" si="28"/>
        <v>-</v>
      </c>
    </row>
    <row r="65" spans="1:15" ht="22.5" customHeight="1" x14ac:dyDescent="0.3">
      <c r="A65" s="274"/>
      <c r="B65" s="1051"/>
      <c r="C65" s="299" t="s">
        <v>432</v>
      </c>
      <c r="D65" s="299" t="s">
        <v>178</v>
      </c>
      <c r="E65" s="280"/>
      <c r="F65" s="281"/>
      <c r="G65" s="334">
        <f t="shared" si="56"/>
        <v>0</v>
      </c>
      <c r="H65" s="282"/>
      <c r="I65" s="282"/>
      <c r="J65" s="353" t="str">
        <f>IFERROR(G65/#REF!,"-")</f>
        <v>-</v>
      </c>
      <c r="K65" s="334">
        <f t="shared" si="57"/>
        <v>0</v>
      </c>
      <c r="L65" s="272">
        <f t="shared" si="58"/>
        <v>0</v>
      </c>
      <c r="M65" s="273">
        <f t="shared" si="59"/>
        <v>0</v>
      </c>
      <c r="N65" s="283"/>
      <c r="O65" s="263" t="str">
        <f t="shared" si="28"/>
        <v>-</v>
      </c>
    </row>
    <row r="66" spans="1:15" ht="23.4" x14ac:dyDescent="0.3">
      <c r="A66" s="274"/>
      <c r="B66" s="1051"/>
      <c r="C66" s="299" t="s">
        <v>333</v>
      </c>
      <c r="D66" s="299" t="s">
        <v>94</v>
      </c>
      <c r="E66" s="280"/>
      <c r="F66" s="281"/>
      <c r="G66" s="334">
        <f t="shared" si="56"/>
        <v>0</v>
      </c>
      <c r="H66" s="282"/>
      <c r="I66" s="282"/>
      <c r="J66" s="353" t="str">
        <f>IFERROR(G66/#REF!,"-")</f>
        <v>-</v>
      </c>
      <c r="K66" s="334">
        <f t="shared" si="57"/>
        <v>0</v>
      </c>
      <c r="L66" s="272">
        <f t="shared" si="58"/>
        <v>0</v>
      </c>
      <c r="M66" s="273">
        <f t="shared" si="59"/>
        <v>0</v>
      </c>
      <c r="N66" s="283"/>
      <c r="O66" s="263" t="str">
        <f t="shared" si="28"/>
        <v>-</v>
      </c>
    </row>
    <row r="67" spans="1:15" ht="23.4" x14ac:dyDescent="0.3">
      <c r="A67" s="274"/>
      <c r="B67" s="1051"/>
      <c r="C67" s="299" t="s">
        <v>433</v>
      </c>
      <c r="D67" s="299" t="s">
        <v>178</v>
      </c>
      <c r="E67" s="280"/>
      <c r="F67" s="281"/>
      <c r="G67" s="334">
        <f t="shared" si="56"/>
        <v>0</v>
      </c>
      <c r="H67" s="282"/>
      <c r="I67" s="282"/>
      <c r="J67" s="353" t="str">
        <f>IFERROR(G67/#REF!,"-")</f>
        <v>-</v>
      </c>
      <c r="K67" s="334">
        <f t="shared" si="57"/>
        <v>0</v>
      </c>
      <c r="L67" s="272">
        <f t="shared" si="58"/>
        <v>0</v>
      </c>
      <c r="M67" s="272">
        <f t="shared" si="59"/>
        <v>0</v>
      </c>
      <c r="N67" s="283"/>
      <c r="O67" s="263" t="str">
        <f t="shared" si="28"/>
        <v>-</v>
      </c>
    </row>
    <row r="68" spans="1:15" ht="23.4" x14ac:dyDescent="0.3">
      <c r="A68" s="274"/>
      <c r="B68" s="1051"/>
      <c r="C68" s="299" t="s">
        <v>382</v>
      </c>
      <c r="D68" s="299" t="s">
        <v>366</v>
      </c>
      <c r="E68" s="280"/>
      <c r="F68" s="281"/>
      <c r="G68" s="334">
        <f t="shared" si="56"/>
        <v>0</v>
      </c>
      <c r="H68" s="282"/>
      <c r="I68" s="282"/>
      <c r="J68" s="353" t="str">
        <f>IFERROR(G68/#REF!,"-")</f>
        <v>-</v>
      </c>
      <c r="K68" s="334">
        <f t="shared" si="57"/>
        <v>0</v>
      </c>
      <c r="L68" s="272">
        <f t="shared" si="58"/>
        <v>0</v>
      </c>
      <c r="M68" s="273">
        <f t="shared" si="59"/>
        <v>0</v>
      </c>
      <c r="N68" s="283"/>
      <c r="O68" s="263" t="str">
        <f t="shared" si="28"/>
        <v>-</v>
      </c>
    </row>
    <row r="69" spans="1:15" ht="24" thickBot="1" x14ac:dyDescent="0.35">
      <c r="A69" s="274" t="s">
        <v>101</v>
      </c>
      <c r="B69" s="1051"/>
      <c r="C69" s="300" t="s">
        <v>290</v>
      </c>
      <c r="D69" s="299" t="s">
        <v>289</v>
      </c>
      <c r="E69" s="280"/>
      <c r="F69" s="281"/>
      <c r="G69" s="334">
        <f t="shared" si="56"/>
        <v>0</v>
      </c>
      <c r="H69" s="282"/>
      <c r="I69" s="282"/>
      <c r="J69" s="353" t="str">
        <f>IFERROR(G69/#REF!,"-")</f>
        <v>-</v>
      </c>
      <c r="K69" s="334">
        <f t="shared" si="57"/>
        <v>0</v>
      </c>
      <c r="L69" s="272">
        <f t="shared" si="58"/>
        <v>0</v>
      </c>
      <c r="M69" s="273">
        <f t="shared" si="59"/>
        <v>0</v>
      </c>
      <c r="N69" s="338" t="str">
        <f t="shared" ref="N69:N78" si="61">IFERROR(K69/E69,"-")</f>
        <v>-</v>
      </c>
      <c r="O69" s="347" t="str">
        <f t="shared" si="28"/>
        <v>-</v>
      </c>
    </row>
    <row r="70" spans="1:15" ht="24" thickBot="1" x14ac:dyDescent="0.35">
      <c r="A70" s="274" t="s">
        <v>101</v>
      </c>
      <c r="B70" s="1052"/>
      <c r="C70" s="301"/>
      <c r="D70" s="302" t="s">
        <v>52</v>
      </c>
      <c r="E70" s="284">
        <f>SUM(E60:E69)</f>
        <v>0</v>
      </c>
      <c r="F70" s="285">
        <v>160000</v>
      </c>
      <c r="G70" s="320">
        <f>SUM(G60:G69)</f>
        <v>72587</v>
      </c>
      <c r="H70" s="321">
        <f>SUM(H60:H69)</f>
        <v>71604</v>
      </c>
      <c r="I70" s="321">
        <f>SUM(I60:I69)</f>
        <v>983</v>
      </c>
      <c r="J70" s="345">
        <f>+G70/F70</f>
        <v>0.45366875000000001</v>
      </c>
      <c r="K70" s="320">
        <f>SUM(K60:K69)</f>
        <v>72587</v>
      </c>
      <c r="L70" s="321">
        <f>SUM(L60:L69)</f>
        <v>71604</v>
      </c>
      <c r="M70" s="322">
        <f>SUM(M60:M69)</f>
        <v>983</v>
      </c>
      <c r="N70" s="339" t="str">
        <f t="shared" si="61"/>
        <v>-</v>
      </c>
      <c r="O70" s="345">
        <f t="shared" si="28"/>
        <v>1.3542369845840164E-2</v>
      </c>
    </row>
    <row r="71" spans="1:15" ht="23.4" x14ac:dyDescent="0.3">
      <c r="A71" s="274" t="s">
        <v>101</v>
      </c>
      <c r="B71" s="1053" t="s">
        <v>28</v>
      </c>
      <c r="C71" s="299" t="s">
        <v>27</v>
      </c>
      <c r="D71" s="297" t="s">
        <v>178</v>
      </c>
      <c r="E71" s="270"/>
      <c r="F71" s="271"/>
      <c r="G71" s="332">
        <f t="shared" ref="G71:G77" si="62">+H71+I71</f>
        <v>0</v>
      </c>
      <c r="H71" s="272"/>
      <c r="I71" s="272"/>
      <c r="J71" s="351" t="str">
        <f>IFERROR(G71/#REF!,"-")</f>
        <v>-</v>
      </c>
      <c r="K71" s="332">
        <f t="shared" ref="K71:K77" si="63">+L71+M71</f>
        <v>0</v>
      </c>
      <c r="L71" s="272">
        <f t="shared" ref="L71:L77" si="64">+H71</f>
        <v>0</v>
      </c>
      <c r="M71" s="273">
        <f t="shared" ref="M71:M77" si="65">+I71</f>
        <v>0</v>
      </c>
      <c r="N71" s="336" t="str">
        <f t="shared" si="61"/>
        <v>-</v>
      </c>
      <c r="O71" s="346" t="str">
        <f t="shared" si="28"/>
        <v>-</v>
      </c>
    </row>
    <row r="72" spans="1:15" ht="23.4" x14ac:dyDescent="0.3">
      <c r="A72" s="274" t="s">
        <v>101</v>
      </c>
      <c r="B72" s="1051"/>
      <c r="C72" s="299" t="s">
        <v>385</v>
      </c>
      <c r="D72" s="299" t="s">
        <v>334</v>
      </c>
      <c r="E72" s="276"/>
      <c r="F72" s="277"/>
      <c r="G72" s="333">
        <f t="shared" si="62"/>
        <v>20328</v>
      </c>
      <c r="H72" s="278">
        <v>19890</v>
      </c>
      <c r="I72" s="278">
        <v>438</v>
      </c>
      <c r="J72" s="352" t="str">
        <f>IFERROR(G72/#REF!,"-")</f>
        <v>-</v>
      </c>
      <c r="K72" s="333">
        <f t="shared" si="63"/>
        <v>20328</v>
      </c>
      <c r="L72" s="272">
        <f t="shared" si="64"/>
        <v>19890</v>
      </c>
      <c r="M72" s="273">
        <f t="shared" si="65"/>
        <v>438</v>
      </c>
      <c r="N72" s="337" t="str">
        <f t="shared" si="61"/>
        <v>-</v>
      </c>
      <c r="O72" s="263">
        <f t="shared" si="28"/>
        <v>2.1546635182998819E-2</v>
      </c>
    </row>
    <row r="73" spans="1:15" ht="23.4" x14ac:dyDescent="0.3">
      <c r="A73" s="274" t="s">
        <v>101</v>
      </c>
      <c r="B73" s="1051"/>
      <c r="C73" s="299" t="s">
        <v>27</v>
      </c>
      <c r="D73" s="299" t="s">
        <v>334</v>
      </c>
      <c r="E73" s="276"/>
      <c r="F73" s="277"/>
      <c r="G73" s="333">
        <f t="shared" si="62"/>
        <v>0</v>
      </c>
      <c r="H73" s="278"/>
      <c r="I73" s="278"/>
      <c r="J73" s="352" t="str">
        <f>IFERROR(G73/#REF!,"-")</f>
        <v>-</v>
      </c>
      <c r="K73" s="333">
        <f t="shared" si="63"/>
        <v>0</v>
      </c>
      <c r="L73" s="272">
        <f t="shared" si="64"/>
        <v>0</v>
      </c>
      <c r="M73" s="273">
        <f t="shared" si="65"/>
        <v>0</v>
      </c>
      <c r="N73" s="337" t="str">
        <f t="shared" si="61"/>
        <v>-</v>
      </c>
      <c r="O73" s="263" t="str">
        <f t="shared" si="28"/>
        <v>-</v>
      </c>
    </row>
    <row r="74" spans="1:15" ht="23.4" x14ac:dyDescent="0.3">
      <c r="A74" s="274"/>
      <c r="B74" s="1051"/>
      <c r="C74" s="299" t="s">
        <v>460</v>
      </c>
      <c r="D74" s="299" t="s">
        <v>334</v>
      </c>
      <c r="E74" s="280"/>
      <c r="F74" s="281"/>
      <c r="G74" s="333">
        <f t="shared" si="62"/>
        <v>0</v>
      </c>
      <c r="H74" s="282"/>
      <c r="I74" s="282"/>
      <c r="J74" s="352" t="str">
        <f>IFERROR(G74/#REF!,"-")</f>
        <v>-</v>
      </c>
      <c r="K74" s="333">
        <f t="shared" si="63"/>
        <v>0</v>
      </c>
      <c r="L74" s="272">
        <f t="shared" si="64"/>
        <v>0</v>
      </c>
      <c r="M74" s="273">
        <f t="shared" si="65"/>
        <v>0</v>
      </c>
      <c r="N74" s="338"/>
      <c r="O74" s="347"/>
    </row>
    <row r="75" spans="1:15" ht="23.4" x14ac:dyDescent="0.3">
      <c r="A75" s="274" t="s">
        <v>101</v>
      </c>
      <c r="B75" s="1051"/>
      <c r="C75" s="299" t="s">
        <v>382</v>
      </c>
      <c r="D75" s="300" t="s">
        <v>366</v>
      </c>
      <c r="E75" s="280"/>
      <c r="F75" s="281"/>
      <c r="G75" s="334">
        <f t="shared" si="62"/>
        <v>0</v>
      </c>
      <c r="H75" s="282"/>
      <c r="I75" s="282"/>
      <c r="J75" s="352" t="str">
        <f>IFERROR(G75/#REF!,"-")</f>
        <v>-</v>
      </c>
      <c r="K75" s="334">
        <f t="shared" si="63"/>
        <v>0</v>
      </c>
      <c r="L75" s="272">
        <f t="shared" si="64"/>
        <v>0</v>
      </c>
      <c r="M75" s="702">
        <f t="shared" si="65"/>
        <v>0</v>
      </c>
      <c r="N75" s="338" t="str">
        <f t="shared" si="61"/>
        <v>-</v>
      </c>
      <c r="O75" s="347" t="str">
        <f t="shared" si="28"/>
        <v>-</v>
      </c>
    </row>
    <row r="76" spans="1:15" ht="23.4" x14ac:dyDescent="0.3">
      <c r="A76" s="274"/>
      <c r="B76" s="1051"/>
      <c r="C76" s="299" t="s">
        <v>458</v>
      </c>
      <c r="D76" s="300" t="s">
        <v>280</v>
      </c>
      <c r="E76" s="280"/>
      <c r="F76" s="281"/>
      <c r="G76" s="334"/>
      <c r="H76" s="282"/>
      <c r="I76" s="282"/>
      <c r="J76" s="352" t="str">
        <f>IFERROR(G76/#REF!,"-")</f>
        <v>-</v>
      </c>
      <c r="K76" s="334">
        <f t="shared" si="63"/>
        <v>0</v>
      </c>
      <c r="L76" s="272">
        <f t="shared" si="64"/>
        <v>0</v>
      </c>
      <c r="M76" s="272">
        <f t="shared" si="65"/>
        <v>0</v>
      </c>
      <c r="N76" s="338"/>
      <c r="O76" s="347"/>
    </row>
    <row r="77" spans="1:15" ht="24" thickBot="1" x14ac:dyDescent="0.35">
      <c r="A77" s="274" t="s">
        <v>101</v>
      </c>
      <c r="B77" s="1051"/>
      <c r="C77" s="299" t="s">
        <v>27</v>
      </c>
      <c r="D77" s="300" t="s">
        <v>234</v>
      </c>
      <c r="E77" s="280"/>
      <c r="F77" s="281"/>
      <c r="G77" s="334">
        <f t="shared" si="62"/>
        <v>0</v>
      </c>
      <c r="H77" s="282"/>
      <c r="I77" s="282"/>
      <c r="J77" s="353" t="str">
        <f>IFERROR(G77/#REF!,"-")</f>
        <v>-</v>
      </c>
      <c r="K77" s="334">
        <f t="shared" si="63"/>
        <v>0</v>
      </c>
      <c r="L77" s="272">
        <f t="shared" si="64"/>
        <v>0</v>
      </c>
      <c r="M77" s="702">
        <f t="shared" si="65"/>
        <v>0</v>
      </c>
      <c r="N77" s="338" t="str">
        <f t="shared" si="61"/>
        <v>-</v>
      </c>
      <c r="O77" s="347" t="str">
        <f t="shared" si="28"/>
        <v>-</v>
      </c>
    </row>
    <row r="78" spans="1:15" ht="24" thickBot="1" x14ac:dyDescent="0.35">
      <c r="A78" s="274" t="s">
        <v>101</v>
      </c>
      <c r="B78" s="1051"/>
      <c r="C78" s="304"/>
      <c r="D78" s="305" t="s">
        <v>52</v>
      </c>
      <c r="E78" s="306">
        <f>SUM(E71:E77)</f>
        <v>0</v>
      </c>
      <c r="F78" s="307">
        <v>80000</v>
      </c>
      <c r="G78" s="366">
        <f>SUM(G71:G77)</f>
        <v>20328</v>
      </c>
      <c r="H78" s="365">
        <f>SUM(H71:H77)</f>
        <v>19890</v>
      </c>
      <c r="I78" s="365">
        <f>SUM(I71:I77)</f>
        <v>438</v>
      </c>
      <c r="J78" s="356">
        <f>+G78/F78</f>
        <v>0.25409999999999999</v>
      </c>
      <c r="K78" s="366">
        <f>SUM(K71:K77)</f>
        <v>20328</v>
      </c>
      <c r="L78" s="365">
        <f>SUM(L71:L77)</f>
        <v>19890</v>
      </c>
      <c r="M78" s="367">
        <f>SUM(M71:M77)</f>
        <v>438</v>
      </c>
      <c r="N78" s="355" t="str">
        <f t="shared" si="61"/>
        <v>-</v>
      </c>
      <c r="O78" s="356">
        <f t="shared" si="28"/>
        <v>2.1546635182998819E-2</v>
      </c>
    </row>
    <row r="79" spans="1:15" ht="24" thickBot="1" x14ac:dyDescent="0.35">
      <c r="A79" s="744" t="s">
        <v>101</v>
      </c>
      <c r="B79" s="1054" t="s">
        <v>162</v>
      </c>
      <c r="C79" s="1055"/>
      <c r="D79" s="1056"/>
      <c r="E79" s="308">
        <f>+E78+E70</f>
        <v>0</v>
      </c>
      <c r="F79" s="309">
        <v>240000</v>
      </c>
      <c r="G79" s="369">
        <f>+G70+G78</f>
        <v>92915</v>
      </c>
      <c r="H79" s="368">
        <f>+H70+H78</f>
        <v>91494</v>
      </c>
      <c r="I79" s="368">
        <f>+I70+I78</f>
        <v>1421</v>
      </c>
      <c r="J79" s="358">
        <f>+G79/F79</f>
        <v>0.38714583333333336</v>
      </c>
      <c r="K79" s="369">
        <f>+K70+K78</f>
        <v>92915</v>
      </c>
      <c r="L79" s="368">
        <f>+L70+L78</f>
        <v>91494</v>
      </c>
      <c r="M79" s="370">
        <f>+M70+M78</f>
        <v>1421</v>
      </c>
      <c r="N79" s="357" t="str">
        <f>IFERROR(K79/E79,"-")</f>
        <v>-</v>
      </c>
      <c r="O79" s="358">
        <f t="shared" si="28"/>
        <v>1.5293547866329442E-2</v>
      </c>
    </row>
    <row r="80" spans="1:15" ht="23.4" x14ac:dyDescent="0.3">
      <c r="A80" s="274" t="s">
        <v>101</v>
      </c>
      <c r="B80" s="1051" t="s">
        <v>30</v>
      </c>
      <c r="C80" s="303" t="s">
        <v>446</v>
      </c>
      <c r="D80" s="299" t="s">
        <v>334</v>
      </c>
      <c r="E80" s="270"/>
      <c r="F80" s="271"/>
      <c r="G80" s="332">
        <f t="shared" ref="G80:G82" si="66">+H80+I80</f>
        <v>0</v>
      </c>
      <c r="H80" s="272"/>
      <c r="I80" s="272"/>
      <c r="J80" s="351" t="str">
        <f>IFERROR(G80/#REF!,"-")</f>
        <v>-</v>
      </c>
      <c r="K80" s="332">
        <f t="shared" ref="K80:K82" si="67">+L80+M80</f>
        <v>0</v>
      </c>
      <c r="L80" s="272">
        <f t="shared" ref="L80:L82" si="68">+H80</f>
        <v>0</v>
      </c>
      <c r="M80" s="273">
        <f t="shared" ref="M80:M82" si="69">+I80</f>
        <v>0</v>
      </c>
      <c r="N80" s="336" t="str">
        <f t="shared" ref="N80:N84" si="70">IFERROR(K80/E80,"-")</f>
        <v>-</v>
      </c>
      <c r="O80" s="346" t="str">
        <f t="shared" si="28"/>
        <v>-</v>
      </c>
    </row>
    <row r="81" spans="1:15" ht="23.4" x14ac:dyDescent="0.3">
      <c r="A81" s="274" t="s">
        <v>101</v>
      </c>
      <c r="B81" s="1051"/>
      <c r="C81" s="300" t="s">
        <v>429</v>
      </c>
      <c r="D81" s="303" t="s">
        <v>366</v>
      </c>
      <c r="E81" s="276"/>
      <c r="F81" s="277"/>
      <c r="G81" s="333">
        <f t="shared" si="66"/>
        <v>0</v>
      </c>
      <c r="H81" s="278"/>
      <c r="I81" s="278"/>
      <c r="J81" s="352" t="str">
        <f>IFERROR(G81/#REF!,"-")</f>
        <v>-</v>
      </c>
      <c r="K81" s="333">
        <f t="shared" si="67"/>
        <v>0</v>
      </c>
      <c r="L81" s="272">
        <f t="shared" si="68"/>
        <v>0</v>
      </c>
      <c r="M81" s="273">
        <f t="shared" si="69"/>
        <v>0</v>
      </c>
      <c r="N81" s="337" t="str">
        <f t="shared" si="70"/>
        <v>-</v>
      </c>
      <c r="O81" s="263" t="str">
        <f t="shared" si="28"/>
        <v>-</v>
      </c>
    </row>
    <row r="82" spans="1:15" ht="24" thickBot="1" x14ac:dyDescent="0.35">
      <c r="A82" s="274" t="s">
        <v>101</v>
      </c>
      <c r="B82" s="1051"/>
      <c r="C82" s="300" t="s">
        <v>291</v>
      </c>
      <c r="D82" s="300" t="s">
        <v>366</v>
      </c>
      <c r="E82" s="280"/>
      <c r="F82" s="281"/>
      <c r="G82" s="334">
        <f t="shared" si="66"/>
        <v>0</v>
      </c>
      <c r="H82" s="282"/>
      <c r="I82" s="282"/>
      <c r="J82" s="353" t="str">
        <f>IFERROR(G82/#REF!,"-")</f>
        <v>-</v>
      </c>
      <c r="K82" s="334">
        <f t="shared" si="67"/>
        <v>0</v>
      </c>
      <c r="L82" s="272">
        <f t="shared" si="68"/>
        <v>0</v>
      </c>
      <c r="M82" s="273">
        <f t="shared" si="69"/>
        <v>0</v>
      </c>
      <c r="N82" s="338" t="str">
        <f t="shared" si="70"/>
        <v>-</v>
      </c>
      <c r="O82" s="347" t="str">
        <f t="shared" si="28"/>
        <v>-</v>
      </c>
    </row>
    <row r="83" spans="1:15" ht="24" thickBot="1" x14ac:dyDescent="0.35">
      <c r="A83" s="274" t="s">
        <v>101</v>
      </c>
      <c r="B83" s="1051"/>
      <c r="C83" s="301"/>
      <c r="D83" s="302" t="s">
        <v>50</v>
      </c>
      <c r="E83" s="284">
        <v>0</v>
      </c>
      <c r="F83" s="285">
        <v>50000</v>
      </c>
      <c r="G83" s="320">
        <f>SUM(G80:G82)</f>
        <v>0</v>
      </c>
      <c r="H83" s="321">
        <f>SUM(H80:H82)</f>
        <v>0</v>
      </c>
      <c r="I83" s="321">
        <f>SUM(I80:I82)</f>
        <v>0</v>
      </c>
      <c r="J83" s="345" t="e">
        <f>+H83/G83</f>
        <v>#DIV/0!</v>
      </c>
      <c r="K83" s="320">
        <f>SUM(K80:K82)</f>
        <v>0</v>
      </c>
      <c r="L83" s="321">
        <f>SUM(L80:L82)</f>
        <v>0</v>
      </c>
      <c r="M83" s="322">
        <f>SUM(M80:M82)</f>
        <v>0</v>
      </c>
      <c r="N83" s="339" t="str">
        <f t="shared" si="70"/>
        <v>-</v>
      </c>
      <c r="O83" s="345" t="str">
        <f t="shared" si="28"/>
        <v>-</v>
      </c>
    </row>
    <row r="84" spans="1:15" ht="23.4" x14ac:dyDescent="0.3">
      <c r="A84" s="274" t="s">
        <v>101</v>
      </c>
      <c r="B84" s="1051"/>
      <c r="C84" s="297" t="s">
        <v>434</v>
      </c>
      <c r="D84" s="297" t="s">
        <v>92</v>
      </c>
      <c r="E84" s="270"/>
      <c r="F84" s="271"/>
      <c r="G84" s="332">
        <f t="shared" ref="G84:G85" si="71">+H84+I84</f>
        <v>0</v>
      </c>
      <c r="H84" s="272"/>
      <c r="I84" s="272"/>
      <c r="J84" s="351" t="str">
        <f>IFERROR(G84/#REF!,"-")</f>
        <v>-</v>
      </c>
      <c r="K84" s="332">
        <f t="shared" ref="K84:K89" si="72">+L84+M84</f>
        <v>0</v>
      </c>
      <c r="L84" s="272">
        <f t="shared" ref="L84:L89" si="73">+H84</f>
        <v>0</v>
      </c>
      <c r="M84" s="273">
        <f t="shared" ref="M84:M89" si="74">+I84</f>
        <v>0</v>
      </c>
      <c r="N84" s="336" t="str">
        <f t="shared" si="70"/>
        <v>-</v>
      </c>
      <c r="O84" s="346" t="str">
        <f t="shared" si="28"/>
        <v>-</v>
      </c>
    </row>
    <row r="85" spans="1:15" ht="23.4" x14ac:dyDescent="0.3">
      <c r="A85" s="274"/>
      <c r="B85" s="1051"/>
      <c r="C85" s="303" t="s">
        <v>449</v>
      </c>
      <c r="D85" s="299" t="s">
        <v>334</v>
      </c>
      <c r="E85" s="270"/>
      <c r="F85" s="271"/>
      <c r="G85" s="332">
        <f t="shared" si="71"/>
        <v>0</v>
      </c>
      <c r="H85" s="272"/>
      <c r="I85" s="272"/>
      <c r="J85" s="351" t="str">
        <f>IFERROR(G85/#REF!,"-")</f>
        <v>-</v>
      </c>
      <c r="K85" s="332">
        <f t="shared" si="72"/>
        <v>0</v>
      </c>
      <c r="L85" s="272">
        <f t="shared" si="73"/>
        <v>0</v>
      </c>
      <c r="M85" s="273">
        <f t="shared" si="74"/>
        <v>0</v>
      </c>
      <c r="N85" s="337" t="str">
        <f t="shared" ref="N85:N93" si="75">IFERROR(K85/E85,"-")</f>
        <v>-</v>
      </c>
      <c r="O85" s="346" t="str">
        <f t="shared" si="28"/>
        <v>-</v>
      </c>
    </row>
    <row r="86" spans="1:15" ht="23.4" x14ac:dyDescent="0.3">
      <c r="A86" s="274"/>
      <c r="B86" s="1051"/>
      <c r="C86" s="303" t="s">
        <v>452</v>
      </c>
      <c r="D86" s="299" t="s">
        <v>334</v>
      </c>
      <c r="E86" s="270"/>
      <c r="F86" s="271"/>
      <c r="G86" s="332"/>
      <c r="H86" s="272"/>
      <c r="I86" s="272"/>
      <c r="J86" s="351" t="str">
        <f>IFERROR(G86/#REF!,"-")</f>
        <v>-</v>
      </c>
      <c r="K86" s="332">
        <f t="shared" si="72"/>
        <v>0</v>
      </c>
      <c r="L86" s="272">
        <f t="shared" si="73"/>
        <v>0</v>
      </c>
      <c r="M86" s="273">
        <f t="shared" si="74"/>
        <v>0</v>
      </c>
      <c r="N86" s="337" t="str">
        <f t="shared" si="75"/>
        <v>-</v>
      </c>
      <c r="O86" s="346" t="str">
        <f t="shared" si="28"/>
        <v>-</v>
      </c>
    </row>
    <row r="87" spans="1:15" ht="23.4" x14ac:dyDescent="0.3">
      <c r="A87" s="274" t="s">
        <v>101</v>
      </c>
      <c r="B87" s="1051"/>
      <c r="C87" s="303" t="s">
        <v>335</v>
      </c>
      <c r="D87" s="303" t="s">
        <v>234</v>
      </c>
      <c r="E87" s="276"/>
      <c r="F87" s="277"/>
      <c r="G87" s="333">
        <f t="shared" ref="G87:G89" si="76">+H87+I87</f>
        <v>0</v>
      </c>
      <c r="H87" s="278"/>
      <c r="I87" s="278"/>
      <c r="J87" s="351" t="str">
        <f>IFERROR(G87/#REF!,"-")</f>
        <v>-</v>
      </c>
      <c r="K87" s="333">
        <f t="shared" si="72"/>
        <v>0</v>
      </c>
      <c r="L87" s="272">
        <f t="shared" si="73"/>
        <v>0</v>
      </c>
      <c r="M87" s="273">
        <f t="shared" si="74"/>
        <v>0</v>
      </c>
      <c r="N87" s="337" t="str">
        <f t="shared" si="75"/>
        <v>-</v>
      </c>
      <c r="O87" s="263" t="str">
        <f t="shared" si="28"/>
        <v>-</v>
      </c>
    </row>
    <row r="88" spans="1:15" ht="23.4" x14ac:dyDescent="0.3">
      <c r="A88" s="274"/>
      <c r="B88" s="1051"/>
      <c r="C88" s="300" t="s">
        <v>459</v>
      </c>
      <c r="D88" s="300" t="s">
        <v>366</v>
      </c>
      <c r="E88" s="280"/>
      <c r="F88" s="281"/>
      <c r="G88" s="334"/>
      <c r="H88" s="282"/>
      <c r="I88" s="282"/>
      <c r="J88" s="351" t="str">
        <f>IFERROR(G88/#REF!,"-")</f>
        <v>-</v>
      </c>
      <c r="K88" s="333">
        <f t="shared" si="72"/>
        <v>0</v>
      </c>
      <c r="L88" s="272">
        <f t="shared" si="73"/>
        <v>0</v>
      </c>
      <c r="M88" s="272">
        <f t="shared" si="74"/>
        <v>0</v>
      </c>
      <c r="N88" s="337" t="str">
        <f t="shared" si="75"/>
        <v>-</v>
      </c>
      <c r="O88" s="263" t="str">
        <f t="shared" si="28"/>
        <v>-</v>
      </c>
    </row>
    <row r="89" spans="1:15" ht="24" thickBot="1" x14ac:dyDescent="0.35">
      <c r="A89" s="274" t="s">
        <v>101</v>
      </c>
      <c r="B89" s="1051"/>
      <c r="C89" s="300" t="s">
        <v>435</v>
      </c>
      <c r="D89" s="300" t="s">
        <v>423</v>
      </c>
      <c r="E89" s="280"/>
      <c r="F89" s="281"/>
      <c r="G89" s="334">
        <f t="shared" si="76"/>
        <v>0</v>
      </c>
      <c r="H89" s="282"/>
      <c r="I89" s="282"/>
      <c r="J89" s="353" t="str">
        <f>IFERROR(G89/#REF!,"-")</f>
        <v>-</v>
      </c>
      <c r="K89" s="334">
        <f t="shared" si="72"/>
        <v>0</v>
      </c>
      <c r="L89" s="272">
        <f t="shared" si="73"/>
        <v>0</v>
      </c>
      <c r="M89" s="273">
        <f t="shared" si="74"/>
        <v>0</v>
      </c>
      <c r="N89" s="338" t="str">
        <f t="shared" si="75"/>
        <v>-</v>
      </c>
      <c r="O89" s="347" t="str">
        <f t="shared" si="28"/>
        <v>-</v>
      </c>
    </row>
    <row r="90" spans="1:15" ht="24" thickBot="1" x14ac:dyDescent="0.35">
      <c r="A90" s="274" t="s">
        <v>101</v>
      </c>
      <c r="B90" s="1051"/>
      <c r="C90" s="304"/>
      <c r="D90" s="305" t="s">
        <v>51</v>
      </c>
      <c r="E90" s="306">
        <f>SUM(E84)</f>
        <v>0</v>
      </c>
      <c r="F90" s="307">
        <v>50000</v>
      </c>
      <c r="G90" s="366">
        <f>SUM(G84:G89)</f>
        <v>0</v>
      </c>
      <c r="H90" s="365">
        <f t="shared" ref="H90:I90" si="77">SUM(H84:H89)</f>
        <v>0</v>
      </c>
      <c r="I90" s="365">
        <f t="shared" si="77"/>
        <v>0</v>
      </c>
      <c r="J90" s="356">
        <f>+G90/F90</f>
        <v>0</v>
      </c>
      <c r="K90" s="366">
        <f t="shared" ref="K90:M90" si="78">SUM(K84:K89)</f>
        <v>0</v>
      </c>
      <c r="L90" s="365">
        <f t="shared" si="78"/>
        <v>0</v>
      </c>
      <c r="M90" s="367">
        <f t="shared" si="78"/>
        <v>0</v>
      </c>
      <c r="N90" s="355" t="str">
        <f t="shared" si="75"/>
        <v>-</v>
      </c>
      <c r="O90" s="356" t="str">
        <f t="shared" si="28"/>
        <v>-</v>
      </c>
    </row>
    <row r="91" spans="1:15" ht="24" thickBot="1" x14ac:dyDescent="0.35">
      <c r="A91" s="274" t="s">
        <v>101</v>
      </c>
      <c r="B91" s="1054" t="s">
        <v>163</v>
      </c>
      <c r="C91" s="1055"/>
      <c r="D91" s="1056"/>
      <c r="E91" s="308">
        <f>+E90+E83</f>
        <v>0</v>
      </c>
      <c r="F91" s="309">
        <v>50000</v>
      </c>
      <c r="G91" s="369">
        <f>+G83+G90</f>
        <v>0</v>
      </c>
      <c r="H91" s="368">
        <f t="shared" ref="H91:I91" si="79">+H83+H90</f>
        <v>0</v>
      </c>
      <c r="I91" s="368">
        <f t="shared" si="79"/>
        <v>0</v>
      </c>
      <c r="J91" s="358">
        <f>+G91/F91</f>
        <v>0</v>
      </c>
      <c r="K91" s="369">
        <f t="shared" ref="K91:M91" si="80">+K83+K90</f>
        <v>0</v>
      </c>
      <c r="L91" s="368">
        <f t="shared" si="80"/>
        <v>0</v>
      </c>
      <c r="M91" s="370">
        <f t="shared" si="80"/>
        <v>0</v>
      </c>
      <c r="N91" s="357" t="str">
        <f t="shared" si="75"/>
        <v>-</v>
      </c>
      <c r="O91" s="358" t="str">
        <f t="shared" si="28"/>
        <v>-</v>
      </c>
    </row>
    <row r="92" spans="1:15" ht="24" thickBot="1" x14ac:dyDescent="0.35">
      <c r="A92" s="274" t="s">
        <v>101</v>
      </c>
      <c r="B92" s="598" t="s">
        <v>32</v>
      </c>
      <c r="C92" s="737"/>
      <c r="D92" s="310" t="s">
        <v>32</v>
      </c>
      <c r="E92" s="287">
        <v>0</v>
      </c>
      <c r="F92" s="288">
        <v>110000</v>
      </c>
      <c r="G92" s="335">
        <f t="shared" ref="G92" si="81">+H92+I92</f>
        <v>0</v>
      </c>
      <c r="H92" s="289"/>
      <c r="I92" s="289"/>
      <c r="J92" s="354" t="str">
        <f>IFERROR(G92/#REF!,"-")</f>
        <v>-</v>
      </c>
      <c r="K92" s="335">
        <f>+L92+M92</f>
        <v>0</v>
      </c>
      <c r="L92" s="289">
        <f>+H92</f>
        <v>0</v>
      </c>
      <c r="M92" s="290">
        <f>+I92</f>
        <v>0</v>
      </c>
      <c r="N92" s="340" t="str">
        <f t="shared" si="75"/>
        <v>-</v>
      </c>
      <c r="O92" s="348" t="str">
        <f t="shared" si="28"/>
        <v>-</v>
      </c>
    </row>
    <row r="93" spans="1:15" ht="24" thickBot="1" x14ac:dyDescent="0.35">
      <c r="A93" s="274" t="s">
        <v>101</v>
      </c>
      <c r="B93" s="1047" t="s">
        <v>21</v>
      </c>
      <c r="C93" s="1048"/>
      <c r="D93" s="1049"/>
      <c r="E93" s="326">
        <f>+E79+E91+E92</f>
        <v>0</v>
      </c>
      <c r="F93" s="327">
        <f>+F79+F91+F92</f>
        <v>400000</v>
      </c>
      <c r="G93" s="326">
        <f>+G79+G91+G92</f>
        <v>92915</v>
      </c>
      <c r="H93" s="324">
        <f>+H79+H91+H92</f>
        <v>91494</v>
      </c>
      <c r="I93" s="324">
        <f>+I79+I91+I92</f>
        <v>1421</v>
      </c>
      <c r="J93" s="349">
        <f>+G93/F93</f>
        <v>0.23228750000000001</v>
      </c>
      <c r="K93" s="326">
        <f>+K79+K91+K92</f>
        <v>92915</v>
      </c>
      <c r="L93" s="324">
        <f>+L79+L91+L92</f>
        <v>91494</v>
      </c>
      <c r="M93" s="325">
        <f>+M79+M91+M92</f>
        <v>1421</v>
      </c>
      <c r="N93" s="341" t="str">
        <f t="shared" si="75"/>
        <v>-</v>
      </c>
      <c r="O93" s="349">
        <f t="shared" si="28"/>
        <v>1.5293547866329442E-2</v>
      </c>
    </row>
    <row r="94" spans="1:15" ht="24" thickBot="1" x14ac:dyDescent="0.35">
      <c r="A94" s="274" t="s">
        <v>101</v>
      </c>
      <c r="B94" s="1019" t="s">
        <v>171</v>
      </c>
      <c r="C94" s="1020"/>
      <c r="D94" s="1021"/>
      <c r="E94" s="330">
        <f>+E93</f>
        <v>0</v>
      </c>
      <c r="F94" s="331">
        <f t="shared" ref="F94:I94" si="82">+F93</f>
        <v>400000</v>
      </c>
      <c r="G94" s="330">
        <f t="shared" si="82"/>
        <v>92915</v>
      </c>
      <c r="H94" s="328">
        <f t="shared" si="82"/>
        <v>91494</v>
      </c>
      <c r="I94" s="328">
        <f t="shared" si="82"/>
        <v>1421</v>
      </c>
      <c r="J94" s="350">
        <f>+J93</f>
        <v>0.23228750000000001</v>
      </c>
      <c r="K94" s="330">
        <f>+K93</f>
        <v>92915</v>
      </c>
      <c r="L94" s="328">
        <f t="shared" ref="L94" si="83">+L93</f>
        <v>91494</v>
      </c>
      <c r="M94" s="329">
        <f>+M93</f>
        <v>1421</v>
      </c>
      <c r="N94" s="342" t="str">
        <f t="shared" ref="N94:O94" si="84">+N93</f>
        <v>-</v>
      </c>
      <c r="O94" s="350">
        <f t="shared" si="84"/>
        <v>1.5293547866329442E-2</v>
      </c>
    </row>
    <row r="95" spans="1:15" ht="23.4" x14ac:dyDescent="0.3">
      <c r="A95" s="268" t="s">
        <v>102</v>
      </c>
      <c r="B95" s="1022" t="s">
        <v>401</v>
      </c>
      <c r="C95" s="311" t="s">
        <v>113</v>
      </c>
      <c r="D95" s="311"/>
      <c r="E95" s="270"/>
      <c r="F95" s="271"/>
      <c r="G95" s="332">
        <f t="shared" ref="G95:G97" si="85">+H95+I95</f>
        <v>0</v>
      </c>
      <c r="H95" s="272"/>
      <c r="I95" s="272"/>
      <c r="J95" s="351" t="str">
        <f>IFERROR(G95/#REF!,"-")</f>
        <v>-</v>
      </c>
      <c r="K95" s="332">
        <f t="shared" ref="K95:K97" si="86">+L95+M95</f>
        <v>0</v>
      </c>
      <c r="L95" s="272">
        <f t="shared" ref="L95:L97" si="87">+H95</f>
        <v>0</v>
      </c>
      <c r="M95" s="273">
        <f t="shared" ref="M95:M97" si="88">+I95</f>
        <v>0</v>
      </c>
      <c r="N95" s="336" t="str">
        <f t="shared" ref="N95:N102" si="89">IFERROR(K95/E95,"-")</f>
        <v>-</v>
      </c>
      <c r="O95" s="346" t="str">
        <f t="shared" ref="O95:O120" si="90">IFERROR(M95/K95,"-")</f>
        <v>-</v>
      </c>
    </row>
    <row r="96" spans="1:15" ht="23.4" x14ac:dyDescent="0.3">
      <c r="A96" s="274" t="s">
        <v>102</v>
      </c>
      <c r="B96" s="1023"/>
      <c r="C96" s="312" t="s">
        <v>247</v>
      </c>
      <c r="D96" s="312"/>
      <c r="E96" s="276"/>
      <c r="F96" s="277"/>
      <c r="G96" s="333">
        <f t="shared" si="85"/>
        <v>0</v>
      </c>
      <c r="H96" s="278"/>
      <c r="I96" s="278"/>
      <c r="J96" s="352" t="str">
        <f>IFERROR(G96/#REF!,"-")</f>
        <v>-</v>
      </c>
      <c r="K96" s="333">
        <f t="shared" si="86"/>
        <v>0</v>
      </c>
      <c r="L96" s="272">
        <f t="shared" si="87"/>
        <v>0</v>
      </c>
      <c r="M96" s="273">
        <f t="shared" si="88"/>
        <v>0</v>
      </c>
      <c r="N96" s="337" t="str">
        <f t="shared" si="89"/>
        <v>-</v>
      </c>
      <c r="O96" s="263" t="str">
        <f t="shared" si="90"/>
        <v>-</v>
      </c>
    </row>
    <row r="97" spans="1:15" ht="24" thickBot="1" x14ac:dyDescent="0.35">
      <c r="A97" s="274" t="s">
        <v>102</v>
      </c>
      <c r="B97" s="1024"/>
      <c r="C97" s="313" t="s">
        <v>33</v>
      </c>
      <c r="D97" s="313"/>
      <c r="E97" s="280"/>
      <c r="F97" s="281"/>
      <c r="G97" s="334">
        <f t="shared" si="85"/>
        <v>0</v>
      </c>
      <c r="H97" s="282"/>
      <c r="I97" s="282"/>
      <c r="J97" s="353" t="str">
        <f>IFERROR(G97/#REF!,"-")</f>
        <v>-</v>
      </c>
      <c r="K97" s="334">
        <f t="shared" si="86"/>
        <v>0</v>
      </c>
      <c r="L97" s="272">
        <f t="shared" si="87"/>
        <v>0</v>
      </c>
      <c r="M97" s="273">
        <f t="shared" si="88"/>
        <v>0</v>
      </c>
      <c r="N97" s="338" t="str">
        <f t="shared" si="89"/>
        <v>-</v>
      </c>
      <c r="O97" s="347" t="str">
        <f t="shared" si="90"/>
        <v>-</v>
      </c>
    </row>
    <row r="98" spans="1:15" ht="24" thickBot="1" x14ac:dyDescent="0.35">
      <c r="A98" s="274" t="s">
        <v>102</v>
      </c>
      <c r="B98" s="1025" t="s">
        <v>34</v>
      </c>
      <c r="C98" s="1026"/>
      <c r="D98" s="1027"/>
      <c r="E98" s="284">
        <f>SUM(E95:E97)</f>
        <v>0</v>
      </c>
      <c r="F98" s="285">
        <v>6500</v>
      </c>
      <c r="G98" s="320">
        <f>SUM(G95:G97)</f>
        <v>0</v>
      </c>
      <c r="H98" s="321">
        <f t="shared" ref="H98:I98" si="91">SUM(H95:H97)</f>
        <v>0</v>
      </c>
      <c r="I98" s="321">
        <f t="shared" si="91"/>
        <v>0</v>
      </c>
      <c r="J98" s="345" t="str">
        <f>IFERROR(G98/#REF!,"-")</f>
        <v>-</v>
      </c>
      <c r="K98" s="320">
        <f t="shared" ref="K98:M98" si="92">SUM(K95:K97)</f>
        <v>0</v>
      </c>
      <c r="L98" s="321">
        <f t="shared" si="92"/>
        <v>0</v>
      </c>
      <c r="M98" s="322">
        <f t="shared" si="92"/>
        <v>0</v>
      </c>
      <c r="N98" s="339" t="str">
        <f t="shared" si="89"/>
        <v>-</v>
      </c>
      <c r="O98" s="345" t="str">
        <f t="shared" si="90"/>
        <v>-</v>
      </c>
    </row>
    <row r="99" spans="1:15" ht="23.4" x14ac:dyDescent="0.3">
      <c r="A99" s="274" t="s">
        <v>102</v>
      </c>
      <c r="B99" s="1022" t="s">
        <v>35</v>
      </c>
      <c r="C99" s="311" t="s">
        <v>113</v>
      </c>
      <c r="D99" s="311"/>
      <c r="E99" s="270"/>
      <c r="F99" s="271"/>
      <c r="G99" s="332">
        <f t="shared" ref="G99:G102" si="93">+H99+I99</f>
        <v>0</v>
      </c>
      <c r="H99" s="272"/>
      <c r="I99" s="272"/>
      <c r="J99" s="351" t="str">
        <f>IFERROR(G99/#REF!,"-")</f>
        <v>-</v>
      </c>
      <c r="K99" s="332">
        <f t="shared" ref="K99:K102" si="94">+L99+M99</f>
        <v>0</v>
      </c>
      <c r="L99" s="272">
        <f t="shared" ref="L99:L102" si="95">+H99</f>
        <v>0</v>
      </c>
      <c r="M99" s="273">
        <f t="shared" ref="M99:M102" si="96">+I99</f>
        <v>0</v>
      </c>
      <c r="N99" s="336" t="str">
        <f t="shared" si="89"/>
        <v>-</v>
      </c>
      <c r="O99" s="346" t="str">
        <f t="shared" si="90"/>
        <v>-</v>
      </c>
    </row>
    <row r="100" spans="1:15" ht="23.4" x14ac:dyDescent="0.3">
      <c r="A100" s="274" t="s">
        <v>102</v>
      </c>
      <c r="B100" s="1023"/>
      <c r="C100" s="312" t="s">
        <v>247</v>
      </c>
      <c r="D100" s="312"/>
      <c r="E100" s="276"/>
      <c r="F100" s="277"/>
      <c r="G100" s="333">
        <f t="shared" si="93"/>
        <v>0</v>
      </c>
      <c r="H100" s="278"/>
      <c r="I100" s="278"/>
      <c r="J100" s="352" t="str">
        <f>IFERROR(G100/#REF!,"-")</f>
        <v>-</v>
      </c>
      <c r="K100" s="333">
        <f t="shared" si="94"/>
        <v>0</v>
      </c>
      <c r="L100" s="272">
        <f t="shared" si="95"/>
        <v>0</v>
      </c>
      <c r="M100" s="273">
        <f t="shared" si="96"/>
        <v>0</v>
      </c>
      <c r="N100" s="337" t="str">
        <f t="shared" si="89"/>
        <v>-</v>
      </c>
      <c r="O100" s="263" t="str">
        <f t="shared" si="90"/>
        <v>-</v>
      </c>
    </row>
    <row r="101" spans="1:15" ht="23.4" x14ac:dyDescent="0.3">
      <c r="A101" s="274" t="s">
        <v>102</v>
      </c>
      <c r="B101" s="1023"/>
      <c r="C101" s="312" t="s">
        <v>184</v>
      </c>
      <c r="D101" s="312"/>
      <c r="E101" s="276"/>
      <c r="F101" s="277"/>
      <c r="G101" s="333">
        <f t="shared" si="93"/>
        <v>0</v>
      </c>
      <c r="H101" s="278"/>
      <c r="I101" s="278"/>
      <c r="J101" s="352" t="str">
        <f>IFERROR(G101/#REF!,"-")</f>
        <v>-</v>
      </c>
      <c r="K101" s="333">
        <f t="shared" si="94"/>
        <v>0</v>
      </c>
      <c r="L101" s="272">
        <f t="shared" si="95"/>
        <v>0</v>
      </c>
      <c r="M101" s="273">
        <f t="shared" si="96"/>
        <v>0</v>
      </c>
      <c r="N101" s="337" t="str">
        <f t="shared" si="89"/>
        <v>-</v>
      </c>
      <c r="O101" s="263" t="str">
        <f t="shared" si="90"/>
        <v>-</v>
      </c>
    </row>
    <row r="102" spans="1:15" ht="24" thickBot="1" x14ac:dyDescent="0.35">
      <c r="A102" s="274" t="s">
        <v>102</v>
      </c>
      <c r="B102" s="1024"/>
      <c r="C102" s="313" t="s">
        <v>36</v>
      </c>
      <c r="D102" s="313"/>
      <c r="E102" s="280"/>
      <c r="F102" s="281"/>
      <c r="G102" s="334">
        <f t="shared" si="93"/>
        <v>0</v>
      </c>
      <c r="H102" s="282"/>
      <c r="I102" s="282"/>
      <c r="J102" s="353" t="str">
        <f>IFERROR(G102/#REF!,"-")</f>
        <v>-</v>
      </c>
      <c r="K102" s="334">
        <f t="shared" si="94"/>
        <v>0</v>
      </c>
      <c r="L102" s="272">
        <f t="shared" si="95"/>
        <v>0</v>
      </c>
      <c r="M102" s="273">
        <f t="shared" si="96"/>
        <v>0</v>
      </c>
      <c r="N102" s="338" t="str">
        <f t="shared" si="89"/>
        <v>-</v>
      </c>
      <c r="O102" s="347" t="str">
        <f t="shared" si="90"/>
        <v>-</v>
      </c>
    </row>
    <row r="103" spans="1:15" ht="24" thickBot="1" x14ac:dyDescent="0.35">
      <c r="A103" s="274" t="s">
        <v>102</v>
      </c>
      <c r="B103" s="1025" t="s">
        <v>37</v>
      </c>
      <c r="C103" s="1026"/>
      <c r="D103" s="1027"/>
      <c r="E103" s="284">
        <f>SUM(E99:E102)</f>
        <v>0</v>
      </c>
      <c r="F103" s="285">
        <v>6500</v>
      </c>
      <c r="G103" s="320">
        <f>SUM(G99:G102)</f>
        <v>0</v>
      </c>
      <c r="H103" s="321">
        <f t="shared" ref="H103:I103" si="97">SUM(H99:H102)</f>
        <v>0</v>
      </c>
      <c r="I103" s="321">
        <f t="shared" si="97"/>
        <v>0</v>
      </c>
      <c r="J103" s="345" t="str">
        <f>IFERROR(G103/#REF!,"-")</f>
        <v>-</v>
      </c>
      <c r="K103" s="320">
        <f t="shared" ref="K103:M103" si="98">SUM(K99:K102)</f>
        <v>0</v>
      </c>
      <c r="L103" s="321">
        <f t="shared" si="98"/>
        <v>0</v>
      </c>
      <c r="M103" s="322">
        <f t="shared" si="98"/>
        <v>0</v>
      </c>
      <c r="N103" s="339" t="str">
        <f>IFERROR(K103/E103,"-")</f>
        <v>-</v>
      </c>
      <c r="O103" s="345" t="str">
        <f t="shared" si="90"/>
        <v>-</v>
      </c>
    </row>
    <row r="104" spans="1:15" ht="23.4" x14ac:dyDescent="0.3">
      <c r="A104" s="274" t="s">
        <v>102</v>
      </c>
      <c r="B104" s="1022" t="s">
        <v>402</v>
      </c>
      <c r="C104" s="314" t="s">
        <v>116</v>
      </c>
      <c r="D104" s="314"/>
      <c r="E104" s="270"/>
      <c r="F104" s="271"/>
      <c r="G104" s="332">
        <f t="shared" ref="G104:G105" si="99">+H104+I104</f>
        <v>0</v>
      </c>
      <c r="H104" s="272"/>
      <c r="I104" s="272"/>
      <c r="J104" s="351" t="str">
        <f>IFERROR(G104/#REF!,"-")</f>
        <v>-</v>
      </c>
      <c r="K104" s="332">
        <f t="shared" ref="K104:K105" si="100">+L104+M104</f>
        <v>0</v>
      </c>
      <c r="L104" s="272">
        <f t="shared" ref="L104:L105" si="101">+H104</f>
        <v>0</v>
      </c>
      <c r="M104" s="273">
        <f t="shared" ref="M104:M105" si="102">+I104</f>
        <v>0</v>
      </c>
      <c r="N104" s="336" t="str">
        <f t="shared" ref="N104:N120" si="103">IFERROR(K104/E104,"-")</f>
        <v>-</v>
      </c>
      <c r="O104" s="346" t="str">
        <f t="shared" si="90"/>
        <v>-</v>
      </c>
    </row>
    <row r="105" spans="1:15" ht="24" thickBot="1" x14ac:dyDescent="0.35">
      <c r="A105" s="274" t="s">
        <v>102</v>
      </c>
      <c r="B105" s="1024"/>
      <c r="C105" s="286" t="s">
        <v>132</v>
      </c>
      <c r="D105" s="286"/>
      <c r="E105" s="280"/>
      <c r="F105" s="281"/>
      <c r="G105" s="334">
        <f t="shared" si="99"/>
        <v>0</v>
      </c>
      <c r="H105" s="282"/>
      <c r="I105" s="282"/>
      <c r="J105" s="353" t="str">
        <f>IFERROR(G105/#REF!,"-")</f>
        <v>-</v>
      </c>
      <c r="K105" s="334">
        <f t="shared" si="100"/>
        <v>0</v>
      </c>
      <c r="L105" s="272">
        <f t="shared" si="101"/>
        <v>0</v>
      </c>
      <c r="M105" s="273">
        <f t="shared" si="102"/>
        <v>0</v>
      </c>
      <c r="N105" s="338" t="str">
        <f t="shared" si="103"/>
        <v>-</v>
      </c>
      <c r="O105" s="347" t="str">
        <f t="shared" si="90"/>
        <v>-</v>
      </c>
    </row>
    <row r="106" spans="1:15" ht="24" thickBot="1" x14ac:dyDescent="0.35">
      <c r="A106" s="744" t="s">
        <v>102</v>
      </c>
      <c r="B106" s="1025" t="s">
        <v>38</v>
      </c>
      <c r="C106" s="1026"/>
      <c r="D106" s="1027"/>
      <c r="E106" s="284">
        <f>SUM(E104:E105)</f>
        <v>0</v>
      </c>
      <c r="F106" s="285">
        <v>2800</v>
      </c>
      <c r="G106" s="320">
        <f>SUM(G104:G105)</f>
        <v>0</v>
      </c>
      <c r="H106" s="321">
        <f t="shared" ref="H106:I106" si="104">SUM(H104:H105)</f>
        <v>0</v>
      </c>
      <c r="I106" s="321">
        <f t="shared" si="104"/>
        <v>0</v>
      </c>
      <c r="J106" s="345" t="str">
        <f>IFERROR(G106/#REF!,"-")</f>
        <v>-</v>
      </c>
      <c r="K106" s="320">
        <f t="shared" ref="K106:M106" si="105">SUM(K104:K105)</f>
        <v>0</v>
      </c>
      <c r="L106" s="321">
        <f t="shared" si="105"/>
        <v>0</v>
      </c>
      <c r="M106" s="322">
        <f t="shared" si="105"/>
        <v>0</v>
      </c>
      <c r="N106" s="339" t="str">
        <f t="shared" si="103"/>
        <v>-</v>
      </c>
      <c r="O106" s="345" t="str">
        <f t="shared" si="90"/>
        <v>-</v>
      </c>
    </row>
    <row r="107" spans="1:15" ht="23.4" x14ac:dyDescent="0.3">
      <c r="A107" s="274" t="s">
        <v>102</v>
      </c>
      <c r="B107" s="1022" t="s">
        <v>403</v>
      </c>
      <c r="C107" s="269" t="s">
        <v>306</v>
      </c>
      <c r="D107" s="269"/>
      <c r="E107" s="270"/>
      <c r="F107" s="315"/>
      <c r="G107" s="332">
        <f t="shared" ref="G107:G111" si="106">+H107+I107</f>
        <v>6834</v>
      </c>
      <c r="H107" s="272">
        <v>6720</v>
      </c>
      <c r="I107" s="272">
        <v>114</v>
      </c>
      <c r="J107" s="371" t="str">
        <f>IFERROR(G107/#REF!,"-")</f>
        <v>-</v>
      </c>
      <c r="K107" s="332">
        <f t="shared" ref="K107:K111" si="107">+L107+M107</f>
        <v>6834</v>
      </c>
      <c r="L107" s="272">
        <f t="shared" ref="L107:L111" si="108">+H107</f>
        <v>6720</v>
      </c>
      <c r="M107" s="272">
        <f t="shared" ref="M107:M111" si="109">+I107</f>
        <v>114</v>
      </c>
      <c r="N107" s="359" t="str">
        <f t="shared" si="103"/>
        <v>-</v>
      </c>
      <c r="O107" s="360">
        <f t="shared" si="90"/>
        <v>1.6681299385425813E-2</v>
      </c>
    </row>
    <row r="108" spans="1:15" ht="23.4" x14ac:dyDescent="0.3">
      <c r="A108" s="274" t="s">
        <v>102</v>
      </c>
      <c r="B108" s="1023"/>
      <c r="C108" s="269" t="s">
        <v>307</v>
      </c>
      <c r="D108" s="275"/>
      <c r="E108" s="276"/>
      <c r="F108" s="316"/>
      <c r="G108" s="333">
        <f t="shared" si="106"/>
        <v>0</v>
      </c>
      <c r="H108" s="278"/>
      <c r="I108" s="278"/>
      <c r="J108" s="372" t="str">
        <f>IFERROR(G108/#REF!,"-")</f>
        <v>-</v>
      </c>
      <c r="K108" s="333">
        <f t="shared" si="107"/>
        <v>0</v>
      </c>
      <c r="L108" s="272">
        <f t="shared" si="108"/>
        <v>0</v>
      </c>
      <c r="M108" s="273">
        <f t="shared" si="109"/>
        <v>0</v>
      </c>
      <c r="N108" s="361" t="str">
        <f t="shared" si="103"/>
        <v>-</v>
      </c>
      <c r="O108" s="362" t="str">
        <f t="shared" si="90"/>
        <v>-</v>
      </c>
    </row>
    <row r="109" spans="1:15" ht="23.4" x14ac:dyDescent="0.3">
      <c r="A109" s="274" t="s">
        <v>102</v>
      </c>
      <c r="B109" s="1023"/>
      <c r="C109" s="275" t="s">
        <v>345</v>
      </c>
      <c r="D109" s="275"/>
      <c r="E109" s="276"/>
      <c r="F109" s="316"/>
      <c r="G109" s="333">
        <f t="shared" si="106"/>
        <v>0</v>
      </c>
      <c r="H109" s="278"/>
      <c r="I109" s="278"/>
      <c r="J109" s="372" t="str">
        <f>IFERROR(G109/#REF!,"-")</f>
        <v>-</v>
      </c>
      <c r="K109" s="333">
        <f t="shared" si="107"/>
        <v>0</v>
      </c>
      <c r="L109" s="272">
        <f t="shared" si="108"/>
        <v>0</v>
      </c>
      <c r="M109" s="273">
        <f t="shared" si="109"/>
        <v>0</v>
      </c>
      <c r="N109" s="361" t="str">
        <f t="shared" si="103"/>
        <v>-</v>
      </c>
      <c r="O109" s="362" t="str">
        <f t="shared" si="90"/>
        <v>-</v>
      </c>
    </row>
    <row r="110" spans="1:15" ht="23.4" x14ac:dyDescent="0.3">
      <c r="A110" s="274" t="s">
        <v>102</v>
      </c>
      <c r="B110" s="1023"/>
      <c r="C110" s="275" t="s">
        <v>157</v>
      </c>
      <c r="D110" s="275"/>
      <c r="E110" s="276"/>
      <c r="F110" s="316"/>
      <c r="G110" s="333">
        <f t="shared" si="106"/>
        <v>0</v>
      </c>
      <c r="H110" s="278"/>
      <c r="I110" s="278"/>
      <c r="J110" s="372" t="str">
        <f>IFERROR(G110/#REF!,"-")</f>
        <v>-</v>
      </c>
      <c r="K110" s="333">
        <f t="shared" si="107"/>
        <v>0</v>
      </c>
      <c r="L110" s="272">
        <f t="shared" si="108"/>
        <v>0</v>
      </c>
      <c r="M110" s="273">
        <f t="shared" si="109"/>
        <v>0</v>
      </c>
      <c r="N110" s="361" t="str">
        <f t="shared" si="103"/>
        <v>-</v>
      </c>
      <c r="O110" s="362" t="str">
        <f t="shared" si="90"/>
        <v>-</v>
      </c>
    </row>
    <row r="111" spans="1:15" ht="24" thickBot="1" x14ac:dyDescent="0.35">
      <c r="A111" s="274" t="s">
        <v>102</v>
      </c>
      <c r="B111" s="1024"/>
      <c r="C111" s="279" t="s">
        <v>158</v>
      </c>
      <c r="D111" s="279"/>
      <c r="E111" s="280"/>
      <c r="F111" s="317"/>
      <c r="G111" s="334">
        <f t="shared" si="106"/>
        <v>0</v>
      </c>
      <c r="H111" s="282"/>
      <c r="I111" s="282"/>
      <c r="J111" s="373" t="str">
        <f>IFERROR(G111/#REF!,"-")</f>
        <v>-</v>
      </c>
      <c r="K111" s="334">
        <f t="shared" si="107"/>
        <v>0</v>
      </c>
      <c r="L111" s="272">
        <f t="shared" si="108"/>
        <v>0</v>
      </c>
      <c r="M111" s="273">
        <f t="shared" si="109"/>
        <v>0</v>
      </c>
      <c r="N111" s="363" t="str">
        <f t="shared" si="103"/>
        <v>-</v>
      </c>
      <c r="O111" s="364" t="str">
        <f t="shared" si="90"/>
        <v>-</v>
      </c>
    </row>
    <row r="112" spans="1:15" ht="24" thickBot="1" x14ac:dyDescent="0.35">
      <c r="A112" s="274" t="s">
        <v>102</v>
      </c>
      <c r="B112" s="1025" t="s">
        <v>39</v>
      </c>
      <c r="C112" s="1026"/>
      <c r="D112" s="1027"/>
      <c r="E112" s="320">
        <f>SUM(E107:E111)</f>
        <v>0</v>
      </c>
      <c r="F112" s="285">
        <v>25000</v>
      </c>
      <c r="G112" s="320">
        <f>SUM(G107:G111)</f>
        <v>6834</v>
      </c>
      <c r="H112" s="321">
        <f>SUM(H107:H111)</f>
        <v>6720</v>
      </c>
      <c r="I112" s="321">
        <f>SUM(I107:I111)</f>
        <v>114</v>
      </c>
      <c r="J112" s="345" t="str">
        <f>IFERROR(G112/#REF!,"-")</f>
        <v>-</v>
      </c>
      <c r="K112" s="320">
        <f>SUM(K107:K111)</f>
        <v>6834</v>
      </c>
      <c r="L112" s="321">
        <f>SUM(L107:L111)</f>
        <v>6720</v>
      </c>
      <c r="M112" s="322">
        <f>SUM(M107:M111)</f>
        <v>114</v>
      </c>
      <c r="N112" s="339" t="str">
        <f t="shared" si="103"/>
        <v>-</v>
      </c>
      <c r="O112" s="345">
        <f t="shared" si="90"/>
        <v>1.6681299385425813E-2</v>
      </c>
    </row>
    <row r="113" spans="1:15" ht="23.4" x14ac:dyDescent="0.3">
      <c r="A113" s="274" t="s">
        <v>102</v>
      </c>
      <c r="B113" s="1022" t="s">
        <v>404</v>
      </c>
      <c r="C113" s="269" t="s">
        <v>186</v>
      </c>
      <c r="D113" s="269"/>
      <c r="E113" s="270"/>
      <c r="F113" s="271"/>
      <c r="G113" s="332">
        <f t="shared" ref="G113:G115" si="110">+H113+I113</f>
        <v>0</v>
      </c>
      <c r="H113" s="272"/>
      <c r="I113" s="272"/>
      <c r="J113" s="351" t="str">
        <f>IFERROR(G113/#REF!,"-")</f>
        <v>-</v>
      </c>
      <c r="K113" s="332">
        <f t="shared" ref="K113:K115" si="111">+L113+M113</f>
        <v>0</v>
      </c>
      <c r="L113" s="272">
        <f t="shared" ref="L113:L115" si="112">+H113</f>
        <v>0</v>
      </c>
      <c r="M113" s="273">
        <f t="shared" ref="M113:M115" si="113">+I113</f>
        <v>0</v>
      </c>
      <c r="N113" s="336" t="str">
        <f t="shared" si="103"/>
        <v>-</v>
      </c>
      <c r="O113" s="346" t="str">
        <f t="shared" si="90"/>
        <v>-</v>
      </c>
    </row>
    <row r="114" spans="1:15" ht="23.4" x14ac:dyDescent="0.3">
      <c r="A114" s="274" t="s">
        <v>102</v>
      </c>
      <c r="B114" s="1023"/>
      <c r="C114" s="275" t="s">
        <v>159</v>
      </c>
      <c r="D114" s="275"/>
      <c r="E114" s="276"/>
      <c r="F114" s="277"/>
      <c r="G114" s="333">
        <f t="shared" si="110"/>
        <v>11826</v>
      </c>
      <c r="H114" s="278">
        <v>11400</v>
      </c>
      <c r="I114" s="278">
        <v>426</v>
      </c>
      <c r="J114" s="372" t="str">
        <f>IFERROR(G114/#REF!,"-")</f>
        <v>-</v>
      </c>
      <c r="K114" s="333">
        <f t="shared" si="111"/>
        <v>11826</v>
      </c>
      <c r="L114" s="714">
        <f t="shared" si="112"/>
        <v>11400</v>
      </c>
      <c r="M114" s="273">
        <f t="shared" si="113"/>
        <v>426</v>
      </c>
      <c r="N114" s="361" t="str">
        <f t="shared" si="103"/>
        <v>-</v>
      </c>
      <c r="O114" s="362">
        <f t="shared" si="90"/>
        <v>3.6022323693556568E-2</v>
      </c>
    </row>
    <row r="115" spans="1:15" ht="24" thickBot="1" x14ac:dyDescent="0.35">
      <c r="A115" s="274" t="s">
        <v>102</v>
      </c>
      <c r="B115" s="1024"/>
      <c r="C115" s="279" t="s">
        <v>186</v>
      </c>
      <c r="D115" s="279"/>
      <c r="E115" s="280"/>
      <c r="F115" s="281"/>
      <c r="G115" s="334">
        <f t="shared" si="110"/>
        <v>0</v>
      </c>
      <c r="H115" s="282"/>
      <c r="I115" s="282"/>
      <c r="J115" s="373" t="str">
        <f>IFERROR(G115/#REF!,"-")</f>
        <v>-</v>
      </c>
      <c r="K115" s="334">
        <f t="shared" si="111"/>
        <v>0</v>
      </c>
      <c r="L115" s="272">
        <f t="shared" si="112"/>
        <v>0</v>
      </c>
      <c r="M115" s="273">
        <f t="shared" si="113"/>
        <v>0</v>
      </c>
      <c r="N115" s="363" t="str">
        <f t="shared" si="103"/>
        <v>-</v>
      </c>
      <c r="O115" s="364" t="str">
        <f t="shared" si="90"/>
        <v>-</v>
      </c>
    </row>
    <row r="116" spans="1:15" ht="24" thickBot="1" x14ac:dyDescent="0.35">
      <c r="A116" s="274" t="s">
        <v>102</v>
      </c>
      <c r="B116" s="1034" t="s">
        <v>41</v>
      </c>
      <c r="C116" s="1035"/>
      <c r="D116" s="1036"/>
      <c r="E116" s="320">
        <f>SUM(E113:E115)</f>
        <v>0</v>
      </c>
      <c r="F116" s="285"/>
      <c r="G116" s="320">
        <f>SUM(G113:G115)</f>
        <v>11826</v>
      </c>
      <c r="H116" s="321">
        <f t="shared" ref="H116:I116" si="114">SUM(H113:H115)</f>
        <v>11400</v>
      </c>
      <c r="I116" s="321">
        <f t="shared" si="114"/>
        <v>426</v>
      </c>
      <c r="J116" s="345" t="str">
        <f>IFERROR(G116/#REF!,"-")</f>
        <v>-</v>
      </c>
      <c r="K116" s="320">
        <f t="shared" ref="K116:M116" si="115">SUM(K113:K115)</f>
        <v>11826</v>
      </c>
      <c r="L116" s="365">
        <f t="shared" si="115"/>
        <v>11400</v>
      </c>
      <c r="M116" s="367">
        <f t="shared" si="115"/>
        <v>426</v>
      </c>
      <c r="N116" s="339" t="str">
        <f t="shared" si="103"/>
        <v>-</v>
      </c>
      <c r="O116" s="345">
        <f t="shared" si="90"/>
        <v>3.6022323693556568E-2</v>
      </c>
    </row>
    <row r="117" spans="1:15" ht="24" thickBot="1" x14ac:dyDescent="0.35">
      <c r="A117" s="274" t="s">
        <v>102</v>
      </c>
      <c r="B117" s="1022" t="s">
        <v>42</v>
      </c>
      <c r="C117" s="269" t="s">
        <v>160</v>
      </c>
      <c r="D117" s="269"/>
      <c r="E117" s="270">
        <v>0</v>
      </c>
      <c r="F117" s="271"/>
      <c r="G117" s="332">
        <f t="shared" ref="G117:G118" si="116">+H117+I117</f>
        <v>0</v>
      </c>
      <c r="H117" s="272"/>
      <c r="I117" s="272"/>
      <c r="J117" s="371" t="str">
        <f>IFERROR(G117/#REF!,"-")</f>
        <v>-</v>
      </c>
      <c r="K117" s="695">
        <f t="shared" ref="K117:K118" si="117">+L117+M117</f>
        <v>0</v>
      </c>
      <c r="L117" s="688">
        <f t="shared" ref="L117:L118" si="118">+H117</f>
        <v>0</v>
      </c>
      <c r="M117" s="688">
        <f t="shared" ref="M117:M118" si="119">+I117</f>
        <v>0</v>
      </c>
      <c r="N117" s="359" t="str">
        <f t="shared" si="103"/>
        <v>-</v>
      </c>
      <c r="O117" s="360" t="str">
        <f t="shared" si="90"/>
        <v>-</v>
      </c>
    </row>
    <row r="118" spans="1:15" ht="24" thickBot="1" x14ac:dyDescent="0.35">
      <c r="A118" s="274" t="s">
        <v>102</v>
      </c>
      <c r="B118" s="1024"/>
      <c r="C118" s="279" t="s">
        <v>161</v>
      </c>
      <c r="D118" s="279"/>
      <c r="E118" s="280">
        <v>0</v>
      </c>
      <c r="F118" s="281"/>
      <c r="G118" s="334">
        <f t="shared" si="116"/>
        <v>0</v>
      </c>
      <c r="H118" s="282"/>
      <c r="I118" s="282"/>
      <c r="J118" s="373" t="str">
        <f>IFERROR(G118/#REF!,"-")</f>
        <v>-</v>
      </c>
      <c r="K118" s="696">
        <f t="shared" si="117"/>
        <v>0</v>
      </c>
      <c r="L118" s="688">
        <f t="shared" si="118"/>
        <v>0</v>
      </c>
      <c r="M118" s="688">
        <f t="shared" si="119"/>
        <v>0</v>
      </c>
      <c r="N118" s="363" t="str">
        <f t="shared" si="103"/>
        <v>-</v>
      </c>
      <c r="O118" s="364" t="str">
        <f t="shared" si="90"/>
        <v>-</v>
      </c>
    </row>
    <row r="119" spans="1:15" ht="24" thickBot="1" x14ac:dyDescent="0.35">
      <c r="A119" s="274" t="s">
        <v>102</v>
      </c>
      <c r="B119" s="1034" t="s">
        <v>43</v>
      </c>
      <c r="C119" s="1035"/>
      <c r="D119" s="1036"/>
      <c r="E119" s="284">
        <v>0</v>
      </c>
      <c r="F119" s="285">
        <v>25000</v>
      </c>
      <c r="G119" s="320">
        <f>SUM(G117:G118)</f>
        <v>0</v>
      </c>
      <c r="H119" s="321">
        <f t="shared" ref="H119:I119" si="120">SUM(H117:H118)</f>
        <v>0</v>
      </c>
      <c r="I119" s="321">
        <f t="shared" si="120"/>
        <v>0</v>
      </c>
      <c r="J119" s="345" t="str">
        <f>IFERROR(G119/#REF!,"-")</f>
        <v>-</v>
      </c>
      <c r="K119" s="760">
        <f t="shared" ref="K119:M119" si="121">SUM(K117:K118)</f>
        <v>0</v>
      </c>
      <c r="L119" s="761">
        <f t="shared" si="121"/>
        <v>0</v>
      </c>
      <c r="M119" s="761">
        <f t="shared" si="121"/>
        <v>0</v>
      </c>
      <c r="N119" s="339" t="str">
        <f t="shared" si="103"/>
        <v>-</v>
      </c>
      <c r="O119" s="345" t="str">
        <f t="shared" si="90"/>
        <v>-</v>
      </c>
    </row>
    <row r="120" spans="1:15" ht="24" thickBot="1" x14ac:dyDescent="0.35">
      <c r="A120" s="274" t="s">
        <v>102</v>
      </c>
      <c r="B120" s="1028" t="s">
        <v>25</v>
      </c>
      <c r="C120" s="1029"/>
      <c r="D120" s="1030"/>
      <c r="E120" s="326">
        <f t="shared" ref="E120:F120" si="122">+E98+E103+E106+E112+E116+E119</f>
        <v>0</v>
      </c>
      <c r="F120" s="327">
        <f t="shared" si="122"/>
        <v>65800</v>
      </c>
      <c r="G120" s="326">
        <f>+G98+G103+G106+G112+G116+G119</f>
        <v>18660</v>
      </c>
      <c r="H120" s="324">
        <f>+H98+H103+H106+H112+H116+H119</f>
        <v>18120</v>
      </c>
      <c r="I120" s="324">
        <f t="shared" ref="I120" si="123">+I98+I103+I106+I112+I116+I119</f>
        <v>540</v>
      </c>
      <c r="J120" s="349" t="str">
        <f>IFERROR(G120/#REF!,"-")</f>
        <v>-</v>
      </c>
      <c r="K120" s="326">
        <f>+K98+K103+K106+K112+K116+K119</f>
        <v>18660</v>
      </c>
      <c r="L120" s="759">
        <f t="shared" ref="L120:M120" si="124">+L98+L103+L106+L112+L116+L119</f>
        <v>18120</v>
      </c>
      <c r="M120" s="325">
        <f t="shared" si="124"/>
        <v>540</v>
      </c>
      <c r="N120" s="341" t="str">
        <f t="shared" si="103"/>
        <v>-</v>
      </c>
      <c r="O120" s="349">
        <f t="shared" si="90"/>
        <v>2.8938906752411574E-2</v>
      </c>
    </row>
    <row r="121" spans="1:15" ht="24" thickBot="1" x14ac:dyDescent="0.35">
      <c r="A121" s="318" t="s">
        <v>102</v>
      </c>
      <c r="B121" s="1020" t="s">
        <v>173</v>
      </c>
      <c r="C121" s="1020"/>
      <c r="D121" s="1021"/>
      <c r="E121" s="330">
        <f>+E120</f>
        <v>0</v>
      </c>
      <c r="F121" s="331">
        <f t="shared" ref="F121:O121" si="125">+F120</f>
        <v>65800</v>
      </c>
      <c r="G121" s="330">
        <f t="shared" si="125"/>
        <v>18660</v>
      </c>
      <c r="H121" s="328">
        <f t="shared" si="125"/>
        <v>18120</v>
      </c>
      <c r="I121" s="328">
        <f t="shared" si="125"/>
        <v>540</v>
      </c>
      <c r="J121" s="350" t="str">
        <f t="shared" si="125"/>
        <v>-</v>
      </c>
      <c r="K121" s="330">
        <f t="shared" si="125"/>
        <v>18660</v>
      </c>
      <c r="L121" s="328">
        <f t="shared" si="125"/>
        <v>18120</v>
      </c>
      <c r="M121" s="329">
        <f t="shared" si="125"/>
        <v>540</v>
      </c>
      <c r="N121" s="342" t="str">
        <f t="shared" si="125"/>
        <v>-</v>
      </c>
      <c r="O121" s="350">
        <f t="shared" si="125"/>
        <v>2.8938906752411574E-2</v>
      </c>
    </row>
    <row r="122" spans="1:15" ht="24.6" thickBot="1" x14ac:dyDescent="0.35">
      <c r="A122" s="319"/>
      <c r="B122" s="1031" t="s">
        <v>174</v>
      </c>
      <c r="C122" s="1032"/>
      <c r="D122" s="1033"/>
      <c r="E122" s="374">
        <f>+E59+E94+E121</f>
        <v>0</v>
      </c>
      <c r="F122" s="374">
        <f>+F59+F94+F121</f>
        <v>1024800</v>
      </c>
      <c r="G122" s="374">
        <f>+G59+G94+G121</f>
        <v>117927</v>
      </c>
      <c r="H122" s="374">
        <f>+H59+H94+H121</f>
        <v>234006</v>
      </c>
      <c r="I122" s="374">
        <f>+I59+I94+I121</f>
        <v>2654</v>
      </c>
      <c r="J122" s="375" t="str">
        <f>IFERROR(G122/#REF!,"-")</f>
        <v>-</v>
      </c>
      <c r="K122" s="374">
        <f>+K59+K94+K121</f>
        <v>236660</v>
      </c>
      <c r="L122" s="374">
        <f>+L59+L94+L121</f>
        <v>234006</v>
      </c>
      <c r="M122" s="374">
        <f>+M59+M94+M121</f>
        <v>2654</v>
      </c>
      <c r="N122" s="375" t="str">
        <f>IFERROR(K122/E122,"-")</f>
        <v>-</v>
      </c>
      <c r="O122" s="375">
        <f>IFERROR(M122/K122,"-")</f>
        <v>1.1214400405645229E-2</v>
      </c>
    </row>
    <row r="123" spans="1:15" ht="23.4" x14ac:dyDescent="0.3">
      <c r="A123" s="1057" t="s">
        <v>1</v>
      </c>
      <c r="B123" s="1060" t="s">
        <v>2</v>
      </c>
      <c r="C123" s="1063" t="s">
        <v>396</v>
      </c>
      <c r="D123" s="1063" t="s">
        <v>397</v>
      </c>
      <c r="E123" s="1066" t="s">
        <v>4</v>
      </c>
      <c r="F123" s="1067"/>
      <c r="G123" s="1067"/>
      <c r="H123" s="1067"/>
      <c r="I123" s="1067"/>
      <c r="J123" s="1067"/>
      <c r="K123" s="1067"/>
      <c r="L123" s="1067"/>
      <c r="M123" s="1067"/>
      <c r="N123" s="1067"/>
      <c r="O123" s="1068"/>
    </row>
    <row r="124" spans="1:15" ht="23.4" x14ac:dyDescent="0.3">
      <c r="A124" s="1058"/>
      <c r="B124" s="1061"/>
      <c r="C124" s="1064"/>
      <c r="D124" s="1064"/>
      <c r="E124" s="1069" t="s">
        <v>7</v>
      </c>
      <c r="F124" s="1071" t="s">
        <v>108</v>
      </c>
      <c r="G124" s="1073" t="s">
        <v>483</v>
      </c>
      <c r="H124" s="1074"/>
      <c r="I124" s="1074"/>
      <c r="J124" s="1075"/>
      <c r="K124" s="1076" t="s">
        <v>398</v>
      </c>
      <c r="L124" s="1077"/>
      <c r="M124" s="1078"/>
      <c r="N124" s="1079" t="s">
        <v>399</v>
      </c>
      <c r="O124" s="1081" t="s">
        <v>164</v>
      </c>
    </row>
    <row r="125" spans="1:15" ht="41.4" thickBot="1" x14ac:dyDescent="0.35">
      <c r="A125" s="1059"/>
      <c r="B125" s="1062"/>
      <c r="C125" s="1065"/>
      <c r="D125" s="1065"/>
      <c r="E125" s="1070"/>
      <c r="F125" s="1072"/>
      <c r="G125" s="452" t="s">
        <v>13</v>
      </c>
      <c r="H125" s="453" t="s">
        <v>14</v>
      </c>
      <c r="I125" s="453" t="s">
        <v>15</v>
      </c>
      <c r="J125" s="454" t="s">
        <v>166</v>
      </c>
      <c r="K125" s="680" t="s">
        <v>13</v>
      </c>
      <c r="L125" s="678" t="s">
        <v>14</v>
      </c>
      <c r="M125" s="679" t="s">
        <v>15</v>
      </c>
      <c r="N125" s="1080"/>
      <c r="O125" s="1082"/>
    </row>
    <row r="126" spans="1:15" ht="24" thickBot="1" x14ac:dyDescent="0.35">
      <c r="A126" s="268" t="s">
        <v>103</v>
      </c>
      <c r="B126" s="1043" t="s">
        <v>16</v>
      </c>
      <c r="C126" s="269" t="s">
        <v>368</v>
      </c>
      <c r="D126" s="269" t="s">
        <v>369</v>
      </c>
      <c r="E126" s="270"/>
      <c r="F126" s="271"/>
      <c r="G126" s="332">
        <f>+H126+I126</f>
        <v>0</v>
      </c>
      <c r="H126" s="272"/>
      <c r="I126" s="272"/>
      <c r="J126" s="351"/>
      <c r="K126" s="457">
        <f>+L126+M126</f>
        <v>0</v>
      </c>
      <c r="L126" s="688">
        <f>+H126+L13</f>
        <v>0</v>
      </c>
      <c r="M126" s="688">
        <f>+I126+M13</f>
        <v>0</v>
      </c>
      <c r="N126" s="336" t="str">
        <f>IFERROR(K126/E126,"-")</f>
        <v>-</v>
      </c>
      <c r="O126" s="343" t="str">
        <f t="shared" ref="O126:O127" si="126">IFERROR(M126/K126,"-")</f>
        <v>-</v>
      </c>
    </row>
    <row r="127" spans="1:15" ht="23.4" x14ac:dyDescent="0.3">
      <c r="A127" s="274" t="s">
        <v>103</v>
      </c>
      <c r="B127" s="1044"/>
      <c r="C127" s="275" t="s">
        <v>376</v>
      </c>
      <c r="D127" s="275" t="s">
        <v>375</v>
      </c>
      <c r="E127" s="276"/>
      <c r="F127" s="277"/>
      <c r="G127" s="333">
        <f t="shared" ref="G127:G129" si="127">+H127+I127</f>
        <v>0</v>
      </c>
      <c r="H127" s="278"/>
      <c r="I127" s="278"/>
      <c r="J127" s="352" t="str">
        <f>IFERROR(G127/#REF!,"-")</f>
        <v>-</v>
      </c>
      <c r="K127" s="690">
        <f t="shared" ref="K127:K129" si="128">+L127+M127</f>
        <v>0</v>
      </c>
      <c r="L127" s="527">
        <f t="shared" ref="L127:M127" si="129">+H127+L14</f>
        <v>0</v>
      </c>
      <c r="M127" s="459">
        <f t="shared" si="129"/>
        <v>0</v>
      </c>
      <c r="N127" s="337" t="str">
        <f t="shared" ref="N127:N129" si="130">IFERROR(K127/E127,"-")</f>
        <v>-</v>
      </c>
      <c r="O127" s="265" t="str">
        <f t="shared" si="126"/>
        <v>-</v>
      </c>
    </row>
    <row r="128" spans="1:15" s="723" customFormat="1" ht="23.4" x14ac:dyDescent="0.3">
      <c r="A128" s="274" t="s">
        <v>103</v>
      </c>
      <c r="B128" s="1044"/>
      <c r="C128" s="573" t="s">
        <v>431</v>
      </c>
      <c r="D128" s="573" t="s">
        <v>366</v>
      </c>
      <c r="E128" s="720"/>
      <c r="F128" s="721"/>
      <c r="G128" s="333">
        <f t="shared" si="127"/>
        <v>0</v>
      </c>
      <c r="H128" s="722"/>
      <c r="I128" s="722"/>
      <c r="J128" s="352" t="str">
        <f>IFERROR(G128/#REF!,"-")</f>
        <v>-</v>
      </c>
      <c r="K128" s="690">
        <f t="shared" si="128"/>
        <v>0</v>
      </c>
      <c r="L128" s="720">
        <f t="shared" ref="L128:M128" si="131">+H128+L15</f>
        <v>0</v>
      </c>
      <c r="M128" s="529">
        <f t="shared" si="131"/>
        <v>0</v>
      </c>
      <c r="N128" s="337" t="str">
        <f t="shared" si="130"/>
        <v>-</v>
      </c>
      <c r="O128" s="265" t="str">
        <f>IFERROR(M128/K128,"-")</f>
        <v>-</v>
      </c>
    </row>
    <row r="129" spans="1:15" ht="24" thickBot="1" x14ac:dyDescent="0.35">
      <c r="A129" s="274" t="s">
        <v>103</v>
      </c>
      <c r="B129" s="1045"/>
      <c r="C129" s="279" t="s">
        <v>428</v>
      </c>
      <c r="D129" s="279" t="s">
        <v>374</v>
      </c>
      <c r="E129" s="280"/>
      <c r="F129" s="281"/>
      <c r="G129" s="334">
        <f t="shared" si="127"/>
        <v>0</v>
      </c>
      <c r="H129" s="272"/>
      <c r="I129" s="272"/>
      <c r="J129" s="353" t="str">
        <f>IFERROR(G129/#REF!,"-")</f>
        <v>-</v>
      </c>
      <c r="K129" s="691">
        <f t="shared" si="128"/>
        <v>0</v>
      </c>
      <c r="L129" s="530">
        <f t="shared" ref="L129:M129" si="132">+H129+L16</f>
        <v>0</v>
      </c>
      <c r="M129" s="462">
        <f t="shared" si="132"/>
        <v>0</v>
      </c>
      <c r="N129" s="338" t="str">
        <f t="shared" si="130"/>
        <v>-</v>
      </c>
      <c r="O129" s="344" t="str">
        <f t="shared" ref="O129:O147" si="133">IFERROR(M129/K129,"-")</f>
        <v>-</v>
      </c>
    </row>
    <row r="130" spans="1:15" ht="24" thickBot="1" x14ac:dyDescent="0.35">
      <c r="A130" s="274" t="s">
        <v>103</v>
      </c>
      <c r="B130" s="1025" t="s">
        <v>44</v>
      </c>
      <c r="C130" s="1026"/>
      <c r="D130" s="1027"/>
      <c r="E130" s="320">
        <f>SUM(E126:E129)</f>
        <v>0</v>
      </c>
      <c r="F130" s="285">
        <v>15000</v>
      </c>
      <c r="G130" s="320">
        <f>SUM(G126:G129)</f>
        <v>0</v>
      </c>
      <c r="H130" s="321">
        <f t="shared" ref="H130:I130" si="134">SUM(H126:H129)</f>
        <v>0</v>
      </c>
      <c r="I130" s="321">
        <f t="shared" si="134"/>
        <v>0</v>
      </c>
      <c r="J130" s="345">
        <f>+G130/F130</f>
        <v>0</v>
      </c>
      <c r="K130" s="320">
        <f t="shared" ref="K130" si="135">SUM(K126:K129)</f>
        <v>0</v>
      </c>
      <c r="L130" s="692">
        <f>SUM(L126:L129)</f>
        <v>0</v>
      </c>
      <c r="M130" s="693">
        <f>SUM(M126:M129)</f>
        <v>0</v>
      </c>
      <c r="N130" s="339" t="str">
        <f>IFERROR(K130/E130,"-")</f>
        <v>-</v>
      </c>
      <c r="O130" s="345" t="str">
        <f t="shared" si="133"/>
        <v>-</v>
      </c>
    </row>
    <row r="131" spans="1:15" ht="23.4" x14ac:dyDescent="0.3">
      <c r="A131" s="274" t="s">
        <v>103</v>
      </c>
      <c r="B131" s="1043" t="s">
        <v>17</v>
      </c>
      <c r="C131" s="269" t="s">
        <v>294</v>
      </c>
      <c r="D131" s="269"/>
      <c r="E131" s="270"/>
      <c r="F131" s="271">
        <v>100000</v>
      </c>
      <c r="G131" s="332">
        <f t="shared" ref="G131:G137" si="136">+H131+I131</f>
        <v>0</v>
      </c>
      <c r="H131" s="272"/>
      <c r="I131" s="272"/>
      <c r="J131" s="351" t="str">
        <f>IFERROR(G131/#REF!,"-")</f>
        <v>-</v>
      </c>
      <c r="K131" s="694">
        <f t="shared" ref="K131:K137" si="137">+L131+M131</f>
        <v>0</v>
      </c>
      <c r="L131" s="527">
        <f t="shared" ref="L131:M131" si="138">+H131+L18</f>
        <v>0</v>
      </c>
      <c r="M131" s="459">
        <f t="shared" si="138"/>
        <v>0</v>
      </c>
      <c r="N131" s="336" t="str">
        <f t="shared" ref="N131:N137" si="139">IFERROR(K131/E131,"-")</f>
        <v>-</v>
      </c>
      <c r="O131" s="346" t="str">
        <f t="shared" si="133"/>
        <v>-</v>
      </c>
    </row>
    <row r="132" spans="1:15" ht="23.4" x14ac:dyDescent="0.3">
      <c r="A132" s="274" t="s">
        <v>103</v>
      </c>
      <c r="B132" s="1044"/>
      <c r="C132" s="275" t="s">
        <v>344</v>
      </c>
      <c r="D132" s="275" t="s">
        <v>232</v>
      </c>
      <c r="E132" s="276"/>
      <c r="F132" s="277"/>
      <c r="G132" s="333">
        <f t="shared" si="136"/>
        <v>0</v>
      </c>
      <c r="H132" s="278"/>
      <c r="I132" s="278"/>
      <c r="J132" s="352" t="str">
        <f>IFERROR(G132/#REF!,"-")</f>
        <v>-</v>
      </c>
      <c r="K132" s="690">
        <f t="shared" si="137"/>
        <v>0</v>
      </c>
      <c r="L132" s="276">
        <f t="shared" ref="L132:M132" si="140">+H132+L19</f>
        <v>0</v>
      </c>
      <c r="M132" s="436">
        <f t="shared" si="140"/>
        <v>0</v>
      </c>
      <c r="N132" s="337" t="str">
        <f t="shared" si="139"/>
        <v>-</v>
      </c>
      <c r="O132" s="263" t="str">
        <f t="shared" si="133"/>
        <v>-</v>
      </c>
    </row>
    <row r="133" spans="1:15" ht="23.4" x14ac:dyDescent="0.3">
      <c r="A133" s="274" t="s">
        <v>103</v>
      </c>
      <c r="B133" s="1044"/>
      <c r="C133" s="275" t="s">
        <v>367</v>
      </c>
      <c r="D133" s="275" t="s">
        <v>187</v>
      </c>
      <c r="E133" s="276"/>
      <c r="F133" s="277"/>
      <c r="G133" s="333">
        <f t="shared" si="136"/>
        <v>18602</v>
      </c>
      <c r="H133" s="278">
        <v>18360</v>
      </c>
      <c r="I133" s="278">
        <v>242</v>
      </c>
      <c r="J133" s="352" t="str">
        <f>IFERROR(G133/#REF!,"-")</f>
        <v>-</v>
      </c>
      <c r="K133" s="690">
        <f t="shared" si="137"/>
        <v>24954</v>
      </c>
      <c r="L133" s="276">
        <f t="shared" ref="L133:M133" si="141">+H133+L20</f>
        <v>24480</v>
      </c>
      <c r="M133" s="436">
        <f t="shared" si="141"/>
        <v>474</v>
      </c>
      <c r="N133" s="337" t="str">
        <f t="shared" si="139"/>
        <v>-</v>
      </c>
      <c r="O133" s="263">
        <f t="shared" si="133"/>
        <v>1.8994950709305122E-2</v>
      </c>
    </row>
    <row r="134" spans="1:15" ht="23.4" x14ac:dyDescent="0.3">
      <c r="A134" s="274" t="s">
        <v>103</v>
      </c>
      <c r="B134" s="1044"/>
      <c r="C134" s="275" t="s">
        <v>293</v>
      </c>
      <c r="D134" s="275" t="s">
        <v>188</v>
      </c>
      <c r="E134" s="276"/>
      <c r="F134" s="277"/>
      <c r="G134" s="333">
        <f t="shared" si="136"/>
        <v>0</v>
      </c>
      <c r="H134" s="278"/>
      <c r="I134" s="278"/>
      <c r="J134" s="352" t="str">
        <f>IFERROR(G134/#REF!,"-")</f>
        <v>-</v>
      </c>
      <c r="K134" s="690">
        <f t="shared" si="137"/>
        <v>0</v>
      </c>
      <c r="L134" s="276">
        <f t="shared" ref="L134:M134" si="142">+H134+L21</f>
        <v>0</v>
      </c>
      <c r="M134" s="436">
        <f t="shared" si="142"/>
        <v>0</v>
      </c>
      <c r="N134" s="337" t="str">
        <f t="shared" si="139"/>
        <v>-</v>
      </c>
      <c r="O134" s="263" t="str">
        <f t="shared" si="133"/>
        <v>-</v>
      </c>
    </row>
    <row r="135" spans="1:15" ht="23.4" x14ac:dyDescent="0.3">
      <c r="A135" s="274" t="s">
        <v>103</v>
      </c>
      <c r="B135" s="1044"/>
      <c r="C135" s="275" t="s">
        <v>323</v>
      </c>
      <c r="D135" s="275" t="s">
        <v>318</v>
      </c>
      <c r="E135" s="276"/>
      <c r="F135" s="277"/>
      <c r="G135" s="333">
        <f t="shared" si="136"/>
        <v>0</v>
      </c>
      <c r="H135" s="278"/>
      <c r="I135" s="278"/>
      <c r="J135" s="352" t="str">
        <f>IFERROR(G135/#REF!,"-")</f>
        <v>-</v>
      </c>
      <c r="K135" s="690">
        <f t="shared" si="137"/>
        <v>0</v>
      </c>
      <c r="L135" s="276">
        <f t="shared" ref="L135:M135" si="143">+H135+L22</f>
        <v>0</v>
      </c>
      <c r="M135" s="436">
        <f t="shared" si="143"/>
        <v>0</v>
      </c>
      <c r="N135" s="337" t="str">
        <f t="shared" si="139"/>
        <v>-</v>
      </c>
      <c r="O135" s="263" t="str">
        <f t="shared" si="133"/>
        <v>-</v>
      </c>
    </row>
    <row r="136" spans="1:15" ht="23.4" x14ac:dyDescent="0.3">
      <c r="A136" s="274" t="s">
        <v>103</v>
      </c>
      <c r="B136" s="1044"/>
      <c r="C136" s="275" t="s">
        <v>352</v>
      </c>
      <c r="D136" s="275" t="s">
        <v>189</v>
      </c>
      <c r="E136" s="276"/>
      <c r="F136" s="277"/>
      <c r="G136" s="333">
        <f t="shared" si="136"/>
        <v>0</v>
      </c>
      <c r="H136" s="278"/>
      <c r="I136" s="278"/>
      <c r="J136" s="352" t="str">
        <f>IFERROR(G136/#REF!,"-")</f>
        <v>-</v>
      </c>
      <c r="K136" s="690">
        <f t="shared" si="137"/>
        <v>0</v>
      </c>
      <c r="L136" s="276">
        <f t="shared" ref="L136:M136" si="144">+H136+L23</f>
        <v>0</v>
      </c>
      <c r="M136" s="436">
        <f t="shared" si="144"/>
        <v>0</v>
      </c>
      <c r="N136" s="337" t="str">
        <f t="shared" si="139"/>
        <v>-</v>
      </c>
      <c r="O136" s="263" t="str">
        <f t="shared" si="133"/>
        <v>-</v>
      </c>
    </row>
    <row r="137" spans="1:15" ht="24" thickBot="1" x14ac:dyDescent="0.35">
      <c r="A137" s="274" t="s">
        <v>103</v>
      </c>
      <c r="B137" s="1045"/>
      <c r="C137" s="279" t="s">
        <v>341</v>
      </c>
      <c r="D137" s="279" t="s">
        <v>232</v>
      </c>
      <c r="E137" s="280"/>
      <c r="F137" s="281"/>
      <c r="G137" s="334">
        <f t="shared" si="136"/>
        <v>0</v>
      </c>
      <c r="H137" s="282"/>
      <c r="I137" s="282"/>
      <c r="J137" s="353" t="str">
        <f>IFERROR(G137/#REF!,"-")</f>
        <v>-</v>
      </c>
      <c r="K137" s="691">
        <f t="shared" si="137"/>
        <v>0</v>
      </c>
      <c r="L137" s="530">
        <f t="shared" ref="L137:M137" si="145">+H137+L24</f>
        <v>0</v>
      </c>
      <c r="M137" s="462">
        <f t="shared" si="145"/>
        <v>0</v>
      </c>
      <c r="N137" s="338" t="str">
        <f t="shared" si="139"/>
        <v>-</v>
      </c>
      <c r="O137" s="347" t="str">
        <f t="shared" si="133"/>
        <v>-</v>
      </c>
    </row>
    <row r="138" spans="1:15" ht="24" thickBot="1" x14ac:dyDescent="0.35">
      <c r="A138" s="274" t="s">
        <v>103</v>
      </c>
      <c r="B138" s="1025" t="s">
        <v>45</v>
      </c>
      <c r="C138" s="1026"/>
      <c r="D138" s="1027"/>
      <c r="E138" s="320">
        <f>SUM(E131:E137)</f>
        <v>0</v>
      </c>
      <c r="F138" s="285">
        <f>SUM(F131:F137)</f>
        <v>100000</v>
      </c>
      <c r="G138" s="320">
        <f>SUM(G131:G137)</f>
        <v>18602</v>
      </c>
      <c r="H138" s="321">
        <f t="shared" ref="H138:I138" si="146">SUM(H131:H137)</f>
        <v>18360</v>
      </c>
      <c r="I138" s="321">
        <f t="shared" si="146"/>
        <v>242</v>
      </c>
      <c r="J138" s="345">
        <f>+G138/F138</f>
        <v>0.18601999999999999</v>
      </c>
      <c r="K138" s="320">
        <f>SUM(K131:K137)</f>
        <v>24954</v>
      </c>
      <c r="L138" s="519">
        <f>SUM(L131:L137)</f>
        <v>24480</v>
      </c>
      <c r="M138" s="689">
        <f t="shared" ref="M138" si="147">SUM(M131:M137)</f>
        <v>474</v>
      </c>
      <c r="N138" s="339" t="str">
        <f>IFERROR(K138/E138,"-")</f>
        <v>-</v>
      </c>
      <c r="O138" s="345">
        <f t="shared" si="133"/>
        <v>1.8994950709305122E-2</v>
      </c>
    </row>
    <row r="139" spans="1:15" ht="23.4" x14ac:dyDescent="0.3">
      <c r="A139" s="274" t="s">
        <v>103</v>
      </c>
      <c r="B139" s="1043" t="s">
        <v>18</v>
      </c>
      <c r="C139" s="269" t="s">
        <v>312</v>
      </c>
      <c r="D139" s="269" t="s">
        <v>92</v>
      </c>
      <c r="E139" s="270"/>
      <c r="F139" s="271"/>
      <c r="G139" s="332">
        <f t="shared" ref="G139:G145" si="148">+H139+I139</f>
        <v>0</v>
      </c>
      <c r="H139" s="272"/>
      <c r="I139" s="272"/>
      <c r="J139" s="351" t="str">
        <f>IFERROR(G139/#REF!,"-")</f>
        <v>-</v>
      </c>
      <c r="K139" s="332">
        <f t="shared" ref="K139:K145" si="149">+L139+M139</f>
        <v>0</v>
      </c>
      <c r="L139" s="272">
        <f t="shared" ref="L139:M139" si="150">+H139+L26</f>
        <v>0</v>
      </c>
      <c r="M139" s="273">
        <f t="shared" si="150"/>
        <v>0</v>
      </c>
      <c r="N139" s="336" t="str">
        <f t="shared" ref="N139:N146" si="151">IFERROR(K139/E139,"-")</f>
        <v>-</v>
      </c>
      <c r="O139" s="346" t="str">
        <f t="shared" si="133"/>
        <v>-</v>
      </c>
    </row>
    <row r="140" spans="1:15" ht="23.4" x14ac:dyDescent="0.3">
      <c r="A140" s="274" t="s">
        <v>103</v>
      </c>
      <c r="B140" s="1044"/>
      <c r="C140" s="275" t="s">
        <v>233</v>
      </c>
      <c r="D140" s="275" t="s">
        <v>234</v>
      </c>
      <c r="E140" s="276"/>
      <c r="F140" s="277"/>
      <c r="G140" s="333">
        <f t="shared" si="148"/>
        <v>0</v>
      </c>
      <c r="H140" s="278"/>
      <c r="I140" s="278"/>
      <c r="J140" s="352" t="str">
        <f>IFERROR(G140/#REF!,"-")</f>
        <v>-</v>
      </c>
      <c r="K140" s="333">
        <f t="shared" si="149"/>
        <v>0</v>
      </c>
      <c r="L140" s="272">
        <f t="shared" ref="L140:M140" si="152">+H140+L27</f>
        <v>0</v>
      </c>
      <c r="M140" s="273">
        <f t="shared" si="152"/>
        <v>0</v>
      </c>
      <c r="N140" s="337" t="str">
        <f t="shared" si="151"/>
        <v>-</v>
      </c>
      <c r="O140" s="263" t="str">
        <f t="shared" si="133"/>
        <v>-</v>
      </c>
    </row>
    <row r="141" spans="1:15" ht="23.4" x14ac:dyDescent="0.3">
      <c r="A141" s="274" t="s">
        <v>103</v>
      </c>
      <c r="B141" s="1044"/>
      <c r="C141" s="275" t="s">
        <v>115</v>
      </c>
      <c r="D141" s="275"/>
      <c r="E141" s="276"/>
      <c r="F141" s="277"/>
      <c r="G141" s="333">
        <f t="shared" si="148"/>
        <v>0</v>
      </c>
      <c r="H141" s="278"/>
      <c r="I141" s="278"/>
      <c r="J141" s="352" t="str">
        <f>IFERROR(G141/#REF!,"-")</f>
        <v>-</v>
      </c>
      <c r="K141" s="333">
        <f t="shared" si="149"/>
        <v>0</v>
      </c>
      <c r="L141" s="272">
        <f t="shared" ref="L141:M141" si="153">+H141+L28</f>
        <v>0</v>
      </c>
      <c r="M141" s="273">
        <f t="shared" si="153"/>
        <v>0</v>
      </c>
      <c r="N141" s="337" t="str">
        <f t="shared" si="151"/>
        <v>-</v>
      </c>
      <c r="O141" s="263" t="str">
        <f t="shared" si="133"/>
        <v>-</v>
      </c>
    </row>
    <row r="142" spans="1:15" ht="23.4" x14ac:dyDescent="0.3">
      <c r="A142" s="274" t="s">
        <v>103</v>
      </c>
      <c r="B142" s="1044"/>
      <c r="C142" s="275" t="s">
        <v>122</v>
      </c>
      <c r="D142" s="275"/>
      <c r="E142" s="276"/>
      <c r="F142" s="277"/>
      <c r="G142" s="333">
        <f t="shared" si="148"/>
        <v>0</v>
      </c>
      <c r="H142" s="278"/>
      <c r="I142" s="278"/>
      <c r="J142" s="352" t="str">
        <f>IFERROR(G142/#REF!,"-")</f>
        <v>-</v>
      </c>
      <c r="K142" s="333">
        <f t="shared" si="149"/>
        <v>0</v>
      </c>
      <c r="L142" s="272">
        <f t="shared" ref="L142:M142" si="154">+H142+L29</f>
        <v>0</v>
      </c>
      <c r="M142" s="273">
        <f t="shared" si="154"/>
        <v>0</v>
      </c>
      <c r="N142" s="337" t="str">
        <f t="shared" si="151"/>
        <v>-</v>
      </c>
      <c r="O142" s="263" t="str">
        <f t="shared" si="133"/>
        <v>-</v>
      </c>
    </row>
    <row r="143" spans="1:15" ht="23.4" x14ac:dyDescent="0.3">
      <c r="A143" s="274" t="s">
        <v>103</v>
      </c>
      <c r="B143" s="1044"/>
      <c r="C143" s="275" t="s">
        <v>176</v>
      </c>
      <c r="D143" s="275" t="s">
        <v>177</v>
      </c>
      <c r="E143" s="276"/>
      <c r="F143" s="277"/>
      <c r="G143" s="333">
        <f t="shared" si="148"/>
        <v>0</v>
      </c>
      <c r="H143" s="278"/>
      <c r="I143" s="278"/>
      <c r="J143" s="352" t="str">
        <f>IFERROR(G143/#REF!,"-")</f>
        <v>-</v>
      </c>
      <c r="K143" s="333">
        <f t="shared" si="149"/>
        <v>0</v>
      </c>
      <c r="L143" s="272">
        <f t="shared" ref="L143:M143" si="155">+H143+L30</f>
        <v>0</v>
      </c>
      <c r="M143" s="273">
        <f t="shared" si="155"/>
        <v>0</v>
      </c>
      <c r="N143" s="337" t="str">
        <f t="shared" si="151"/>
        <v>-</v>
      </c>
      <c r="O143" s="263" t="str">
        <f t="shared" si="133"/>
        <v>-</v>
      </c>
    </row>
    <row r="144" spans="1:15" ht="23.4" x14ac:dyDescent="0.3">
      <c r="A144" s="274" t="s">
        <v>103</v>
      </c>
      <c r="B144" s="1044"/>
      <c r="C144" s="275" t="s">
        <v>179</v>
      </c>
      <c r="D144" s="275" t="s">
        <v>178</v>
      </c>
      <c r="E144" s="276"/>
      <c r="F144" s="277"/>
      <c r="G144" s="333">
        <f t="shared" si="148"/>
        <v>0</v>
      </c>
      <c r="H144" s="278"/>
      <c r="I144" s="278"/>
      <c r="J144" s="352" t="str">
        <f>IFERROR(G144/#REF!,"-")</f>
        <v>-</v>
      </c>
      <c r="K144" s="333">
        <f t="shared" si="149"/>
        <v>0</v>
      </c>
      <c r="L144" s="272">
        <f t="shared" ref="L144:M144" si="156">+H144+L31</f>
        <v>0</v>
      </c>
      <c r="M144" s="273">
        <f t="shared" si="156"/>
        <v>0</v>
      </c>
      <c r="N144" s="337" t="str">
        <f t="shared" si="151"/>
        <v>-</v>
      </c>
      <c r="O144" s="263" t="str">
        <f t="shared" si="133"/>
        <v>-</v>
      </c>
    </row>
    <row r="145" spans="1:15" ht="24" thickBot="1" x14ac:dyDescent="0.35">
      <c r="A145" s="274" t="s">
        <v>103</v>
      </c>
      <c r="B145" s="1045"/>
      <c r="C145" s="286" t="s">
        <v>180</v>
      </c>
      <c r="D145" s="286" t="s">
        <v>107</v>
      </c>
      <c r="E145" s="280"/>
      <c r="F145" s="281"/>
      <c r="G145" s="334">
        <f t="shared" si="148"/>
        <v>0</v>
      </c>
      <c r="H145" s="282"/>
      <c r="I145" s="282"/>
      <c r="J145" s="353" t="str">
        <f>IFERROR(G145/#REF!,"-")</f>
        <v>-</v>
      </c>
      <c r="K145" s="334">
        <f t="shared" si="149"/>
        <v>0</v>
      </c>
      <c r="L145" s="272">
        <f t="shared" ref="L145:M145" si="157">+H145+L32</f>
        <v>0</v>
      </c>
      <c r="M145" s="273">
        <f t="shared" si="157"/>
        <v>0</v>
      </c>
      <c r="N145" s="338" t="str">
        <f t="shared" si="151"/>
        <v>-</v>
      </c>
      <c r="O145" s="347" t="str">
        <f t="shared" si="133"/>
        <v>-</v>
      </c>
    </row>
    <row r="146" spans="1:15" ht="24" thickBot="1" x14ac:dyDescent="0.35">
      <c r="A146" s="274" t="s">
        <v>103</v>
      </c>
      <c r="B146" s="1025" t="s">
        <v>29</v>
      </c>
      <c r="C146" s="1026"/>
      <c r="D146" s="1027"/>
      <c r="E146" s="320">
        <f t="shared" ref="E146" si="158">SUM(E139:E145)</f>
        <v>0</v>
      </c>
      <c r="F146" s="285">
        <v>80000</v>
      </c>
      <c r="G146" s="320">
        <f>SUM(G139:G145)</f>
        <v>0</v>
      </c>
      <c r="H146" s="321">
        <f t="shared" ref="H146:I146" si="159">SUM(H139:H145)</f>
        <v>0</v>
      </c>
      <c r="I146" s="321">
        <f t="shared" si="159"/>
        <v>0</v>
      </c>
      <c r="J146" s="345">
        <f>+G146/F146</f>
        <v>0</v>
      </c>
      <c r="K146" s="320">
        <f t="shared" ref="K146" si="160">SUM(K139:K145)</f>
        <v>0</v>
      </c>
      <c r="L146" s="321">
        <f>SUM(L139:L145)</f>
        <v>0</v>
      </c>
      <c r="M146" s="322">
        <f t="shared" ref="M146" si="161">SUM(M139:M145)</f>
        <v>0</v>
      </c>
      <c r="N146" s="339" t="str">
        <f t="shared" si="151"/>
        <v>-</v>
      </c>
      <c r="O146" s="345" t="str">
        <f t="shared" si="133"/>
        <v>-</v>
      </c>
    </row>
    <row r="147" spans="1:15" ht="24" thickBot="1" x14ac:dyDescent="0.35">
      <c r="A147" s="252" t="s">
        <v>103</v>
      </c>
      <c r="B147" s="1085" t="s">
        <v>19</v>
      </c>
      <c r="C147" s="641" t="s">
        <v>235</v>
      </c>
      <c r="D147" s="669" t="s">
        <v>177</v>
      </c>
      <c r="E147" s="674"/>
      <c r="F147" s="671">
        <v>220000</v>
      </c>
      <c r="G147" s="644">
        <f t="shared" ref="G147:G149" si="162">+H147+I147</f>
        <v>0</v>
      </c>
      <c r="H147" s="458"/>
      <c r="I147" s="458"/>
      <c r="J147" s="531" t="str">
        <f>IFERROR(G147/#REF!,"-")</f>
        <v>-</v>
      </c>
      <c r="K147" s="457">
        <f>+L147+M147</f>
        <v>0</v>
      </c>
      <c r="L147" s="458">
        <f t="shared" ref="L147:M147" si="163">+H147+L34</f>
        <v>0</v>
      </c>
      <c r="M147" s="459">
        <f t="shared" si="163"/>
        <v>0</v>
      </c>
      <c r="N147" s="646" t="str">
        <f>IFERROR(K147/E147,"-")</f>
        <v>-</v>
      </c>
      <c r="O147" s="647" t="str">
        <f t="shared" si="133"/>
        <v>-</v>
      </c>
    </row>
    <row r="148" spans="1:15" ht="24" thickBot="1" x14ac:dyDescent="0.35">
      <c r="A148" s="252"/>
      <c r="B148" s="1086"/>
      <c r="C148" s="296" t="s">
        <v>377</v>
      </c>
      <c r="D148" s="645" t="s">
        <v>423</v>
      </c>
      <c r="E148" s="675"/>
      <c r="F148" s="672"/>
      <c r="G148" s="640">
        <f t="shared" si="162"/>
        <v>169435</v>
      </c>
      <c r="H148" s="272">
        <v>168960</v>
      </c>
      <c r="I148" s="272">
        <v>475</v>
      </c>
      <c r="J148" s="351" t="str">
        <f>IFERROR(G148/#REF!,"-")</f>
        <v>-</v>
      </c>
      <c r="K148" s="335">
        <f>+L148+M148</f>
        <v>288168</v>
      </c>
      <c r="L148" s="458">
        <f t="shared" ref="L148:M148" si="164">+H148+L35</f>
        <v>287232</v>
      </c>
      <c r="M148" s="459">
        <f t="shared" si="164"/>
        <v>936</v>
      </c>
      <c r="N148" s="340" t="str">
        <f t="shared" ref="N148:N149" si="165">IFERROR(K148/E148,"-")</f>
        <v>-</v>
      </c>
      <c r="O148" s="639">
        <f>IFERROR(M148/K148,"-")</f>
        <v>3.2481052719247104E-3</v>
      </c>
    </row>
    <row r="149" spans="1:15" ht="24" thickBot="1" x14ac:dyDescent="0.35">
      <c r="A149" s="252"/>
      <c r="B149" s="1087"/>
      <c r="C149" s="635" t="s">
        <v>342</v>
      </c>
      <c r="D149" s="670"/>
      <c r="E149" s="676"/>
      <c r="F149" s="673"/>
      <c r="G149" s="589">
        <f t="shared" si="162"/>
        <v>0</v>
      </c>
      <c r="H149" s="282"/>
      <c r="I149" s="282"/>
      <c r="J149" s="353"/>
      <c r="K149" s="460">
        <f>+L149+M149</f>
        <v>0</v>
      </c>
      <c r="L149" s="458">
        <f t="shared" ref="L149:M149" si="166">+H149+L36</f>
        <v>0</v>
      </c>
      <c r="M149" s="459">
        <f t="shared" si="166"/>
        <v>0</v>
      </c>
      <c r="N149" s="338" t="str">
        <f t="shared" si="165"/>
        <v>-</v>
      </c>
      <c r="O149" s="636" t="str">
        <f t="shared" ref="O149:O167" si="167">IFERROR(M149/K149,"-")</f>
        <v>-</v>
      </c>
    </row>
    <row r="150" spans="1:15" ht="24" thickBot="1" x14ac:dyDescent="0.35">
      <c r="A150" s="274" t="s">
        <v>103</v>
      </c>
      <c r="B150" s="1040" t="s">
        <v>46</v>
      </c>
      <c r="C150" s="1026"/>
      <c r="D150" s="1027"/>
      <c r="E150" s="320">
        <f>SUM(E147:E149)</f>
        <v>0</v>
      </c>
      <c r="F150" s="323">
        <f t="shared" ref="F150" si="168">SUM(F147)</f>
        <v>220000</v>
      </c>
      <c r="G150" s="320">
        <f>SUM(G147)</f>
        <v>0</v>
      </c>
      <c r="H150" s="321">
        <f>SUM(H147:H149)</f>
        <v>168960</v>
      </c>
      <c r="I150" s="321">
        <f>SUM(I147:I149)</f>
        <v>475</v>
      </c>
      <c r="J150" s="345">
        <f>+G150/F150</f>
        <v>0</v>
      </c>
      <c r="K150" s="637">
        <f>SUM(K147:K148)</f>
        <v>288168</v>
      </c>
      <c r="L150" s="321">
        <f>SUM(L147:L148)</f>
        <v>287232</v>
      </c>
      <c r="M150" s="322">
        <f>SUM(M147:M148)</f>
        <v>936</v>
      </c>
      <c r="N150" s="339" t="str">
        <f>IFERROR(K150/E150,"-")</f>
        <v>-</v>
      </c>
      <c r="O150" s="345">
        <f t="shared" si="167"/>
        <v>3.2481052719247104E-3</v>
      </c>
    </row>
    <row r="151" spans="1:15" ht="23.4" x14ac:dyDescent="0.3">
      <c r="A151" s="274" t="s">
        <v>103</v>
      </c>
      <c r="B151" s="1043" t="s">
        <v>20</v>
      </c>
      <c r="C151" s="291" t="s">
        <v>317</v>
      </c>
      <c r="D151" s="291" t="s">
        <v>289</v>
      </c>
      <c r="E151" s="270"/>
      <c r="F151" s="271"/>
      <c r="G151" s="332">
        <f t="shared" ref="G151:G153" si="169">+H151+I151</f>
        <v>0</v>
      </c>
      <c r="H151" s="272"/>
      <c r="I151" s="272"/>
      <c r="J151" s="351" t="str">
        <f>IFERROR(G151/#REF!,"-")</f>
        <v>-</v>
      </c>
      <c r="K151" s="332">
        <f t="shared" ref="K151:K153" si="170">+L151+M151</f>
        <v>0</v>
      </c>
      <c r="L151" s="272">
        <f t="shared" ref="L151:M151" si="171">+H151+L38</f>
        <v>0</v>
      </c>
      <c r="M151" s="273">
        <f t="shared" si="171"/>
        <v>0</v>
      </c>
      <c r="N151" s="336" t="str">
        <f t="shared" ref="N151:N154" si="172">IFERROR(K151/E151,"-")</f>
        <v>-</v>
      </c>
      <c r="O151" s="346" t="str">
        <f t="shared" si="167"/>
        <v>-</v>
      </c>
    </row>
    <row r="152" spans="1:15" ht="23.4" x14ac:dyDescent="0.3">
      <c r="A152" s="274" t="s">
        <v>103</v>
      </c>
      <c r="B152" s="1044"/>
      <c r="C152" s="292" t="s">
        <v>114</v>
      </c>
      <c r="D152" s="292"/>
      <c r="E152" s="276"/>
      <c r="F152" s="277"/>
      <c r="G152" s="333">
        <f t="shared" si="169"/>
        <v>0</v>
      </c>
      <c r="H152" s="278"/>
      <c r="I152" s="278"/>
      <c r="J152" s="352" t="str">
        <f>IFERROR(G152/#REF!,"-")</f>
        <v>-</v>
      </c>
      <c r="K152" s="333">
        <f t="shared" si="170"/>
        <v>0</v>
      </c>
      <c r="L152" s="272">
        <f t="shared" ref="L152:M152" si="173">+H152+L39</f>
        <v>0</v>
      </c>
      <c r="M152" s="273">
        <f t="shared" si="173"/>
        <v>0</v>
      </c>
      <c r="N152" s="337" t="str">
        <f t="shared" si="172"/>
        <v>-</v>
      </c>
      <c r="O152" s="263" t="str">
        <f t="shared" si="167"/>
        <v>-</v>
      </c>
    </row>
    <row r="153" spans="1:15" ht="24" thickBot="1" x14ac:dyDescent="0.35">
      <c r="A153" s="274" t="s">
        <v>103</v>
      </c>
      <c r="B153" s="1045"/>
      <c r="C153" s="293" t="s">
        <v>120</v>
      </c>
      <c r="D153" s="293"/>
      <c r="E153" s="280"/>
      <c r="F153" s="281"/>
      <c r="G153" s="334">
        <f t="shared" si="169"/>
        <v>0</v>
      </c>
      <c r="H153" s="282"/>
      <c r="I153" s="282"/>
      <c r="J153" s="353" t="str">
        <f>IFERROR(G153/#REF!,"-")</f>
        <v>-</v>
      </c>
      <c r="K153" s="334">
        <f t="shared" si="170"/>
        <v>0</v>
      </c>
      <c r="L153" s="272">
        <f t="shared" ref="L153:M153" si="174">+H153+L40</f>
        <v>0</v>
      </c>
      <c r="M153" s="273">
        <f t="shared" si="174"/>
        <v>0</v>
      </c>
      <c r="N153" s="338" t="str">
        <f t="shared" si="172"/>
        <v>-</v>
      </c>
      <c r="O153" s="347" t="str">
        <f t="shared" si="167"/>
        <v>-</v>
      </c>
    </row>
    <row r="154" spans="1:15" ht="24" thickBot="1" x14ac:dyDescent="0.35">
      <c r="A154" s="274" t="s">
        <v>103</v>
      </c>
      <c r="B154" s="1026" t="s">
        <v>47</v>
      </c>
      <c r="C154" s="1026"/>
      <c r="D154" s="1046"/>
      <c r="E154" s="320">
        <f t="shared" ref="E154" si="175">SUM(E151:E153)</f>
        <v>0</v>
      </c>
      <c r="F154" s="285">
        <v>50000</v>
      </c>
      <c r="G154" s="320">
        <f>SUM(G151:G153)</f>
        <v>0</v>
      </c>
      <c r="H154" s="321">
        <f t="shared" ref="H154:I154" si="176">SUM(H151:H153)</f>
        <v>0</v>
      </c>
      <c r="I154" s="321">
        <f t="shared" si="176"/>
        <v>0</v>
      </c>
      <c r="J154" s="345">
        <f>+G154/F154</f>
        <v>0</v>
      </c>
      <c r="K154" s="320">
        <f t="shared" ref="K154:M154" si="177">SUM(K151:K153)</f>
        <v>0</v>
      </c>
      <c r="L154" s="321">
        <f t="shared" si="177"/>
        <v>0</v>
      </c>
      <c r="M154" s="322">
        <f t="shared" si="177"/>
        <v>0</v>
      </c>
      <c r="N154" s="339" t="str">
        <f t="shared" si="172"/>
        <v>-</v>
      </c>
      <c r="O154" s="345" t="str">
        <f t="shared" si="167"/>
        <v>-</v>
      </c>
    </row>
    <row r="155" spans="1:15" ht="24" thickBot="1" x14ac:dyDescent="0.35">
      <c r="A155" s="274" t="s">
        <v>103</v>
      </c>
      <c r="B155" s="1047" t="s">
        <v>21</v>
      </c>
      <c r="C155" s="1048"/>
      <c r="D155" s="1049"/>
      <c r="E155" s="326">
        <f>+E130+E138+E146+E150+E154</f>
        <v>0</v>
      </c>
      <c r="F155" s="327">
        <f>+F130+F138+F146+F150+F154</f>
        <v>465000</v>
      </c>
      <c r="G155" s="326">
        <f>+G130+G138+G146+G150+G154</f>
        <v>18602</v>
      </c>
      <c r="H155" s="324">
        <f>+H130+H138+H146+H150+H154</f>
        <v>187320</v>
      </c>
      <c r="I155" s="324">
        <f>+I130+I138+I146+I150+I154</f>
        <v>717</v>
      </c>
      <c r="J155" s="349">
        <f>+G155/F155</f>
        <v>4.0004301075268818E-2</v>
      </c>
      <c r="K155" s="326">
        <f>+K130+K138+K146+K150+K154</f>
        <v>313122</v>
      </c>
      <c r="L155" s="324">
        <f>+L130+L138+L146+L150+L154</f>
        <v>311712</v>
      </c>
      <c r="M155" s="325">
        <f>+M130+M138+M146+M150+M154</f>
        <v>1410</v>
      </c>
      <c r="N155" s="341" t="str">
        <f>IFERROR(K155/E155,"-")</f>
        <v>-</v>
      </c>
      <c r="O155" s="349">
        <f t="shared" si="167"/>
        <v>4.5030371548469925E-3</v>
      </c>
    </row>
    <row r="156" spans="1:15" ht="23.4" x14ac:dyDescent="0.3">
      <c r="A156" s="274" t="s">
        <v>103</v>
      </c>
      <c r="B156" s="1043" t="s">
        <v>400</v>
      </c>
      <c r="C156" s="269" t="s">
        <v>125</v>
      </c>
      <c r="D156" s="269"/>
      <c r="E156" s="270"/>
      <c r="F156" s="271"/>
      <c r="G156" s="332">
        <f t="shared" ref="G156:G159" si="178">+H156+I156</f>
        <v>0</v>
      </c>
      <c r="H156" s="272"/>
      <c r="I156" s="272"/>
      <c r="J156" s="351" t="str">
        <f>IFERROR(G156/#REF!,"-")</f>
        <v>-</v>
      </c>
      <c r="K156" s="332">
        <f t="shared" ref="K156:K159" si="179">+L156+M156</f>
        <v>0</v>
      </c>
      <c r="L156" s="272">
        <f t="shared" ref="L156:M156" si="180">+H156+L43</f>
        <v>0</v>
      </c>
      <c r="M156" s="273">
        <f t="shared" si="180"/>
        <v>0</v>
      </c>
      <c r="N156" s="336" t="str">
        <f t="shared" ref="N156:N167" si="181">IFERROR(K156/E156,"-")</f>
        <v>-</v>
      </c>
      <c r="O156" s="346" t="str">
        <f t="shared" si="167"/>
        <v>-</v>
      </c>
    </row>
    <row r="157" spans="1:15" ht="23.4" x14ac:dyDescent="0.3">
      <c r="A157" s="274" t="s">
        <v>103</v>
      </c>
      <c r="B157" s="1044"/>
      <c r="C157" s="295" t="s">
        <v>263</v>
      </c>
      <c r="D157" s="295" t="s">
        <v>181</v>
      </c>
      <c r="E157" s="276"/>
      <c r="F157" s="277"/>
      <c r="G157" s="333">
        <f t="shared" si="178"/>
        <v>0</v>
      </c>
      <c r="H157" s="278"/>
      <c r="I157" s="278"/>
      <c r="J157" s="352" t="str">
        <f>IFERROR(G157/#REF!,"-")</f>
        <v>-</v>
      </c>
      <c r="K157" s="333">
        <f t="shared" si="179"/>
        <v>0</v>
      </c>
      <c r="L157" s="272">
        <f t="shared" ref="L157:M157" si="182">+H157+L44</f>
        <v>0</v>
      </c>
      <c r="M157" s="273">
        <f t="shared" si="182"/>
        <v>0</v>
      </c>
      <c r="N157" s="337" t="str">
        <f t="shared" si="181"/>
        <v>-</v>
      </c>
      <c r="O157" s="263" t="str">
        <f t="shared" si="167"/>
        <v>-</v>
      </c>
    </row>
    <row r="158" spans="1:15" ht="23.4" x14ac:dyDescent="0.3">
      <c r="A158" s="274" t="s">
        <v>103</v>
      </c>
      <c r="B158" s="1044"/>
      <c r="C158" s="295" t="s">
        <v>362</v>
      </c>
      <c r="D158" s="295" t="s">
        <v>181</v>
      </c>
      <c r="E158" s="276"/>
      <c r="F158" s="277"/>
      <c r="G158" s="333">
        <f t="shared" si="178"/>
        <v>0</v>
      </c>
      <c r="H158" s="278"/>
      <c r="I158" s="278"/>
      <c r="J158" s="352" t="str">
        <f>IFERROR(G158/#REF!,"-")</f>
        <v>-</v>
      </c>
      <c r="K158" s="333">
        <f t="shared" si="179"/>
        <v>0</v>
      </c>
      <c r="L158" s="272">
        <f t="shared" ref="L158:M158" si="183">+H158+L45</f>
        <v>0</v>
      </c>
      <c r="M158" s="273">
        <f t="shared" si="183"/>
        <v>0</v>
      </c>
      <c r="N158" s="337" t="str">
        <f t="shared" si="181"/>
        <v>-</v>
      </c>
      <c r="O158" s="263" t="str">
        <f t="shared" si="167"/>
        <v>-</v>
      </c>
    </row>
    <row r="159" spans="1:15" ht="24" thickBot="1" x14ac:dyDescent="0.35">
      <c r="A159" s="274" t="s">
        <v>103</v>
      </c>
      <c r="B159" s="1045"/>
      <c r="C159" s="279" t="s">
        <v>182</v>
      </c>
      <c r="D159" s="279" t="s">
        <v>93</v>
      </c>
      <c r="E159" s="280"/>
      <c r="F159" s="281"/>
      <c r="G159" s="334">
        <f t="shared" si="178"/>
        <v>0</v>
      </c>
      <c r="H159" s="282"/>
      <c r="I159" s="282"/>
      <c r="J159" s="353" t="str">
        <f>IFERROR(G159/#REF!,"-")</f>
        <v>-</v>
      </c>
      <c r="K159" s="334">
        <f t="shared" si="179"/>
        <v>0</v>
      </c>
      <c r="L159" s="272">
        <f t="shared" ref="L159:M159" si="184">+H159+L46</f>
        <v>0</v>
      </c>
      <c r="M159" s="273">
        <f t="shared" si="184"/>
        <v>0</v>
      </c>
      <c r="N159" s="338" t="str">
        <f t="shared" si="181"/>
        <v>-</v>
      </c>
      <c r="O159" s="347" t="str">
        <f t="shared" si="167"/>
        <v>-</v>
      </c>
    </row>
    <row r="160" spans="1:15" ht="24" thickBot="1" x14ac:dyDescent="0.35">
      <c r="A160" s="274" t="s">
        <v>103</v>
      </c>
      <c r="B160" s="1025" t="s">
        <v>48</v>
      </c>
      <c r="C160" s="1026"/>
      <c r="D160" s="1027"/>
      <c r="E160" s="284">
        <f>SUM(E156:E159)</f>
        <v>0</v>
      </c>
      <c r="F160" s="285">
        <v>80000</v>
      </c>
      <c r="G160" s="320">
        <f>SUM(G156:G159)</f>
        <v>0</v>
      </c>
      <c r="H160" s="321">
        <f t="shared" ref="H160:I160" si="185">SUM(H156:H159)</f>
        <v>0</v>
      </c>
      <c r="I160" s="321">
        <f t="shared" si="185"/>
        <v>0</v>
      </c>
      <c r="J160" s="345">
        <f>+G160/F160</f>
        <v>0</v>
      </c>
      <c r="K160" s="320">
        <f t="shared" ref="K160" si="186">SUM(K156:K159)</f>
        <v>0</v>
      </c>
      <c r="L160" s="321">
        <f>SUM(L156:L159)</f>
        <v>0</v>
      </c>
      <c r="M160" s="322">
        <f t="shared" ref="M160" si="187">SUM(M156:M159)</f>
        <v>0</v>
      </c>
      <c r="N160" s="339" t="str">
        <f t="shared" si="181"/>
        <v>-</v>
      </c>
      <c r="O160" s="345" t="str">
        <f t="shared" si="167"/>
        <v>-</v>
      </c>
    </row>
    <row r="161" spans="1:15" ht="23.4" x14ac:dyDescent="0.3">
      <c r="A161" s="274" t="s">
        <v>103</v>
      </c>
      <c r="B161" s="1043" t="s">
        <v>23</v>
      </c>
      <c r="C161" s="275" t="s">
        <v>240</v>
      </c>
      <c r="D161" s="296" t="s">
        <v>238</v>
      </c>
      <c r="E161" s="270"/>
      <c r="F161" s="271"/>
      <c r="G161" s="332">
        <f t="shared" ref="G161:G169" si="188">+H161+I161</f>
        <v>0</v>
      </c>
      <c r="H161" s="272"/>
      <c r="I161" s="272"/>
      <c r="J161" s="351" t="str">
        <f>IFERROR(G161/#REF!,"-")</f>
        <v>-</v>
      </c>
      <c r="K161" s="332">
        <f t="shared" ref="K161:K169" si="189">+L161+M161</f>
        <v>0</v>
      </c>
      <c r="L161" s="272">
        <f t="shared" ref="L161:M161" si="190">+H161+L48</f>
        <v>0</v>
      </c>
      <c r="M161" s="273">
        <f t="shared" si="190"/>
        <v>0</v>
      </c>
      <c r="N161" s="336" t="str">
        <f t="shared" si="181"/>
        <v>-</v>
      </c>
      <c r="O161" s="346" t="str">
        <f t="shared" si="167"/>
        <v>-</v>
      </c>
    </row>
    <row r="162" spans="1:15" ht="23.4" x14ac:dyDescent="0.3">
      <c r="A162" s="274" t="s">
        <v>103</v>
      </c>
      <c r="B162" s="1044"/>
      <c r="C162" s="275" t="s">
        <v>24</v>
      </c>
      <c r="D162" s="275" t="s">
        <v>238</v>
      </c>
      <c r="E162" s="276"/>
      <c r="F162" s="277"/>
      <c r="G162" s="333">
        <f t="shared" si="188"/>
        <v>0</v>
      </c>
      <c r="H162" s="278"/>
      <c r="I162" s="278"/>
      <c r="J162" s="352" t="str">
        <f>IFERROR(G162/#REF!,"-")</f>
        <v>-</v>
      </c>
      <c r="K162" s="333">
        <f t="shared" si="189"/>
        <v>0</v>
      </c>
      <c r="L162" s="272">
        <f t="shared" ref="L162:M162" si="191">+H162+L49</f>
        <v>0</v>
      </c>
      <c r="M162" s="273">
        <f t="shared" si="191"/>
        <v>0</v>
      </c>
      <c r="N162" s="337" t="str">
        <f t="shared" si="181"/>
        <v>-</v>
      </c>
      <c r="O162" s="263" t="str">
        <f t="shared" si="167"/>
        <v>-</v>
      </c>
    </row>
    <row r="163" spans="1:15" ht="23.4" x14ac:dyDescent="0.3">
      <c r="A163" s="274" t="s">
        <v>103</v>
      </c>
      <c r="B163" s="1044"/>
      <c r="C163" s="275" t="s">
        <v>236</v>
      </c>
      <c r="D163" s="275" t="s">
        <v>238</v>
      </c>
      <c r="E163" s="276"/>
      <c r="F163" s="277"/>
      <c r="G163" s="333">
        <f t="shared" si="188"/>
        <v>0</v>
      </c>
      <c r="H163" s="278"/>
      <c r="I163" s="278"/>
      <c r="J163" s="352" t="str">
        <f>IFERROR(G163/#REF!,"-")</f>
        <v>-</v>
      </c>
      <c r="K163" s="333">
        <f t="shared" si="189"/>
        <v>0</v>
      </c>
      <c r="L163" s="272">
        <f t="shared" ref="L163:M163" si="192">+H163+L50</f>
        <v>0</v>
      </c>
      <c r="M163" s="273">
        <f t="shared" si="192"/>
        <v>0</v>
      </c>
      <c r="N163" s="337" t="str">
        <f t="shared" si="181"/>
        <v>-</v>
      </c>
      <c r="O163" s="263" t="str">
        <f t="shared" si="167"/>
        <v>-</v>
      </c>
    </row>
    <row r="164" spans="1:15" ht="23.4" x14ac:dyDescent="0.3">
      <c r="A164" s="274" t="s">
        <v>103</v>
      </c>
      <c r="B164" s="1044"/>
      <c r="C164" s="275" t="s">
        <v>237</v>
      </c>
      <c r="D164" s="275" t="s">
        <v>238</v>
      </c>
      <c r="E164" s="276"/>
      <c r="F164" s="277"/>
      <c r="G164" s="333">
        <f t="shared" si="188"/>
        <v>0</v>
      </c>
      <c r="H164" s="278"/>
      <c r="I164" s="278"/>
      <c r="J164" s="352" t="str">
        <f>IFERROR(G164/#REF!,"-")</f>
        <v>-</v>
      </c>
      <c r="K164" s="333">
        <f t="shared" si="189"/>
        <v>0</v>
      </c>
      <c r="L164" s="272">
        <f t="shared" ref="L164:M164" si="193">+H164+L51</f>
        <v>0</v>
      </c>
      <c r="M164" s="273">
        <f t="shared" si="193"/>
        <v>0</v>
      </c>
      <c r="N164" s="337" t="str">
        <f t="shared" si="181"/>
        <v>-</v>
      </c>
      <c r="O164" s="263" t="str">
        <f t="shared" si="167"/>
        <v>-</v>
      </c>
    </row>
    <row r="165" spans="1:15" ht="23.4" x14ac:dyDescent="0.3">
      <c r="A165" s="274" t="s">
        <v>103</v>
      </c>
      <c r="B165" s="1044"/>
      <c r="C165" s="295" t="s">
        <v>394</v>
      </c>
      <c r="D165" s="275" t="s">
        <v>238</v>
      </c>
      <c r="E165" s="276"/>
      <c r="F165" s="277"/>
      <c r="G165" s="333">
        <f t="shared" si="188"/>
        <v>0</v>
      </c>
      <c r="H165" s="278"/>
      <c r="I165" s="278"/>
      <c r="J165" s="352" t="str">
        <f>IFERROR(G165/#REF!,"-")</f>
        <v>-</v>
      </c>
      <c r="K165" s="333">
        <f t="shared" si="189"/>
        <v>0</v>
      </c>
      <c r="L165" s="272">
        <f t="shared" ref="L165:M165" si="194">+H165+L52</f>
        <v>0</v>
      </c>
      <c r="M165" s="273">
        <f t="shared" si="194"/>
        <v>0</v>
      </c>
      <c r="N165" s="337" t="str">
        <f t="shared" si="181"/>
        <v>-</v>
      </c>
      <c r="O165" s="263" t="str">
        <f t="shared" si="167"/>
        <v>-</v>
      </c>
    </row>
    <row r="166" spans="1:15" ht="23.4" x14ac:dyDescent="0.3">
      <c r="A166" s="274" t="s">
        <v>103</v>
      </c>
      <c r="B166" s="1044"/>
      <c r="C166" s="295" t="s">
        <v>422</v>
      </c>
      <c r="D166" s="275" t="s">
        <v>238</v>
      </c>
      <c r="E166" s="276"/>
      <c r="F166" s="277"/>
      <c r="G166" s="333">
        <f t="shared" si="188"/>
        <v>0</v>
      </c>
      <c r="H166" s="278"/>
      <c r="I166" s="278"/>
      <c r="J166" s="352" t="str">
        <f>IFERROR(G166/#REF!,"-")</f>
        <v>-</v>
      </c>
      <c r="K166" s="333">
        <f t="shared" si="189"/>
        <v>0</v>
      </c>
      <c r="L166" s="272">
        <f t="shared" ref="L166:M166" si="195">+H166+L53</f>
        <v>0</v>
      </c>
      <c r="M166" s="273">
        <f t="shared" si="195"/>
        <v>0</v>
      </c>
      <c r="N166" s="337" t="str">
        <f t="shared" si="181"/>
        <v>-</v>
      </c>
      <c r="O166" s="263" t="str">
        <f t="shared" si="167"/>
        <v>-</v>
      </c>
    </row>
    <row r="167" spans="1:15" ht="23.4" x14ac:dyDescent="0.3">
      <c r="A167" s="274" t="s">
        <v>103</v>
      </c>
      <c r="B167" s="1044"/>
      <c r="C167" s="295" t="s">
        <v>241</v>
      </c>
      <c r="D167" s="275" t="s">
        <v>243</v>
      </c>
      <c r="E167" s="276"/>
      <c r="F167" s="277"/>
      <c r="G167" s="333">
        <f t="shared" si="188"/>
        <v>0</v>
      </c>
      <c r="H167" s="278"/>
      <c r="I167" s="278"/>
      <c r="J167" s="352" t="str">
        <f>IFERROR(G167/#REF!,"-")</f>
        <v>-</v>
      </c>
      <c r="K167" s="333">
        <f t="shared" si="189"/>
        <v>0</v>
      </c>
      <c r="L167" s="272">
        <f t="shared" ref="L167:M167" si="196">+H167+L54</f>
        <v>0</v>
      </c>
      <c r="M167" s="273">
        <f t="shared" si="196"/>
        <v>0</v>
      </c>
      <c r="N167" s="337" t="str">
        <f t="shared" si="181"/>
        <v>-</v>
      </c>
      <c r="O167" s="263" t="str">
        <f t="shared" si="167"/>
        <v>-</v>
      </c>
    </row>
    <row r="168" spans="1:15" ht="23.4" x14ac:dyDescent="0.3">
      <c r="A168" s="274"/>
      <c r="B168" s="1045"/>
      <c r="C168" s="295" t="s">
        <v>456</v>
      </c>
      <c r="D168" s="275" t="s">
        <v>238</v>
      </c>
      <c r="E168" s="280"/>
      <c r="F168" s="281"/>
      <c r="G168" s="333">
        <f t="shared" si="188"/>
        <v>0</v>
      </c>
      <c r="H168" s="282"/>
      <c r="I168" s="282"/>
      <c r="J168" s="352" t="str">
        <f>IFERROR(G168/#REF!,"-")</f>
        <v>-</v>
      </c>
      <c r="K168" s="333">
        <f t="shared" si="189"/>
        <v>0</v>
      </c>
      <c r="L168" s="272">
        <f t="shared" ref="L168:M168" si="197">+H168+L55</f>
        <v>0</v>
      </c>
      <c r="M168" s="273">
        <f t="shared" si="197"/>
        <v>0</v>
      </c>
      <c r="N168" s="338"/>
      <c r="O168" s="347"/>
    </row>
    <row r="169" spans="1:15" ht="24" thickBot="1" x14ac:dyDescent="0.35">
      <c r="A169" s="274" t="s">
        <v>103</v>
      </c>
      <c r="B169" s="1045"/>
      <c r="C169" s="295" t="s">
        <v>242</v>
      </c>
      <c r="D169" s="275" t="s">
        <v>238</v>
      </c>
      <c r="E169" s="280"/>
      <c r="F169" s="281"/>
      <c r="G169" s="334">
        <f t="shared" si="188"/>
        <v>0</v>
      </c>
      <c r="H169" s="282"/>
      <c r="I169" s="282"/>
      <c r="J169" s="353" t="str">
        <f>IFERROR(G169/#REF!,"-")</f>
        <v>-</v>
      </c>
      <c r="K169" s="334">
        <f t="shared" si="189"/>
        <v>0</v>
      </c>
      <c r="L169" s="272">
        <f t="shared" ref="L169:M169" si="198">+H169+L56</f>
        <v>0</v>
      </c>
      <c r="M169" s="273">
        <f t="shared" si="198"/>
        <v>0</v>
      </c>
      <c r="N169" s="338" t="str">
        <f t="shared" ref="N169:N171" si="199">IFERROR(K169/E169,"-")</f>
        <v>-</v>
      </c>
      <c r="O169" s="347" t="str">
        <f t="shared" ref="O169:O186" si="200">IFERROR(M169/K169,"-")</f>
        <v>-</v>
      </c>
    </row>
    <row r="170" spans="1:15" ht="24" thickBot="1" x14ac:dyDescent="0.35">
      <c r="A170" s="274" t="s">
        <v>103</v>
      </c>
      <c r="B170" s="1025" t="s">
        <v>49</v>
      </c>
      <c r="C170" s="1026"/>
      <c r="D170" s="1027"/>
      <c r="E170" s="284">
        <f>SUM(E161:E169)</f>
        <v>0</v>
      </c>
      <c r="F170" s="285">
        <v>14000</v>
      </c>
      <c r="G170" s="320">
        <f>SUM(G161:G169)</f>
        <v>0</v>
      </c>
      <c r="H170" s="321">
        <f t="shared" ref="H170:I170" si="201">SUM(H161:H169)</f>
        <v>0</v>
      </c>
      <c r="I170" s="321">
        <f t="shared" si="201"/>
        <v>0</v>
      </c>
      <c r="J170" s="345">
        <f>+G171/F171</f>
        <v>0</v>
      </c>
      <c r="K170" s="320">
        <f>SUM(K161:K169)</f>
        <v>0</v>
      </c>
      <c r="L170" s="321">
        <f>+H170</f>
        <v>0</v>
      </c>
      <c r="M170" s="322">
        <f>+I170</f>
        <v>0</v>
      </c>
      <c r="N170" s="339" t="str">
        <f t="shared" si="199"/>
        <v>-</v>
      </c>
      <c r="O170" s="345" t="str">
        <f t="shared" si="200"/>
        <v>-</v>
      </c>
    </row>
    <row r="171" spans="1:15" ht="24" thickBot="1" x14ac:dyDescent="0.35">
      <c r="A171" s="274" t="s">
        <v>103</v>
      </c>
      <c r="B171" s="1047" t="s">
        <v>25</v>
      </c>
      <c r="C171" s="1048"/>
      <c r="D171" s="1049"/>
      <c r="E171" s="326">
        <f t="shared" ref="E171:F171" si="202">+E160+E170</f>
        <v>0</v>
      </c>
      <c r="F171" s="327">
        <f t="shared" si="202"/>
        <v>94000</v>
      </c>
      <c r="G171" s="326">
        <f>+G160+G170</f>
        <v>0</v>
      </c>
      <c r="H171" s="324">
        <f t="shared" ref="H171:I171" si="203">+H160+H170</f>
        <v>0</v>
      </c>
      <c r="I171" s="324">
        <f t="shared" si="203"/>
        <v>0</v>
      </c>
      <c r="J171" s="349" t="str">
        <f>IFERROR(G171/#REF!,"-")</f>
        <v>-</v>
      </c>
      <c r="K171" s="326">
        <f t="shared" ref="K171" si="204">+K160+K170</f>
        <v>0</v>
      </c>
      <c r="L171" s="324">
        <f>+L160+L170</f>
        <v>0</v>
      </c>
      <c r="M171" s="325">
        <f t="shared" ref="M171" si="205">+M160+M170</f>
        <v>0</v>
      </c>
      <c r="N171" s="341" t="str">
        <f t="shared" si="199"/>
        <v>-</v>
      </c>
      <c r="O171" s="349" t="str">
        <f t="shared" si="200"/>
        <v>-</v>
      </c>
    </row>
    <row r="172" spans="1:15" ht="24" thickBot="1" x14ac:dyDescent="0.35">
      <c r="A172" s="274" t="s">
        <v>103</v>
      </c>
      <c r="B172" s="1019" t="s">
        <v>172</v>
      </c>
      <c r="C172" s="1020"/>
      <c r="D172" s="1021"/>
      <c r="E172" s="330">
        <f>+E155+E171</f>
        <v>0</v>
      </c>
      <c r="F172" s="331">
        <f t="shared" ref="F172:I172" si="206">+F155+F171</f>
        <v>559000</v>
      </c>
      <c r="G172" s="330">
        <f t="shared" si="206"/>
        <v>18602</v>
      </c>
      <c r="H172" s="328">
        <f t="shared" si="206"/>
        <v>187320</v>
      </c>
      <c r="I172" s="328">
        <f t="shared" si="206"/>
        <v>717</v>
      </c>
      <c r="J172" s="350">
        <f>+G172/F172</f>
        <v>3.3277280858676206E-2</v>
      </c>
      <c r="K172" s="330">
        <f>+K155+K171</f>
        <v>313122</v>
      </c>
      <c r="L172" s="328">
        <f t="shared" ref="L172:M172" si="207">+L155+L171</f>
        <v>311712</v>
      </c>
      <c r="M172" s="329">
        <f t="shared" si="207"/>
        <v>1410</v>
      </c>
      <c r="N172" s="342" t="str">
        <f>IFERROR(K172/E172,"-")</f>
        <v>-</v>
      </c>
      <c r="O172" s="350">
        <f t="shared" si="200"/>
        <v>4.5030371548469925E-3</v>
      </c>
    </row>
    <row r="173" spans="1:15" ht="23.4" x14ac:dyDescent="0.3">
      <c r="A173" s="268" t="s">
        <v>101</v>
      </c>
      <c r="B173" s="1051" t="s">
        <v>26</v>
      </c>
      <c r="C173" s="297" t="s">
        <v>297</v>
      </c>
      <c r="D173" s="297" t="s">
        <v>177</v>
      </c>
      <c r="E173" s="270"/>
      <c r="F173" s="271"/>
      <c r="G173" s="332">
        <f t="shared" ref="G173:G182" si="208">+H173+I173</f>
        <v>0</v>
      </c>
      <c r="H173" s="272"/>
      <c r="I173" s="272"/>
      <c r="J173" s="351" t="str">
        <f>IFERROR(G173/#REF!,"-")</f>
        <v>-</v>
      </c>
      <c r="K173" s="332">
        <f t="shared" ref="K173:K182" si="209">+L173+M173</f>
        <v>0</v>
      </c>
      <c r="L173" s="272">
        <f t="shared" ref="L173:M173" si="210">+H173+L60</f>
        <v>0</v>
      </c>
      <c r="M173" s="273">
        <f t="shared" si="210"/>
        <v>0</v>
      </c>
      <c r="N173" s="336" t="str">
        <f t="shared" ref="N173:N174" si="211">IFERROR(K173/E173,"-")</f>
        <v>-</v>
      </c>
      <c r="O173" s="346" t="str">
        <f t="shared" si="200"/>
        <v>-</v>
      </c>
    </row>
    <row r="174" spans="1:15" ht="23.4" x14ac:dyDescent="0.3">
      <c r="A174" s="274" t="s">
        <v>101</v>
      </c>
      <c r="B174" s="1051"/>
      <c r="C174" s="298" t="s">
        <v>424</v>
      </c>
      <c r="D174" s="298" t="s">
        <v>423</v>
      </c>
      <c r="E174" s="276"/>
      <c r="F174" s="277"/>
      <c r="G174" s="333">
        <f t="shared" si="208"/>
        <v>128161</v>
      </c>
      <c r="H174" s="278">
        <v>127296</v>
      </c>
      <c r="I174" s="278">
        <v>865</v>
      </c>
      <c r="J174" s="352" t="str">
        <f>IFERROR(G174/#REF!,"-")</f>
        <v>-</v>
      </c>
      <c r="K174" s="333">
        <f t="shared" si="209"/>
        <v>200748</v>
      </c>
      <c r="L174" s="272">
        <f t="shared" ref="L174:M174" si="212">+H174+L61</f>
        <v>198900</v>
      </c>
      <c r="M174" s="273">
        <f t="shared" si="212"/>
        <v>1848</v>
      </c>
      <c r="N174" s="337" t="str">
        <f t="shared" si="211"/>
        <v>-</v>
      </c>
      <c r="O174" s="263">
        <f t="shared" si="200"/>
        <v>9.205571163847211E-3</v>
      </c>
    </row>
    <row r="175" spans="1:15" ht="23.4" x14ac:dyDescent="0.3">
      <c r="A175" s="274" t="s">
        <v>101</v>
      </c>
      <c r="B175" s="1051"/>
      <c r="C175" s="299" t="s">
        <v>27</v>
      </c>
      <c r="D175" s="299" t="s">
        <v>334</v>
      </c>
      <c r="E175" s="280"/>
      <c r="F175" s="281"/>
      <c r="G175" s="333">
        <f t="shared" si="208"/>
        <v>0</v>
      </c>
      <c r="H175" s="282"/>
      <c r="I175" s="282"/>
      <c r="J175" s="353" t="str">
        <f>IFERROR(G175/#REF!,"-")</f>
        <v>-</v>
      </c>
      <c r="K175" s="333">
        <f t="shared" si="209"/>
        <v>0</v>
      </c>
      <c r="L175" s="272">
        <f t="shared" ref="L175:M175" si="213">+H175+L62</f>
        <v>0</v>
      </c>
      <c r="M175" s="273">
        <f t="shared" si="213"/>
        <v>0</v>
      </c>
      <c r="N175" s="283"/>
      <c r="O175" s="263" t="str">
        <f t="shared" si="200"/>
        <v>-</v>
      </c>
    </row>
    <row r="176" spans="1:15" ht="23.4" x14ac:dyDescent="0.3">
      <c r="A176" s="274" t="s">
        <v>101</v>
      </c>
      <c r="B176" s="1051"/>
      <c r="C176" s="299" t="s">
        <v>27</v>
      </c>
      <c r="D176" s="299" t="s">
        <v>234</v>
      </c>
      <c r="E176" s="280"/>
      <c r="F176" s="281"/>
      <c r="G176" s="333">
        <f t="shared" si="208"/>
        <v>0</v>
      </c>
      <c r="H176" s="282"/>
      <c r="I176" s="282"/>
      <c r="J176" s="353" t="str">
        <f>IFERROR(G176/#REF!,"-")</f>
        <v>-</v>
      </c>
      <c r="K176" s="333">
        <f t="shared" si="209"/>
        <v>0</v>
      </c>
      <c r="L176" s="272">
        <f t="shared" ref="L176:M176" si="214">+H176+L63</f>
        <v>0</v>
      </c>
      <c r="M176" s="273">
        <f t="shared" si="214"/>
        <v>0</v>
      </c>
      <c r="N176" s="283"/>
      <c r="O176" s="263" t="str">
        <f t="shared" si="200"/>
        <v>-</v>
      </c>
    </row>
    <row r="177" spans="1:15" ht="23.4" x14ac:dyDescent="0.3">
      <c r="A177" s="274" t="s">
        <v>101</v>
      </c>
      <c r="B177" s="1051"/>
      <c r="C177" s="299" t="s">
        <v>27</v>
      </c>
      <c r="D177" s="299" t="s">
        <v>279</v>
      </c>
      <c r="E177" s="280"/>
      <c r="F177" s="281"/>
      <c r="G177" s="333">
        <f t="shared" si="208"/>
        <v>0</v>
      </c>
      <c r="H177" s="282"/>
      <c r="I177" s="282"/>
      <c r="J177" s="353" t="str">
        <f>IFERROR(G177/#REF!,"-")</f>
        <v>-</v>
      </c>
      <c r="K177" s="333">
        <f t="shared" si="209"/>
        <v>0</v>
      </c>
      <c r="L177" s="272">
        <f t="shared" ref="L177:M177" si="215">+H177+L64</f>
        <v>0</v>
      </c>
      <c r="M177" s="273">
        <f t="shared" si="215"/>
        <v>0</v>
      </c>
      <c r="N177" s="283"/>
      <c r="O177" s="263" t="str">
        <f t="shared" si="200"/>
        <v>-</v>
      </c>
    </row>
    <row r="178" spans="1:15" ht="22.5" customHeight="1" x14ac:dyDescent="0.3">
      <c r="A178" s="274"/>
      <c r="B178" s="1051"/>
      <c r="C178" s="299" t="s">
        <v>432</v>
      </c>
      <c r="D178" s="299" t="s">
        <v>178</v>
      </c>
      <c r="E178" s="280"/>
      <c r="F178" s="281"/>
      <c r="G178" s="334">
        <f t="shared" si="208"/>
        <v>0</v>
      </c>
      <c r="H178" s="282"/>
      <c r="I178" s="282"/>
      <c r="J178" s="353" t="str">
        <f>IFERROR(G178/#REF!,"-")</f>
        <v>-</v>
      </c>
      <c r="K178" s="334">
        <f t="shared" si="209"/>
        <v>0</v>
      </c>
      <c r="L178" s="272">
        <f t="shared" ref="L178:M178" si="216">+H178+L65</f>
        <v>0</v>
      </c>
      <c r="M178" s="273">
        <f t="shared" si="216"/>
        <v>0</v>
      </c>
      <c r="N178" s="283"/>
      <c r="O178" s="263" t="str">
        <f t="shared" si="200"/>
        <v>-</v>
      </c>
    </row>
    <row r="179" spans="1:15" ht="23.4" x14ac:dyDescent="0.3">
      <c r="A179" s="274"/>
      <c r="B179" s="1051"/>
      <c r="C179" s="299" t="s">
        <v>333</v>
      </c>
      <c r="D179" s="299" t="s">
        <v>94</v>
      </c>
      <c r="E179" s="280"/>
      <c r="F179" s="281"/>
      <c r="G179" s="334">
        <f t="shared" si="208"/>
        <v>0</v>
      </c>
      <c r="H179" s="282"/>
      <c r="I179" s="282"/>
      <c r="J179" s="353" t="str">
        <f>IFERROR(G179/#REF!,"-")</f>
        <v>-</v>
      </c>
      <c r="K179" s="334">
        <f t="shared" si="209"/>
        <v>0</v>
      </c>
      <c r="L179" s="272">
        <f t="shared" ref="L179:M179" si="217">+H179+L66</f>
        <v>0</v>
      </c>
      <c r="M179" s="273">
        <f t="shared" si="217"/>
        <v>0</v>
      </c>
      <c r="N179" s="283"/>
      <c r="O179" s="263" t="str">
        <f t="shared" si="200"/>
        <v>-</v>
      </c>
    </row>
    <row r="180" spans="1:15" ht="23.4" x14ac:dyDescent="0.3">
      <c r="A180" s="274"/>
      <c r="B180" s="1051"/>
      <c r="C180" s="299" t="s">
        <v>433</v>
      </c>
      <c r="D180" s="299" t="s">
        <v>178</v>
      </c>
      <c r="E180" s="280"/>
      <c r="F180" s="281"/>
      <c r="G180" s="334">
        <f t="shared" si="208"/>
        <v>0</v>
      </c>
      <c r="H180" s="282"/>
      <c r="I180" s="282"/>
      <c r="J180" s="353" t="str">
        <f>IFERROR(G180/#REF!,"-")</f>
        <v>-</v>
      </c>
      <c r="K180" s="334">
        <f t="shared" si="209"/>
        <v>0</v>
      </c>
      <c r="L180" s="272">
        <f t="shared" ref="L180:M180" si="218">+H180+L67</f>
        <v>0</v>
      </c>
      <c r="M180" s="272">
        <f t="shared" si="218"/>
        <v>0</v>
      </c>
      <c r="N180" s="283"/>
      <c r="O180" s="263" t="str">
        <f t="shared" si="200"/>
        <v>-</v>
      </c>
    </row>
    <row r="181" spans="1:15" ht="23.4" x14ac:dyDescent="0.3">
      <c r="A181" s="274"/>
      <c r="B181" s="1051"/>
      <c r="C181" s="299" t="s">
        <v>382</v>
      </c>
      <c r="D181" s="299" t="s">
        <v>366</v>
      </c>
      <c r="E181" s="280"/>
      <c r="F181" s="281"/>
      <c r="G181" s="334">
        <f t="shared" si="208"/>
        <v>0</v>
      </c>
      <c r="H181" s="282"/>
      <c r="I181" s="282"/>
      <c r="J181" s="353" t="str">
        <f>IFERROR(G181/#REF!,"-")</f>
        <v>-</v>
      </c>
      <c r="K181" s="334">
        <f t="shared" si="209"/>
        <v>0</v>
      </c>
      <c r="L181" s="272">
        <f t="shared" ref="L181:M181" si="219">+H181+L68</f>
        <v>0</v>
      </c>
      <c r="M181" s="273">
        <f t="shared" si="219"/>
        <v>0</v>
      </c>
      <c r="N181" s="283"/>
      <c r="O181" s="263" t="str">
        <f t="shared" si="200"/>
        <v>-</v>
      </c>
    </row>
    <row r="182" spans="1:15" ht="24" thickBot="1" x14ac:dyDescent="0.35">
      <c r="A182" s="274" t="s">
        <v>101</v>
      </c>
      <c r="B182" s="1051"/>
      <c r="C182" s="300" t="s">
        <v>290</v>
      </c>
      <c r="D182" s="299" t="s">
        <v>289</v>
      </c>
      <c r="E182" s="280"/>
      <c r="F182" s="281"/>
      <c r="G182" s="334">
        <f t="shared" si="208"/>
        <v>0</v>
      </c>
      <c r="H182" s="282"/>
      <c r="I182" s="282"/>
      <c r="J182" s="353" t="str">
        <f>IFERROR(G182/#REF!,"-")</f>
        <v>-</v>
      </c>
      <c r="K182" s="334">
        <f t="shared" si="209"/>
        <v>0</v>
      </c>
      <c r="L182" s="272">
        <f t="shared" ref="L182:M182" si="220">+H182+L69</f>
        <v>0</v>
      </c>
      <c r="M182" s="273">
        <f t="shared" si="220"/>
        <v>0</v>
      </c>
      <c r="N182" s="338" t="str">
        <f t="shared" ref="N182:N186" si="221">IFERROR(K182/E182,"-")</f>
        <v>-</v>
      </c>
      <c r="O182" s="347" t="str">
        <f t="shared" si="200"/>
        <v>-</v>
      </c>
    </row>
    <row r="183" spans="1:15" ht="24" thickBot="1" x14ac:dyDescent="0.35">
      <c r="A183" s="274" t="s">
        <v>101</v>
      </c>
      <c r="B183" s="1052"/>
      <c r="C183" s="301"/>
      <c r="D183" s="302" t="s">
        <v>52</v>
      </c>
      <c r="E183" s="284">
        <f>SUM(E173:E182)</f>
        <v>0</v>
      </c>
      <c r="F183" s="285">
        <v>160000</v>
      </c>
      <c r="G183" s="320">
        <f>SUM(G173:G182)</f>
        <v>128161</v>
      </c>
      <c r="H183" s="321">
        <f>SUM(H173:H182)</f>
        <v>127296</v>
      </c>
      <c r="I183" s="321">
        <f>SUM(I173:I182)</f>
        <v>865</v>
      </c>
      <c r="J183" s="345">
        <f>+G183/F183</f>
        <v>0.80100625000000003</v>
      </c>
      <c r="K183" s="320">
        <f>SUM(K173:K182)</f>
        <v>200748</v>
      </c>
      <c r="L183" s="321">
        <f>SUM(L173:L182)</f>
        <v>198900</v>
      </c>
      <c r="M183" s="322">
        <f>SUM(M173:M182)</f>
        <v>1848</v>
      </c>
      <c r="N183" s="339" t="str">
        <f t="shared" si="221"/>
        <v>-</v>
      </c>
      <c r="O183" s="345">
        <f t="shared" si="200"/>
        <v>9.205571163847211E-3</v>
      </c>
    </row>
    <row r="184" spans="1:15" ht="23.4" x14ac:dyDescent="0.3">
      <c r="A184" s="274" t="s">
        <v>101</v>
      </c>
      <c r="B184" s="1053" t="s">
        <v>28</v>
      </c>
      <c r="C184" s="299" t="s">
        <v>27</v>
      </c>
      <c r="D184" s="297" t="s">
        <v>178</v>
      </c>
      <c r="E184" s="270"/>
      <c r="F184" s="271"/>
      <c r="G184" s="332">
        <f t="shared" ref="G184:G188" si="222">+H184+I184</f>
        <v>0</v>
      </c>
      <c r="H184" s="272"/>
      <c r="I184" s="272"/>
      <c r="J184" s="351" t="str">
        <f>IFERROR(G184/#REF!,"-")</f>
        <v>-</v>
      </c>
      <c r="K184" s="332">
        <f t="shared" ref="K184:K190" si="223">+L184+M184</f>
        <v>0</v>
      </c>
      <c r="L184" s="272">
        <f t="shared" ref="L184:M184" si="224">+H184+L71</f>
        <v>0</v>
      </c>
      <c r="M184" s="273">
        <f t="shared" si="224"/>
        <v>0</v>
      </c>
      <c r="N184" s="336" t="str">
        <f t="shared" si="221"/>
        <v>-</v>
      </c>
      <c r="O184" s="346" t="str">
        <f t="shared" si="200"/>
        <v>-</v>
      </c>
    </row>
    <row r="185" spans="1:15" ht="23.4" x14ac:dyDescent="0.3">
      <c r="A185" s="274" t="s">
        <v>101</v>
      </c>
      <c r="B185" s="1051"/>
      <c r="C185" s="299" t="s">
        <v>385</v>
      </c>
      <c r="D185" s="299" t="s">
        <v>334</v>
      </c>
      <c r="E185" s="276"/>
      <c r="F185" s="277"/>
      <c r="G185" s="333">
        <f t="shared" si="222"/>
        <v>48213</v>
      </c>
      <c r="H185" s="278">
        <v>47736</v>
      </c>
      <c r="I185" s="278">
        <v>477</v>
      </c>
      <c r="J185" s="352" t="str">
        <f>IFERROR(G185/#REF!,"-")</f>
        <v>-</v>
      </c>
      <c r="K185" s="333">
        <f t="shared" si="223"/>
        <v>68541</v>
      </c>
      <c r="L185" s="272">
        <f t="shared" ref="L185:M185" si="225">+H185+L72</f>
        <v>67626</v>
      </c>
      <c r="M185" s="273">
        <f t="shared" si="225"/>
        <v>915</v>
      </c>
      <c r="N185" s="337" t="str">
        <f t="shared" si="221"/>
        <v>-</v>
      </c>
      <c r="O185" s="263">
        <f t="shared" si="200"/>
        <v>1.3349673917801024E-2</v>
      </c>
    </row>
    <row r="186" spans="1:15" ht="23.4" x14ac:dyDescent="0.3">
      <c r="A186" s="274" t="s">
        <v>101</v>
      </c>
      <c r="B186" s="1051"/>
      <c r="C186" s="299" t="s">
        <v>27</v>
      </c>
      <c r="D186" s="299" t="s">
        <v>334</v>
      </c>
      <c r="E186" s="276"/>
      <c r="F186" s="277"/>
      <c r="G186" s="333">
        <f t="shared" si="222"/>
        <v>0</v>
      </c>
      <c r="H186" s="278"/>
      <c r="I186" s="278"/>
      <c r="J186" s="352" t="str">
        <f>IFERROR(G186/#REF!,"-")</f>
        <v>-</v>
      </c>
      <c r="K186" s="333">
        <f t="shared" si="223"/>
        <v>0</v>
      </c>
      <c r="L186" s="272">
        <f t="shared" ref="L186:M186" si="226">+H186+L73</f>
        <v>0</v>
      </c>
      <c r="M186" s="273">
        <f t="shared" si="226"/>
        <v>0</v>
      </c>
      <c r="N186" s="337" t="str">
        <f t="shared" si="221"/>
        <v>-</v>
      </c>
      <c r="O186" s="263" t="str">
        <f t="shared" si="200"/>
        <v>-</v>
      </c>
    </row>
    <row r="187" spans="1:15" ht="23.4" x14ac:dyDescent="0.3">
      <c r="A187" s="274"/>
      <c r="B187" s="1051"/>
      <c r="C187" s="299" t="s">
        <v>460</v>
      </c>
      <c r="D187" s="299" t="s">
        <v>334</v>
      </c>
      <c r="E187" s="280"/>
      <c r="F187" s="281"/>
      <c r="G187" s="333">
        <f t="shared" si="222"/>
        <v>0</v>
      </c>
      <c r="H187" s="282"/>
      <c r="I187" s="282"/>
      <c r="J187" s="352" t="str">
        <f>IFERROR(G187/#REF!,"-")</f>
        <v>-</v>
      </c>
      <c r="K187" s="333">
        <f t="shared" si="223"/>
        <v>0</v>
      </c>
      <c r="L187" s="272">
        <f t="shared" ref="L187:M187" si="227">+H187+L74</f>
        <v>0</v>
      </c>
      <c r="M187" s="273">
        <f t="shared" si="227"/>
        <v>0</v>
      </c>
      <c r="N187" s="338"/>
      <c r="O187" s="347"/>
    </row>
    <row r="188" spans="1:15" ht="23.4" x14ac:dyDescent="0.3">
      <c r="A188" s="274" t="s">
        <v>101</v>
      </c>
      <c r="B188" s="1051"/>
      <c r="C188" s="299" t="s">
        <v>382</v>
      </c>
      <c r="D188" s="300" t="s">
        <v>366</v>
      </c>
      <c r="E188" s="280"/>
      <c r="F188" s="281"/>
      <c r="G188" s="334">
        <f t="shared" si="222"/>
        <v>0</v>
      </c>
      <c r="H188" s="282"/>
      <c r="I188" s="282"/>
      <c r="J188" s="352" t="str">
        <f>IFERROR(G188/#REF!,"-")</f>
        <v>-</v>
      </c>
      <c r="K188" s="334">
        <f t="shared" si="223"/>
        <v>0</v>
      </c>
      <c r="L188" s="272">
        <f t="shared" ref="L188:M188" si="228">+H188+L75</f>
        <v>0</v>
      </c>
      <c r="M188" s="702">
        <f t="shared" si="228"/>
        <v>0</v>
      </c>
      <c r="N188" s="338" t="str">
        <f t="shared" ref="N188" si="229">IFERROR(K188/E188,"-")</f>
        <v>-</v>
      </c>
      <c r="O188" s="347" t="str">
        <f t="shared" ref="O188" si="230">IFERROR(M188/K188,"-")</f>
        <v>-</v>
      </c>
    </row>
    <row r="189" spans="1:15" ht="23.4" x14ac:dyDescent="0.3">
      <c r="A189" s="274"/>
      <c r="B189" s="1051"/>
      <c r="C189" s="299" t="s">
        <v>458</v>
      </c>
      <c r="D189" s="300" t="s">
        <v>280</v>
      </c>
      <c r="E189" s="280"/>
      <c r="F189" s="281"/>
      <c r="G189" s="334"/>
      <c r="H189" s="282"/>
      <c r="I189" s="282"/>
      <c r="J189" s="352" t="str">
        <f>IFERROR(G189/#REF!,"-")</f>
        <v>-</v>
      </c>
      <c r="K189" s="334">
        <f t="shared" si="223"/>
        <v>0</v>
      </c>
      <c r="L189" s="272">
        <f t="shared" ref="L189:M189" si="231">+H189+L76</f>
        <v>0</v>
      </c>
      <c r="M189" s="272">
        <f t="shared" si="231"/>
        <v>0</v>
      </c>
      <c r="N189" s="338"/>
      <c r="O189" s="347"/>
    </row>
    <row r="190" spans="1:15" ht="24" thickBot="1" x14ac:dyDescent="0.35">
      <c r="A190" s="274" t="s">
        <v>101</v>
      </c>
      <c r="B190" s="1051"/>
      <c r="C190" s="299" t="s">
        <v>27</v>
      </c>
      <c r="D190" s="300" t="s">
        <v>234</v>
      </c>
      <c r="E190" s="280"/>
      <c r="F190" s="281"/>
      <c r="G190" s="334">
        <f t="shared" ref="G190" si="232">+H190+I190</f>
        <v>0</v>
      </c>
      <c r="H190" s="282"/>
      <c r="I190" s="282"/>
      <c r="J190" s="353" t="str">
        <f>IFERROR(G190/#REF!,"-")</f>
        <v>-</v>
      </c>
      <c r="K190" s="334">
        <f t="shared" si="223"/>
        <v>0</v>
      </c>
      <c r="L190" s="272">
        <f t="shared" ref="L190:M190" si="233">+H190+L77</f>
        <v>0</v>
      </c>
      <c r="M190" s="702">
        <f t="shared" si="233"/>
        <v>0</v>
      </c>
      <c r="N190" s="338" t="str">
        <f t="shared" ref="N190:N191" si="234">IFERROR(K190/E190,"-")</f>
        <v>-</v>
      </c>
      <c r="O190" s="347" t="str">
        <f t="shared" ref="O190:O206" si="235">IFERROR(M190/K190,"-")</f>
        <v>-</v>
      </c>
    </row>
    <row r="191" spans="1:15" ht="24" thickBot="1" x14ac:dyDescent="0.35">
      <c r="A191" s="274" t="s">
        <v>101</v>
      </c>
      <c r="B191" s="1051"/>
      <c r="C191" s="304"/>
      <c r="D191" s="305" t="s">
        <v>52</v>
      </c>
      <c r="E191" s="306">
        <f>SUM(E184:E190)</f>
        <v>0</v>
      </c>
      <c r="F191" s="307">
        <v>80000</v>
      </c>
      <c r="G191" s="366">
        <f>SUM(G184:G190)</f>
        <v>48213</v>
      </c>
      <c r="H191" s="365">
        <f>SUM(H184:H190)</f>
        <v>47736</v>
      </c>
      <c r="I191" s="365">
        <f>SUM(I184:I190)</f>
        <v>477</v>
      </c>
      <c r="J191" s="356">
        <f>+G191/F191</f>
        <v>0.60266249999999999</v>
      </c>
      <c r="K191" s="366">
        <f>SUM(K184:K190)</f>
        <v>68541</v>
      </c>
      <c r="L191" s="365">
        <f>SUM(L184:L190)</f>
        <v>67626</v>
      </c>
      <c r="M191" s="367">
        <f>SUM(M184:M190)</f>
        <v>915</v>
      </c>
      <c r="N191" s="355" t="str">
        <f t="shared" si="234"/>
        <v>-</v>
      </c>
      <c r="O191" s="356">
        <f t="shared" si="235"/>
        <v>1.3349673917801024E-2</v>
      </c>
    </row>
    <row r="192" spans="1:15" ht="24" thickBot="1" x14ac:dyDescent="0.35">
      <c r="A192" s="769" t="s">
        <v>101</v>
      </c>
      <c r="B192" s="1054" t="s">
        <v>162</v>
      </c>
      <c r="C192" s="1055"/>
      <c r="D192" s="1056"/>
      <c r="E192" s="308">
        <f>+E191+E183</f>
        <v>0</v>
      </c>
      <c r="F192" s="309">
        <v>240000</v>
      </c>
      <c r="G192" s="369">
        <f>+G183+G191</f>
        <v>176374</v>
      </c>
      <c r="H192" s="368">
        <f>+H183+H191</f>
        <v>175032</v>
      </c>
      <c r="I192" s="368">
        <f>+I183+I191</f>
        <v>1342</v>
      </c>
      <c r="J192" s="358">
        <f>+G192/F192</f>
        <v>0.73489166666666672</v>
      </c>
      <c r="K192" s="369">
        <f>+K183+K191</f>
        <v>269289</v>
      </c>
      <c r="L192" s="368">
        <f>+L183+L191</f>
        <v>266526</v>
      </c>
      <c r="M192" s="370">
        <f>+M183+M191</f>
        <v>2763</v>
      </c>
      <c r="N192" s="357" t="str">
        <f>IFERROR(K192/E192,"-")</f>
        <v>-</v>
      </c>
      <c r="O192" s="358">
        <f t="shared" si="235"/>
        <v>1.0260352260953846E-2</v>
      </c>
    </row>
    <row r="193" spans="1:15" ht="23.4" x14ac:dyDescent="0.3">
      <c r="A193" s="274" t="s">
        <v>101</v>
      </c>
      <c r="B193" s="1051" t="s">
        <v>30</v>
      </c>
      <c r="C193" s="303" t="s">
        <v>446</v>
      </c>
      <c r="D193" s="299" t="s">
        <v>334</v>
      </c>
      <c r="E193" s="270"/>
      <c r="F193" s="271"/>
      <c r="G193" s="332">
        <f t="shared" ref="G193:G195" si="236">+H193+I193</f>
        <v>0</v>
      </c>
      <c r="H193" s="272"/>
      <c r="I193" s="272"/>
      <c r="J193" s="351" t="str">
        <f>IFERROR(G193/#REF!,"-")</f>
        <v>-</v>
      </c>
      <c r="K193" s="332">
        <f t="shared" ref="K193:K195" si="237">+L193+M193</f>
        <v>0</v>
      </c>
      <c r="L193" s="272">
        <f t="shared" ref="L193:M193" si="238">+H193+L80</f>
        <v>0</v>
      </c>
      <c r="M193" s="273">
        <f t="shared" si="238"/>
        <v>0</v>
      </c>
      <c r="N193" s="336" t="str">
        <f t="shared" ref="N193:N206" si="239">IFERROR(K193/E193,"-")</f>
        <v>-</v>
      </c>
      <c r="O193" s="346" t="str">
        <f t="shared" si="235"/>
        <v>-</v>
      </c>
    </row>
    <row r="194" spans="1:15" ht="23.4" x14ac:dyDescent="0.3">
      <c r="A194" s="274" t="s">
        <v>101</v>
      </c>
      <c r="B194" s="1051"/>
      <c r="C194" s="300" t="s">
        <v>429</v>
      </c>
      <c r="D194" s="303" t="s">
        <v>366</v>
      </c>
      <c r="E194" s="276"/>
      <c r="F194" s="277"/>
      <c r="G194" s="333">
        <f t="shared" si="236"/>
        <v>0</v>
      </c>
      <c r="H194" s="278"/>
      <c r="I194" s="278"/>
      <c r="J194" s="352" t="str">
        <f>IFERROR(G194/#REF!,"-")</f>
        <v>-</v>
      </c>
      <c r="K194" s="333">
        <f t="shared" si="237"/>
        <v>0</v>
      </c>
      <c r="L194" s="272">
        <f t="shared" ref="L194:M194" si="240">+H194+L81</f>
        <v>0</v>
      </c>
      <c r="M194" s="273">
        <f t="shared" si="240"/>
        <v>0</v>
      </c>
      <c r="N194" s="337" t="str">
        <f t="shared" si="239"/>
        <v>-</v>
      </c>
      <c r="O194" s="263" t="str">
        <f t="shared" si="235"/>
        <v>-</v>
      </c>
    </row>
    <row r="195" spans="1:15" ht="24" thickBot="1" x14ac:dyDescent="0.35">
      <c r="A195" s="274" t="s">
        <v>101</v>
      </c>
      <c r="B195" s="1051"/>
      <c r="C195" s="300" t="s">
        <v>291</v>
      </c>
      <c r="D195" s="300" t="s">
        <v>366</v>
      </c>
      <c r="E195" s="280"/>
      <c r="F195" s="281"/>
      <c r="G195" s="334">
        <f t="shared" si="236"/>
        <v>0</v>
      </c>
      <c r="H195" s="282"/>
      <c r="I195" s="282"/>
      <c r="J195" s="353" t="str">
        <f>IFERROR(G195/#REF!,"-")</f>
        <v>-</v>
      </c>
      <c r="K195" s="334">
        <f t="shared" si="237"/>
        <v>0</v>
      </c>
      <c r="L195" s="272">
        <f t="shared" ref="L195:M195" si="241">+H195+L82</f>
        <v>0</v>
      </c>
      <c r="M195" s="273">
        <f t="shared" si="241"/>
        <v>0</v>
      </c>
      <c r="N195" s="338" t="str">
        <f t="shared" si="239"/>
        <v>-</v>
      </c>
      <c r="O195" s="347" t="str">
        <f t="shared" si="235"/>
        <v>-</v>
      </c>
    </row>
    <row r="196" spans="1:15" ht="24" thickBot="1" x14ac:dyDescent="0.35">
      <c r="A196" s="274" t="s">
        <v>101</v>
      </c>
      <c r="B196" s="1051"/>
      <c r="C196" s="301"/>
      <c r="D196" s="302" t="s">
        <v>50</v>
      </c>
      <c r="E196" s="284">
        <v>0</v>
      </c>
      <c r="F196" s="285">
        <v>50000</v>
      </c>
      <c r="G196" s="320">
        <f>SUM(G193:G195)</f>
        <v>0</v>
      </c>
      <c r="H196" s="321">
        <f>SUM(H193:H195)</f>
        <v>0</v>
      </c>
      <c r="I196" s="321">
        <f>SUM(I193:I195)</f>
        <v>0</v>
      </c>
      <c r="J196" s="345" t="e">
        <f>+H196/G196</f>
        <v>#DIV/0!</v>
      </c>
      <c r="K196" s="320">
        <f>SUM(K193:K195)</f>
        <v>0</v>
      </c>
      <c r="L196" s="321">
        <f>SUM(L193:L195)</f>
        <v>0</v>
      </c>
      <c r="M196" s="322">
        <f>SUM(M193:M195)</f>
        <v>0</v>
      </c>
      <c r="N196" s="339" t="str">
        <f t="shared" si="239"/>
        <v>-</v>
      </c>
      <c r="O196" s="345" t="str">
        <f t="shared" si="235"/>
        <v>-</v>
      </c>
    </row>
    <row r="197" spans="1:15" ht="23.4" x14ac:dyDescent="0.3">
      <c r="A197" s="274" t="s">
        <v>101</v>
      </c>
      <c r="B197" s="1051"/>
      <c r="C197" s="297" t="s">
        <v>434</v>
      </c>
      <c r="D197" s="297" t="s">
        <v>92</v>
      </c>
      <c r="E197" s="270"/>
      <c r="F197" s="271"/>
      <c r="G197" s="332">
        <f t="shared" ref="G197:G198" si="242">+H197+I197</f>
        <v>0</v>
      </c>
      <c r="H197" s="272"/>
      <c r="I197" s="272"/>
      <c r="J197" s="351" t="str">
        <f>IFERROR(G197/#REF!,"-")</f>
        <v>-</v>
      </c>
      <c r="K197" s="332">
        <f t="shared" ref="K197:K202" si="243">+L197+M197</f>
        <v>0</v>
      </c>
      <c r="L197" s="272">
        <f t="shared" ref="L197:M197" si="244">+H197+L84</f>
        <v>0</v>
      </c>
      <c r="M197" s="273">
        <f t="shared" si="244"/>
        <v>0</v>
      </c>
      <c r="N197" s="336" t="str">
        <f t="shared" si="239"/>
        <v>-</v>
      </c>
      <c r="O197" s="346" t="str">
        <f t="shared" si="235"/>
        <v>-</v>
      </c>
    </row>
    <row r="198" spans="1:15" ht="23.4" x14ac:dyDescent="0.3">
      <c r="A198" s="274"/>
      <c r="B198" s="1051"/>
      <c r="C198" s="303" t="s">
        <v>449</v>
      </c>
      <c r="D198" s="299" t="s">
        <v>334</v>
      </c>
      <c r="E198" s="270"/>
      <c r="F198" s="271"/>
      <c r="G198" s="332">
        <f t="shared" si="242"/>
        <v>0</v>
      </c>
      <c r="H198" s="272"/>
      <c r="I198" s="272"/>
      <c r="J198" s="351" t="str">
        <f>IFERROR(G198/#REF!,"-")</f>
        <v>-</v>
      </c>
      <c r="K198" s="332">
        <f t="shared" si="243"/>
        <v>0</v>
      </c>
      <c r="L198" s="272">
        <f t="shared" ref="L198:M198" si="245">+H198+L85</f>
        <v>0</v>
      </c>
      <c r="M198" s="273">
        <f t="shared" si="245"/>
        <v>0</v>
      </c>
      <c r="N198" s="337" t="str">
        <f t="shared" si="239"/>
        <v>-</v>
      </c>
      <c r="O198" s="346" t="str">
        <f t="shared" si="235"/>
        <v>-</v>
      </c>
    </row>
    <row r="199" spans="1:15" ht="23.4" x14ac:dyDescent="0.3">
      <c r="A199" s="274"/>
      <c r="B199" s="1051"/>
      <c r="C199" s="303" t="s">
        <v>452</v>
      </c>
      <c r="D199" s="299" t="s">
        <v>334</v>
      </c>
      <c r="E199" s="270"/>
      <c r="F199" s="271"/>
      <c r="G199" s="332"/>
      <c r="H199" s="272"/>
      <c r="I199" s="272"/>
      <c r="J199" s="351" t="str">
        <f>IFERROR(G199/#REF!,"-")</f>
        <v>-</v>
      </c>
      <c r="K199" s="332">
        <f t="shared" si="243"/>
        <v>0</v>
      </c>
      <c r="L199" s="272">
        <f t="shared" ref="L199:M199" si="246">+H199+L86</f>
        <v>0</v>
      </c>
      <c r="M199" s="273">
        <f t="shared" si="246"/>
        <v>0</v>
      </c>
      <c r="N199" s="337" t="str">
        <f t="shared" si="239"/>
        <v>-</v>
      </c>
      <c r="O199" s="346" t="str">
        <f t="shared" si="235"/>
        <v>-</v>
      </c>
    </row>
    <row r="200" spans="1:15" ht="23.4" x14ac:dyDescent="0.3">
      <c r="A200" s="274" t="s">
        <v>101</v>
      </c>
      <c r="B200" s="1051"/>
      <c r="C200" s="303" t="s">
        <v>335</v>
      </c>
      <c r="D200" s="303" t="s">
        <v>234</v>
      </c>
      <c r="E200" s="276"/>
      <c r="F200" s="277"/>
      <c r="G200" s="333">
        <f t="shared" ref="G200" si="247">+H200+I200</f>
        <v>0</v>
      </c>
      <c r="H200" s="278"/>
      <c r="I200" s="278"/>
      <c r="J200" s="351" t="str">
        <f>IFERROR(G200/#REF!,"-")</f>
        <v>-</v>
      </c>
      <c r="K200" s="333">
        <f t="shared" si="243"/>
        <v>0</v>
      </c>
      <c r="L200" s="272">
        <f t="shared" ref="L200:M200" si="248">+H200+L87</f>
        <v>0</v>
      </c>
      <c r="M200" s="273">
        <f t="shared" si="248"/>
        <v>0</v>
      </c>
      <c r="N200" s="337" t="str">
        <f t="shared" si="239"/>
        <v>-</v>
      </c>
      <c r="O200" s="263" t="str">
        <f t="shared" si="235"/>
        <v>-</v>
      </c>
    </row>
    <row r="201" spans="1:15" ht="23.4" x14ac:dyDescent="0.3">
      <c r="A201" s="274"/>
      <c r="B201" s="1051"/>
      <c r="C201" s="300" t="s">
        <v>459</v>
      </c>
      <c r="D201" s="300" t="s">
        <v>366</v>
      </c>
      <c r="E201" s="280"/>
      <c r="F201" s="281"/>
      <c r="G201" s="334"/>
      <c r="H201" s="282"/>
      <c r="I201" s="282"/>
      <c r="J201" s="351" t="str">
        <f>IFERROR(G201/#REF!,"-")</f>
        <v>-</v>
      </c>
      <c r="K201" s="333">
        <f t="shared" si="243"/>
        <v>0</v>
      </c>
      <c r="L201" s="272">
        <f t="shared" ref="L201:M201" si="249">+H201+L88</f>
        <v>0</v>
      </c>
      <c r="M201" s="272">
        <f t="shared" si="249"/>
        <v>0</v>
      </c>
      <c r="N201" s="337" t="str">
        <f t="shared" si="239"/>
        <v>-</v>
      </c>
      <c r="O201" s="263" t="str">
        <f t="shared" si="235"/>
        <v>-</v>
      </c>
    </row>
    <row r="202" spans="1:15" ht="24" thickBot="1" x14ac:dyDescent="0.35">
      <c r="A202" s="274" t="s">
        <v>101</v>
      </c>
      <c r="B202" s="1051"/>
      <c r="C202" s="300" t="s">
        <v>435</v>
      </c>
      <c r="D202" s="300" t="s">
        <v>423</v>
      </c>
      <c r="E202" s="280"/>
      <c r="F202" s="281"/>
      <c r="G202" s="334">
        <f t="shared" ref="G202" si="250">+H202+I202</f>
        <v>0</v>
      </c>
      <c r="H202" s="282"/>
      <c r="I202" s="282"/>
      <c r="J202" s="353" t="str">
        <f>IFERROR(G202/#REF!,"-")</f>
        <v>-</v>
      </c>
      <c r="K202" s="334">
        <f t="shared" si="243"/>
        <v>0</v>
      </c>
      <c r="L202" s="272">
        <f t="shared" ref="L202:M202" si="251">+H202+L89</f>
        <v>0</v>
      </c>
      <c r="M202" s="273">
        <f t="shared" si="251"/>
        <v>0</v>
      </c>
      <c r="N202" s="338" t="str">
        <f t="shared" si="239"/>
        <v>-</v>
      </c>
      <c r="O202" s="347" t="str">
        <f t="shared" si="235"/>
        <v>-</v>
      </c>
    </row>
    <row r="203" spans="1:15" ht="24" thickBot="1" x14ac:dyDescent="0.35">
      <c r="A203" s="274" t="s">
        <v>101</v>
      </c>
      <c r="B203" s="1051"/>
      <c r="C203" s="304"/>
      <c r="D203" s="305" t="s">
        <v>51</v>
      </c>
      <c r="E203" s="306">
        <f>SUM(E197)</f>
        <v>0</v>
      </c>
      <c r="F203" s="307">
        <v>50000</v>
      </c>
      <c r="G203" s="366">
        <f>SUM(G197:G202)</f>
        <v>0</v>
      </c>
      <c r="H203" s="365">
        <f t="shared" ref="H203:I203" si="252">SUM(H197:H202)</f>
        <v>0</v>
      </c>
      <c r="I203" s="365">
        <f t="shared" si="252"/>
        <v>0</v>
      </c>
      <c r="J203" s="356">
        <f>+G203/F203</f>
        <v>0</v>
      </c>
      <c r="K203" s="366">
        <f t="shared" ref="K203:M203" si="253">SUM(K197:K202)</f>
        <v>0</v>
      </c>
      <c r="L203" s="365">
        <f t="shared" si="253"/>
        <v>0</v>
      </c>
      <c r="M203" s="367">
        <f t="shared" si="253"/>
        <v>0</v>
      </c>
      <c r="N203" s="355" t="str">
        <f t="shared" si="239"/>
        <v>-</v>
      </c>
      <c r="O203" s="356" t="str">
        <f t="shared" si="235"/>
        <v>-</v>
      </c>
    </row>
    <row r="204" spans="1:15" ht="24" thickBot="1" x14ac:dyDescent="0.35">
      <c r="A204" s="274" t="s">
        <v>101</v>
      </c>
      <c r="B204" s="1054" t="s">
        <v>163</v>
      </c>
      <c r="C204" s="1055"/>
      <c r="D204" s="1056"/>
      <c r="E204" s="308">
        <f>+E203+E196</f>
        <v>0</v>
      </c>
      <c r="F204" s="309">
        <v>50000</v>
      </c>
      <c r="G204" s="369">
        <f>+G196+G203</f>
        <v>0</v>
      </c>
      <c r="H204" s="368">
        <f t="shared" ref="H204:I204" si="254">+H196+H203</f>
        <v>0</v>
      </c>
      <c r="I204" s="368">
        <f t="shared" si="254"/>
        <v>0</v>
      </c>
      <c r="J204" s="358">
        <f>+G204/F204</f>
        <v>0</v>
      </c>
      <c r="K204" s="369">
        <f t="shared" ref="K204:M204" si="255">+K196+K203</f>
        <v>0</v>
      </c>
      <c r="L204" s="368">
        <f t="shared" si="255"/>
        <v>0</v>
      </c>
      <c r="M204" s="370">
        <f t="shared" si="255"/>
        <v>0</v>
      </c>
      <c r="N204" s="357" t="str">
        <f t="shared" si="239"/>
        <v>-</v>
      </c>
      <c r="O204" s="358" t="str">
        <f t="shared" si="235"/>
        <v>-</v>
      </c>
    </row>
    <row r="205" spans="1:15" ht="24" thickBot="1" x14ac:dyDescent="0.35">
      <c r="A205" s="274" t="s">
        <v>101</v>
      </c>
      <c r="B205" s="598" t="s">
        <v>32</v>
      </c>
      <c r="C205" s="762"/>
      <c r="D205" s="310" t="s">
        <v>32</v>
      </c>
      <c r="E205" s="287">
        <v>0</v>
      </c>
      <c r="F205" s="288">
        <v>110000</v>
      </c>
      <c r="G205" s="335">
        <f t="shared" ref="G205" si="256">+H205+I205</f>
        <v>0</v>
      </c>
      <c r="H205" s="289"/>
      <c r="I205" s="289"/>
      <c r="J205" s="354" t="str">
        <f>IFERROR(G205/#REF!,"-")</f>
        <v>-</v>
      </c>
      <c r="K205" s="335">
        <f>+L205+M205</f>
        <v>0</v>
      </c>
      <c r="L205" s="289">
        <f>+H205+L92</f>
        <v>0</v>
      </c>
      <c r="M205" s="290">
        <f>+I205+M92</f>
        <v>0</v>
      </c>
      <c r="N205" s="340" t="str">
        <f t="shared" si="239"/>
        <v>-</v>
      </c>
      <c r="O205" s="348" t="str">
        <f t="shared" si="235"/>
        <v>-</v>
      </c>
    </row>
    <row r="206" spans="1:15" ht="24" thickBot="1" x14ac:dyDescent="0.35">
      <c r="A206" s="274" t="s">
        <v>101</v>
      </c>
      <c r="B206" s="1047" t="s">
        <v>21</v>
      </c>
      <c r="C206" s="1048"/>
      <c r="D206" s="1049"/>
      <c r="E206" s="326">
        <f>+E192+E204+E205</f>
        <v>0</v>
      </c>
      <c r="F206" s="327">
        <f>+F192+F204+F205</f>
        <v>400000</v>
      </c>
      <c r="G206" s="326">
        <f>+G192+G204+G205</f>
        <v>176374</v>
      </c>
      <c r="H206" s="324">
        <f>+H192+H204+H205</f>
        <v>175032</v>
      </c>
      <c r="I206" s="324">
        <f>+I192+I204+I205</f>
        <v>1342</v>
      </c>
      <c r="J206" s="349">
        <f>+G206/F206</f>
        <v>0.44093500000000002</v>
      </c>
      <c r="K206" s="326">
        <f>+K192+K204+K205</f>
        <v>269289</v>
      </c>
      <c r="L206" s="324">
        <f>+L192+L204+L205</f>
        <v>266526</v>
      </c>
      <c r="M206" s="325">
        <f>+M192+M204+M205</f>
        <v>2763</v>
      </c>
      <c r="N206" s="341" t="str">
        <f t="shared" si="239"/>
        <v>-</v>
      </c>
      <c r="O206" s="349">
        <f t="shared" si="235"/>
        <v>1.0260352260953846E-2</v>
      </c>
    </row>
    <row r="207" spans="1:15" ht="24" thickBot="1" x14ac:dyDescent="0.35">
      <c r="A207" s="274" t="s">
        <v>101</v>
      </c>
      <c r="B207" s="1019" t="s">
        <v>171</v>
      </c>
      <c r="C207" s="1020"/>
      <c r="D207" s="1021"/>
      <c r="E207" s="330">
        <f>+E206</f>
        <v>0</v>
      </c>
      <c r="F207" s="331">
        <f t="shared" ref="F207:I207" si="257">+F206</f>
        <v>400000</v>
      </c>
      <c r="G207" s="330">
        <f t="shared" si="257"/>
        <v>176374</v>
      </c>
      <c r="H207" s="328">
        <f t="shared" si="257"/>
        <v>175032</v>
      </c>
      <c r="I207" s="328">
        <f t="shared" si="257"/>
        <v>1342</v>
      </c>
      <c r="J207" s="350">
        <f>+J206</f>
        <v>0.44093500000000002</v>
      </c>
      <c r="K207" s="330">
        <f>+K206</f>
        <v>269289</v>
      </c>
      <c r="L207" s="328">
        <f t="shared" ref="L207" si="258">+L206</f>
        <v>266526</v>
      </c>
      <c r="M207" s="329">
        <f>+M206</f>
        <v>2763</v>
      </c>
      <c r="N207" s="342" t="str">
        <f t="shared" ref="N207:O207" si="259">+N206</f>
        <v>-</v>
      </c>
      <c r="O207" s="350">
        <f t="shared" si="259"/>
        <v>1.0260352260953846E-2</v>
      </c>
    </row>
    <row r="208" spans="1:15" ht="23.4" x14ac:dyDescent="0.3">
      <c r="A208" s="268" t="s">
        <v>102</v>
      </c>
      <c r="B208" s="1022" t="s">
        <v>401</v>
      </c>
      <c r="C208" s="311" t="s">
        <v>113</v>
      </c>
      <c r="D208" s="311"/>
      <c r="E208" s="270"/>
      <c r="F208" s="271"/>
      <c r="G208" s="332">
        <f t="shared" ref="G208:G210" si="260">+H208+I208</f>
        <v>0</v>
      </c>
      <c r="H208" s="272"/>
      <c r="I208" s="272"/>
      <c r="J208" s="351" t="str">
        <f>IFERROR(G208/#REF!,"-")</f>
        <v>-</v>
      </c>
      <c r="K208" s="332">
        <f t="shared" ref="K208:K210" si="261">+L208+M208</f>
        <v>0</v>
      </c>
      <c r="L208" s="272">
        <f t="shared" ref="L208:M208" si="262">+H208+L95</f>
        <v>0</v>
      </c>
      <c r="M208" s="273">
        <f t="shared" si="262"/>
        <v>0</v>
      </c>
      <c r="N208" s="336" t="str">
        <f t="shared" ref="N208:N215" si="263">IFERROR(K208/E208,"-")</f>
        <v>-</v>
      </c>
      <c r="O208" s="346" t="str">
        <f t="shared" ref="O208:O233" si="264">IFERROR(M208/K208,"-")</f>
        <v>-</v>
      </c>
    </row>
    <row r="209" spans="1:15" ht="23.4" x14ac:dyDescent="0.3">
      <c r="A209" s="274" t="s">
        <v>102</v>
      </c>
      <c r="B209" s="1023"/>
      <c r="C209" s="312" t="s">
        <v>247</v>
      </c>
      <c r="D209" s="312"/>
      <c r="E209" s="276"/>
      <c r="F209" s="277"/>
      <c r="G209" s="333">
        <f t="shared" si="260"/>
        <v>745</v>
      </c>
      <c r="H209" s="278">
        <v>700</v>
      </c>
      <c r="I209" s="278">
        <v>45</v>
      </c>
      <c r="J209" s="352" t="str">
        <f>IFERROR(G209/#REF!,"-")</f>
        <v>-</v>
      </c>
      <c r="K209" s="333">
        <f t="shared" si="261"/>
        <v>745</v>
      </c>
      <c r="L209" s="272">
        <f t="shared" ref="L209:M209" si="265">+H209+L96</f>
        <v>700</v>
      </c>
      <c r="M209" s="273">
        <f t="shared" si="265"/>
        <v>45</v>
      </c>
      <c r="N209" s="337" t="str">
        <f t="shared" si="263"/>
        <v>-</v>
      </c>
      <c r="O209" s="263">
        <f t="shared" si="264"/>
        <v>6.0402684563758392E-2</v>
      </c>
    </row>
    <row r="210" spans="1:15" ht="24" thickBot="1" x14ac:dyDescent="0.35">
      <c r="A210" s="274" t="s">
        <v>102</v>
      </c>
      <c r="B210" s="1024"/>
      <c r="C210" s="313" t="s">
        <v>33</v>
      </c>
      <c r="D210" s="313"/>
      <c r="E210" s="280"/>
      <c r="F210" s="281"/>
      <c r="G210" s="334">
        <f t="shared" si="260"/>
        <v>0</v>
      </c>
      <c r="H210" s="282"/>
      <c r="I210" s="282"/>
      <c r="J210" s="353" t="str">
        <f>IFERROR(G210/#REF!,"-")</f>
        <v>-</v>
      </c>
      <c r="K210" s="334">
        <f t="shared" si="261"/>
        <v>0</v>
      </c>
      <c r="L210" s="272">
        <f t="shared" ref="L210:M210" si="266">+H210+L97</f>
        <v>0</v>
      </c>
      <c r="M210" s="273">
        <f t="shared" si="266"/>
        <v>0</v>
      </c>
      <c r="N210" s="338" t="str">
        <f t="shared" si="263"/>
        <v>-</v>
      </c>
      <c r="O210" s="347" t="str">
        <f t="shared" si="264"/>
        <v>-</v>
      </c>
    </row>
    <row r="211" spans="1:15" ht="24" thickBot="1" x14ac:dyDescent="0.35">
      <c r="A211" s="274" t="s">
        <v>102</v>
      </c>
      <c r="B211" s="1025" t="s">
        <v>34</v>
      </c>
      <c r="C211" s="1026"/>
      <c r="D211" s="1027"/>
      <c r="E211" s="284">
        <f>SUM(E208:E210)</f>
        <v>0</v>
      </c>
      <c r="F211" s="285">
        <v>6500</v>
      </c>
      <c r="G211" s="320">
        <f>SUM(G208:G210)</f>
        <v>745</v>
      </c>
      <c r="H211" s="321">
        <f t="shared" ref="H211:I211" si="267">SUM(H208:H210)</f>
        <v>700</v>
      </c>
      <c r="I211" s="321">
        <f t="shared" si="267"/>
        <v>45</v>
      </c>
      <c r="J211" s="345" t="str">
        <f>IFERROR(G211/#REF!,"-")</f>
        <v>-</v>
      </c>
      <c r="K211" s="320">
        <f t="shared" ref="K211:M211" si="268">SUM(K208:K210)</f>
        <v>745</v>
      </c>
      <c r="L211" s="321">
        <f t="shared" si="268"/>
        <v>700</v>
      </c>
      <c r="M211" s="322">
        <f t="shared" si="268"/>
        <v>45</v>
      </c>
      <c r="N211" s="339" t="str">
        <f t="shared" si="263"/>
        <v>-</v>
      </c>
      <c r="O211" s="345">
        <f t="shared" si="264"/>
        <v>6.0402684563758392E-2</v>
      </c>
    </row>
    <row r="212" spans="1:15" ht="23.4" x14ac:dyDescent="0.3">
      <c r="A212" s="274" t="s">
        <v>102</v>
      </c>
      <c r="B212" s="1022" t="s">
        <v>35</v>
      </c>
      <c r="C212" s="311" t="s">
        <v>113</v>
      </c>
      <c r="D212" s="311"/>
      <c r="E212" s="270"/>
      <c r="F212" s="271"/>
      <c r="G212" s="332">
        <f t="shared" ref="G212:G215" si="269">+H212+I212</f>
        <v>0</v>
      </c>
      <c r="H212" s="272"/>
      <c r="I212" s="272"/>
      <c r="J212" s="351" t="str">
        <f>IFERROR(G212/#REF!,"-")</f>
        <v>-</v>
      </c>
      <c r="K212" s="332">
        <f t="shared" ref="K212:K215" si="270">+L212+M212</f>
        <v>0</v>
      </c>
      <c r="L212" s="272">
        <f t="shared" ref="L212:M212" si="271">+H212+L99</f>
        <v>0</v>
      </c>
      <c r="M212" s="273">
        <f t="shared" si="271"/>
        <v>0</v>
      </c>
      <c r="N212" s="336" t="str">
        <f t="shared" si="263"/>
        <v>-</v>
      </c>
      <c r="O212" s="346" t="str">
        <f t="shared" si="264"/>
        <v>-</v>
      </c>
    </row>
    <row r="213" spans="1:15" ht="23.4" x14ac:dyDescent="0.3">
      <c r="A213" s="274" t="s">
        <v>102</v>
      </c>
      <c r="B213" s="1023"/>
      <c r="C213" s="312" t="s">
        <v>247</v>
      </c>
      <c r="D213" s="312"/>
      <c r="E213" s="276"/>
      <c r="F213" s="277"/>
      <c r="G213" s="333">
        <f t="shared" si="269"/>
        <v>0</v>
      </c>
      <c r="H213" s="278"/>
      <c r="I213" s="278"/>
      <c r="J213" s="352" t="str">
        <f>IFERROR(G213/#REF!,"-")</f>
        <v>-</v>
      </c>
      <c r="K213" s="333">
        <f t="shared" si="270"/>
        <v>0</v>
      </c>
      <c r="L213" s="272">
        <f t="shared" ref="L213:M213" si="272">+H213+L100</f>
        <v>0</v>
      </c>
      <c r="M213" s="273">
        <f t="shared" si="272"/>
        <v>0</v>
      </c>
      <c r="N213" s="337" t="str">
        <f t="shared" si="263"/>
        <v>-</v>
      </c>
      <c r="O213" s="263" t="str">
        <f t="shared" si="264"/>
        <v>-</v>
      </c>
    </row>
    <row r="214" spans="1:15" ht="23.4" x14ac:dyDescent="0.3">
      <c r="A214" s="274" t="s">
        <v>102</v>
      </c>
      <c r="B214" s="1023"/>
      <c r="C214" s="312" t="s">
        <v>184</v>
      </c>
      <c r="D214" s="312"/>
      <c r="E214" s="276"/>
      <c r="F214" s="277"/>
      <c r="G214" s="333">
        <f t="shared" si="269"/>
        <v>0</v>
      </c>
      <c r="H214" s="278"/>
      <c r="I214" s="278"/>
      <c r="J214" s="352" t="str">
        <f>IFERROR(G214/#REF!,"-")</f>
        <v>-</v>
      </c>
      <c r="K214" s="333">
        <f t="shared" si="270"/>
        <v>0</v>
      </c>
      <c r="L214" s="272">
        <f t="shared" ref="L214:M214" si="273">+H214+L101</f>
        <v>0</v>
      </c>
      <c r="M214" s="273">
        <f t="shared" si="273"/>
        <v>0</v>
      </c>
      <c r="N214" s="337" t="str">
        <f t="shared" si="263"/>
        <v>-</v>
      </c>
      <c r="O214" s="263" t="str">
        <f t="shared" si="264"/>
        <v>-</v>
      </c>
    </row>
    <row r="215" spans="1:15" ht="24" thickBot="1" x14ac:dyDescent="0.35">
      <c r="A215" s="274" t="s">
        <v>102</v>
      </c>
      <c r="B215" s="1024"/>
      <c r="C215" s="313" t="s">
        <v>36</v>
      </c>
      <c r="D215" s="313"/>
      <c r="E215" s="280"/>
      <c r="F215" s="281"/>
      <c r="G215" s="334">
        <f t="shared" si="269"/>
        <v>0</v>
      </c>
      <c r="H215" s="282"/>
      <c r="I215" s="282"/>
      <c r="J215" s="353" t="str">
        <f>IFERROR(G215/#REF!,"-")</f>
        <v>-</v>
      </c>
      <c r="K215" s="334">
        <f t="shared" si="270"/>
        <v>0</v>
      </c>
      <c r="L215" s="272">
        <f t="shared" ref="L215:M215" si="274">+H215+L102</f>
        <v>0</v>
      </c>
      <c r="M215" s="273">
        <f t="shared" si="274"/>
        <v>0</v>
      </c>
      <c r="N215" s="338" t="str">
        <f t="shared" si="263"/>
        <v>-</v>
      </c>
      <c r="O215" s="347" t="str">
        <f t="shared" si="264"/>
        <v>-</v>
      </c>
    </row>
    <row r="216" spans="1:15" ht="24" thickBot="1" x14ac:dyDescent="0.35">
      <c r="A216" s="274" t="s">
        <v>102</v>
      </c>
      <c r="B216" s="1025" t="s">
        <v>37</v>
      </c>
      <c r="C216" s="1026"/>
      <c r="D216" s="1027"/>
      <c r="E216" s="284">
        <f>SUM(E212:E215)</f>
        <v>0</v>
      </c>
      <c r="F216" s="285">
        <v>6500</v>
      </c>
      <c r="G216" s="320">
        <f>SUM(G212:G215)</f>
        <v>0</v>
      </c>
      <c r="H216" s="321">
        <f t="shared" ref="H216:I216" si="275">SUM(H212:H215)</f>
        <v>0</v>
      </c>
      <c r="I216" s="321">
        <f t="shared" si="275"/>
        <v>0</v>
      </c>
      <c r="J216" s="345" t="str">
        <f>IFERROR(G216/#REF!,"-")</f>
        <v>-</v>
      </c>
      <c r="K216" s="320">
        <f t="shared" ref="K216:M216" si="276">SUM(K212:K215)</f>
        <v>0</v>
      </c>
      <c r="L216" s="321">
        <f t="shared" si="276"/>
        <v>0</v>
      </c>
      <c r="M216" s="322">
        <f t="shared" si="276"/>
        <v>0</v>
      </c>
      <c r="N216" s="339" t="str">
        <f>IFERROR(K216/E216,"-")</f>
        <v>-</v>
      </c>
      <c r="O216" s="345" t="str">
        <f t="shared" si="264"/>
        <v>-</v>
      </c>
    </row>
    <row r="217" spans="1:15" ht="23.4" x14ac:dyDescent="0.3">
      <c r="A217" s="274" t="s">
        <v>102</v>
      </c>
      <c r="B217" s="1022" t="s">
        <v>402</v>
      </c>
      <c r="C217" s="314" t="s">
        <v>116</v>
      </c>
      <c r="D217" s="314"/>
      <c r="E217" s="270"/>
      <c r="F217" s="271"/>
      <c r="G217" s="332">
        <f t="shared" ref="G217:G218" si="277">+H217+I217</f>
        <v>0</v>
      </c>
      <c r="H217" s="272"/>
      <c r="I217" s="272"/>
      <c r="J217" s="351" t="str">
        <f>IFERROR(G217/#REF!,"-")</f>
        <v>-</v>
      </c>
      <c r="K217" s="332">
        <f t="shared" ref="K217:K218" si="278">+L217+M217</f>
        <v>0</v>
      </c>
      <c r="L217" s="272">
        <f t="shared" ref="L217:M217" si="279">+H217+L104</f>
        <v>0</v>
      </c>
      <c r="M217" s="273">
        <f t="shared" si="279"/>
        <v>0</v>
      </c>
      <c r="N217" s="336" t="str">
        <f t="shared" ref="N217:N233" si="280">IFERROR(K217/E217,"-")</f>
        <v>-</v>
      </c>
      <c r="O217" s="346" t="str">
        <f t="shared" si="264"/>
        <v>-</v>
      </c>
    </row>
    <row r="218" spans="1:15" ht="24" thickBot="1" x14ac:dyDescent="0.35">
      <c r="A218" s="274" t="s">
        <v>102</v>
      </c>
      <c r="B218" s="1024"/>
      <c r="C218" s="286" t="s">
        <v>132</v>
      </c>
      <c r="D218" s="286"/>
      <c r="E218" s="280"/>
      <c r="F218" s="281"/>
      <c r="G218" s="334">
        <f t="shared" si="277"/>
        <v>870</v>
      </c>
      <c r="H218" s="282">
        <v>800</v>
      </c>
      <c r="I218" s="282">
        <v>70</v>
      </c>
      <c r="J218" s="353" t="str">
        <f>IFERROR(G218/#REF!,"-")</f>
        <v>-</v>
      </c>
      <c r="K218" s="334">
        <f t="shared" si="278"/>
        <v>870</v>
      </c>
      <c r="L218" s="272">
        <f t="shared" ref="L218:M218" si="281">+H218+L105</f>
        <v>800</v>
      </c>
      <c r="M218" s="273">
        <f t="shared" si="281"/>
        <v>70</v>
      </c>
      <c r="N218" s="338" t="str">
        <f t="shared" si="280"/>
        <v>-</v>
      </c>
      <c r="O218" s="347">
        <f t="shared" si="264"/>
        <v>8.0459770114942528E-2</v>
      </c>
    </row>
    <row r="219" spans="1:15" ht="24" thickBot="1" x14ac:dyDescent="0.35">
      <c r="A219" s="769" t="s">
        <v>102</v>
      </c>
      <c r="B219" s="1025" t="s">
        <v>38</v>
      </c>
      <c r="C219" s="1026"/>
      <c r="D219" s="1027"/>
      <c r="E219" s="284">
        <f>SUM(E217:E218)</f>
        <v>0</v>
      </c>
      <c r="F219" s="285">
        <v>2800</v>
      </c>
      <c r="G219" s="320">
        <f>SUM(G217:G218)</f>
        <v>870</v>
      </c>
      <c r="H219" s="321">
        <f t="shared" ref="H219:I219" si="282">SUM(H217:H218)</f>
        <v>800</v>
      </c>
      <c r="I219" s="321">
        <f t="shared" si="282"/>
        <v>70</v>
      </c>
      <c r="J219" s="345" t="str">
        <f>IFERROR(G219/#REF!,"-")</f>
        <v>-</v>
      </c>
      <c r="K219" s="320">
        <f t="shared" ref="K219:M219" si="283">SUM(K217:K218)</f>
        <v>870</v>
      </c>
      <c r="L219" s="321">
        <f t="shared" si="283"/>
        <v>800</v>
      </c>
      <c r="M219" s="322">
        <f t="shared" si="283"/>
        <v>70</v>
      </c>
      <c r="N219" s="339" t="str">
        <f t="shared" si="280"/>
        <v>-</v>
      </c>
      <c r="O219" s="345">
        <f t="shared" si="264"/>
        <v>8.0459770114942528E-2</v>
      </c>
    </row>
    <row r="220" spans="1:15" ht="23.4" x14ac:dyDescent="0.3">
      <c r="A220" s="274" t="s">
        <v>102</v>
      </c>
      <c r="B220" s="1022" t="s">
        <v>403</v>
      </c>
      <c r="C220" s="269" t="s">
        <v>306</v>
      </c>
      <c r="D220" s="269"/>
      <c r="E220" s="270"/>
      <c r="F220" s="315"/>
      <c r="G220" s="332">
        <f t="shared" ref="G220:G224" si="284">+H220+I220</f>
        <v>25326</v>
      </c>
      <c r="H220" s="272">
        <v>25200</v>
      </c>
      <c r="I220" s="272">
        <v>126</v>
      </c>
      <c r="J220" s="371" t="str">
        <f>IFERROR(G220/#REF!,"-")</f>
        <v>-</v>
      </c>
      <c r="K220" s="332">
        <f t="shared" ref="K220:K224" si="285">+L220+M220</f>
        <v>32160</v>
      </c>
      <c r="L220" s="272">
        <f t="shared" ref="L220:M220" si="286">+H220+L107</f>
        <v>31920</v>
      </c>
      <c r="M220" s="272">
        <f t="shared" si="286"/>
        <v>240</v>
      </c>
      <c r="N220" s="359" t="str">
        <f t="shared" si="280"/>
        <v>-</v>
      </c>
      <c r="O220" s="360">
        <f t="shared" si="264"/>
        <v>7.462686567164179E-3</v>
      </c>
    </row>
    <row r="221" spans="1:15" ht="23.4" x14ac:dyDescent="0.3">
      <c r="A221" s="274" t="s">
        <v>102</v>
      </c>
      <c r="B221" s="1023"/>
      <c r="C221" s="269" t="s">
        <v>307</v>
      </c>
      <c r="D221" s="275"/>
      <c r="E221" s="276"/>
      <c r="F221" s="316"/>
      <c r="G221" s="333">
        <f t="shared" si="284"/>
        <v>0</v>
      </c>
      <c r="H221" s="278"/>
      <c r="I221" s="278"/>
      <c r="J221" s="372" t="str">
        <f>IFERROR(G221/#REF!,"-")</f>
        <v>-</v>
      </c>
      <c r="K221" s="333">
        <f t="shared" si="285"/>
        <v>0</v>
      </c>
      <c r="L221" s="272">
        <f t="shared" ref="L221:M221" si="287">+H221+L108</f>
        <v>0</v>
      </c>
      <c r="M221" s="273">
        <f t="shared" si="287"/>
        <v>0</v>
      </c>
      <c r="N221" s="361" t="str">
        <f t="shared" si="280"/>
        <v>-</v>
      </c>
      <c r="O221" s="362" t="str">
        <f t="shared" si="264"/>
        <v>-</v>
      </c>
    </row>
    <row r="222" spans="1:15" ht="23.4" x14ac:dyDescent="0.3">
      <c r="A222" s="274" t="s">
        <v>102</v>
      </c>
      <c r="B222" s="1023"/>
      <c r="C222" s="275" t="s">
        <v>345</v>
      </c>
      <c r="D222" s="275"/>
      <c r="E222" s="276"/>
      <c r="F222" s="316"/>
      <c r="G222" s="333">
        <f t="shared" si="284"/>
        <v>0</v>
      </c>
      <c r="H222" s="278"/>
      <c r="I222" s="278"/>
      <c r="J222" s="372" t="str">
        <f>IFERROR(G222/#REF!,"-")</f>
        <v>-</v>
      </c>
      <c r="K222" s="333">
        <f t="shared" si="285"/>
        <v>0</v>
      </c>
      <c r="L222" s="272">
        <f t="shared" ref="L222:M222" si="288">+H222+L109</f>
        <v>0</v>
      </c>
      <c r="M222" s="273">
        <f t="shared" si="288"/>
        <v>0</v>
      </c>
      <c r="N222" s="361" t="str">
        <f t="shared" si="280"/>
        <v>-</v>
      </c>
      <c r="O222" s="362" t="str">
        <f t="shared" si="264"/>
        <v>-</v>
      </c>
    </row>
    <row r="223" spans="1:15" ht="23.4" x14ac:dyDescent="0.3">
      <c r="A223" s="274" t="s">
        <v>102</v>
      </c>
      <c r="B223" s="1023"/>
      <c r="C223" s="275" t="s">
        <v>157</v>
      </c>
      <c r="D223" s="275"/>
      <c r="E223" s="276"/>
      <c r="F223" s="316"/>
      <c r="G223" s="333">
        <f t="shared" si="284"/>
        <v>0</v>
      </c>
      <c r="H223" s="278"/>
      <c r="I223" s="278"/>
      <c r="J223" s="372" t="str">
        <f>IFERROR(G223/#REF!,"-")</f>
        <v>-</v>
      </c>
      <c r="K223" s="333">
        <f t="shared" si="285"/>
        <v>0</v>
      </c>
      <c r="L223" s="272">
        <f t="shared" ref="L223:M223" si="289">+H223+L110</f>
        <v>0</v>
      </c>
      <c r="M223" s="273">
        <f t="shared" si="289"/>
        <v>0</v>
      </c>
      <c r="N223" s="361" t="str">
        <f t="shared" si="280"/>
        <v>-</v>
      </c>
      <c r="O223" s="362" t="str">
        <f t="shared" si="264"/>
        <v>-</v>
      </c>
    </row>
    <row r="224" spans="1:15" ht="24" thickBot="1" x14ac:dyDescent="0.35">
      <c r="A224" s="274" t="s">
        <v>102</v>
      </c>
      <c r="B224" s="1024"/>
      <c r="C224" s="279" t="s">
        <v>158</v>
      </c>
      <c r="D224" s="279"/>
      <c r="E224" s="280"/>
      <c r="F224" s="317"/>
      <c r="G224" s="334">
        <f t="shared" si="284"/>
        <v>0</v>
      </c>
      <c r="H224" s="282"/>
      <c r="I224" s="282"/>
      <c r="J224" s="373" t="str">
        <f>IFERROR(G224/#REF!,"-")</f>
        <v>-</v>
      </c>
      <c r="K224" s="334">
        <f t="shared" si="285"/>
        <v>0</v>
      </c>
      <c r="L224" s="272">
        <f t="shared" ref="L224:M224" si="290">+H224+L111</f>
        <v>0</v>
      </c>
      <c r="M224" s="273">
        <f t="shared" si="290"/>
        <v>0</v>
      </c>
      <c r="N224" s="363" t="str">
        <f t="shared" si="280"/>
        <v>-</v>
      </c>
      <c r="O224" s="364" t="str">
        <f t="shared" si="264"/>
        <v>-</v>
      </c>
    </row>
    <row r="225" spans="1:15" ht="24" thickBot="1" x14ac:dyDescent="0.35">
      <c r="A225" s="274" t="s">
        <v>102</v>
      </c>
      <c r="B225" s="1025" t="s">
        <v>39</v>
      </c>
      <c r="C225" s="1026"/>
      <c r="D225" s="1027"/>
      <c r="E225" s="320">
        <f>SUM(E220:E224)</f>
        <v>0</v>
      </c>
      <c r="F225" s="285">
        <v>25000</v>
      </c>
      <c r="G225" s="320">
        <f>SUM(G220:G224)</f>
        <v>25326</v>
      </c>
      <c r="H225" s="321">
        <f>SUM(H220:H224)</f>
        <v>25200</v>
      </c>
      <c r="I225" s="321">
        <f>SUM(I220:I224)</f>
        <v>126</v>
      </c>
      <c r="J225" s="345" t="str">
        <f>IFERROR(G225/#REF!,"-")</f>
        <v>-</v>
      </c>
      <c r="K225" s="320">
        <f>SUM(K220:K224)</f>
        <v>32160</v>
      </c>
      <c r="L225" s="321">
        <f>SUM(L220:L224)</f>
        <v>31920</v>
      </c>
      <c r="M225" s="322">
        <f>SUM(M220:M224)</f>
        <v>240</v>
      </c>
      <c r="N225" s="339" t="str">
        <f t="shared" si="280"/>
        <v>-</v>
      </c>
      <c r="O225" s="345">
        <f t="shared" si="264"/>
        <v>7.462686567164179E-3</v>
      </c>
    </row>
    <row r="226" spans="1:15" ht="23.4" x14ac:dyDescent="0.3">
      <c r="A226" s="274" t="s">
        <v>102</v>
      </c>
      <c r="B226" s="1022" t="s">
        <v>404</v>
      </c>
      <c r="C226" s="269" t="s">
        <v>186</v>
      </c>
      <c r="D226" s="269"/>
      <c r="E226" s="270"/>
      <c r="F226" s="271"/>
      <c r="G226" s="332">
        <f t="shared" ref="G226:G228" si="291">+H226+I226</f>
        <v>0</v>
      </c>
      <c r="H226" s="272"/>
      <c r="I226" s="272"/>
      <c r="J226" s="351" t="str">
        <f>IFERROR(G226/#REF!,"-")</f>
        <v>-</v>
      </c>
      <c r="K226" s="332">
        <f t="shared" ref="K226:K228" si="292">+L226+M226</f>
        <v>0</v>
      </c>
      <c r="L226" s="272">
        <f t="shared" ref="L226:M226" si="293">+H226+L113</f>
        <v>0</v>
      </c>
      <c r="M226" s="273">
        <f t="shared" si="293"/>
        <v>0</v>
      </c>
      <c r="N226" s="336" t="str">
        <f t="shared" si="280"/>
        <v>-</v>
      </c>
      <c r="O226" s="346" t="str">
        <f t="shared" si="264"/>
        <v>-</v>
      </c>
    </row>
    <row r="227" spans="1:15" ht="23.4" x14ac:dyDescent="0.3">
      <c r="A227" s="274" t="s">
        <v>102</v>
      </c>
      <c r="B227" s="1023"/>
      <c r="C227" s="275" t="s">
        <v>159</v>
      </c>
      <c r="D227" s="275"/>
      <c r="E227" s="276"/>
      <c r="F227" s="277"/>
      <c r="G227" s="333">
        <f t="shared" si="291"/>
        <v>0</v>
      </c>
      <c r="H227" s="278"/>
      <c r="I227" s="278"/>
      <c r="J227" s="372" t="str">
        <f>IFERROR(G227/#REF!,"-")</f>
        <v>-</v>
      </c>
      <c r="K227" s="333">
        <f t="shared" si="292"/>
        <v>11826</v>
      </c>
      <c r="L227" s="714">
        <f t="shared" ref="L227:M227" si="294">+H227+L114</f>
        <v>11400</v>
      </c>
      <c r="M227" s="273">
        <f t="shared" si="294"/>
        <v>426</v>
      </c>
      <c r="N227" s="361" t="str">
        <f t="shared" si="280"/>
        <v>-</v>
      </c>
      <c r="O227" s="362">
        <f t="shared" si="264"/>
        <v>3.6022323693556568E-2</v>
      </c>
    </row>
    <row r="228" spans="1:15" ht="24" thickBot="1" x14ac:dyDescent="0.35">
      <c r="A228" s="274" t="s">
        <v>102</v>
      </c>
      <c r="B228" s="1024"/>
      <c r="C228" s="279" t="s">
        <v>186</v>
      </c>
      <c r="D228" s="279"/>
      <c r="E228" s="280"/>
      <c r="F228" s="281"/>
      <c r="G228" s="334">
        <f t="shared" si="291"/>
        <v>0</v>
      </c>
      <c r="H228" s="282"/>
      <c r="I228" s="282"/>
      <c r="J228" s="373" t="str">
        <f>IFERROR(G228/#REF!,"-")</f>
        <v>-</v>
      </c>
      <c r="K228" s="334">
        <f t="shared" si="292"/>
        <v>0</v>
      </c>
      <c r="L228" s="272">
        <f t="shared" ref="L228:M228" si="295">+H228+L115</f>
        <v>0</v>
      </c>
      <c r="M228" s="273">
        <f t="shared" si="295"/>
        <v>0</v>
      </c>
      <c r="N228" s="363" t="str">
        <f t="shared" si="280"/>
        <v>-</v>
      </c>
      <c r="O228" s="364" t="str">
        <f t="shared" si="264"/>
        <v>-</v>
      </c>
    </row>
    <row r="229" spans="1:15" ht="24" thickBot="1" x14ac:dyDescent="0.35">
      <c r="A229" s="274" t="s">
        <v>102</v>
      </c>
      <c r="B229" s="1034" t="s">
        <v>41</v>
      </c>
      <c r="C229" s="1035"/>
      <c r="D229" s="1036"/>
      <c r="E229" s="320">
        <f>SUM(E226:E228)</f>
        <v>0</v>
      </c>
      <c r="F229" s="285"/>
      <c r="G229" s="320">
        <f>SUM(G226:G228)</f>
        <v>0</v>
      </c>
      <c r="H229" s="321">
        <f t="shared" ref="H229:I229" si="296">SUM(H226:H228)</f>
        <v>0</v>
      </c>
      <c r="I229" s="321">
        <f t="shared" si="296"/>
        <v>0</v>
      </c>
      <c r="J229" s="345" t="str">
        <f>IFERROR(G229/#REF!,"-")</f>
        <v>-</v>
      </c>
      <c r="K229" s="320">
        <f t="shared" ref="K229:M229" si="297">SUM(K226:K228)</f>
        <v>11826</v>
      </c>
      <c r="L229" s="365">
        <f t="shared" si="297"/>
        <v>11400</v>
      </c>
      <c r="M229" s="367">
        <f t="shared" si="297"/>
        <v>426</v>
      </c>
      <c r="N229" s="339" t="str">
        <f t="shared" si="280"/>
        <v>-</v>
      </c>
      <c r="O229" s="345">
        <f t="shared" si="264"/>
        <v>3.6022323693556568E-2</v>
      </c>
    </row>
    <row r="230" spans="1:15" ht="24" thickBot="1" x14ac:dyDescent="0.35">
      <c r="A230" s="274" t="s">
        <v>102</v>
      </c>
      <c r="B230" s="1022" t="s">
        <v>42</v>
      </c>
      <c r="C230" s="269" t="s">
        <v>160</v>
      </c>
      <c r="D230" s="269"/>
      <c r="E230" s="270">
        <v>0</v>
      </c>
      <c r="F230" s="271"/>
      <c r="G230" s="332">
        <f t="shared" ref="G230:G231" si="298">+H230+I230</f>
        <v>0</v>
      </c>
      <c r="H230" s="272"/>
      <c r="I230" s="272"/>
      <c r="J230" s="371" t="str">
        <f>IFERROR(G230/#REF!,"-")</f>
        <v>-</v>
      </c>
      <c r="K230" s="695">
        <f t="shared" ref="K230:K231" si="299">+L230+M230</f>
        <v>0</v>
      </c>
      <c r="L230" s="688">
        <f t="shared" ref="L230:M230" si="300">+H230+L117</f>
        <v>0</v>
      </c>
      <c r="M230" s="688">
        <f t="shared" si="300"/>
        <v>0</v>
      </c>
      <c r="N230" s="359" t="str">
        <f t="shared" si="280"/>
        <v>-</v>
      </c>
      <c r="O230" s="360" t="str">
        <f t="shared" si="264"/>
        <v>-</v>
      </c>
    </row>
    <row r="231" spans="1:15" ht="24" thickBot="1" x14ac:dyDescent="0.35">
      <c r="A231" s="274" t="s">
        <v>102</v>
      </c>
      <c r="B231" s="1024"/>
      <c r="C231" s="279" t="s">
        <v>161</v>
      </c>
      <c r="D231" s="279"/>
      <c r="E231" s="280">
        <v>0</v>
      </c>
      <c r="F231" s="281"/>
      <c r="G231" s="334">
        <f t="shared" si="298"/>
        <v>0</v>
      </c>
      <c r="H231" s="282"/>
      <c r="I231" s="282"/>
      <c r="J231" s="373" t="str">
        <f>IFERROR(G231/#REF!,"-")</f>
        <v>-</v>
      </c>
      <c r="K231" s="696">
        <f t="shared" si="299"/>
        <v>0</v>
      </c>
      <c r="L231" s="688">
        <f t="shared" ref="L231:M231" si="301">+H231+L118</f>
        <v>0</v>
      </c>
      <c r="M231" s="688">
        <f t="shared" si="301"/>
        <v>0</v>
      </c>
      <c r="N231" s="363" t="str">
        <f t="shared" si="280"/>
        <v>-</v>
      </c>
      <c r="O231" s="364" t="str">
        <f t="shared" si="264"/>
        <v>-</v>
      </c>
    </row>
    <row r="232" spans="1:15" ht="24" thickBot="1" x14ac:dyDescent="0.35">
      <c r="A232" s="274" t="s">
        <v>102</v>
      </c>
      <c r="B232" s="1034" t="s">
        <v>43</v>
      </c>
      <c r="C232" s="1035"/>
      <c r="D232" s="1036"/>
      <c r="E232" s="284">
        <v>0</v>
      </c>
      <c r="F232" s="285">
        <v>25000</v>
      </c>
      <c r="G232" s="320">
        <f>SUM(G230:G231)</f>
        <v>0</v>
      </c>
      <c r="H232" s="321">
        <f t="shared" ref="H232:I232" si="302">SUM(H230:H231)</f>
        <v>0</v>
      </c>
      <c r="I232" s="321">
        <f t="shared" si="302"/>
        <v>0</v>
      </c>
      <c r="J232" s="345" t="str">
        <f>IFERROR(G232/#REF!,"-")</f>
        <v>-</v>
      </c>
      <c r="K232" s="760">
        <f t="shared" ref="K232:M232" si="303">SUM(K230:K231)</f>
        <v>0</v>
      </c>
      <c r="L232" s="761">
        <f t="shared" si="303"/>
        <v>0</v>
      </c>
      <c r="M232" s="761">
        <f t="shared" si="303"/>
        <v>0</v>
      </c>
      <c r="N232" s="339" t="str">
        <f t="shared" si="280"/>
        <v>-</v>
      </c>
      <c r="O232" s="345" t="str">
        <f t="shared" si="264"/>
        <v>-</v>
      </c>
    </row>
    <row r="233" spans="1:15" ht="24" thickBot="1" x14ac:dyDescent="0.35">
      <c r="A233" s="274" t="s">
        <v>102</v>
      </c>
      <c r="B233" s="1028" t="s">
        <v>25</v>
      </c>
      <c r="C233" s="1029"/>
      <c r="D233" s="1030"/>
      <c r="E233" s="326">
        <f t="shared" ref="E233:F233" si="304">+E211+E216+E219+E225+E229+E232</f>
        <v>0</v>
      </c>
      <c r="F233" s="327">
        <f t="shared" si="304"/>
        <v>65800</v>
      </c>
      <c r="G233" s="326">
        <f>+G211+G216+G219+G225+G229+G232</f>
        <v>26941</v>
      </c>
      <c r="H233" s="324">
        <f>+H211+H216+H219+H225+H229+H232</f>
        <v>26700</v>
      </c>
      <c r="I233" s="324">
        <f t="shared" ref="I233" si="305">+I211+I216+I219+I225+I229+I232</f>
        <v>241</v>
      </c>
      <c r="J233" s="349" t="str">
        <f>IFERROR(G233/#REF!,"-")</f>
        <v>-</v>
      </c>
      <c r="K233" s="326">
        <f>+K211+K216+K219+K225+K229+K232</f>
        <v>45601</v>
      </c>
      <c r="L233" s="759">
        <f t="shared" ref="L233:M233" si="306">+L211+L216+L219+L225+L229+L232</f>
        <v>44820</v>
      </c>
      <c r="M233" s="325">
        <f t="shared" si="306"/>
        <v>781</v>
      </c>
      <c r="N233" s="341" t="str">
        <f t="shared" si="280"/>
        <v>-</v>
      </c>
      <c r="O233" s="349">
        <f t="shared" si="264"/>
        <v>1.7126817394355388E-2</v>
      </c>
    </row>
    <row r="234" spans="1:15" ht="24" thickBot="1" x14ac:dyDescent="0.35">
      <c r="A234" s="318" t="s">
        <v>102</v>
      </c>
      <c r="B234" s="1020" t="s">
        <v>173</v>
      </c>
      <c r="C234" s="1020"/>
      <c r="D234" s="1021"/>
      <c r="E234" s="330">
        <f>+E233</f>
        <v>0</v>
      </c>
      <c r="F234" s="331">
        <f t="shared" ref="F234:O234" si="307">+F233</f>
        <v>65800</v>
      </c>
      <c r="G234" s="330">
        <f t="shared" si="307"/>
        <v>26941</v>
      </c>
      <c r="H234" s="328">
        <f t="shared" si="307"/>
        <v>26700</v>
      </c>
      <c r="I234" s="328">
        <f t="shared" si="307"/>
        <v>241</v>
      </c>
      <c r="J234" s="350" t="str">
        <f t="shared" si="307"/>
        <v>-</v>
      </c>
      <c r="K234" s="330">
        <f t="shared" si="307"/>
        <v>45601</v>
      </c>
      <c r="L234" s="328">
        <f t="shared" si="307"/>
        <v>44820</v>
      </c>
      <c r="M234" s="329">
        <f t="shared" si="307"/>
        <v>781</v>
      </c>
      <c r="N234" s="342" t="str">
        <f t="shared" si="307"/>
        <v>-</v>
      </c>
      <c r="O234" s="350">
        <f t="shared" si="307"/>
        <v>1.7126817394355388E-2</v>
      </c>
    </row>
    <row r="235" spans="1:15" ht="24.6" thickBot="1" x14ac:dyDescent="0.35">
      <c r="A235" s="319"/>
      <c r="B235" s="1031" t="s">
        <v>174</v>
      </c>
      <c r="C235" s="1032"/>
      <c r="D235" s="1033"/>
      <c r="E235" s="374">
        <f>+E172+E207+E234</f>
        <v>0</v>
      </c>
      <c r="F235" s="374">
        <f>+F172+F207+F234</f>
        <v>1024800</v>
      </c>
      <c r="G235" s="374">
        <f>+G172+G207+G234</f>
        <v>221917</v>
      </c>
      <c r="H235" s="374">
        <f>+H172+H207+H234</f>
        <v>389052</v>
      </c>
      <c r="I235" s="374">
        <f>+I172+I207+I234</f>
        <v>2300</v>
      </c>
      <c r="J235" s="375" t="str">
        <f>IFERROR(G235/#REF!,"-")</f>
        <v>-</v>
      </c>
      <c r="K235" s="374">
        <f>+K172+K207+K234</f>
        <v>628012</v>
      </c>
      <c r="L235" s="374">
        <f>+L172+L207+L234</f>
        <v>623058</v>
      </c>
      <c r="M235" s="374">
        <f>+M172+M207+M234</f>
        <v>4954</v>
      </c>
      <c r="N235" s="375" t="str">
        <f>IFERROR(K235/E235,"-")</f>
        <v>-</v>
      </c>
      <c r="O235" s="375">
        <f>IFERROR(M235/K235,"-")</f>
        <v>7.8883842983892023E-3</v>
      </c>
    </row>
    <row r="236" spans="1:15" ht="23.4" x14ac:dyDescent="0.3">
      <c r="A236" s="1057" t="s">
        <v>1</v>
      </c>
      <c r="B236" s="1060" t="s">
        <v>2</v>
      </c>
      <c r="C236" s="1063" t="s">
        <v>396</v>
      </c>
      <c r="D236" s="1063" t="s">
        <v>397</v>
      </c>
      <c r="E236" s="1066" t="s">
        <v>4</v>
      </c>
      <c r="F236" s="1067"/>
      <c r="G236" s="1067"/>
      <c r="H236" s="1067"/>
      <c r="I236" s="1067"/>
      <c r="J236" s="1067"/>
      <c r="K236" s="1067"/>
      <c r="L236" s="1067"/>
      <c r="M236" s="1067"/>
      <c r="N236" s="1067"/>
      <c r="O236" s="1068"/>
    </row>
    <row r="237" spans="1:15" ht="23.4" x14ac:dyDescent="0.3">
      <c r="A237" s="1058"/>
      <c r="B237" s="1061"/>
      <c r="C237" s="1064"/>
      <c r="D237" s="1064"/>
      <c r="E237" s="1069" t="s">
        <v>7</v>
      </c>
      <c r="F237" s="1071" t="s">
        <v>108</v>
      </c>
      <c r="G237" s="1073" t="s">
        <v>488</v>
      </c>
      <c r="H237" s="1074"/>
      <c r="I237" s="1074"/>
      <c r="J237" s="1075"/>
      <c r="K237" s="1076" t="s">
        <v>398</v>
      </c>
      <c r="L237" s="1077"/>
      <c r="M237" s="1078"/>
      <c r="N237" s="1079" t="s">
        <v>399</v>
      </c>
      <c r="O237" s="1081" t="s">
        <v>164</v>
      </c>
    </row>
    <row r="238" spans="1:15" ht="41.4" thickBot="1" x14ac:dyDescent="0.35">
      <c r="A238" s="1059"/>
      <c r="B238" s="1062"/>
      <c r="C238" s="1065"/>
      <c r="D238" s="1065"/>
      <c r="E238" s="1070"/>
      <c r="F238" s="1072"/>
      <c r="G238" s="452" t="s">
        <v>13</v>
      </c>
      <c r="H238" s="453" t="s">
        <v>14</v>
      </c>
      <c r="I238" s="453" t="s">
        <v>15</v>
      </c>
      <c r="J238" s="454" t="s">
        <v>166</v>
      </c>
      <c r="K238" s="680" t="s">
        <v>13</v>
      </c>
      <c r="L238" s="678" t="s">
        <v>14</v>
      </c>
      <c r="M238" s="679" t="s">
        <v>15</v>
      </c>
      <c r="N238" s="1080"/>
      <c r="O238" s="1082"/>
    </row>
    <row r="239" spans="1:15" ht="24" thickBot="1" x14ac:dyDescent="0.35">
      <c r="A239" s="268" t="s">
        <v>103</v>
      </c>
      <c r="B239" s="1043" t="s">
        <v>16</v>
      </c>
      <c r="C239" s="269" t="s">
        <v>368</v>
      </c>
      <c r="D239" s="269" t="s">
        <v>369</v>
      </c>
      <c r="E239" s="270"/>
      <c r="F239" s="271"/>
      <c r="G239" s="332">
        <f>+H239+I239</f>
        <v>0</v>
      </c>
      <c r="H239" s="272"/>
      <c r="I239" s="272"/>
      <c r="J239" s="351"/>
      <c r="K239" s="457">
        <f>+L239+M239</f>
        <v>0</v>
      </c>
      <c r="L239" s="688">
        <f>+H239+L126</f>
        <v>0</v>
      </c>
      <c r="M239" s="688">
        <f>+I239+M126</f>
        <v>0</v>
      </c>
      <c r="N239" s="336" t="str">
        <f>IFERROR(K239/E239,"-")</f>
        <v>-</v>
      </c>
      <c r="O239" s="343" t="str">
        <f t="shared" ref="O239:O240" si="308">IFERROR(M239/K239,"-")</f>
        <v>-</v>
      </c>
    </row>
    <row r="240" spans="1:15" ht="23.4" x14ac:dyDescent="0.3">
      <c r="A240" s="274" t="s">
        <v>103</v>
      </c>
      <c r="B240" s="1044"/>
      <c r="C240" s="275" t="s">
        <v>376</v>
      </c>
      <c r="D240" s="275" t="s">
        <v>375</v>
      </c>
      <c r="E240" s="276"/>
      <c r="F240" s="277"/>
      <c r="G240" s="333">
        <f t="shared" ref="G240:G242" si="309">+H240+I240</f>
        <v>0</v>
      </c>
      <c r="H240" s="278"/>
      <c r="I240" s="278"/>
      <c r="J240" s="352" t="str">
        <f>IFERROR(G240/#REF!,"-")</f>
        <v>-</v>
      </c>
      <c r="K240" s="690">
        <f t="shared" ref="K240:K242" si="310">+L240+M240</f>
        <v>0</v>
      </c>
      <c r="L240" s="527">
        <f t="shared" ref="L240:L242" si="311">+H240+L127</f>
        <v>0</v>
      </c>
      <c r="M240" s="459">
        <f t="shared" ref="M240:M242" si="312">+I240+M127</f>
        <v>0</v>
      </c>
      <c r="N240" s="337" t="str">
        <f t="shared" ref="N240:N242" si="313">IFERROR(K240/E240,"-")</f>
        <v>-</v>
      </c>
      <c r="O240" s="265" t="str">
        <f t="shared" si="308"/>
        <v>-</v>
      </c>
    </row>
    <row r="241" spans="1:15" s="723" customFormat="1" ht="23.4" x14ac:dyDescent="0.3">
      <c r="A241" s="274" t="s">
        <v>103</v>
      </c>
      <c r="B241" s="1044"/>
      <c r="C241" s="573" t="s">
        <v>431</v>
      </c>
      <c r="D241" s="573" t="s">
        <v>366</v>
      </c>
      <c r="E241" s="720"/>
      <c r="F241" s="721"/>
      <c r="G241" s="333">
        <f t="shared" si="309"/>
        <v>3520</v>
      </c>
      <c r="H241" s="722">
        <v>3520</v>
      </c>
      <c r="I241" s="722"/>
      <c r="J241" s="352" t="str">
        <f>IFERROR(G241/#REF!,"-")</f>
        <v>-</v>
      </c>
      <c r="K241" s="690">
        <f t="shared" si="310"/>
        <v>3520</v>
      </c>
      <c r="L241" s="720">
        <f t="shared" si="311"/>
        <v>3520</v>
      </c>
      <c r="M241" s="529">
        <f t="shared" si="312"/>
        <v>0</v>
      </c>
      <c r="N241" s="337" t="str">
        <f t="shared" si="313"/>
        <v>-</v>
      </c>
      <c r="O241" s="265">
        <f>IFERROR(M241/K241,"-")</f>
        <v>0</v>
      </c>
    </row>
    <row r="242" spans="1:15" ht="24" thickBot="1" x14ac:dyDescent="0.35">
      <c r="A242" s="274" t="s">
        <v>103</v>
      </c>
      <c r="B242" s="1045"/>
      <c r="C242" s="279" t="s">
        <v>428</v>
      </c>
      <c r="D242" s="279" t="s">
        <v>374</v>
      </c>
      <c r="E242" s="280"/>
      <c r="F242" s="281"/>
      <c r="G242" s="334">
        <f t="shared" si="309"/>
        <v>0</v>
      </c>
      <c r="H242" s="272"/>
      <c r="I242" s="272"/>
      <c r="J242" s="353" t="str">
        <f>IFERROR(G242/#REF!,"-")</f>
        <v>-</v>
      </c>
      <c r="K242" s="691">
        <f t="shared" si="310"/>
        <v>0</v>
      </c>
      <c r="L242" s="530">
        <f t="shared" si="311"/>
        <v>0</v>
      </c>
      <c r="M242" s="462">
        <f t="shared" si="312"/>
        <v>0</v>
      </c>
      <c r="N242" s="338" t="str">
        <f t="shared" si="313"/>
        <v>-</v>
      </c>
      <c r="O242" s="344" t="str">
        <f t="shared" ref="O242:O260" si="314">IFERROR(M242/K242,"-")</f>
        <v>-</v>
      </c>
    </row>
    <row r="243" spans="1:15" ht="24" thickBot="1" x14ac:dyDescent="0.35">
      <c r="A243" s="274" t="s">
        <v>103</v>
      </c>
      <c r="B243" s="1025" t="s">
        <v>44</v>
      </c>
      <c r="C243" s="1026"/>
      <c r="D243" s="1027"/>
      <c r="E243" s="320">
        <f>SUM(E239:E242)</f>
        <v>0</v>
      </c>
      <c r="F243" s="285">
        <v>15000</v>
      </c>
      <c r="G243" s="320">
        <f>SUM(G239:G242)</f>
        <v>3520</v>
      </c>
      <c r="H243" s="321">
        <f t="shared" ref="H243:I243" si="315">SUM(H239:H242)</f>
        <v>3520</v>
      </c>
      <c r="I243" s="321">
        <f t="shared" si="315"/>
        <v>0</v>
      </c>
      <c r="J243" s="345">
        <f>+G243/F243</f>
        <v>0.23466666666666666</v>
      </c>
      <c r="K243" s="320">
        <f t="shared" ref="K243" si="316">SUM(K239:K242)</f>
        <v>3520</v>
      </c>
      <c r="L243" s="692">
        <f>SUM(L239:L242)</f>
        <v>3520</v>
      </c>
      <c r="M243" s="693">
        <f>SUM(M239:M242)</f>
        <v>0</v>
      </c>
      <c r="N243" s="339" t="str">
        <f>IFERROR(K243/E243,"-")</f>
        <v>-</v>
      </c>
      <c r="O243" s="345">
        <f t="shared" si="314"/>
        <v>0</v>
      </c>
    </row>
    <row r="244" spans="1:15" ht="23.4" x14ac:dyDescent="0.3">
      <c r="A244" s="274" t="s">
        <v>103</v>
      </c>
      <c r="B244" s="1043" t="s">
        <v>17</v>
      </c>
      <c r="C244" s="269" t="s">
        <v>294</v>
      </c>
      <c r="D244" s="269"/>
      <c r="E244" s="270"/>
      <c r="F244" s="271"/>
      <c r="G244" s="332">
        <f t="shared" ref="G244:G250" si="317">+H244+I244</f>
        <v>0</v>
      </c>
      <c r="H244" s="272"/>
      <c r="I244" s="272"/>
      <c r="J244" s="351" t="str">
        <f>IFERROR(G244/#REF!,"-")</f>
        <v>-</v>
      </c>
      <c r="K244" s="694">
        <f t="shared" ref="K244:K250" si="318">+L244+M244</f>
        <v>0</v>
      </c>
      <c r="L244" s="527">
        <f t="shared" ref="L244:L250" si="319">+H244+L131</f>
        <v>0</v>
      </c>
      <c r="M244" s="459">
        <f t="shared" ref="M244:M250" si="320">+I244+M131</f>
        <v>0</v>
      </c>
      <c r="N244" s="336" t="str">
        <f t="shared" ref="N244:N250" si="321">IFERROR(K244/E244,"-")</f>
        <v>-</v>
      </c>
      <c r="O244" s="346" t="str">
        <f t="shared" si="314"/>
        <v>-</v>
      </c>
    </row>
    <row r="245" spans="1:15" ht="23.4" x14ac:dyDescent="0.3">
      <c r="A245" s="274" t="s">
        <v>103</v>
      </c>
      <c r="B245" s="1044"/>
      <c r="C245" s="275" t="s">
        <v>344</v>
      </c>
      <c r="D245" s="275" t="s">
        <v>232</v>
      </c>
      <c r="E245" s="276"/>
      <c r="F245" s="277"/>
      <c r="G245" s="333">
        <f t="shared" si="317"/>
        <v>0</v>
      </c>
      <c r="H245" s="278"/>
      <c r="I245" s="278"/>
      <c r="J245" s="352" t="str">
        <f>IFERROR(G245/#REF!,"-")</f>
        <v>-</v>
      </c>
      <c r="K245" s="690">
        <f t="shared" si="318"/>
        <v>0</v>
      </c>
      <c r="L245" s="276">
        <f t="shared" si="319"/>
        <v>0</v>
      </c>
      <c r="M245" s="436">
        <f t="shared" si="320"/>
        <v>0</v>
      </c>
      <c r="N245" s="337" t="str">
        <f t="shared" si="321"/>
        <v>-</v>
      </c>
      <c r="O245" s="263" t="str">
        <f t="shared" si="314"/>
        <v>-</v>
      </c>
    </row>
    <row r="246" spans="1:15" ht="23.4" x14ac:dyDescent="0.3">
      <c r="A246" s="274" t="s">
        <v>103</v>
      </c>
      <c r="B246" s="1044"/>
      <c r="C246" s="275" t="s">
        <v>367</v>
      </c>
      <c r="D246" s="275" t="s">
        <v>187</v>
      </c>
      <c r="E246" s="276"/>
      <c r="F246" s="277"/>
      <c r="G246" s="333">
        <f t="shared" si="317"/>
        <v>104252</v>
      </c>
      <c r="H246" s="278">
        <v>104040</v>
      </c>
      <c r="I246" s="278">
        <v>212</v>
      </c>
      <c r="J246" s="352" t="str">
        <f>IFERROR(G246/#REF!,"-")</f>
        <v>-</v>
      </c>
      <c r="K246" s="690">
        <f t="shared" si="318"/>
        <v>129206</v>
      </c>
      <c r="L246" s="276">
        <f t="shared" si="319"/>
        <v>128520</v>
      </c>
      <c r="M246" s="436">
        <f t="shared" si="320"/>
        <v>686</v>
      </c>
      <c r="N246" s="337" t="str">
        <f t="shared" si="321"/>
        <v>-</v>
      </c>
      <c r="O246" s="263">
        <f t="shared" si="314"/>
        <v>5.3093509589337952E-3</v>
      </c>
    </row>
    <row r="247" spans="1:15" ht="23.4" x14ac:dyDescent="0.3">
      <c r="A247" s="274" t="s">
        <v>103</v>
      </c>
      <c r="B247" s="1044"/>
      <c r="C247" s="275" t="s">
        <v>293</v>
      </c>
      <c r="D247" s="275" t="s">
        <v>188</v>
      </c>
      <c r="E247" s="276"/>
      <c r="F247" s="277"/>
      <c r="G247" s="333">
        <f t="shared" si="317"/>
        <v>0</v>
      </c>
      <c r="H247" s="278"/>
      <c r="I247" s="278"/>
      <c r="J247" s="352" t="str">
        <f>IFERROR(G247/#REF!,"-")</f>
        <v>-</v>
      </c>
      <c r="K247" s="690">
        <f t="shared" si="318"/>
        <v>0</v>
      </c>
      <c r="L247" s="276">
        <f t="shared" si="319"/>
        <v>0</v>
      </c>
      <c r="M247" s="436">
        <f t="shared" si="320"/>
        <v>0</v>
      </c>
      <c r="N247" s="337" t="str">
        <f t="shared" si="321"/>
        <v>-</v>
      </c>
      <c r="O247" s="263" t="str">
        <f t="shared" si="314"/>
        <v>-</v>
      </c>
    </row>
    <row r="248" spans="1:15" ht="23.4" x14ac:dyDescent="0.3">
      <c r="A248" s="274" t="s">
        <v>103</v>
      </c>
      <c r="B248" s="1044"/>
      <c r="C248" s="275" t="s">
        <v>323</v>
      </c>
      <c r="D248" s="275" t="s">
        <v>318</v>
      </c>
      <c r="E248" s="276"/>
      <c r="F248" s="277"/>
      <c r="G248" s="333">
        <f t="shared" si="317"/>
        <v>0</v>
      </c>
      <c r="H248" s="278"/>
      <c r="I248" s="278"/>
      <c r="J248" s="352" t="str">
        <f>IFERROR(G248/#REF!,"-")</f>
        <v>-</v>
      </c>
      <c r="K248" s="690">
        <f t="shared" si="318"/>
        <v>0</v>
      </c>
      <c r="L248" s="276">
        <f t="shared" si="319"/>
        <v>0</v>
      </c>
      <c r="M248" s="436">
        <f t="shared" si="320"/>
        <v>0</v>
      </c>
      <c r="N248" s="337" t="str">
        <f t="shared" si="321"/>
        <v>-</v>
      </c>
      <c r="O248" s="263" t="str">
        <f t="shared" si="314"/>
        <v>-</v>
      </c>
    </row>
    <row r="249" spans="1:15" ht="23.4" x14ac:dyDescent="0.3">
      <c r="A249" s="274" t="s">
        <v>103</v>
      </c>
      <c r="B249" s="1044"/>
      <c r="C249" s="275" t="s">
        <v>352</v>
      </c>
      <c r="D249" s="275" t="s">
        <v>189</v>
      </c>
      <c r="E249" s="276"/>
      <c r="F249" s="277"/>
      <c r="G249" s="333">
        <f t="shared" si="317"/>
        <v>0</v>
      </c>
      <c r="H249" s="278"/>
      <c r="I249" s="278"/>
      <c r="J249" s="352" t="str">
        <f>IFERROR(G249/#REF!,"-")</f>
        <v>-</v>
      </c>
      <c r="K249" s="690">
        <f t="shared" si="318"/>
        <v>0</v>
      </c>
      <c r="L249" s="276">
        <f t="shared" si="319"/>
        <v>0</v>
      </c>
      <c r="M249" s="436">
        <f t="shared" si="320"/>
        <v>0</v>
      </c>
      <c r="N249" s="337" t="str">
        <f t="shared" si="321"/>
        <v>-</v>
      </c>
      <c r="O249" s="263" t="str">
        <f t="shared" si="314"/>
        <v>-</v>
      </c>
    </row>
    <row r="250" spans="1:15" ht="24" thickBot="1" x14ac:dyDescent="0.35">
      <c r="A250" s="274" t="s">
        <v>103</v>
      </c>
      <c r="B250" s="1045"/>
      <c r="C250" s="279" t="s">
        <v>341</v>
      </c>
      <c r="D250" s="279" t="s">
        <v>232</v>
      </c>
      <c r="E250" s="280"/>
      <c r="F250" s="281"/>
      <c r="G250" s="334">
        <f t="shared" si="317"/>
        <v>0</v>
      </c>
      <c r="H250" s="282"/>
      <c r="I250" s="282"/>
      <c r="J250" s="353" t="str">
        <f>IFERROR(G250/#REF!,"-")</f>
        <v>-</v>
      </c>
      <c r="K250" s="691">
        <f t="shared" si="318"/>
        <v>0</v>
      </c>
      <c r="L250" s="530">
        <f t="shared" si="319"/>
        <v>0</v>
      </c>
      <c r="M250" s="462">
        <f t="shared" si="320"/>
        <v>0</v>
      </c>
      <c r="N250" s="338" t="str">
        <f t="shared" si="321"/>
        <v>-</v>
      </c>
      <c r="O250" s="347" t="str">
        <f t="shared" si="314"/>
        <v>-</v>
      </c>
    </row>
    <row r="251" spans="1:15" ht="24" thickBot="1" x14ac:dyDescent="0.35">
      <c r="A251" s="274" t="s">
        <v>103</v>
      </c>
      <c r="B251" s="1025" t="s">
        <v>45</v>
      </c>
      <c r="C251" s="1026"/>
      <c r="D251" s="1027"/>
      <c r="E251" s="320">
        <f>SUM(E244:E250)</f>
        <v>0</v>
      </c>
      <c r="F251" s="285">
        <v>100000</v>
      </c>
      <c r="G251" s="320">
        <f>SUM(G244:G250)</f>
        <v>104252</v>
      </c>
      <c r="H251" s="321">
        <f t="shared" ref="H251:I251" si="322">SUM(H244:H250)</f>
        <v>104040</v>
      </c>
      <c r="I251" s="321">
        <f t="shared" si="322"/>
        <v>212</v>
      </c>
      <c r="J251" s="345">
        <f>+G251/F251</f>
        <v>1.0425199999999999</v>
      </c>
      <c r="K251" s="320">
        <f>SUM(K244:K250)</f>
        <v>129206</v>
      </c>
      <c r="L251" s="519">
        <f>SUM(L244:L250)</f>
        <v>128520</v>
      </c>
      <c r="M251" s="689">
        <f t="shared" ref="M251" si="323">SUM(M244:M250)</f>
        <v>686</v>
      </c>
      <c r="N251" s="339" t="str">
        <f>IFERROR(K251/E251,"-")</f>
        <v>-</v>
      </c>
      <c r="O251" s="345">
        <f t="shared" si="314"/>
        <v>5.3093509589337952E-3</v>
      </c>
    </row>
    <row r="252" spans="1:15" ht="23.4" x14ac:dyDescent="0.3">
      <c r="A252" s="274" t="s">
        <v>103</v>
      </c>
      <c r="B252" s="1043" t="s">
        <v>18</v>
      </c>
      <c r="C252" s="269" t="s">
        <v>312</v>
      </c>
      <c r="D252" s="269" t="s">
        <v>92</v>
      </c>
      <c r="E252" s="270"/>
      <c r="F252" s="271"/>
      <c r="G252" s="332">
        <f t="shared" ref="G252:G258" si="324">+H252+I252</f>
        <v>0</v>
      </c>
      <c r="H252" s="272"/>
      <c r="I252" s="272"/>
      <c r="J252" s="351" t="str">
        <f>IFERROR(G252/#REF!,"-")</f>
        <v>-</v>
      </c>
      <c r="K252" s="332">
        <f t="shared" ref="K252:K258" si="325">+L252+M252</f>
        <v>0</v>
      </c>
      <c r="L252" s="272">
        <f t="shared" ref="L252:L258" si="326">+H252+L139</f>
        <v>0</v>
      </c>
      <c r="M252" s="273">
        <f t="shared" ref="M252:M258" si="327">+I252+M139</f>
        <v>0</v>
      </c>
      <c r="N252" s="336" t="str">
        <f t="shared" ref="N252:N259" si="328">IFERROR(K252/E252,"-")</f>
        <v>-</v>
      </c>
      <c r="O252" s="346" t="str">
        <f t="shared" si="314"/>
        <v>-</v>
      </c>
    </row>
    <row r="253" spans="1:15" ht="23.4" x14ac:dyDescent="0.3">
      <c r="A253" s="274" t="s">
        <v>103</v>
      </c>
      <c r="B253" s="1044"/>
      <c r="C253" s="275" t="s">
        <v>233</v>
      </c>
      <c r="D253" s="275" t="s">
        <v>234</v>
      </c>
      <c r="E253" s="276"/>
      <c r="F253" s="277"/>
      <c r="G253" s="333">
        <f t="shared" si="324"/>
        <v>0</v>
      </c>
      <c r="H253" s="278"/>
      <c r="I253" s="278"/>
      <c r="J253" s="352" t="str">
        <f>IFERROR(G253/#REF!,"-")</f>
        <v>-</v>
      </c>
      <c r="K253" s="333">
        <f t="shared" si="325"/>
        <v>0</v>
      </c>
      <c r="L253" s="272">
        <f t="shared" si="326"/>
        <v>0</v>
      </c>
      <c r="M253" s="273">
        <f t="shared" si="327"/>
        <v>0</v>
      </c>
      <c r="N253" s="337" t="str">
        <f t="shared" si="328"/>
        <v>-</v>
      </c>
      <c r="O253" s="263" t="str">
        <f t="shared" si="314"/>
        <v>-</v>
      </c>
    </row>
    <row r="254" spans="1:15" ht="23.4" x14ac:dyDescent="0.3">
      <c r="A254" s="274" t="s">
        <v>103</v>
      </c>
      <c r="B254" s="1044"/>
      <c r="C254" s="275" t="s">
        <v>115</v>
      </c>
      <c r="D254" s="275"/>
      <c r="E254" s="276"/>
      <c r="F254" s="277"/>
      <c r="G254" s="333">
        <f t="shared" si="324"/>
        <v>0</v>
      </c>
      <c r="H254" s="278"/>
      <c r="I254" s="278"/>
      <c r="J254" s="352" t="str">
        <f>IFERROR(G254/#REF!,"-")</f>
        <v>-</v>
      </c>
      <c r="K254" s="333">
        <f t="shared" si="325"/>
        <v>0</v>
      </c>
      <c r="L254" s="272">
        <f t="shared" si="326"/>
        <v>0</v>
      </c>
      <c r="M254" s="273">
        <f t="shared" si="327"/>
        <v>0</v>
      </c>
      <c r="N254" s="337" t="str">
        <f t="shared" si="328"/>
        <v>-</v>
      </c>
      <c r="O254" s="263" t="str">
        <f t="shared" si="314"/>
        <v>-</v>
      </c>
    </row>
    <row r="255" spans="1:15" ht="23.4" x14ac:dyDescent="0.3">
      <c r="A255" s="274" t="s">
        <v>103</v>
      </c>
      <c r="B255" s="1044"/>
      <c r="C255" s="275" t="s">
        <v>122</v>
      </c>
      <c r="D255" s="275"/>
      <c r="E255" s="276"/>
      <c r="F255" s="277"/>
      <c r="G255" s="333">
        <f t="shared" si="324"/>
        <v>0</v>
      </c>
      <c r="H255" s="278"/>
      <c r="I255" s="278"/>
      <c r="J255" s="352" t="str">
        <f>IFERROR(G255/#REF!,"-")</f>
        <v>-</v>
      </c>
      <c r="K255" s="333">
        <f t="shared" si="325"/>
        <v>0</v>
      </c>
      <c r="L255" s="272">
        <f t="shared" si="326"/>
        <v>0</v>
      </c>
      <c r="M255" s="273">
        <f t="shared" si="327"/>
        <v>0</v>
      </c>
      <c r="N255" s="337" t="str">
        <f t="shared" si="328"/>
        <v>-</v>
      </c>
      <c r="O255" s="263" t="str">
        <f t="shared" si="314"/>
        <v>-</v>
      </c>
    </row>
    <row r="256" spans="1:15" ht="23.4" x14ac:dyDescent="0.3">
      <c r="A256" s="274" t="s">
        <v>103</v>
      </c>
      <c r="B256" s="1044"/>
      <c r="C256" s="275" t="s">
        <v>176</v>
      </c>
      <c r="D256" s="275" t="s">
        <v>177</v>
      </c>
      <c r="E256" s="276"/>
      <c r="F256" s="277"/>
      <c r="G256" s="333">
        <f t="shared" si="324"/>
        <v>0</v>
      </c>
      <c r="H256" s="278"/>
      <c r="I256" s="278"/>
      <c r="J256" s="352" t="str">
        <f>IFERROR(G256/#REF!,"-")</f>
        <v>-</v>
      </c>
      <c r="K256" s="333">
        <f t="shared" si="325"/>
        <v>0</v>
      </c>
      <c r="L256" s="272">
        <f t="shared" si="326"/>
        <v>0</v>
      </c>
      <c r="M256" s="273">
        <f t="shared" si="327"/>
        <v>0</v>
      </c>
      <c r="N256" s="337" t="str">
        <f t="shared" si="328"/>
        <v>-</v>
      </c>
      <c r="O256" s="263" t="str">
        <f t="shared" si="314"/>
        <v>-</v>
      </c>
    </row>
    <row r="257" spans="1:15" ht="23.4" x14ac:dyDescent="0.3">
      <c r="A257" s="274" t="s">
        <v>103</v>
      </c>
      <c r="B257" s="1044"/>
      <c r="C257" s="275" t="s">
        <v>179</v>
      </c>
      <c r="D257" s="275" t="s">
        <v>178</v>
      </c>
      <c r="E257" s="276"/>
      <c r="F257" s="277"/>
      <c r="G257" s="333">
        <f t="shared" si="324"/>
        <v>0</v>
      </c>
      <c r="H257" s="278"/>
      <c r="I257" s="278"/>
      <c r="J257" s="352" t="str">
        <f>IFERROR(G257/#REF!,"-")</f>
        <v>-</v>
      </c>
      <c r="K257" s="333">
        <f t="shared" si="325"/>
        <v>0</v>
      </c>
      <c r="L257" s="272">
        <f t="shared" si="326"/>
        <v>0</v>
      </c>
      <c r="M257" s="273">
        <f t="shared" si="327"/>
        <v>0</v>
      </c>
      <c r="N257" s="337" t="str">
        <f t="shared" si="328"/>
        <v>-</v>
      </c>
      <c r="O257" s="263" t="str">
        <f t="shared" si="314"/>
        <v>-</v>
      </c>
    </row>
    <row r="258" spans="1:15" ht="24" thickBot="1" x14ac:dyDescent="0.35">
      <c r="A258" s="274" t="s">
        <v>103</v>
      </c>
      <c r="B258" s="1045"/>
      <c r="C258" s="286" t="s">
        <v>180</v>
      </c>
      <c r="D258" s="286" t="s">
        <v>107</v>
      </c>
      <c r="E258" s="280"/>
      <c r="F258" s="281"/>
      <c r="G258" s="334">
        <f t="shared" si="324"/>
        <v>0</v>
      </c>
      <c r="H258" s="282"/>
      <c r="I258" s="282"/>
      <c r="J258" s="353" t="str">
        <f>IFERROR(G258/#REF!,"-")</f>
        <v>-</v>
      </c>
      <c r="K258" s="334">
        <f t="shared" si="325"/>
        <v>0</v>
      </c>
      <c r="L258" s="272">
        <f t="shared" si="326"/>
        <v>0</v>
      </c>
      <c r="M258" s="273">
        <f t="shared" si="327"/>
        <v>0</v>
      </c>
      <c r="N258" s="338" t="str">
        <f t="shared" si="328"/>
        <v>-</v>
      </c>
      <c r="O258" s="347" t="str">
        <f t="shared" si="314"/>
        <v>-</v>
      </c>
    </row>
    <row r="259" spans="1:15" ht="24" thickBot="1" x14ac:dyDescent="0.35">
      <c r="A259" s="274" t="s">
        <v>103</v>
      </c>
      <c r="B259" s="1025" t="s">
        <v>29</v>
      </c>
      <c r="C259" s="1026"/>
      <c r="D259" s="1027"/>
      <c r="E259" s="320">
        <f t="shared" ref="E259" si="329">SUM(E252:E258)</f>
        <v>0</v>
      </c>
      <c r="F259" s="285">
        <v>80000</v>
      </c>
      <c r="G259" s="320">
        <f>SUM(G252:G258)</f>
        <v>0</v>
      </c>
      <c r="H259" s="321">
        <f t="shared" ref="H259:I259" si="330">SUM(H252:H258)</f>
        <v>0</v>
      </c>
      <c r="I259" s="321">
        <f t="shared" si="330"/>
        <v>0</v>
      </c>
      <c r="J259" s="345">
        <f>+G259/F259</f>
        <v>0</v>
      </c>
      <c r="K259" s="320">
        <f t="shared" ref="K259" si="331">SUM(K252:K258)</f>
        <v>0</v>
      </c>
      <c r="L259" s="321">
        <f>SUM(L252:L258)</f>
        <v>0</v>
      </c>
      <c r="M259" s="322">
        <f t="shared" ref="M259" si="332">SUM(M252:M258)</f>
        <v>0</v>
      </c>
      <c r="N259" s="339" t="str">
        <f t="shared" si="328"/>
        <v>-</v>
      </c>
      <c r="O259" s="345" t="str">
        <f t="shared" si="314"/>
        <v>-</v>
      </c>
    </row>
    <row r="260" spans="1:15" ht="24" thickBot="1" x14ac:dyDescent="0.35">
      <c r="A260" s="252" t="s">
        <v>103</v>
      </c>
      <c r="B260" s="1085" t="s">
        <v>19</v>
      </c>
      <c r="C260" s="641" t="s">
        <v>235</v>
      </c>
      <c r="D260" s="669" t="s">
        <v>177</v>
      </c>
      <c r="E260" s="674"/>
      <c r="F260" s="671">
        <v>220000</v>
      </c>
      <c r="G260" s="644">
        <f t="shared" ref="G260:G262" si="333">+H260+I260</f>
        <v>0</v>
      </c>
      <c r="H260" s="458"/>
      <c r="I260" s="458"/>
      <c r="J260" s="531" t="str">
        <f>IFERROR(G260/#REF!,"-")</f>
        <v>-</v>
      </c>
      <c r="K260" s="457">
        <f>+L260+M260</f>
        <v>0</v>
      </c>
      <c r="L260" s="458">
        <f t="shared" ref="L260:L262" si="334">+H260+L147</f>
        <v>0</v>
      </c>
      <c r="M260" s="459">
        <f t="shared" ref="M260:M262" si="335">+I260+M147</f>
        <v>0</v>
      </c>
      <c r="N260" s="646" t="str">
        <f>IFERROR(K260/E260,"-")</f>
        <v>-</v>
      </c>
      <c r="O260" s="647" t="str">
        <f t="shared" si="314"/>
        <v>-</v>
      </c>
    </row>
    <row r="261" spans="1:15" ht="24" thickBot="1" x14ac:dyDescent="0.35">
      <c r="A261" s="252"/>
      <c r="B261" s="1086"/>
      <c r="C261" s="296" t="s">
        <v>377</v>
      </c>
      <c r="D261" s="645" t="s">
        <v>423</v>
      </c>
      <c r="E261" s="675"/>
      <c r="F261" s="672"/>
      <c r="G261" s="640">
        <f t="shared" si="333"/>
        <v>118722</v>
      </c>
      <c r="H261" s="272">
        <v>118272</v>
      </c>
      <c r="I261" s="272">
        <v>450</v>
      </c>
      <c r="J261" s="351" t="str">
        <f>IFERROR(G261/#REF!,"-")</f>
        <v>-</v>
      </c>
      <c r="K261" s="335">
        <f>+L261+M261</f>
        <v>406890</v>
      </c>
      <c r="L261" s="458">
        <f t="shared" si="334"/>
        <v>405504</v>
      </c>
      <c r="M261" s="459">
        <f t="shared" si="335"/>
        <v>1386</v>
      </c>
      <c r="N261" s="340" t="str">
        <f t="shared" ref="N261:N262" si="336">IFERROR(K261/E261,"-")</f>
        <v>-</v>
      </c>
      <c r="O261" s="639">
        <f>IFERROR(M261/K261,"-")</f>
        <v>3.4063260340632603E-3</v>
      </c>
    </row>
    <row r="262" spans="1:15" ht="24" thickBot="1" x14ac:dyDescent="0.35">
      <c r="A262" s="252"/>
      <c r="B262" s="1087"/>
      <c r="C262" s="635" t="s">
        <v>342</v>
      </c>
      <c r="D262" s="670"/>
      <c r="E262" s="676"/>
      <c r="F262" s="673"/>
      <c r="G262" s="589">
        <f t="shared" si="333"/>
        <v>0</v>
      </c>
      <c r="H262" s="282"/>
      <c r="I262" s="282"/>
      <c r="J262" s="353"/>
      <c r="K262" s="460">
        <f>+L262+M262</f>
        <v>0</v>
      </c>
      <c r="L262" s="458">
        <f t="shared" si="334"/>
        <v>0</v>
      </c>
      <c r="M262" s="459">
        <f t="shared" si="335"/>
        <v>0</v>
      </c>
      <c r="N262" s="338" t="str">
        <f t="shared" si="336"/>
        <v>-</v>
      </c>
      <c r="O262" s="636" t="str">
        <f t="shared" ref="O262:O280" si="337">IFERROR(M262/K262,"-")</f>
        <v>-</v>
      </c>
    </row>
    <row r="263" spans="1:15" ht="24" thickBot="1" x14ac:dyDescent="0.35">
      <c r="A263" s="274" t="s">
        <v>103</v>
      </c>
      <c r="B263" s="1040" t="s">
        <v>46</v>
      </c>
      <c r="C263" s="1026"/>
      <c r="D263" s="1027"/>
      <c r="E263" s="320">
        <f>SUM(E260:E262)</f>
        <v>0</v>
      </c>
      <c r="F263" s="323">
        <f t="shared" ref="F263" si="338">SUM(F260)</f>
        <v>220000</v>
      </c>
      <c r="G263" s="320">
        <f>SUM(G260)</f>
        <v>0</v>
      </c>
      <c r="H263" s="321">
        <f>SUM(H260:H262)</f>
        <v>118272</v>
      </c>
      <c r="I263" s="321">
        <f>SUM(I260:I262)</f>
        <v>450</v>
      </c>
      <c r="J263" s="345">
        <f>+G263/F263</f>
        <v>0</v>
      </c>
      <c r="K263" s="637">
        <f>SUM(K260:K261)</f>
        <v>406890</v>
      </c>
      <c r="L263" s="321">
        <f>SUM(L260:L261)</f>
        <v>405504</v>
      </c>
      <c r="M263" s="322">
        <f>SUM(M260:M261)</f>
        <v>1386</v>
      </c>
      <c r="N263" s="339" t="str">
        <f>IFERROR(K263/E263,"-")</f>
        <v>-</v>
      </c>
      <c r="O263" s="345">
        <f t="shared" si="337"/>
        <v>3.4063260340632603E-3</v>
      </c>
    </row>
    <row r="264" spans="1:15" ht="23.4" x14ac:dyDescent="0.3">
      <c r="A264" s="274" t="s">
        <v>103</v>
      </c>
      <c r="B264" s="1043" t="s">
        <v>20</v>
      </c>
      <c r="C264" s="291" t="s">
        <v>317</v>
      </c>
      <c r="D264" s="291" t="s">
        <v>289</v>
      </c>
      <c r="E264" s="270"/>
      <c r="F264" s="271"/>
      <c r="G264" s="332">
        <f t="shared" ref="G264:G266" si="339">+H264+I264</f>
        <v>0</v>
      </c>
      <c r="H264" s="272"/>
      <c r="I264" s="272"/>
      <c r="J264" s="351" t="str">
        <f>IFERROR(G264/#REF!,"-")</f>
        <v>-</v>
      </c>
      <c r="K264" s="332">
        <f t="shared" ref="K264:K266" si="340">+L264+M264</f>
        <v>0</v>
      </c>
      <c r="L264" s="272">
        <f t="shared" ref="L264:L266" si="341">+H264+L151</f>
        <v>0</v>
      </c>
      <c r="M264" s="273">
        <f t="shared" ref="M264:M266" si="342">+I264+M151</f>
        <v>0</v>
      </c>
      <c r="N264" s="336" t="str">
        <f t="shared" ref="N264:N267" si="343">IFERROR(K264/E264,"-")</f>
        <v>-</v>
      </c>
      <c r="O264" s="346" t="str">
        <f t="shared" si="337"/>
        <v>-</v>
      </c>
    </row>
    <row r="265" spans="1:15" ht="23.4" x14ac:dyDescent="0.3">
      <c r="A265" s="274" t="s">
        <v>103</v>
      </c>
      <c r="B265" s="1044"/>
      <c r="C265" s="292" t="s">
        <v>114</v>
      </c>
      <c r="D265" s="292"/>
      <c r="E265" s="276"/>
      <c r="F265" s="277"/>
      <c r="G265" s="333">
        <f t="shared" si="339"/>
        <v>0</v>
      </c>
      <c r="H265" s="278"/>
      <c r="I265" s="278"/>
      <c r="J265" s="352" t="str">
        <f>IFERROR(G265/#REF!,"-")</f>
        <v>-</v>
      </c>
      <c r="K265" s="333">
        <f t="shared" si="340"/>
        <v>0</v>
      </c>
      <c r="L265" s="272">
        <f t="shared" si="341"/>
        <v>0</v>
      </c>
      <c r="M265" s="273">
        <f t="shared" si="342"/>
        <v>0</v>
      </c>
      <c r="N265" s="337" t="str">
        <f t="shared" si="343"/>
        <v>-</v>
      </c>
      <c r="O265" s="263" t="str">
        <f t="shared" si="337"/>
        <v>-</v>
      </c>
    </row>
    <row r="266" spans="1:15" ht="24" thickBot="1" x14ac:dyDescent="0.35">
      <c r="A266" s="274" t="s">
        <v>103</v>
      </c>
      <c r="B266" s="1045"/>
      <c r="C266" s="293" t="s">
        <v>120</v>
      </c>
      <c r="D266" s="293"/>
      <c r="E266" s="280"/>
      <c r="F266" s="281"/>
      <c r="G266" s="334">
        <f t="shared" si="339"/>
        <v>0</v>
      </c>
      <c r="H266" s="282"/>
      <c r="I266" s="282"/>
      <c r="J266" s="353" t="str">
        <f>IFERROR(G266/#REF!,"-")</f>
        <v>-</v>
      </c>
      <c r="K266" s="334">
        <f t="shared" si="340"/>
        <v>0</v>
      </c>
      <c r="L266" s="272">
        <f t="shared" si="341"/>
        <v>0</v>
      </c>
      <c r="M266" s="273">
        <f t="shared" si="342"/>
        <v>0</v>
      </c>
      <c r="N266" s="338" t="str">
        <f t="shared" si="343"/>
        <v>-</v>
      </c>
      <c r="O266" s="347" t="str">
        <f t="shared" si="337"/>
        <v>-</v>
      </c>
    </row>
    <row r="267" spans="1:15" ht="24" thickBot="1" x14ac:dyDescent="0.35">
      <c r="A267" s="274" t="s">
        <v>103</v>
      </c>
      <c r="B267" s="1026" t="s">
        <v>47</v>
      </c>
      <c r="C267" s="1026"/>
      <c r="D267" s="1046"/>
      <c r="E267" s="320">
        <f t="shared" ref="E267" si="344">SUM(E264:E266)</f>
        <v>0</v>
      </c>
      <c r="F267" s="285">
        <v>50000</v>
      </c>
      <c r="G267" s="320">
        <f>SUM(G264:G266)</f>
        <v>0</v>
      </c>
      <c r="H267" s="321">
        <f t="shared" ref="H267:I267" si="345">SUM(H264:H266)</f>
        <v>0</v>
      </c>
      <c r="I267" s="321">
        <f t="shared" si="345"/>
        <v>0</v>
      </c>
      <c r="J267" s="345">
        <f>+G267/F267</f>
        <v>0</v>
      </c>
      <c r="K267" s="320">
        <f t="shared" ref="K267:M267" si="346">SUM(K264:K266)</f>
        <v>0</v>
      </c>
      <c r="L267" s="321">
        <f t="shared" si="346"/>
        <v>0</v>
      </c>
      <c r="M267" s="322">
        <f t="shared" si="346"/>
        <v>0</v>
      </c>
      <c r="N267" s="339" t="str">
        <f t="shared" si="343"/>
        <v>-</v>
      </c>
      <c r="O267" s="345" t="str">
        <f t="shared" si="337"/>
        <v>-</v>
      </c>
    </row>
    <row r="268" spans="1:15" ht="24" thickBot="1" x14ac:dyDescent="0.35">
      <c r="A268" s="274" t="s">
        <v>103</v>
      </c>
      <c r="B268" s="1047" t="s">
        <v>21</v>
      </c>
      <c r="C268" s="1048"/>
      <c r="D268" s="1049"/>
      <c r="E268" s="326">
        <f>+E243+E251+E259+E263+E267</f>
        <v>0</v>
      </c>
      <c r="F268" s="327">
        <f>+F243+F251+F259+F263+F267</f>
        <v>465000</v>
      </c>
      <c r="G268" s="326">
        <f>+G243+G251+G259+G263+G267</f>
        <v>107772</v>
      </c>
      <c r="H268" s="324">
        <f>+H243+H251+H259+H263+H267</f>
        <v>225832</v>
      </c>
      <c r="I268" s="324">
        <f>+I243+I251+I259+I263+I267</f>
        <v>662</v>
      </c>
      <c r="J268" s="349">
        <f>+G268/F268</f>
        <v>0.23176774193548388</v>
      </c>
      <c r="K268" s="326">
        <f>+K243+K251+K259+K263+K267</f>
        <v>539616</v>
      </c>
      <c r="L268" s="324">
        <f>+L243+L251+L259+L263+L267</f>
        <v>537544</v>
      </c>
      <c r="M268" s="325">
        <f>+M243+M251+M259+M263+M267</f>
        <v>2072</v>
      </c>
      <c r="N268" s="341" t="str">
        <f>IFERROR(K268/E268,"-")</f>
        <v>-</v>
      </c>
      <c r="O268" s="349">
        <f t="shared" si="337"/>
        <v>3.8397675383976754E-3</v>
      </c>
    </row>
    <row r="269" spans="1:15" ht="23.4" x14ac:dyDescent="0.3">
      <c r="A269" s="274" t="s">
        <v>103</v>
      </c>
      <c r="B269" s="1043" t="s">
        <v>400</v>
      </c>
      <c r="C269" s="269" t="s">
        <v>125</v>
      </c>
      <c r="D269" s="269"/>
      <c r="E269" s="270"/>
      <c r="F269" s="271"/>
      <c r="G269" s="332">
        <f t="shared" ref="G269:G272" si="347">+H269+I269</f>
        <v>0</v>
      </c>
      <c r="H269" s="272"/>
      <c r="I269" s="272"/>
      <c r="J269" s="351" t="str">
        <f>IFERROR(G269/#REF!,"-")</f>
        <v>-</v>
      </c>
      <c r="K269" s="332">
        <f t="shared" ref="K269:K272" si="348">+L269+M269</f>
        <v>0</v>
      </c>
      <c r="L269" s="272">
        <f t="shared" ref="L269:L272" si="349">+H269+L156</f>
        <v>0</v>
      </c>
      <c r="M269" s="273">
        <f t="shared" ref="M269:M272" si="350">+I269+M156</f>
        <v>0</v>
      </c>
      <c r="N269" s="336" t="str">
        <f t="shared" ref="N269:N280" si="351">IFERROR(K269/E269,"-")</f>
        <v>-</v>
      </c>
      <c r="O269" s="346" t="str">
        <f t="shared" si="337"/>
        <v>-</v>
      </c>
    </row>
    <row r="270" spans="1:15" ht="23.4" x14ac:dyDescent="0.3">
      <c r="A270" s="274" t="s">
        <v>103</v>
      </c>
      <c r="B270" s="1044"/>
      <c r="C270" s="295" t="s">
        <v>263</v>
      </c>
      <c r="D270" s="295" t="s">
        <v>181</v>
      </c>
      <c r="E270" s="276"/>
      <c r="F270" s="277"/>
      <c r="G270" s="333">
        <f t="shared" si="347"/>
        <v>0</v>
      </c>
      <c r="H270" s="278"/>
      <c r="I270" s="278"/>
      <c r="J270" s="352" t="str">
        <f>IFERROR(G270/#REF!,"-")</f>
        <v>-</v>
      </c>
      <c r="K270" s="333">
        <f t="shared" si="348"/>
        <v>0</v>
      </c>
      <c r="L270" s="272">
        <f t="shared" si="349"/>
        <v>0</v>
      </c>
      <c r="M270" s="273">
        <f t="shared" si="350"/>
        <v>0</v>
      </c>
      <c r="N270" s="337" t="str">
        <f t="shared" si="351"/>
        <v>-</v>
      </c>
      <c r="O270" s="263" t="str">
        <f t="shared" si="337"/>
        <v>-</v>
      </c>
    </row>
    <row r="271" spans="1:15" ht="23.4" x14ac:dyDescent="0.3">
      <c r="A271" s="274" t="s">
        <v>103</v>
      </c>
      <c r="B271" s="1044"/>
      <c r="C271" s="295" t="s">
        <v>362</v>
      </c>
      <c r="D271" s="295" t="s">
        <v>181</v>
      </c>
      <c r="E271" s="276"/>
      <c r="F271" s="277"/>
      <c r="G271" s="333">
        <f t="shared" si="347"/>
        <v>0</v>
      </c>
      <c r="H271" s="278"/>
      <c r="I271" s="278"/>
      <c r="J271" s="352" t="str">
        <f>IFERROR(G271/#REF!,"-")</f>
        <v>-</v>
      </c>
      <c r="K271" s="333">
        <f t="shared" si="348"/>
        <v>0</v>
      </c>
      <c r="L271" s="272">
        <f t="shared" si="349"/>
        <v>0</v>
      </c>
      <c r="M271" s="273">
        <f t="shared" si="350"/>
        <v>0</v>
      </c>
      <c r="N271" s="337" t="str">
        <f t="shared" si="351"/>
        <v>-</v>
      </c>
      <c r="O271" s="263" t="str">
        <f t="shared" si="337"/>
        <v>-</v>
      </c>
    </row>
    <row r="272" spans="1:15" ht="24" thickBot="1" x14ac:dyDescent="0.35">
      <c r="A272" s="274" t="s">
        <v>103</v>
      </c>
      <c r="B272" s="1045"/>
      <c r="C272" s="279" t="s">
        <v>182</v>
      </c>
      <c r="D272" s="279" t="s">
        <v>93</v>
      </c>
      <c r="E272" s="280"/>
      <c r="F272" s="281"/>
      <c r="G272" s="334">
        <f t="shared" si="347"/>
        <v>0</v>
      </c>
      <c r="H272" s="282"/>
      <c r="I272" s="282"/>
      <c r="J272" s="353" t="str">
        <f>IFERROR(G272/#REF!,"-")</f>
        <v>-</v>
      </c>
      <c r="K272" s="334">
        <f t="shared" si="348"/>
        <v>0</v>
      </c>
      <c r="L272" s="272">
        <f t="shared" si="349"/>
        <v>0</v>
      </c>
      <c r="M272" s="273">
        <f t="shared" si="350"/>
        <v>0</v>
      </c>
      <c r="N272" s="338" t="str">
        <f t="shared" si="351"/>
        <v>-</v>
      </c>
      <c r="O272" s="347" t="str">
        <f t="shared" si="337"/>
        <v>-</v>
      </c>
    </row>
    <row r="273" spans="1:15" ht="24" thickBot="1" x14ac:dyDescent="0.35">
      <c r="A273" s="274" t="s">
        <v>103</v>
      </c>
      <c r="B273" s="1025" t="s">
        <v>48</v>
      </c>
      <c r="C273" s="1026"/>
      <c r="D273" s="1027"/>
      <c r="E273" s="284">
        <f>SUM(E269:E272)</f>
        <v>0</v>
      </c>
      <c r="F273" s="285">
        <v>80000</v>
      </c>
      <c r="G273" s="320">
        <f>SUM(G269:G272)</f>
        <v>0</v>
      </c>
      <c r="H273" s="321">
        <f t="shared" ref="H273:I273" si="352">SUM(H269:H272)</f>
        <v>0</v>
      </c>
      <c r="I273" s="321">
        <f t="shared" si="352"/>
        <v>0</v>
      </c>
      <c r="J273" s="345">
        <f>+G273/F273</f>
        <v>0</v>
      </c>
      <c r="K273" s="320">
        <f t="shared" ref="K273" si="353">SUM(K269:K272)</f>
        <v>0</v>
      </c>
      <c r="L273" s="321">
        <f>SUM(L269:L272)</f>
        <v>0</v>
      </c>
      <c r="M273" s="322">
        <f t="shared" ref="M273" si="354">SUM(M269:M272)</f>
        <v>0</v>
      </c>
      <c r="N273" s="339" t="str">
        <f t="shared" si="351"/>
        <v>-</v>
      </c>
      <c r="O273" s="345" t="str">
        <f t="shared" si="337"/>
        <v>-</v>
      </c>
    </row>
    <row r="274" spans="1:15" ht="23.4" x14ac:dyDescent="0.3">
      <c r="A274" s="274" t="s">
        <v>103</v>
      </c>
      <c r="B274" s="1043" t="s">
        <v>23</v>
      </c>
      <c r="C274" s="275" t="s">
        <v>240</v>
      </c>
      <c r="D274" s="296" t="s">
        <v>238</v>
      </c>
      <c r="E274" s="270"/>
      <c r="F274" s="271"/>
      <c r="G274" s="332">
        <f t="shared" ref="G274:G282" si="355">+H274+I274</f>
        <v>0</v>
      </c>
      <c r="H274" s="272"/>
      <c r="I274" s="272"/>
      <c r="J274" s="351" t="str">
        <f>IFERROR(G274/#REF!,"-")</f>
        <v>-</v>
      </c>
      <c r="K274" s="332">
        <f t="shared" ref="K274:K282" si="356">+L274+M274</f>
        <v>0</v>
      </c>
      <c r="L274" s="272">
        <f t="shared" ref="L274:L282" si="357">+H274+L161</f>
        <v>0</v>
      </c>
      <c r="M274" s="273">
        <f t="shared" ref="M274:M282" si="358">+I274+M161</f>
        <v>0</v>
      </c>
      <c r="N274" s="336" t="str">
        <f t="shared" si="351"/>
        <v>-</v>
      </c>
      <c r="O274" s="346" t="str">
        <f t="shared" si="337"/>
        <v>-</v>
      </c>
    </row>
    <row r="275" spans="1:15" ht="23.4" x14ac:dyDescent="0.3">
      <c r="A275" s="274" t="s">
        <v>103</v>
      </c>
      <c r="B275" s="1044"/>
      <c r="C275" s="275" t="s">
        <v>24</v>
      </c>
      <c r="D275" s="275" t="s">
        <v>238</v>
      </c>
      <c r="E275" s="276"/>
      <c r="F275" s="277"/>
      <c r="G275" s="333">
        <f t="shared" si="355"/>
        <v>0</v>
      </c>
      <c r="H275" s="278"/>
      <c r="I275" s="278"/>
      <c r="J275" s="352" t="str">
        <f>IFERROR(G275/#REF!,"-")</f>
        <v>-</v>
      </c>
      <c r="K275" s="333">
        <f t="shared" si="356"/>
        <v>0</v>
      </c>
      <c r="L275" s="272">
        <f t="shared" si="357"/>
        <v>0</v>
      </c>
      <c r="M275" s="273">
        <f t="shared" si="358"/>
        <v>0</v>
      </c>
      <c r="N275" s="337" t="str">
        <f t="shared" si="351"/>
        <v>-</v>
      </c>
      <c r="O275" s="263" t="str">
        <f t="shared" si="337"/>
        <v>-</v>
      </c>
    </row>
    <row r="276" spans="1:15" ht="23.4" x14ac:dyDescent="0.3">
      <c r="A276" s="274" t="s">
        <v>103</v>
      </c>
      <c r="B276" s="1044"/>
      <c r="C276" s="275" t="s">
        <v>236</v>
      </c>
      <c r="D276" s="275" t="s">
        <v>238</v>
      </c>
      <c r="E276" s="276"/>
      <c r="F276" s="277"/>
      <c r="G276" s="333">
        <f t="shared" si="355"/>
        <v>0</v>
      </c>
      <c r="H276" s="278"/>
      <c r="I276" s="278"/>
      <c r="J276" s="352" t="str">
        <f>IFERROR(G276/#REF!,"-")</f>
        <v>-</v>
      </c>
      <c r="K276" s="333">
        <f t="shared" si="356"/>
        <v>0</v>
      </c>
      <c r="L276" s="272">
        <f t="shared" si="357"/>
        <v>0</v>
      </c>
      <c r="M276" s="273">
        <f t="shared" si="358"/>
        <v>0</v>
      </c>
      <c r="N276" s="337" t="str">
        <f t="shared" si="351"/>
        <v>-</v>
      </c>
      <c r="O276" s="263" t="str">
        <f t="shared" si="337"/>
        <v>-</v>
      </c>
    </row>
    <row r="277" spans="1:15" ht="23.4" x14ac:dyDescent="0.3">
      <c r="A277" s="274" t="s">
        <v>103</v>
      </c>
      <c r="B277" s="1044"/>
      <c r="C277" s="275" t="s">
        <v>237</v>
      </c>
      <c r="D277" s="275" t="s">
        <v>238</v>
      </c>
      <c r="E277" s="276"/>
      <c r="F277" s="277"/>
      <c r="G277" s="333">
        <f t="shared" si="355"/>
        <v>0</v>
      </c>
      <c r="H277" s="278"/>
      <c r="I277" s="278"/>
      <c r="J277" s="352" t="str">
        <f>IFERROR(G277/#REF!,"-")</f>
        <v>-</v>
      </c>
      <c r="K277" s="333">
        <f t="shared" si="356"/>
        <v>0</v>
      </c>
      <c r="L277" s="272">
        <f t="shared" si="357"/>
        <v>0</v>
      </c>
      <c r="M277" s="273">
        <f t="shared" si="358"/>
        <v>0</v>
      </c>
      <c r="N277" s="337" t="str">
        <f t="shared" si="351"/>
        <v>-</v>
      </c>
      <c r="O277" s="263" t="str">
        <f t="shared" si="337"/>
        <v>-</v>
      </c>
    </row>
    <row r="278" spans="1:15" ht="23.4" x14ac:dyDescent="0.3">
      <c r="A278" s="274" t="s">
        <v>103</v>
      </c>
      <c r="B278" s="1044"/>
      <c r="C278" s="295" t="s">
        <v>394</v>
      </c>
      <c r="D278" s="275" t="s">
        <v>238</v>
      </c>
      <c r="E278" s="276"/>
      <c r="F278" s="277"/>
      <c r="G278" s="333">
        <f t="shared" si="355"/>
        <v>0</v>
      </c>
      <c r="H278" s="278"/>
      <c r="I278" s="278"/>
      <c r="J278" s="352" t="str">
        <f>IFERROR(G278/#REF!,"-")</f>
        <v>-</v>
      </c>
      <c r="K278" s="333">
        <f t="shared" si="356"/>
        <v>0</v>
      </c>
      <c r="L278" s="272">
        <f t="shared" si="357"/>
        <v>0</v>
      </c>
      <c r="M278" s="273">
        <f t="shared" si="358"/>
        <v>0</v>
      </c>
      <c r="N278" s="337" t="str">
        <f t="shared" si="351"/>
        <v>-</v>
      </c>
      <c r="O278" s="263" t="str">
        <f t="shared" si="337"/>
        <v>-</v>
      </c>
    </row>
    <row r="279" spans="1:15" ht="23.4" x14ac:dyDescent="0.3">
      <c r="A279" s="274" t="s">
        <v>103</v>
      </c>
      <c r="B279" s="1044"/>
      <c r="C279" s="295" t="s">
        <v>422</v>
      </c>
      <c r="D279" s="275" t="s">
        <v>238</v>
      </c>
      <c r="E279" s="276"/>
      <c r="F279" s="277"/>
      <c r="G279" s="333">
        <f t="shared" si="355"/>
        <v>0</v>
      </c>
      <c r="H279" s="278"/>
      <c r="I279" s="278"/>
      <c r="J279" s="352" t="str">
        <f>IFERROR(G279/#REF!,"-")</f>
        <v>-</v>
      </c>
      <c r="K279" s="333">
        <f t="shared" si="356"/>
        <v>0</v>
      </c>
      <c r="L279" s="272">
        <f t="shared" si="357"/>
        <v>0</v>
      </c>
      <c r="M279" s="273">
        <f t="shared" si="358"/>
        <v>0</v>
      </c>
      <c r="N279" s="337" t="str">
        <f t="shared" si="351"/>
        <v>-</v>
      </c>
      <c r="O279" s="263" t="str">
        <f t="shared" si="337"/>
        <v>-</v>
      </c>
    </row>
    <row r="280" spans="1:15" ht="23.4" x14ac:dyDescent="0.3">
      <c r="A280" s="274" t="s">
        <v>103</v>
      </c>
      <c r="B280" s="1044"/>
      <c r="C280" s="295" t="s">
        <v>241</v>
      </c>
      <c r="D280" s="275" t="s">
        <v>243</v>
      </c>
      <c r="E280" s="276"/>
      <c r="F280" s="277"/>
      <c r="G280" s="333">
        <f t="shared" si="355"/>
        <v>0</v>
      </c>
      <c r="H280" s="278"/>
      <c r="I280" s="278"/>
      <c r="J280" s="352" t="str">
        <f>IFERROR(G280/#REF!,"-")</f>
        <v>-</v>
      </c>
      <c r="K280" s="333">
        <f t="shared" si="356"/>
        <v>0</v>
      </c>
      <c r="L280" s="272">
        <f t="shared" si="357"/>
        <v>0</v>
      </c>
      <c r="M280" s="273">
        <f t="shared" si="358"/>
        <v>0</v>
      </c>
      <c r="N280" s="337" t="str">
        <f t="shared" si="351"/>
        <v>-</v>
      </c>
      <c r="O280" s="263" t="str">
        <f t="shared" si="337"/>
        <v>-</v>
      </c>
    </row>
    <row r="281" spans="1:15" ht="23.4" x14ac:dyDescent="0.3">
      <c r="A281" s="274"/>
      <c r="B281" s="1045"/>
      <c r="C281" s="295" t="s">
        <v>456</v>
      </c>
      <c r="D281" s="275" t="s">
        <v>238</v>
      </c>
      <c r="E281" s="280"/>
      <c r="F281" s="281"/>
      <c r="G281" s="333">
        <f t="shared" si="355"/>
        <v>0</v>
      </c>
      <c r="H281" s="282"/>
      <c r="I281" s="282"/>
      <c r="J281" s="352" t="str">
        <f>IFERROR(G281/#REF!,"-")</f>
        <v>-</v>
      </c>
      <c r="K281" s="333">
        <f t="shared" si="356"/>
        <v>0</v>
      </c>
      <c r="L281" s="272">
        <f t="shared" si="357"/>
        <v>0</v>
      </c>
      <c r="M281" s="273">
        <f t="shared" si="358"/>
        <v>0</v>
      </c>
      <c r="N281" s="338"/>
      <c r="O281" s="347"/>
    </row>
    <row r="282" spans="1:15" ht="24" thickBot="1" x14ac:dyDescent="0.35">
      <c r="A282" s="274" t="s">
        <v>103</v>
      </c>
      <c r="B282" s="1045"/>
      <c r="C282" s="295" t="s">
        <v>242</v>
      </c>
      <c r="D282" s="275" t="s">
        <v>238</v>
      </c>
      <c r="E282" s="280"/>
      <c r="F282" s="281"/>
      <c r="G282" s="334">
        <f t="shared" si="355"/>
        <v>0</v>
      </c>
      <c r="H282" s="282"/>
      <c r="I282" s="282"/>
      <c r="J282" s="353" t="str">
        <f>IFERROR(G282/#REF!,"-")</f>
        <v>-</v>
      </c>
      <c r="K282" s="334">
        <f t="shared" si="356"/>
        <v>0</v>
      </c>
      <c r="L282" s="272">
        <f t="shared" si="357"/>
        <v>0</v>
      </c>
      <c r="M282" s="273">
        <f t="shared" si="358"/>
        <v>0</v>
      </c>
      <c r="N282" s="338" t="str">
        <f t="shared" ref="N282:N284" si="359">IFERROR(K282/E282,"-")</f>
        <v>-</v>
      </c>
      <c r="O282" s="347" t="str">
        <f t="shared" ref="O282:O299" si="360">IFERROR(M282/K282,"-")</f>
        <v>-</v>
      </c>
    </row>
    <row r="283" spans="1:15" ht="24" thickBot="1" x14ac:dyDescent="0.35">
      <c r="A283" s="274" t="s">
        <v>103</v>
      </c>
      <c r="B283" s="1025" t="s">
        <v>49</v>
      </c>
      <c r="C283" s="1026"/>
      <c r="D283" s="1027"/>
      <c r="E283" s="284">
        <f>SUM(E274:E282)</f>
        <v>0</v>
      </c>
      <c r="F283" s="285">
        <v>14000</v>
      </c>
      <c r="G283" s="320">
        <f>SUM(G274:G282)</f>
        <v>0</v>
      </c>
      <c r="H283" s="321">
        <f t="shared" ref="H283:I283" si="361">SUM(H274:H282)</f>
        <v>0</v>
      </c>
      <c r="I283" s="321">
        <f t="shared" si="361"/>
        <v>0</v>
      </c>
      <c r="J283" s="345">
        <f>+G284/F284</f>
        <v>0</v>
      </c>
      <c r="K283" s="320">
        <f>SUM(K274:K282)</f>
        <v>0</v>
      </c>
      <c r="L283" s="321">
        <f>+H283</f>
        <v>0</v>
      </c>
      <c r="M283" s="322">
        <f>+I283</f>
        <v>0</v>
      </c>
      <c r="N283" s="339" t="str">
        <f t="shared" si="359"/>
        <v>-</v>
      </c>
      <c r="O283" s="345" t="str">
        <f t="shared" si="360"/>
        <v>-</v>
      </c>
    </row>
    <row r="284" spans="1:15" ht="24" thickBot="1" x14ac:dyDescent="0.35">
      <c r="A284" s="274" t="s">
        <v>103</v>
      </c>
      <c r="B284" s="1047" t="s">
        <v>25</v>
      </c>
      <c r="C284" s="1048"/>
      <c r="D284" s="1049"/>
      <c r="E284" s="326">
        <f t="shared" ref="E284:F284" si="362">+E273+E283</f>
        <v>0</v>
      </c>
      <c r="F284" s="327">
        <f t="shared" si="362"/>
        <v>94000</v>
      </c>
      <c r="G284" s="326">
        <f>+G273+G283</f>
        <v>0</v>
      </c>
      <c r="H284" s="324">
        <f t="shared" ref="H284:I284" si="363">+H273+H283</f>
        <v>0</v>
      </c>
      <c r="I284" s="324">
        <f t="shared" si="363"/>
        <v>0</v>
      </c>
      <c r="J284" s="349" t="str">
        <f>IFERROR(G284/#REF!,"-")</f>
        <v>-</v>
      </c>
      <c r="K284" s="326">
        <f t="shared" ref="K284" si="364">+K273+K283</f>
        <v>0</v>
      </c>
      <c r="L284" s="324">
        <f>+L273+L283</f>
        <v>0</v>
      </c>
      <c r="M284" s="325">
        <f t="shared" ref="M284" si="365">+M273+M283</f>
        <v>0</v>
      </c>
      <c r="N284" s="341" t="str">
        <f t="shared" si="359"/>
        <v>-</v>
      </c>
      <c r="O284" s="349" t="str">
        <f t="shared" si="360"/>
        <v>-</v>
      </c>
    </row>
    <row r="285" spans="1:15" ht="24" thickBot="1" x14ac:dyDescent="0.35">
      <c r="A285" s="274" t="s">
        <v>103</v>
      </c>
      <c r="B285" s="1019" t="s">
        <v>172</v>
      </c>
      <c r="C285" s="1020"/>
      <c r="D285" s="1021"/>
      <c r="E285" s="330">
        <f>+E268+E284</f>
        <v>0</v>
      </c>
      <c r="F285" s="331">
        <f t="shared" ref="F285:I285" si="366">+F268+F284</f>
        <v>559000</v>
      </c>
      <c r="G285" s="330">
        <f t="shared" si="366"/>
        <v>107772</v>
      </c>
      <c r="H285" s="328">
        <f t="shared" si="366"/>
        <v>225832</v>
      </c>
      <c r="I285" s="328">
        <f t="shared" si="366"/>
        <v>662</v>
      </c>
      <c r="J285" s="350">
        <f>+G285/F285</f>
        <v>0.19279427549194991</v>
      </c>
      <c r="K285" s="330">
        <f>+K268+K284</f>
        <v>539616</v>
      </c>
      <c r="L285" s="328">
        <f t="shared" ref="L285:M285" si="367">+L268+L284</f>
        <v>537544</v>
      </c>
      <c r="M285" s="329">
        <f t="shared" si="367"/>
        <v>2072</v>
      </c>
      <c r="N285" s="342" t="str">
        <f>IFERROR(K285/E285,"-")</f>
        <v>-</v>
      </c>
      <c r="O285" s="350">
        <f t="shared" si="360"/>
        <v>3.8397675383976754E-3</v>
      </c>
    </row>
    <row r="286" spans="1:15" ht="23.4" x14ac:dyDescent="0.3">
      <c r="A286" s="268" t="s">
        <v>101</v>
      </c>
      <c r="B286" s="1051" t="s">
        <v>26</v>
      </c>
      <c r="C286" s="297" t="s">
        <v>297</v>
      </c>
      <c r="D286" s="297" t="s">
        <v>177</v>
      </c>
      <c r="E286" s="270"/>
      <c r="F286" s="271"/>
      <c r="G286" s="332">
        <f t="shared" ref="G286:G295" si="368">+H286+I286</f>
        <v>0</v>
      </c>
      <c r="H286" s="272"/>
      <c r="I286" s="272"/>
      <c r="J286" s="351" t="str">
        <f>IFERROR(G286/#REF!,"-")</f>
        <v>-</v>
      </c>
      <c r="K286" s="332">
        <f t="shared" ref="K286:K295" si="369">+L286+M286</f>
        <v>0</v>
      </c>
      <c r="L286" s="272">
        <f t="shared" ref="L286:L295" si="370">+H286+L173</f>
        <v>0</v>
      </c>
      <c r="M286" s="273">
        <f t="shared" ref="M286:M295" si="371">+I286+M173</f>
        <v>0</v>
      </c>
      <c r="N286" s="336" t="str">
        <f t="shared" ref="N286:N287" si="372">IFERROR(K286/E286,"-")</f>
        <v>-</v>
      </c>
      <c r="O286" s="346" t="str">
        <f t="shared" si="360"/>
        <v>-</v>
      </c>
    </row>
    <row r="287" spans="1:15" ht="23.4" x14ac:dyDescent="0.3">
      <c r="A287" s="274" t="s">
        <v>101</v>
      </c>
      <c r="B287" s="1051"/>
      <c r="C287" s="298" t="s">
        <v>424</v>
      </c>
      <c r="D287" s="298" t="s">
        <v>423</v>
      </c>
      <c r="E287" s="276"/>
      <c r="F287" s="277"/>
      <c r="G287" s="333">
        <f t="shared" si="368"/>
        <v>48314</v>
      </c>
      <c r="H287" s="278">
        <v>47736</v>
      </c>
      <c r="I287" s="278">
        <v>578</v>
      </c>
      <c r="J287" s="352" t="str">
        <f>IFERROR(G287/#REF!,"-")</f>
        <v>-</v>
      </c>
      <c r="K287" s="333">
        <f t="shared" si="369"/>
        <v>249062</v>
      </c>
      <c r="L287" s="272">
        <f t="shared" si="370"/>
        <v>246636</v>
      </c>
      <c r="M287" s="273">
        <f t="shared" si="371"/>
        <v>2426</v>
      </c>
      <c r="N287" s="337" t="str">
        <f t="shared" si="372"/>
        <v>-</v>
      </c>
      <c r="O287" s="263">
        <f t="shared" si="360"/>
        <v>9.7405465305827471E-3</v>
      </c>
    </row>
    <row r="288" spans="1:15" ht="23.4" x14ac:dyDescent="0.3">
      <c r="A288" s="274" t="s">
        <v>101</v>
      </c>
      <c r="B288" s="1051"/>
      <c r="C288" s="299" t="s">
        <v>27</v>
      </c>
      <c r="D288" s="299" t="s">
        <v>334</v>
      </c>
      <c r="E288" s="280"/>
      <c r="F288" s="281"/>
      <c r="G288" s="333">
        <f t="shared" si="368"/>
        <v>0</v>
      </c>
      <c r="H288" s="282"/>
      <c r="I288" s="282"/>
      <c r="J288" s="353" t="str">
        <f>IFERROR(G288/#REF!,"-")</f>
        <v>-</v>
      </c>
      <c r="K288" s="333">
        <f t="shared" si="369"/>
        <v>0</v>
      </c>
      <c r="L288" s="272">
        <f t="shared" si="370"/>
        <v>0</v>
      </c>
      <c r="M288" s="273">
        <f t="shared" si="371"/>
        <v>0</v>
      </c>
      <c r="N288" s="283"/>
      <c r="O288" s="263" t="str">
        <f t="shared" si="360"/>
        <v>-</v>
      </c>
    </row>
    <row r="289" spans="1:15" ht="23.4" x14ac:dyDescent="0.3">
      <c r="A289" s="274" t="s">
        <v>101</v>
      </c>
      <c r="B289" s="1051"/>
      <c r="C289" s="299" t="s">
        <v>27</v>
      </c>
      <c r="D289" s="299" t="s">
        <v>234</v>
      </c>
      <c r="E289" s="280"/>
      <c r="F289" s="281"/>
      <c r="G289" s="333">
        <f t="shared" si="368"/>
        <v>0</v>
      </c>
      <c r="H289" s="282"/>
      <c r="I289" s="282"/>
      <c r="J289" s="353" t="str">
        <f>IFERROR(G289/#REF!,"-")</f>
        <v>-</v>
      </c>
      <c r="K289" s="333">
        <f t="shared" si="369"/>
        <v>0</v>
      </c>
      <c r="L289" s="272">
        <f t="shared" si="370"/>
        <v>0</v>
      </c>
      <c r="M289" s="273">
        <f t="shared" si="371"/>
        <v>0</v>
      </c>
      <c r="N289" s="283"/>
      <c r="O289" s="263" t="str">
        <f t="shared" si="360"/>
        <v>-</v>
      </c>
    </row>
    <row r="290" spans="1:15" ht="23.4" x14ac:dyDescent="0.3">
      <c r="A290" s="274" t="s">
        <v>101</v>
      </c>
      <c r="B290" s="1051"/>
      <c r="C290" s="299" t="s">
        <v>27</v>
      </c>
      <c r="D290" s="299" t="s">
        <v>279</v>
      </c>
      <c r="E290" s="280"/>
      <c r="F290" s="281"/>
      <c r="G290" s="333">
        <f t="shared" si="368"/>
        <v>0</v>
      </c>
      <c r="H290" s="282"/>
      <c r="I290" s="282"/>
      <c r="J290" s="353" t="str">
        <f>IFERROR(G290/#REF!,"-")</f>
        <v>-</v>
      </c>
      <c r="K290" s="333">
        <f t="shared" si="369"/>
        <v>0</v>
      </c>
      <c r="L290" s="272">
        <f t="shared" si="370"/>
        <v>0</v>
      </c>
      <c r="M290" s="273">
        <f t="shared" si="371"/>
        <v>0</v>
      </c>
      <c r="N290" s="283"/>
      <c r="O290" s="263" t="str">
        <f t="shared" si="360"/>
        <v>-</v>
      </c>
    </row>
    <row r="291" spans="1:15" ht="22.5" customHeight="1" x14ac:dyDescent="0.3">
      <c r="A291" s="274"/>
      <c r="B291" s="1051"/>
      <c r="C291" s="299" t="s">
        <v>432</v>
      </c>
      <c r="D291" s="299" t="s">
        <v>178</v>
      </c>
      <c r="E291" s="280"/>
      <c r="F291" s="281"/>
      <c r="G291" s="334">
        <f t="shared" si="368"/>
        <v>0</v>
      </c>
      <c r="H291" s="282"/>
      <c r="I291" s="282"/>
      <c r="J291" s="353" t="str">
        <f>IFERROR(G291/#REF!,"-")</f>
        <v>-</v>
      </c>
      <c r="K291" s="334">
        <f t="shared" si="369"/>
        <v>0</v>
      </c>
      <c r="L291" s="272">
        <f t="shared" si="370"/>
        <v>0</v>
      </c>
      <c r="M291" s="273">
        <f t="shared" si="371"/>
        <v>0</v>
      </c>
      <c r="N291" s="283"/>
      <c r="O291" s="263" t="str">
        <f t="shared" si="360"/>
        <v>-</v>
      </c>
    </row>
    <row r="292" spans="1:15" ht="23.4" x14ac:dyDescent="0.3">
      <c r="A292" s="274"/>
      <c r="B292" s="1051"/>
      <c r="C292" s="299" t="s">
        <v>333</v>
      </c>
      <c r="D292" s="299" t="s">
        <v>94</v>
      </c>
      <c r="E292" s="280"/>
      <c r="F292" s="281"/>
      <c r="G292" s="334">
        <f t="shared" si="368"/>
        <v>0</v>
      </c>
      <c r="H292" s="282"/>
      <c r="I292" s="282"/>
      <c r="J292" s="353" t="str">
        <f>IFERROR(G292/#REF!,"-")</f>
        <v>-</v>
      </c>
      <c r="K292" s="334">
        <f t="shared" si="369"/>
        <v>0</v>
      </c>
      <c r="L292" s="272">
        <f t="shared" si="370"/>
        <v>0</v>
      </c>
      <c r="M292" s="273">
        <f t="shared" si="371"/>
        <v>0</v>
      </c>
      <c r="N292" s="283"/>
      <c r="O292" s="263" t="str">
        <f t="shared" si="360"/>
        <v>-</v>
      </c>
    </row>
    <row r="293" spans="1:15" ht="23.4" x14ac:dyDescent="0.3">
      <c r="A293" s="274"/>
      <c r="B293" s="1051"/>
      <c r="C293" s="299" t="s">
        <v>433</v>
      </c>
      <c r="D293" s="299" t="s">
        <v>178</v>
      </c>
      <c r="E293" s="280"/>
      <c r="F293" s="281"/>
      <c r="G293" s="334">
        <f t="shared" si="368"/>
        <v>0</v>
      </c>
      <c r="H293" s="282"/>
      <c r="I293" s="282"/>
      <c r="J293" s="353" t="str">
        <f>IFERROR(G293/#REF!,"-")</f>
        <v>-</v>
      </c>
      <c r="K293" s="334">
        <f t="shared" si="369"/>
        <v>0</v>
      </c>
      <c r="L293" s="272">
        <f t="shared" si="370"/>
        <v>0</v>
      </c>
      <c r="M293" s="272">
        <f t="shared" si="371"/>
        <v>0</v>
      </c>
      <c r="N293" s="283"/>
      <c r="O293" s="263" t="str">
        <f t="shared" si="360"/>
        <v>-</v>
      </c>
    </row>
    <row r="294" spans="1:15" ht="23.4" x14ac:dyDescent="0.3">
      <c r="A294" s="274"/>
      <c r="B294" s="1051"/>
      <c r="C294" s="299" t="s">
        <v>382</v>
      </c>
      <c r="D294" s="299" t="s">
        <v>366</v>
      </c>
      <c r="E294" s="280"/>
      <c r="F294" s="281"/>
      <c r="G294" s="334">
        <f t="shared" si="368"/>
        <v>0</v>
      </c>
      <c r="H294" s="282"/>
      <c r="I294" s="282"/>
      <c r="J294" s="353" t="str">
        <f>IFERROR(G294/#REF!,"-")</f>
        <v>-</v>
      </c>
      <c r="K294" s="334">
        <f t="shared" si="369"/>
        <v>0</v>
      </c>
      <c r="L294" s="272">
        <f t="shared" si="370"/>
        <v>0</v>
      </c>
      <c r="M294" s="273">
        <f t="shared" si="371"/>
        <v>0</v>
      </c>
      <c r="N294" s="283"/>
      <c r="O294" s="263" t="str">
        <f t="shared" si="360"/>
        <v>-</v>
      </c>
    </row>
    <row r="295" spans="1:15" ht="24" thickBot="1" x14ac:dyDescent="0.35">
      <c r="A295" s="274" t="s">
        <v>101</v>
      </c>
      <c r="B295" s="1051"/>
      <c r="C295" s="300" t="s">
        <v>290</v>
      </c>
      <c r="D295" s="299" t="s">
        <v>289</v>
      </c>
      <c r="E295" s="280"/>
      <c r="F295" s="281"/>
      <c r="G295" s="334">
        <f t="shared" si="368"/>
        <v>0</v>
      </c>
      <c r="H295" s="282"/>
      <c r="I295" s="282"/>
      <c r="J295" s="353" t="str">
        <f>IFERROR(G295/#REF!,"-")</f>
        <v>-</v>
      </c>
      <c r="K295" s="334">
        <f t="shared" si="369"/>
        <v>0</v>
      </c>
      <c r="L295" s="272">
        <f t="shared" si="370"/>
        <v>0</v>
      </c>
      <c r="M295" s="273">
        <f t="shared" si="371"/>
        <v>0</v>
      </c>
      <c r="N295" s="338" t="str">
        <f t="shared" ref="N295:N299" si="373">IFERROR(K295/E295,"-")</f>
        <v>-</v>
      </c>
      <c r="O295" s="347" t="str">
        <f t="shared" si="360"/>
        <v>-</v>
      </c>
    </row>
    <row r="296" spans="1:15" ht="24" thickBot="1" x14ac:dyDescent="0.35">
      <c r="A296" s="274" t="s">
        <v>101</v>
      </c>
      <c r="B296" s="1052"/>
      <c r="C296" s="301"/>
      <c r="D296" s="302" t="s">
        <v>52</v>
      </c>
      <c r="E296" s="284">
        <f>SUM(E286:E295)</f>
        <v>0</v>
      </c>
      <c r="F296" s="285">
        <v>160000</v>
      </c>
      <c r="G296" s="320">
        <f>SUM(G286:G295)</f>
        <v>48314</v>
      </c>
      <c r="H296" s="321">
        <f>SUM(H286:H295)</f>
        <v>47736</v>
      </c>
      <c r="I296" s="321">
        <f>SUM(I286:I295)</f>
        <v>578</v>
      </c>
      <c r="J296" s="345">
        <f>+G296/F296</f>
        <v>0.30196250000000002</v>
      </c>
      <c r="K296" s="320">
        <f>SUM(K286:K295)</f>
        <v>249062</v>
      </c>
      <c r="L296" s="321">
        <f>SUM(L286:L295)</f>
        <v>246636</v>
      </c>
      <c r="M296" s="322">
        <f>SUM(M286:M295)</f>
        <v>2426</v>
      </c>
      <c r="N296" s="339" t="str">
        <f t="shared" si="373"/>
        <v>-</v>
      </c>
      <c r="O296" s="345">
        <f t="shared" si="360"/>
        <v>9.7405465305827471E-3</v>
      </c>
    </row>
    <row r="297" spans="1:15" ht="23.4" x14ac:dyDescent="0.3">
      <c r="A297" s="274" t="s">
        <v>101</v>
      </c>
      <c r="B297" s="1053" t="s">
        <v>28</v>
      </c>
      <c r="C297" s="299" t="s">
        <v>27</v>
      </c>
      <c r="D297" s="297" t="s">
        <v>492</v>
      </c>
      <c r="E297" s="270"/>
      <c r="F297" s="271"/>
      <c r="G297" s="332">
        <f t="shared" ref="G297:G301" si="374">+H297+I297</f>
        <v>32645</v>
      </c>
      <c r="H297" s="272">
        <v>31824</v>
      </c>
      <c r="I297" s="272">
        <v>821</v>
      </c>
      <c r="J297" s="351" t="str">
        <f>IFERROR(G297/#REF!,"-")</f>
        <v>-</v>
      </c>
      <c r="K297" s="332">
        <f t="shared" ref="K297:K303" si="375">+L297+M297</f>
        <v>32645</v>
      </c>
      <c r="L297" s="272">
        <f t="shared" ref="L297:L303" si="376">+H297+L184</f>
        <v>31824</v>
      </c>
      <c r="M297" s="273">
        <f t="shared" ref="M297:M303" si="377">+I297+M184</f>
        <v>821</v>
      </c>
      <c r="N297" s="336" t="str">
        <f t="shared" si="373"/>
        <v>-</v>
      </c>
      <c r="O297" s="346">
        <f t="shared" si="360"/>
        <v>2.5149333741767498E-2</v>
      </c>
    </row>
    <row r="298" spans="1:15" ht="23.4" x14ac:dyDescent="0.3">
      <c r="A298" s="274" t="s">
        <v>101</v>
      </c>
      <c r="B298" s="1051"/>
      <c r="C298" s="299" t="s">
        <v>385</v>
      </c>
      <c r="D298" s="299" t="s">
        <v>334</v>
      </c>
      <c r="E298" s="276"/>
      <c r="F298" s="277"/>
      <c r="G298" s="333">
        <f t="shared" si="374"/>
        <v>28434</v>
      </c>
      <c r="H298" s="278">
        <v>27846</v>
      </c>
      <c r="I298" s="278">
        <v>588</v>
      </c>
      <c r="J298" s="352" t="str">
        <f>IFERROR(G298/#REF!,"-")</f>
        <v>-</v>
      </c>
      <c r="K298" s="333">
        <f t="shared" si="375"/>
        <v>96975</v>
      </c>
      <c r="L298" s="272">
        <f t="shared" si="376"/>
        <v>95472</v>
      </c>
      <c r="M298" s="273">
        <f t="shared" si="377"/>
        <v>1503</v>
      </c>
      <c r="N298" s="337" t="str">
        <f t="shared" si="373"/>
        <v>-</v>
      </c>
      <c r="O298" s="263">
        <f t="shared" si="360"/>
        <v>1.5498839907192575E-2</v>
      </c>
    </row>
    <row r="299" spans="1:15" ht="23.4" x14ac:dyDescent="0.3">
      <c r="A299" s="274" t="s">
        <v>101</v>
      </c>
      <c r="B299" s="1051"/>
      <c r="C299" s="299" t="s">
        <v>27</v>
      </c>
      <c r="D299" s="299" t="s">
        <v>334</v>
      </c>
      <c r="E299" s="276"/>
      <c r="F299" s="277"/>
      <c r="G299" s="333">
        <f t="shared" si="374"/>
        <v>0</v>
      </c>
      <c r="H299" s="278"/>
      <c r="I299" s="278"/>
      <c r="J299" s="352" t="str">
        <f>IFERROR(G299/#REF!,"-")</f>
        <v>-</v>
      </c>
      <c r="K299" s="333">
        <f t="shared" si="375"/>
        <v>0</v>
      </c>
      <c r="L299" s="272">
        <f t="shared" si="376"/>
        <v>0</v>
      </c>
      <c r="M299" s="273">
        <f t="shared" si="377"/>
        <v>0</v>
      </c>
      <c r="N299" s="337" t="str">
        <f t="shared" si="373"/>
        <v>-</v>
      </c>
      <c r="O299" s="263" t="str">
        <f t="shared" si="360"/>
        <v>-</v>
      </c>
    </row>
    <row r="300" spans="1:15" ht="23.4" x14ac:dyDescent="0.3">
      <c r="A300" s="274"/>
      <c r="B300" s="1051"/>
      <c r="C300" s="299" t="s">
        <v>460</v>
      </c>
      <c r="D300" s="299" t="s">
        <v>334</v>
      </c>
      <c r="E300" s="280"/>
      <c r="F300" s="281"/>
      <c r="G300" s="333">
        <f t="shared" si="374"/>
        <v>0</v>
      </c>
      <c r="H300" s="282"/>
      <c r="I300" s="282"/>
      <c r="J300" s="352" t="str">
        <f>IFERROR(G300/#REF!,"-")</f>
        <v>-</v>
      </c>
      <c r="K300" s="333">
        <f t="shared" si="375"/>
        <v>0</v>
      </c>
      <c r="L300" s="272">
        <f t="shared" si="376"/>
        <v>0</v>
      </c>
      <c r="M300" s="273">
        <f t="shared" si="377"/>
        <v>0</v>
      </c>
      <c r="N300" s="338"/>
      <c r="O300" s="347"/>
    </row>
    <row r="301" spans="1:15" ht="23.4" x14ac:dyDescent="0.3">
      <c r="A301" s="274" t="s">
        <v>101</v>
      </c>
      <c r="B301" s="1051"/>
      <c r="C301" s="299" t="s">
        <v>382</v>
      </c>
      <c r="D301" s="300" t="s">
        <v>366</v>
      </c>
      <c r="E301" s="280"/>
      <c r="F301" s="281"/>
      <c r="G301" s="334">
        <f t="shared" si="374"/>
        <v>0</v>
      </c>
      <c r="H301" s="282"/>
      <c r="I301" s="282"/>
      <c r="J301" s="352" t="str">
        <f>IFERROR(G301/#REF!,"-")</f>
        <v>-</v>
      </c>
      <c r="K301" s="334">
        <f t="shared" si="375"/>
        <v>0</v>
      </c>
      <c r="L301" s="272">
        <f t="shared" si="376"/>
        <v>0</v>
      </c>
      <c r="M301" s="702">
        <f t="shared" si="377"/>
        <v>0</v>
      </c>
      <c r="N301" s="338" t="str">
        <f t="shared" ref="N301" si="378">IFERROR(K301/E301,"-")</f>
        <v>-</v>
      </c>
      <c r="O301" s="347" t="str">
        <f t="shared" ref="O301" si="379">IFERROR(M301/K301,"-")</f>
        <v>-</v>
      </c>
    </row>
    <row r="302" spans="1:15" ht="23.4" x14ac:dyDescent="0.3">
      <c r="A302" s="274"/>
      <c r="B302" s="1051"/>
      <c r="C302" s="299" t="s">
        <v>458</v>
      </c>
      <c r="D302" s="300" t="s">
        <v>280</v>
      </c>
      <c r="E302" s="280"/>
      <c r="F302" s="281"/>
      <c r="G302" s="334"/>
      <c r="H302" s="282"/>
      <c r="I302" s="282"/>
      <c r="J302" s="352" t="str">
        <f>IFERROR(G302/#REF!,"-")</f>
        <v>-</v>
      </c>
      <c r="K302" s="334">
        <f t="shared" si="375"/>
        <v>0</v>
      </c>
      <c r="L302" s="272">
        <f t="shared" si="376"/>
        <v>0</v>
      </c>
      <c r="M302" s="272">
        <f t="shared" si="377"/>
        <v>0</v>
      </c>
      <c r="N302" s="338"/>
      <c r="O302" s="347"/>
    </row>
    <row r="303" spans="1:15" ht="24" thickBot="1" x14ac:dyDescent="0.35">
      <c r="A303" s="274" t="s">
        <v>101</v>
      </c>
      <c r="B303" s="1051"/>
      <c r="C303" s="299" t="s">
        <v>27</v>
      </c>
      <c r="D303" s="300" t="s">
        <v>234</v>
      </c>
      <c r="E303" s="280"/>
      <c r="F303" s="281"/>
      <c r="G303" s="334">
        <f t="shared" ref="G303" si="380">+H303+I303</f>
        <v>0</v>
      </c>
      <c r="H303" s="282"/>
      <c r="I303" s="282"/>
      <c r="J303" s="353" t="str">
        <f>IFERROR(G303/#REF!,"-")</f>
        <v>-</v>
      </c>
      <c r="K303" s="334">
        <f t="shared" si="375"/>
        <v>0</v>
      </c>
      <c r="L303" s="272">
        <f t="shared" si="376"/>
        <v>0</v>
      </c>
      <c r="M303" s="702">
        <f t="shared" si="377"/>
        <v>0</v>
      </c>
      <c r="N303" s="338" t="str">
        <f t="shared" ref="N303:N304" si="381">IFERROR(K303/E303,"-")</f>
        <v>-</v>
      </c>
      <c r="O303" s="347" t="str">
        <f t="shared" ref="O303:O319" si="382">IFERROR(M303/K303,"-")</f>
        <v>-</v>
      </c>
    </row>
    <row r="304" spans="1:15" ht="24" thickBot="1" x14ac:dyDescent="0.35">
      <c r="A304" s="274" t="s">
        <v>101</v>
      </c>
      <c r="B304" s="1051"/>
      <c r="C304" s="304"/>
      <c r="D304" s="305" t="s">
        <v>52</v>
      </c>
      <c r="E304" s="306">
        <f>SUM(E297:E303)</f>
        <v>0</v>
      </c>
      <c r="F304" s="307">
        <v>80000</v>
      </c>
      <c r="G304" s="366">
        <f>SUM(G297:G303)</f>
        <v>61079</v>
      </c>
      <c r="H304" s="365">
        <f>SUM(H297:H303)</f>
        <v>59670</v>
      </c>
      <c r="I304" s="365">
        <f>SUM(I297:I303)</f>
        <v>1409</v>
      </c>
      <c r="J304" s="356">
        <f>+G304/F304</f>
        <v>0.76348749999999999</v>
      </c>
      <c r="K304" s="366">
        <f>SUM(K297:K303)</f>
        <v>129620</v>
      </c>
      <c r="L304" s="365">
        <f>SUM(L297:L303)</f>
        <v>127296</v>
      </c>
      <c r="M304" s="367">
        <f>SUM(M297:M303)</f>
        <v>2324</v>
      </c>
      <c r="N304" s="355" t="str">
        <f t="shared" si="381"/>
        <v>-</v>
      </c>
      <c r="O304" s="356">
        <f t="shared" si="382"/>
        <v>1.7929331893226354E-2</v>
      </c>
    </row>
    <row r="305" spans="1:15" ht="24" thickBot="1" x14ac:dyDescent="0.35">
      <c r="A305" s="777" t="s">
        <v>101</v>
      </c>
      <c r="B305" s="1054" t="s">
        <v>162</v>
      </c>
      <c r="C305" s="1055"/>
      <c r="D305" s="1056"/>
      <c r="E305" s="308">
        <f>+E304+E296</f>
        <v>0</v>
      </c>
      <c r="F305" s="309">
        <v>240000</v>
      </c>
      <c r="G305" s="369">
        <f>+G296+G304</f>
        <v>109393</v>
      </c>
      <c r="H305" s="368">
        <f>+H296+H304</f>
        <v>107406</v>
      </c>
      <c r="I305" s="368">
        <f>+I296+I304</f>
        <v>1987</v>
      </c>
      <c r="J305" s="358">
        <f>+G305/F305</f>
        <v>0.45580416666666668</v>
      </c>
      <c r="K305" s="369">
        <f>+K296+K304</f>
        <v>378682</v>
      </c>
      <c r="L305" s="368">
        <f>+L296+L304</f>
        <v>373932</v>
      </c>
      <c r="M305" s="370">
        <f>+M296+M304</f>
        <v>4750</v>
      </c>
      <c r="N305" s="357" t="str">
        <f>IFERROR(K305/E305,"-")</f>
        <v>-</v>
      </c>
      <c r="O305" s="358">
        <f t="shared" si="382"/>
        <v>1.2543506160842079E-2</v>
      </c>
    </row>
    <row r="306" spans="1:15" ht="23.4" x14ac:dyDescent="0.3">
      <c r="A306" s="274" t="s">
        <v>101</v>
      </c>
      <c r="B306" s="1051" t="s">
        <v>30</v>
      </c>
      <c r="C306" s="303" t="s">
        <v>446</v>
      </c>
      <c r="D306" s="299" t="s">
        <v>334</v>
      </c>
      <c r="E306" s="270"/>
      <c r="F306" s="271"/>
      <c r="G306" s="332">
        <f t="shared" ref="G306:G308" si="383">+H306+I306</f>
        <v>0</v>
      </c>
      <c r="H306" s="272"/>
      <c r="I306" s="272"/>
      <c r="J306" s="351" t="str">
        <f>IFERROR(G306/#REF!,"-")</f>
        <v>-</v>
      </c>
      <c r="K306" s="332">
        <f t="shared" ref="K306:K308" si="384">+L306+M306</f>
        <v>0</v>
      </c>
      <c r="L306" s="272">
        <f t="shared" ref="L306:L308" si="385">+H306+L193</f>
        <v>0</v>
      </c>
      <c r="M306" s="273">
        <f t="shared" ref="M306:M308" si="386">+I306+M193</f>
        <v>0</v>
      </c>
      <c r="N306" s="336" t="str">
        <f t="shared" ref="N306:N319" si="387">IFERROR(K306/E306,"-")</f>
        <v>-</v>
      </c>
      <c r="O306" s="346" t="str">
        <f t="shared" si="382"/>
        <v>-</v>
      </c>
    </row>
    <row r="307" spans="1:15" ht="23.4" x14ac:dyDescent="0.3">
      <c r="A307" s="274" t="s">
        <v>101</v>
      </c>
      <c r="B307" s="1051"/>
      <c r="C307" s="300" t="s">
        <v>429</v>
      </c>
      <c r="D307" s="303" t="s">
        <v>366</v>
      </c>
      <c r="E307" s="276"/>
      <c r="F307" s="277"/>
      <c r="G307" s="333">
        <f t="shared" si="383"/>
        <v>0</v>
      </c>
      <c r="H307" s="278"/>
      <c r="I307" s="278"/>
      <c r="J307" s="352" t="str">
        <f>IFERROR(G307/#REF!,"-")</f>
        <v>-</v>
      </c>
      <c r="K307" s="333">
        <f t="shared" si="384"/>
        <v>0</v>
      </c>
      <c r="L307" s="272">
        <f t="shared" si="385"/>
        <v>0</v>
      </c>
      <c r="M307" s="273">
        <f t="shared" si="386"/>
        <v>0</v>
      </c>
      <c r="N307" s="337" t="str">
        <f t="shared" si="387"/>
        <v>-</v>
      </c>
      <c r="O307" s="263" t="str">
        <f t="shared" si="382"/>
        <v>-</v>
      </c>
    </row>
    <row r="308" spans="1:15" ht="24" thickBot="1" x14ac:dyDescent="0.35">
      <c r="A308" s="274" t="s">
        <v>101</v>
      </c>
      <c r="B308" s="1051"/>
      <c r="C308" s="300" t="s">
        <v>291</v>
      </c>
      <c r="D308" s="300" t="s">
        <v>366</v>
      </c>
      <c r="E308" s="280"/>
      <c r="F308" s="281"/>
      <c r="G308" s="334">
        <f t="shared" si="383"/>
        <v>0</v>
      </c>
      <c r="H308" s="282"/>
      <c r="I308" s="282"/>
      <c r="J308" s="353" t="str">
        <f>IFERROR(G308/#REF!,"-")</f>
        <v>-</v>
      </c>
      <c r="K308" s="334">
        <f t="shared" si="384"/>
        <v>0</v>
      </c>
      <c r="L308" s="272">
        <f t="shared" si="385"/>
        <v>0</v>
      </c>
      <c r="M308" s="273">
        <f t="shared" si="386"/>
        <v>0</v>
      </c>
      <c r="N308" s="338" t="str">
        <f t="shared" si="387"/>
        <v>-</v>
      </c>
      <c r="O308" s="347" t="str">
        <f t="shared" si="382"/>
        <v>-</v>
      </c>
    </row>
    <row r="309" spans="1:15" ht="24" thickBot="1" x14ac:dyDescent="0.35">
      <c r="A309" s="274" t="s">
        <v>101</v>
      </c>
      <c r="B309" s="1051"/>
      <c r="C309" s="301"/>
      <c r="D309" s="302" t="s">
        <v>50</v>
      </c>
      <c r="E309" s="284">
        <v>0</v>
      </c>
      <c r="F309" s="285">
        <v>50000</v>
      </c>
      <c r="G309" s="320">
        <f>SUM(G306:G308)</f>
        <v>0</v>
      </c>
      <c r="H309" s="321">
        <f>SUM(H306:H308)</f>
        <v>0</v>
      </c>
      <c r="I309" s="321">
        <f>SUM(I306:I308)</f>
        <v>0</v>
      </c>
      <c r="J309" s="345" t="e">
        <f>+H309/G309</f>
        <v>#DIV/0!</v>
      </c>
      <c r="K309" s="320">
        <f>SUM(K306:K308)</f>
        <v>0</v>
      </c>
      <c r="L309" s="321">
        <f>SUM(L306:L308)</f>
        <v>0</v>
      </c>
      <c r="M309" s="322">
        <f>SUM(M306:M308)</f>
        <v>0</v>
      </c>
      <c r="N309" s="339" t="str">
        <f t="shared" si="387"/>
        <v>-</v>
      </c>
      <c r="O309" s="345" t="str">
        <f t="shared" si="382"/>
        <v>-</v>
      </c>
    </row>
    <row r="310" spans="1:15" ht="23.4" x14ac:dyDescent="0.3">
      <c r="A310" s="274" t="s">
        <v>101</v>
      </c>
      <c r="B310" s="1051"/>
      <c r="C310" s="297" t="s">
        <v>434</v>
      </c>
      <c r="D310" s="297" t="s">
        <v>92</v>
      </c>
      <c r="E310" s="270"/>
      <c r="F310" s="271"/>
      <c r="G310" s="332">
        <f t="shared" ref="G310:G311" si="388">+H310+I310</f>
        <v>0</v>
      </c>
      <c r="H310" s="272"/>
      <c r="I310" s="272"/>
      <c r="J310" s="351" t="str">
        <f>IFERROR(G310/#REF!,"-")</f>
        <v>-</v>
      </c>
      <c r="K310" s="332">
        <f t="shared" ref="K310:K315" si="389">+L310+M310</f>
        <v>0</v>
      </c>
      <c r="L310" s="272">
        <f t="shared" ref="L310:L315" si="390">+H310+L197</f>
        <v>0</v>
      </c>
      <c r="M310" s="273">
        <f t="shared" ref="M310:M315" si="391">+I310+M197</f>
        <v>0</v>
      </c>
      <c r="N310" s="336" t="str">
        <f t="shared" si="387"/>
        <v>-</v>
      </c>
      <c r="O310" s="346" t="str">
        <f t="shared" si="382"/>
        <v>-</v>
      </c>
    </row>
    <row r="311" spans="1:15" ht="23.4" x14ac:dyDescent="0.3">
      <c r="A311" s="274"/>
      <c r="B311" s="1051"/>
      <c r="C311" s="303" t="s">
        <v>449</v>
      </c>
      <c r="D311" s="299" t="s">
        <v>334</v>
      </c>
      <c r="E311" s="270"/>
      <c r="F311" s="271"/>
      <c r="G311" s="332">
        <f t="shared" si="388"/>
        <v>0</v>
      </c>
      <c r="H311" s="272"/>
      <c r="I311" s="272"/>
      <c r="J311" s="351" t="str">
        <f>IFERROR(G311/#REF!,"-")</f>
        <v>-</v>
      </c>
      <c r="K311" s="332">
        <f t="shared" si="389"/>
        <v>0</v>
      </c>
      <c r="L311" s="272">
        <f t="shared" si="390"/>
        <v>0</v>
      </c>
      <c r="M311" s="273">
        <f t="shared" si="391"/>
        <v>0</v>
      </c>
      <c r="N311" s="337" t="str">
        <f t="shared" si="387"/>
        <v>-</v>
      </c>
      <c r="O311" s="346" t="str">
        <f t="shared" si="382"/>
        <v>-</v>
      </c>
    </row>
    <row r="312" spans="1:15" ht="23.4" x14ac:dyDescent="0.3">
      <c r="A312" s="274"/>
      <c r="B312" s="1051"/>
      <c r="C312" s="303" t="s">
        <v>452</v>
      </c>
      <c r="D312" s="299" t="s">
        <v>334</v>
      </c>
      <c r="E312" s="270"/>
      <c r="F312" s="271"/>
      <c r="G312" s="332"/>
      <c r="H312" s="272"/>
      <c r="I312" s="272"/>
      <c r="J312" s="351" t="str">
        <f>IFERROR(G312/#REF!,"-")</f>
        <v>-</v>
      </c>
      <c r="K312" s="332">
        <f t="shared" si="389"/>
        <v>0</v>
      </c>
      <c r="L312" s="272">
        <f t="shared" si="390"/>
        <v>0</v>
      </c>
      <c r="M312" s="273">
        <f t="shared" si="391"/>
        <v>0</v>
      </c>
      <c r="N312" s="337" t="str">
        <f t="shared" si="387"/>
        <v>-</v>
      </c>
      <c r="O312" s="346" t="str">
        <f t="shared" si="382"/>
        <v>-</v>
      </c>
    </row>
    <row r="313" spans="1:15" ht="23.4" x14ac:dyDescent="0.3">
      <c r="A313" s="274" t="s">
        <v>101</v>
      </c>
      <c r="B313" s="1051"/>
      <c r="C313" s="303" t="s">
        <v>335</v>
      </c>
      <c r="D313" s="303" t="s">
        <v>234</v>
      </c>
      <c r="E313" s="276"/>
      <c r="F313" s="277"/>
      <c r="G313" s="333">
        <f t="shared" ref="G313" si="392">+H313+I313</f>
        <v>0</v>
      </c>
      <c r="H313" s="278"/>
      <c r="I313" s="278"/>
      <c r="J313" s="351" t="str">
        <f>IFERROR(G313/#REF!,"-")</f>
        <v>-</v>
      </c>
      <c r="K313" s="333">
        <f t="shared" si="389"/>
        <v>0</v>
      </c>
      <c r="L313" s="272">
        <f t="shared" si="390"/>
        <v>0</v>
      </c>
      <c r="M313" s="273">
        <f t="shared" si="391"/>
        <v>0</v>
      </c>
      <c r="N313" s="337" t="str">
        <f t="shared" si="387"/>
        <v>-</v>
      </c>
      <c r="O313" s="263" t="str">
        <f t="shared" si="382"/>
        <v>-</v>
      </c>
    </row>
    <row r="314" spans="1:15" ht="23.4" x14ac:dyDescent="0.3">
      <c r="A314" s="274"/>
      <c r="B314" s="1051"/>
      <c r="C314" s="300" t="s">
        <v>459</v>
      </c>
      <c r="D314" s="300" t="s">
        <v>366</v>
      </c>
      <c r="E314" s="280"/>
      <c r="F314" s="281"/>
      <c r="G314" s="334"/>
      <c r="H314" s="282"/>
      <c r="I314" s="282"/>
      <c r="J314" s="351" t="str">
        <f>IFERROR(G314/#REF!,"-")</f>
        <v>-</v>
      </c>
      <c r="K314" s="333">
        <f t="shared" si="389"/>
        <v>0</v>
      </c>
      <c r="L314" s="272">
        <f t="shared" si="390"/>
        <v>0</v>
      </c>
      <c r="M314" s="272">
        <f t="shared" si="391"/>
        <v>0</v>
      </c>
      <c r="N314" s="337" t="str">
        <f t="shared" si="387"/>
        <v>-</v>
      </c>
      <c r="O314" s="263" t="str">
        <f t="shared" si="382"/>
        <v>-</v>
      </c>
    </row>
    <row r="315" spans="1:15" ht="24" thickBot="1" x14ac:dyDescent="0.35">
      <c r="A315" s="274" t="s">
        <v>101</v>
      </c>
      <c r="B315" s="1051"/>
      <c r="C315" s="300" t="s">
        <v>435</v>
      </c>
      <c r="D315" s="300" t="s">
        <v>423</v>
      </c>
      <c r="E315" s="280"/>
      <c r="F315" s="281"/>
      <c r="G315" s="334">
        <f t="shared" ref="G315" si="393">+H315+I315</f>
        <v>0</v>
      </c>
      <c r="H315" s="282"/>
      <c r="I315" s="282"/>
      <c r="J315" s="353" t="str">
        <f>IFERROR(G315/#REF!,"-")</f>
        <v>-</v>
      </c>
      <c r="K315" s="334">
        <f t="shared" si="389"/>
        <v>0</v>
      </c>
      <c r="L315" s="272">
        <f t="shared" si="390"/>
        <v>0</v>
      </c>
      <c r="M315" s="273">
        <f t="shared" si="391"/>
        <v>0</v>
      </c>
      <c r="N315" s="338" t="str">
        <f t="shared" si="387"/>
        <v>-</v>
      </c>
      <c r="O315" s="347" t="str">
        <f t="shared" si="382"/>
        <v>-</v>
      </c>
    </row>
    <row r="316" spans="1:15" ht="24" thickBot="1" x14ac:dyDescent="0.35">
      <c r="A316" s="274" t="s">
        <v>101</v>
      </c>
      <c r="B316" s="1051"/>
      <c r="C316" s="304"/>
      <c r="D316" s="305" t="s">
        <v>51</v>
      </c>
      <c r="E316" s="306">
        <f>SUM(E310)</f>
        <v>0</v>
      </c>
      <c r="F316" s="307">
        <v>50000</v>
      </c>
      <c r="G316" s="366">
        <f>SUM(G310:G315)</f>
        <v>0</v>
      </c>
      <c r="H316" s="365">
        <f t="shared" ref="H316:I316" si="394">SUM(H310:H315)</f>
        <v>0</v>
      </c>
      <c r="I316" s="365">
        <f t="shared" si="394"/>
        <v>0</v>
      </c>
      <c r="J316" s="356">
        <f>+G316/F316</f>
        <v>0</v>
      </c>
      <c r="K316" s="366">
        <f t="shared" ref="K316:M316" si="395">SUM(K310:K315)</f>
        <v>0</v>
      </c>
      <c r="L316" s="365">
        <f t="shared" si="395"/>
        <v>0</v>
      </c>
      <c r="M316" s="367">
        <f t="shared" si="395"/>
        <v>0</v>
      </c>
      <c r="N316" s="355" t="str">
        <f t="shared" si="387"/>
        <v>-</v>
      </c>
      <c r="O316" s="356" t="str">
        <f t="shared" si="382"/>
        <v>-</v>
      </c>
    </row>
    <row r="317" spans="1:15" ht="24" thickBot="1" x14ac:dyDescent="0.35">
      <c r="A317" s="274" t="s">
        <v>101</v>
      </c>
      <c r="B317" s="1054" t="s">
        <v>163</v>
      </c>
      <c r="C317" s="1055"/>
      <c r="D317" s="1056"/>
      <c r="E317" s="308">
        <f>+E316+E309</f>
        <v>0</v>
      </c>
      <c r="F317" s="309">
        <v>50000</v>
      </c>
      <c r="G317" s="369">
        <f>+G309+G316</f>
        <v>0</v>
      </c>
      <c r="H317" s="368">
        <f t="shared" ref="H317:I317" si="396">+H309+H316</f>
        <v>0</v>
      </c>
      <c r="I317" s="368">
        <f t="shared" si="396"/>
        <v>0</v>
      </c>
      <c r="J317" s="358">
        <f>+G317/F317</f>
        <v>0</v>
      </c>
      <c r="K317" s="369">
        <f t="shared" ref="K317:M317" si="397">+K309+K316</f>
        <v>0</v>
      </c>
      <c r="L317" s="368">
        <f t="shared" si="397"/>
        <v>0</v>
      </c>
      <c r="M317" s="370">
        <f t="shared" si="397"/>
        <v>0</v>
      </c>
      <c r="N317" s="357" t="str">
        <f t="shared" si="387"/>
        <v>-</v>
      </c>
      <c r="O317" s="358" t="str">
        <f t="shared" si="382"/>
        <v>-</v>
      </c>
    </row>
    <row r="318" spans="1:15" ht="24" thickBot="1" x14ac:dyDescent="0.35">
      <c r="A318" s="274" t="s">
        <v>101</v>
      </c>
      <c r="B318" s="598" t="s">
        <v>32</v>
      </c>
      <c r="C318" s="773"/>
      <c r="D318" s="310" t="s">
        <v>32</v>
      </c>
      <c r="E318" s="287">
        <v>0</v>
      </c>
      <c r="F318" s="288">
        <v>110000</v>
      </c>
      <c r="G318" s="335">
        <f t="shared" ref="G318" si="398">+H318+I318</f>
        <v>0</v>
      </c>
      <c r="H318" s="289"/>
      <c r="I318" s="289"/>
      <c r="J318" s="354" t="str">
        <f>IFERROR(G318/#REF!,"-")</f>
        <v>-</v>
      </c>
      <c r="K318" s="335">
        <f>+L318+M318</f>
        <v>0</v>
      </c>
      <c r="L318" s="289">
        <f>+H318+L205</f>
        <v>0</v>
      </c>
      <c r="M318" s="290">
        <f>+I318+M205</f>
        <v>0</v>
      </c>
      <c r="N318" s="340" t="str">
        <f t="shared" si="387"/>
        <v>-</v>
      </c>
      <c r="O318" s="348" t="str">
        <f t="shared" si="382"/>
        <v>-</v>
      </c>
    </row>
    <row r="319" spans="1:15" ht="24" thickBot="1" x14ac:dyDescent="0.35">
      <c r="A319" s="274" t="s">
        <v>101</v>
      </c>
      <c r="B319" s="1047" t="s">
        <v>21</v>
      </c>
      <c r="C319" s="1048"/>
      <c r="D319" s="1049"/>
      <c r="E319" s="326">
        <f>+E305+E317+E318</f>
        <v>0</v>
      </c>
      <c r="F319" s="327">
        <f>+F305+F317+F318</f>
        <v>400000</v>
      </c>
      <c r="G319" s="326">
        <f>+G305+G317+G318</f>
        <v>109393</v>
      </c>
      <c r="H319" s="324">
        <f>+H305+H317+H318</f>
        <v>107406</v>
      </c>
      <c r="I319" s="324">
        <f>+I305+I317+I318</f>
        <v>1987</v>
      </c>
      <c r="J319" s="349">
        <f>+G319/F319</f>
        <v>0.27348250000000002</v>
      </c>
      <c r="K319" s="326">
        <f>+K305+K317+K318</f>
        <v>378682</v>
      </c>
      <c r="L319" s="324">
        <f>+L305+L317+L318</f>
        <v>373932</v>
      </c>
      <c r="M319" s="325">
        <f>+M305+M317+M318</f>
        <v>4750</v>
      </c>
      <c r="N319" s="341" t="str">
        <f t="shared" si="387"/>
        <v>-</v>
      </c>
      <c r="O319" s="349">
        <f t="shared" si="382"/>
        <v>1.2543506160842079E-2</v>
      </c>
    </row>
    <row r="320" spans="1:15" ht="24" thickBot="1" x14ac:dyDescent="0.35">
      <c r="A320" s="274" t="s">
        <v>101</v>
      </c>
      <c r="B320" s="1019" t="s">
        <v>171</v>
      </c>
      <c r="C320" s="1020"/>
      <c r="D320" s="1021"/>
      <c r="E320" s="330">
        <f>+E319</f>
        <v>0</v>
      </c>
      <c r="F320" s="331">
        <f t="shared" ref="F320:I320" si="399">+F319</f>
        <v>400000</v>
      </c>
      <c r="G320" s="330">
        <f t="shared" si="399"/>
        <v>109393</v>
      </c>
      <c r="H320" s="328">
        <f t="shared" si="399"/>
        <v>107406</v>
      </c>
      <c r="I320" s="328">
        <f t="shared" si="399"/>
        <v>1987</v>
      </c>
      <c r="J320" s="350">
        <f>+J319</f>
        <v>0.27348250000000002</v>
      </c>
      <c r="K320" s="330">
        <f>+K319</f>
        <v>378682</v>
      </c>
      <c r="L320" s="328">
        <f t="shared" ref="L320" si="400">+L319</f>
        <v>373932</v>
      </c>
      <c r="M320" s="329">
        <f>+M319</f>
        <v>4750</v>
      </c>
      <c r="N320" s="342" t="str">
        <f t="shared" ref="N320:O320" si="401">+N319</f>
        <v>-</v>
      </c>
      <c r="O320" s="350">
        <f t="shared" si="401"/>
        <v>1.2543506160842079E-2</v>
      </c>
    </row>
    <row r="321" spans="1:15" ht="23.4" x14ac:dyDescent="0.3">
      <c r="A321" s="268" t="s">
        <v>102</v>
      </c>
      <c r="B321" s="1022" t="s">
        <v>401</v>
      </c>
      <c r="C321" s="311" t="s">
        <v>113</v>
      </c>
      <c r="D321" s="311"/>
      <c r="E321" s="270"/>
      <c r="F321" s="271"/>
      <c r="G321" s="332">
        <f t="shared" ref="G321:G323" si="402">+H321+I321</f>
        <v>0</v>
      </c>
      <c r="H321" s="272"/>
      <c r="I321" s="272"/>
      <c r="J321" s="351" t="str">
        <f>IFERROR(G321/#REF!,"-")</f>
        <v>-</v>
      </c>
      <c r="K321" s="332">
        <f t="shared" ref="K321:K323" si="403">+L321+M321</f>
        <v>0</v>
      </c>
      <c r="L321" s="272">
        <f t="shared" ref="L321:L323" si="404">+H321+L208</f>
        <v>0</v>
      </c>
      <c r="M321" s="273">
        <f t="shared" ref="M321:M323" si="405">+I321+M208</f>
        <v>0</v>
      </c>
      <c r="N321" s="336" t="str">
        <f t="shared" ref="N321:N328" si="406">IFERROR(K321/E321,"-")</f>
        <v>-</v>
      </c>
      <c r="O321" s="346" t="str">
        <f t="shared" ref="O321:O346" si="407">IFERROR(M321/K321,"-")</f>
        <v>-</v>
      </c>
    </row>
    <row r="322" spans="1:15" ht="23.4" x14ac:dyDescent="0.3">
      <c r="A322" s="274" t="s">
        <v>102</v>
      </c>
      <c r="B322" s="1023"/>
      <c r="C322" s="312" t="s">
        <v>247</v>
      </c>
      <c r="D322" s="312"/>
      <c r="E322" s="276"/>
      <c r="F322" s="277"/>
      <c r="G322" s="333">
        <f t="shared" si="402"/>
        <v>1252</v>
      </c>
      <c r="H322" s="278">
        <v>1200</v>
      </c>
      <c r="I322" s="278">
        <v>52</v>
      </c>
      <c r="J322" s="352" t="str">
        <f>IFERROR(G322/#REF!,"-")</f>
        <v>-</v>
      </c>
      <c r="K322" s="333">
        <f t="shared" si="403"/>
        <v>1997</v>
      </c>
      <c r="L322" s="272">
        <f t="shared" si="404"/>
        <v>1900</v>
      </c>
      <c r="M322" s="273">
        <f t="shared" si="405"/>
        <v>97</v>
      </c>
      <c r="N322" s="337" t="str">
        <f t="shared" si="406"/>
        <v>-</v>
      </c>
      <c r="O322" s="263">
        <f t="shared" si="407"/>
        <v>4.8572859288933401E-2</v>
      </c>
    </row>
    <row r="323" spans="1:15" ht="24" thickBot="1" x14ac:dyDescent="0.35">
      <c r="A323" s="274" t="s">
        <v>102</v>
      </c>
      <c r="B323" s="1024"/>
      <c r="C323" s="313" t="s">
        <v>33</v>
      </c>
      <c r="D323" s="313"/>
      <c r="E323" s="280"/>
      <c r="F323" s="281"/>
      <c r="G323" s="334">
        <f t="shared" si="402"/>
        <v>0</v>
      </c>
      <c r="H323" s="282"/>
      <c r="I323" s="282"/>
      <c r="J323" s="353" t="str">
        <f>IFERROR(G323/#REF!,"-")</f>
        <v>-</v>
      </c>
      <c r="K323" s="334">
        <f t="shared" si="403"/>
        <v>0</v>
      </c>
      <c r="L323" s="272">
        <f t="shared" si="404"/>
        <v>0</v>
      </c>
      <c r="M323" s="273">
        <f t="shared" si="405"/>
        <v>0</v>
      </c>
      <c r="N323" s="338" t="str">
        <f t="shared" si="406"/>
        <v>-</v>
      </c>
      <c r="O323" s="347" t="str">
        <f t="shared" si="407"/>
        <v>-</v>
      </c>
    </row>
    <row r="324" spans="1:15" ht="24" thickBot="1" x14ac:dyDescent="0.35">
      <c r="A324" s="274" t="s">
        <v>102</v>
      </c>
      <c r="B324" s="1025" t="s">
        <v>34</v>
      </c>
      <c r="C324" s="1026"/>
      <c r="D324" s="1027"/>
      <c r="E324" s="284">
        <f>SUM(E321:E323)</f>
        <v>0</v>
      </c>
      <c r="F324" s="285">
        <v>6500</v>
      </c>
      <c r="G324" s="320">
        <f>SUM(G321:G323)</f>
        <v>1252</v>
      </c>
      <c r="H324" s="321">
        <f t="shared" ref="H324:I324" si="408">SUM(H321:H323)</f>
        <v>1200</v>
      </c>
      <c r="I324" s="321">
        <f t="shared" si="408"/>
        <v>52</v>
      </c>
      <c r="J324" s="345" t="str">
        <f>IFERROR(G324/#REF!,"-")</f>
        <v>-</v>
      </c>
      <c r="K324" s="320">
        <f t="shared" ref="K324:M324" si="409">SUM(K321:K323)</f>
        <v>1997</v>
      </c>
      <c r="L324" s="321">
        <f t="shared" si="409"/>
        <v>1900</v>
      </c>
      <c r="M324" s="322">
        <f t="shared" si="409"/>
        <v>97</v>
      </c>
      <c r="N324" s="339" t="str">
        <f t="shared" si="406"/>
        <v>-</v>
      </c>
      <c r="O324" s="345">
        <f t="shared" si="407"/>
        <v>4.8572859288933401E-2</v>
      </c>
    </row>
    <row r="325" spans="1:15" ht="23.4" x14ac:dyDescent="0.3">
      <c r="A325" s="274" t="s">
        <v>102</v>
      </c>
      <c r="B325" s="1022" t="s">
        <v>35</v>
      </c>
      <c r="C325" s="311" t="s">
        <v>113</v>
      </c>
      <c r="D325" s="311"/>
      <c r="E325" s="270"/>
      <c r="F325" s="271"/>
      <c r="G325" s="332">
        <f t="shared" ref="G325:G328" si="410">+H325+I325</f>
        <v>0</v>
      </c>
      <c r="H325" s="272"/>
      <c r="I325" s="272"/>
      <c r="J325" s="351" t="str">
        <f>IFERROR(G325/#REF!,"-")</f>
        <v>-</v>
      </c>
      <c r="K325" s="332">
        <f t="shared" ref="K325:K328" si="411">+L325+M325</f>
        <v>0</v>
      </c>
      <c r="L325" s="272">
        <f t="shared" ref="L325:L328" si="412">+H325+L212</f>
        <v>0</v>
      </c>
      <c r="M325" s="273">
        <f t="shared" ref="M325:M328" si="413">+I325+M212</f>
        <v>0</v>
      </c>
      <c r="N325" s="336" t="str">
        <f t="shared" si="406"/>
        <v>-</v>
      </c>
      <c r="O325" s="346" t="str">
        <f t="shared" si="407"/>
        <v>-</v>
      </c>
    </row>
    <row r="326" spans="1:15" ht="23.4" x14ac:dyDescent="0.3">
      <c r="A326" s="274" t="s">
        <v>102</v>
      </c>
      <c r="B326" s="1023"/>
      <c r="C326" s="312" t="s">
        <v>247</v>
      </c>
      <c r="D326" s="312"/>
      <c r="E326" s="276"/>
      <c r="F326" s="277"/>
      <c r="G326" s="333">
        <f t="shared" si="410"/>
        <v>0</v>
      </c>
      <c r="H326" s="278"/>
      <c r="I326" s="278"/>
      <c r="J326" s="352" t="str">
        <f>IFERROR(G326/#REF!,"-")</f>
        <v>-</v>
      </c>
      <c r="K326" s="333">
        <f t="shared" si="411"/>
        <v>0</v>
      </c>
      <c r="L326" s="272">
        <f t="shared" si="412"/>
        <v>0</v>
      </c>
      <c r="M326" s="273">
        <f t="shared" si="413"/>
        <v>0</v>
      </c>
      <c r="N326" s="337" t="str">
        <f t="shared" si="406"/>
        <v>-</v>
      </c>
      <c r="O326" s="263" t="str">
        <f t="shared" si="407"/>
        <v>-</v>
      </c>
    </row>
    <row r="327" spans="1:15" ht="23.4" x14ac:dyDescent="0.3">
      <c r="A327" s="274" t="s">
        <v>102</v>
      </c>
      <c r="B327" s="1023"/>
      <c r="C327" s="312" t="s">
        <v>184</v>
      </c>
      <c r="D327" s="312"/>
      <c r="E327" s="276"/>
      <c r="F327" s="277"/>
      <c r="G327" s="333">
        <f t="shared" si="410"/>
        <v>0</v>
      </c>
      <c r="H327" s="278"/>
      <c r="I327" s="278"/>
      <c r="J327" s="352" t="str">
        <f>IFERROR(G327/#REF!,"-")</f>
        <v>-</v>
      </c>
      <c r="K327" s="333">
        <f t="shared" si="411"/>
        <v>0</v>
      </c>
      <c r="L327" s="272">
        <f t="shared" si="412"/>
        <v>0</v>
      </c>
      <c r="M327" s="273">
        <f t="shared" si="413"/>
        <v>0</v>
      </c>
      <c r="N327" s="337" t="str">
        <f t="shared" si="406"/>
        <v>-</v>
      </c>
      <c r="O327" s="263" t="str">
        <f t="shared" si="407"/>
        <v>-</v>
      </c>
    </row>
    <row r="328" spans="1:15" ht="24" thickBot="1" x14ac:dyDescent="0.35">
      <c r="A328" s="274" t="s">
        <v>102</v>
      </c>
      <c r="B328" s="1024"/>
      <c r="C328" s="313" t="s">
        <v>36</v>
      </c>
      <c r="D328" s="313"/>
      <c r="E328" s="280"/>
      <c r="F328" s="281"/>
      <c r="G328" s="334">
        <f t="shared" si="410"/>
        <v>0</v>
      </c>
      <c r="H328" s="282"/>
      <c r="I328" s="282"/>
      <c r="J328" s="353" t="str">
        <f>IFERROR(G328/#REF!,"-")</f>
        <v>-</v>
      </c>
      <c r="K328" s="334">
        <f t="shared" si="411"/>
        <v>0</v>
      </c>
      <c r="L328" s="272">
        <f t="shared" si="412"/>
        <v>0</v>
      </c>
      <c r="M328" s="273">
        <f t="shared" si="413"/>
        <v>0</v>
      </c>
      <c r="N328" s="338" t="str">
        <f t="shared" si="406"/>
        <v>-</v>
      </c>
      <c r="O328" s="347" t="str">
        <f t="shared" si="407"/>
        <v>-</v>
      </c>
    </row>
    <row r="329" spans="1:15" ht="24" thickBot="1" x14ac:dyDescent="0.35">
      <c r="A329" s="274" t="s">
        <v>102</v>
      </c>
      <c r="B329" s="1025" t="s">
        <v>37</v>
      </c>
      <c r="C329" s="1026"/>
      <c r="D329" s="1027"/>
      <c r="E329" s="284">
        <f>SUM(E325:E328)</f>
        <v>0</v>
      </c>
      <c r="F329" s="285">
        <v>6500</v>
      </c>
      <c r="G329" s="320">
        <f>SUM(G325:G328)</f>
        <v>0</v>
      </c>
      <c r="H329" s="321">
        <f t="shared" ref="H329:I329" si="414">SUM(H325:H328)</f>
        <v>0</v>
      </c>
      <c r="I329" s="321">
        <f t="shared" si="414"/>
        <v>0</v>
      </c>
      <c r="J329" s="345" t="str">
        <f>IFERROR(G329/#REF!,"-")</f>
        <v>-</v>
      </c>
      <c r="K329" s="320">
        <f t="shared" ref="K329:M329" si="415">SUM(K325:K328)</f>
        <v>0</v>
      </c>
      <c r="L329" s="321">
        <f t="shared" si="415"/>
        <v>0</v>
      </c>
      <c r="M329" s="322">
        <f t="shared" si="415"/>
        <v>0</v>
      </c>
      <c r="N329" s="339" t="str">
        <f>IFERROR(K329/E329,"-")</f>
        <v>-</v>
      </c>
      <c r="O329" s="345" t="str">
        <f t="shared" si="407"/>
        <v>-</v>
      </c>
    </row>
    <row r="330" spans="1:15" ht="23.4" x14ac:dyDescent="0.3">
      <c r="A330" s="274" t="s">
        <v>102</v>
      </c>
      <c r="B330" s="1022" t="s">
        <v>402</v>
      </c>
      <c r="C330" s="314" t="s">
        <v>116</v>
      </c>
      <c r="D330" s="314"/>
      <c r="E330" s="270"/>
      <c r="F330" s="271"/>
      <c r="G330" s="332">
        <f t="shared" ref="G330:G331" si="416">+H330+I330</f>
        <v>0</v>
      </c>
      <c r="H330" s="272"/>
      <c r="I330" s="272"/>
      <c r="J330" s="351" t="str">
        <f>IFERROR(G330/#REF!,"-")</f>
        <v>-</v>
      </c>
      <c r="K330" s="332">
        <f t="shared" ref="K330:K331" si="417">+L330+M330</f>
        <v>0</v>
      </c>
      <c r="L330" s="272">
        <f t="shared" ref="L330:L331" si="418">+H330+L217</f>
        <v>0</v>
      </c>
      <c r="M330" s="273">
        <f t="shared" ref="M330:M331" si="419">+I330+M217</f>
        <v>0</v>
      </c>
      <c r="N330" s="336" t="str">
        <f t="shared" ref="N330:N346" si="420">IFERROR(K330/E330,"-")</f>
        <v>-</v>
      </c>
      <c r="O330" s="346" t="str">
        <f t="shared" si="407"/>
        <v>-</v>
      </c>
    </row>
    <row r="331" spans="1:15" ht="24" thickBot="1" x14ac:dyDescent="0.35">
      <c r="A331" s="274" t="s">
        <v>102</v>
      </c>
      <c r="B331" s="1024"/>
      <c r="C331" s="286" t="s">
        <v>132</v>
      </c>
      <c r="D331" s="286"/>
      <c r="E331" s="280"/>
      <c r="F331" s="281"/>
      <c r="G331" s="334">
        <f t="shared" si="416"/>
        <v>1790</v>
      </c>
      <c r="H331" s="282">
        <v>1690</v>
      </c>
      <c r="I331" s="282">
        <v>100</v>
      </c>
      <c r="J331" s="353" t="str">
        <f>IFERROR(G331/#REF!,"-")</f>
        <v>-</v>
      </c>
      <c r="K331" s="334">
        <f t="shared" si="417"/>
        <v>2660</v>
      </c>
      <c r="L331" s="272">
        <f t="shared" si="418"/>
        <v>2490</v>
      </c>
      <c r="M331" s="273">
        <f t="shared" si="419"/>
        <v>170</v>
      </c>
      <c r="N331" s="338" t="str">
        <f t="shared" si="420"/>
        <v>-</v>
      </c>
      <c r="O331" s="347">
        <f t="shared" si="407"/>
        <v>6.3909774436090222E-2</v>
      </c>
    </row>
    <row r="332" spans="1:15" ht="24" thickBot="1" x14ac:dyDescent="0.35">
      <c r="A332" s="777" t="s">
        <v>102</v>
      </c>
      <c r="B332" s="1025" t="s">
        <v>38</v>
      </c>
      <c r="C332" s="1026"/>
      <c r="D332" s="1027"/>
      <c r="E332" s="284">
        <f>SUM(E330:E331)</f>
        <v>0</v>
      </c>
      <c r="F332" s="285">
        <v>2800</v>
      </c>
      <c r="G332" s="320">
        <f>SUM(G330:G331)</f>
        <v>1790</v>
      </c>
      <c r="H332" s="321">
        <f t="shared" ref="H332:I332" si="421">SUM(H330:H331)</f>
        <v>1690</v>
      </c>
      <c r="I332" s="321">
        <f t="shared" si="421"/>
        <v>100</v>
      </c>
      <c r="J332" s="345" t="str">
        <f>IFERROR(G332/#REF!,"-")</f>
        <v>-</v>
      </c>
      <c r="K332" s="320">
        <f t="shared" ref="K332:M332" si="422">SUM(K330:K331)</f>
        <v>2660</v>
      </c>
      <c r="L332" s="321">
        <f t="shared" si="422"/>
        <v>2490</v>
      </c>
      <c r="M332" s="322">
        <f t="shared" si="422"/>
        <v>170</v>
      </c>
      <c r="N332" s="339" t="str">
        <f t="shared" si="420"/>
        <v>-</v>
      </c>
      <c r="O332" s="345">
        <f t="shared" si="407"/>
        <v>6.3909774436090222E-2</v>
      </c>
    </row>
    <row r="333" spans="1:15" ht="23.4" x14ac:dyDescent="0.3">
      <c r="A333" s="274" t="s">
        <v>102</v>
      </c>
      <c r="B333" s="1022" t="s">
        <v>403</v>
      </c>
      <c r="C333" s="269" t="s">
        <v>306</v>
      </c>
      <c r="D333" s="269"/>
      <c r="E333" s="270"/>
      <c r="F333" s="315"/>
      <c r="G333" s="332">
        <f t="shared" ref="G333:G337" si="423">+H333+I333</f>
        <v>27057</v>
      </c>
      <c r="H333" s="272">
        <v>26880</v>
      </c>
      <c r="I333" s="272">
        <v>177</v>
      </c>
      <c r="J333" s="371" t="str">
        <f>IFERROR(G333/#REF!,"-")</f>
        <v>-</v>
      </c>
      <c r="K333" s="332">
        <f t="shared" ref="K333:K337" si="424">+L333+M333</f>
        <v>59217</v>
      </c>
      <c r="L333" s="272">
        <f t="shared" ref="L333:L337" si="425">+H333+L220</f>
        <v>58800</v>
      </c>
      <c r="M333" s="272">
        <f t="shared" ref="M333:M337" si="426">+I333+M220</f>
        <v>417</v>
      </c>
      <c r="N333" s="359" t="str">
        <f t="shared" si="420"/>
        <v>-</v>
      </c>
      <c r="O333" s="360">
        <f t="shared" si="407"/>
        <v>7.041896752621713E-3</v>
      </c>
    </row>
    <row r="334" spans="1:15" ht="23.4" x14ac:dyDescent="0.3">
      <c r="A334" s="274" t="s">
        <v>102</v>
      </c>
      <c r="B334" s="1023"/>
      <c r="C334" s="269" t="s">
        <v>307</v>
      </c>
      <c r="D334" s="275"/>
      <c r="E334" s="276"/>
      <c r="F334" s="316"/>
      <c r="G334" s="333">
        <f t="shared" si="423"/>
        <v>0</v>
      </c>
      <c r="H334" s="278"/>
      <c r="I334" s="278"/>
      <c r="J334" s="372" t="str">
        <f>IFERROR(G334/#REF!,"-")</f>
        <v>-</v>
      </c>
      <c r="K334" s="333">
        <f t="shared" si="424"/>
        <v>0</v>
      </c>
      <c r="L334" s="272">
        <f t="shared" si="425"/>
        <v>0</v>
      </c>
      <c r="M334" s="273">
        <f t="shared" si="426"/>
        <v>0</v>
      </c>
      <c r="N334" s="361" t="str">
        <f t="shared" si="420"/>
        <v>-</v>
      </c>
      <c r="O334" s="362" t="str">
        <f t="shared" si="407"/>
        <v>-</v>
      </c>
    </row>
    <row r="335" spans="1:15" ht="23.4" x14ac:dyDescent="0.3">
      <c r="A335" s="274" t="s">
        <v>102</v>
      </c>
      <c r="B335" s="1023"/>
      <c r="C335" s="275" t="s">
        <v>345</v>
      </c>
      <c r="D335" s="275"/>
      <c r="E335" s="276"/>
      <c r="F335" s="316"/>
      <c r="G335" s="333">
        <f t="shared" si="423"/>
        <v>0</v>
      </c>
      <c r="H335" s="278"/>
      <c r="I335" s="278"/>
      <c r="J335" s="372" t="str">
        <f>IFERROR(G335/#REF!,"-")</f>
        <v>-</v>
      </c>
      <c r="K335" s="333">
        <f t="shared" si="424"/>
        <v>0</v>
      </c>
      <c r="L335" s="272">
        <f t="shared" si="425"/>
        <v>0</v>
      </c>
      <c r="M335" s="273">
        <f t="shared" si="426"/>
        <v>0</v>
      </c>
      <c r="N335" s="361" t="str">
        <f t="shared" si="420"/>
        <v>-</v>
      </c>
      <c r="O335" s="362" t="str">
        <f t="shared" si="407"/>
        <v>-</v>
      </c>
    </row>
    <row r="336" spans="1:15" ht="23.4" x14ac:dyDescent="0.3">
      <c r="A336" s="274" t="s">
        <v>102</v>
      </c>
      <c r="B336" s="1023"/>
      <c r="C336" s="275" t="s">
        <v>157</v>
      </c>
      <c r="D336" s="275"/>
      <c r="E336" s="276"/>
      <c r="F336" s="316"/>
      <c r="G336" s="333">
        <f t="shared" si="423"/>
        <v>0</v>
      </c>
      <c r="H336" s="278"/>
      <c r="I336" s="278"/>
      <c r="J336" s="372" t="str">
        <f>IFERROR(G336/#REF!,"-")</f>
        <v>-</v>
      </c>
      <c r="K336" s="333">
        <f t="shared" si="424"/>
        <v>0</v>
      </c>
      <c r="L336" s="272">
        <f t="shared" si="425"/>
        <v>0</v>
      </c>
      <c r="M336" s="273">
        <f t="shared" si="426"/>
        <v>0</v>
      </c>
      <c r="N336" s="361" t="str">
        <f t="shared" si="420"/>
        <v>-</v>
      </c>
      <c r="O336" s="362" t="str">
        <f t="shared" si="407"/>
        <v>-</v>
      </c>
    </row>
    <row r="337" spans="1:15" ht="24" thickBot="1" x14ac:dyDescent="0.35">
      <c r="A337" s="274" t="s">
        <v>102</v>
      </c>
      <c r="B337" s="1024"/>
      <c r="C337" s="279" t="s">
        <v>158</v>
      </c>
      <c r="D337" s="279"/>
      <c r="E337" s="280"/>
      <c r="F337" s="317"/>
      <c r="G337" s="334">
        <f t="shared" si="423"/>
        <v>0</v>
      </c>
      <c r="H337" s="282"/>
      <c r="I337" s="282"/>
      <c r="J337" s="373" t="str">
        <f>IFERROR(G337/#REF!,"-")</f>
        <v>-</v>
      </c>
      <c r="K337" s="334">
        <f t="shared" si="424"/>
        <v>0</v>
      </c>
      <c r="L337" s="272">
        <f t="shared" si="425"/>
        <v>0</v>
      </c>
      <c r="M337" s="273">
        <f t="shared" si="426"/>
        <v>0</v>
      </c>
      <c r="N337" s="363" t="str">
        <f t="shared" si="420"/>
        <v>-</v>
      </c>
      <c r="O337" s="364" t="str">
        <f t="shared" si="407"/>
        <v>-</v>
      </c>
    </row>
    <row r="338" spans="1:15" ht="24" thickBot="1" x14ac:dyDescent="0.35">
      <c r="A338" s="274" t="s">
        <v>102</v>
      </c>
      <c r="B338" s="1025" t="s">
        <v>39</v>
      </c>
      <c r="C338" s="1026"/>
      <c r="D338" s="1027"/>
      <c r="E338" s="320">
        <f>SUM(E333:E337)</f>
        <v>0</v>
      </c>
      <c r="F338" s="285">
        <v>25000</v>
      </c>
      <c r="G338" s="320">
        <f>SUM(G333:G337)</f>
        <v>27057</v>
      </c>
      <c r="H338" s="321">
        <f>SUM(H333:H337)</f>
        <v>26880</v>
      </c>
      <c r="I338" s="321">
        <f>SUM(I333:I337)</f>
        <v>177</v>
      </c>
      <c r="J338" s="345" t="str">
        <f>IFERROR(G338/#REF!,"-")</f>
        <v>-</v>
      </c>
      <c r="K338" s="320">
        <f>SUM(K333:K337)</f>
        <v>59217</v>
      </c>
      <c r="L338" s="321">
        <f>SUM(L333:L337)</f>
        <v>58800</v>
      </c>
      <c r="M338" s="322">
        <f>SUM(M333:M337)</f>
        <v>417</v>
      </c>
      <c r="N338" s="339" t="str">
        <f t="shared" si="420"/>
        <v>-</v>
      </c>
      <c r="O338" s="345">
        <f t="shared" si="407"/>
        <v>7.041896752621713E-3</v>
      </c>
    </row>
    <row r="339" spans="1:15" ht="23.4" x14ac:dyDescent="0.3">
      <c r="A339" s="274" t="s">
        <v>102</v>
      </c>
      <c r="B339" s="1022" t="s">
        <v>404</v>
      </c>
      <c r="C339" s="269" t="s">
        <v>186</v>
      </c>
      <c r="D339" s="269"/>
      <c r="E339" s="270"/>
      <c r="F339" s="271"/>
      <c r="G339" s="332">
        <f t="shared" ref="G339:G341" si="427">+H339+I339</f>
        <v>0</v>
      </c>
      <c r="H339" s="272"/>
      <c r="I339" s="272"/>
      <c r="J339" s="351" t="str">
        <f>IFERROR(G339/#REF!,"-")</f>
        <v>-</v>
      </c>
      <c r="K339" s="332">
        <f t="shared" ref="K339:K341" si="428">+L339+M339</f>
        <v>0</v>
      </c>
      <c r="L339" s="272">
        <f t="shared" ref="L339:L341" si="429">+H339+L226</f>
        <v>0</v>
      </c>
      <c r="M339" s="273">
        <f t="shared" ref="M339:M341" si="430">+I339+M226</f>
        <v>0</v>
      </c>
      <c r="N339" s="336" t="str">
        <f t="shared" si="420"/>
        <v>-</v>
      </c>
      <c r="O339" s="346" t="str">
        <f t="shared" si="407"/>
        <v>-</v>
      </c>
    </row>
    <row r="340" spans="1:15" ht="23.4" x14ac:dyDescent="0.3">
      <c r="A340" s="274" t="s">
        <v>102</v>
      </c>
      <c r="B340" s="1023"/>
      <c r="C340" s="275" t="s">
        <v>159</v>
      </c>
      <c r="D340" s="275"/>
      <c r="E340" s="276"/>
      <c r="F340" s="277"/>
      <c r="G340" s="333">
        <f t="shared" si="427"/>
        <v>0</v>
      </c>
      <c r="H340" s="278"/>
      <c r="I340" s="278"/>
      <c r="J340" s="372" t="str">
        <f>IFERROR(G340/#REF!,"-")</f>
        <v>-</v>
      </c>
      <c r="K340" s="333">
        <f t="shared" si="428"/>
        <v>11826</v>
      </c>
      <c r="L340" s="714">
        <f t="shared" si="429"/>
        <v>11400</v>
      </c>
      <c r="M340" s="273">
        <f t="shared" si="430"/>
        <v>426</v>
      </c>
      <c r="N340" s="361" t="str">
        <f t="shared" si="420"/>
        <v>-</v>
      </c>
      <c r="O340" s="362">
        <f t="shared" si="407"/>
        <v>3.6022323693556568E-2</v>
      </c>
    </row>
    <row r="341" spans="1:15" ht="24" thickBot="1" x14ac:dyDescent="0.35">
      <c r="A341" s="274" t="s">
        <v>102</v>
      </c>
      <c r="B341" s="1024"/>
      <c r="C341" s="279" t="s">
        <v>186</v>
      </c>
      <c r="D341" s="279"/>
      <c r="E341" s="280"/>
      <c r="F341" s="281"/>
      <c r="G341" s="334">
        <f t="shared" si="427"/>
        <v>0</v>
      </c>
      <c r="H341" s="282"/>
      <c r="I341" s="282"/>
      <c r="J341" s="373" t="str">
        <f>IFERROR(G341/#REF!,"-")</f>
        <v>-</v>
      </c>
      <c r="K341" s="334">
        <f t="shared" si="428"/>
        <v>0</v>
      </c>
      <c r="L341" s="272">
        <f t="shared" si="429"/>
        <v>0</v>
      </c>
      <c r="M341" s="273">
        <f t="shared" si="430"/>
        <v>0</v>
      </c>
      <c r="N341" s="363" t="str">
        <f t="shared" si="420"/>
        <v>-</v>
      </c>
      <c r="O341" s="364" t="str">
        <f t="shared" si="407"/>
        <v>-</v>
      </c>
    </row>
    <row r="342" spans="1:15" ht="24" thickBot="1" x14ac:dyDescent="0.35">
      <c r="A342" s="274" t="s">
        <v>102</v>
      </c>
      <c r="B342" s="1034" t="s">
        <v>41</v>
      </c>
      <c r="C342" s="1035"/>
      <c r="D342" s="1036"/>
      <c r="E342" s="320">
        <f>SUM(E339:E341)</f>
        <v>0</v>
      </c>
      <c r="F342" s="285"/>
      <c r="G342" s="320">
        <f>SUM(G339:G341)</f>
        <v>0</v>
      </c>
      <c r="H342" s="321">
        <f t="shared" ref="H342:I342" si="431">SUM(H339:H341)</f>
        <v>0</v>
      </c>
      <c r="I342" s="321">
        <f t="shared" si="431"/>
        <v>0</v>
      </c>
      <c r="J342" s="345" t="str">
        <f>IFERROR(G342/#REF!,"-")</f>
        <v>-</v>
      </c>
      <c r="K342" s="320">
        <f t="shared" ref="K342:M342" si="432">SUM(K339:K341)</f>
        <v>11826</v>
      </c>
      <c r="L342" s="365">
        <f t="shared" si="432"/>
        <v>11400</v>
      </c>
      <c r="M342" s="367">
        <f t="shared" si="432"/>
        <v>426</v>
      </c>
      <c r="N342" s="339" t="str">
        <f t="shared" si="420"/>
        <v>-</v>
      </c>
      <c r="O342" s="345">
        <f t="shared" si="407"/>
        <v>3.6022323693556568E-2</v>
      </c>
    </row>
    <row r="343" spans="1:15" ht="24" thickBot="1" x14ac:dyDescent="0.35">
      <c r="A343" s="274" t="s">
        <v>102</v>
      </c>
      <c r="B343" s="1022" t="s">
        <v>42</v>
      </c>
      <c r="C343" s="269" t="s">
        <v>160</v>
      </c>
      <c r="D343" s="269"/>
      <c r="E343" s="270">
        <v>0</v>
      </c>
      <c r="F343" s="271"/>
      <c r="G343" s="332">
        <f t="shared" ref="G343:G344" si="433">+H343+I343</f>
        <v>0</v>
      </c>
      <c r="H343" s="272"/>
      <c r="I343" s="272"/>
      <c r="J343" s="371" t="str">
        <f>IFERROR(G343/#REF!,"-")</f>
        <v>-</v>
      </c>
      <c r="K343" s="695">
        <f t="shared" ref="K343:K344" si="434">+L343+M343</f>
        <v>0</v>
      </c>
      <c r="L343" s="688">
        <f t="shared" ref="L343:L344" si="435">+H343+L230</f>
        <v>0</v>
      </c>
      <c r="M343" s="688">
        <f t="shared" ref="M343:M344" si="436">+I343+M230</f>
        <v>0</v>
      </c>
      <c r="N343" s="359" t="str">
        <f t="shared" si="420"/>
        <v>-</v>
      </c>
      <c r="O343" s="360" t="str">
        <f t="shared" si="407"/>
        <v>-</v>
      </c>
    </row>
    <row r="344" spans="1:15" ht="24" thickBot="1" x14ac:dyDescent="0.35">
      <c r="A344" s="274" t="s">
        <v>102</v>
      </c>
      <c r="B344" s="1024"/>
      <c r="C344" s="279" t="s">
        <v>161</v>
      </c>
      <c r="D344" s="279"/>
      <c r="E344" s="280">
        <v>0</v>
      </c>
      <c r="F344" s="281"/>
      <c r="G344" s="334">
        <f t="shared" si="433"/>
        <v>0</v>
      </c>
      <c r="H344" s="282"/>
      <c r="I344" s="282"/>
      <c r="J344" s="373" t="str">
        <f>IFERROR(G344/#REF!,"-")</f>
        <v>-</v>
      </c>
      <c r="K344" s="696">
        <f t="shared" si="434"/>
        <v>0</v>
      </c>
      <c r="L344" s="688">
        <f t="shared" si="435"/>
        <v>0</v>
      </c>
      <c r="M344" s="688">
        <f t="shared" si="436"/>
        <v>0</v>
      </c>
      <c r="N344" s="363" t="str">
        <f t="shared" si="420"/>
        <v>-</v>
      </c>
      <c r="O344" s="364" t="str">
        <f t="shared" si="407"/>
        <v>-</v>
      </c>
    </row>
    <row r="345" spans="1:15" ht="24" thickBot="1" x14ac:dyDescent="0.35">
      <c r="A345" s="274" t="s">
        <v>102</v>
      </c>
      <c r="B345" s="1034" t="s">
        <v>43</v>
      </c>
      <c r="C345" s="1035"/>
      <c r="D345" s="1036"/>
      <c r="E345" s="284">
        <v>0</v>
      </c>
      <c r="F345" s="285">
        <v>25000</v>
      </c>
      <c r="G345" s="320">
        <f>SUM(G343:G344)</f>
        <v>0</v>
      </c>
      <c r="H345" s="321">
        <f t="shared" ref="H345:I345" si="437">SUM(H343:H344)</f>
        <v>0</v>
      </c>
      <c r="I345" s="321">
        <f t="shared" si="437"/>
        <v>0</v>
      </c>
      <c r="J345" s="345" t="str">
        <f>IFERROR(G345/#REF!,"-")</f>
        <v>-</v>
      </c>
      <c r="K345" s="760">
        <f t="shared" ref="K345:M345" si="438">SUM(K343:K344)</f>
        <v>0</v>
      </c>
      <c r="L345" s="761">
        <f t="shared" si="438"/>
        <v>0</v>
      </c>
      <c r="M345" s="761">
        <f t="shared" si="438"/>
        <v>0</v>
      </c>
      <c r="N345" s="339" t="str">
        <f t="shared" si="420"/>
        <v>-</v>
      </c>
      <c r="O345" s="345" t="str">
        <f t="shared" si="407"/>
        <v>-</v>
      </c>
    </row>
    <row r="346" spans="1:15" ht="24" thickBot="1" x14ac:dyDescent="0.35">
      <c r="A346" s="274" t="s">
        <v>102</v>
      </c>
      <c r="B346" s="1028" t="s">
        <v>25</v>
      </c>
      <c r="C346" s="1029"/>
      <c r="D346" s="1030"/>
      <c r="E346" s="326">
        <f t="shared" ref="E346:F346" si="439">+E324+E329+E332+E338+E342+E345</f>
        <v>0</v>
      </c>
      <c r="F346" s="327">
        <f t="shared" si="439"/>
        <v>65800</v>
      </c>
      <c r="G346" s="326">
        <f>+G324+G329+G332+G338+G342+G345</f>
        <v>30099</v>
      </c>
      <c r="H346" s="324">
        <f>+H324+H329+H332+H338+H342+H345</f>
        <v>29770</v>
      </c>
      <c r="I346" s="324">
        <f t="shared" ref="I346" si="440">+I324+I329+I332+I338+I342+I345</f>
        <v>329</v>
      </c>
      <c r="J346" s="349" t="str">
        <f>IFERROR(G346/#REF!,"-")</f>
        <v>-</v>
      </c>
      <c r="K346" s="326">
        <f>+K324+K329+K332+K338+K342+K345</f>
        <v>75700</v>
      </c>
      <c r="L346" s="759">
        <f t="shared" ref="L346:M346" si="441">+L324+L329+L332+L338+L342+L345</f>
        <v>74590</v>
      </c>
      <c r="M346" s="325">
        <f t="shared" si="441"/>
        <v>1110</v>
      </c>
      <c r="N346" s="341" t="str">
        <f t="shared" si="420"/>
        <v>-</v>
      </c>
      <c r="O346" s="349">
        <f t="shared" si="407"/>
        <v>1.4663143989431969E-2</v>
      </c>
    </row>
    <row r="347" spans="1:15" ht="24" thickBot="1" x14ac:dyDescent="0.35">
      <c r="A347" s="318" t="s">
        <v>102</v>
      </c>
      <c r="B347" s="1020" t="s">
        <v>173</v>
      </c>
      <c r="C347" s="1020"/>
      <c r="D347" s="1021"/>
      <c r="E347" s="330">
        <f>+E346</f>
        <v>0</v>
      </c>
      <c r="F347" s="331">
        <f t="shared" ref="F347:O347" si="442">+F346</f>
        <v>65800</v>
      </c>
      <c r="G347" s="330">
        <f t="shared" si="442"/>
        <v>30099</v>
      </c>
      <c r="H347" s="328">
        <f t="shared" si="442"/>
        <v>29770</v>
      </c>
      <c r="I347" s="328">
        <f t="shared" si="442"/>
        <v>329</v>
      </c>
      <c r="J347" s="350" t="str">
        <f t="shared" si="442"/>
        <v>-</v>
      </c>
      <c r="K347" s="330">
        <f t="shared" si="442"/>
        <v>75700</v>
      </c>
      <c r="L347" s="328">
        <f t="shared" si="442"/>
        <v>74590</v>
      </c>
      <c r="M347" s="329">
        <f t="shared" si="442"/>
        <v>1110</v>
      </c>
      <c r="N347" s="342" t="str">
        <f t="shared" si="442"/>
        <v>-</v>
      </c>
      <c r="O347" s="350">
        <f t="shared" si="442"/>
        <v>1.4663143989431969E-2</v>
      </c>
    </row>
    <row r="348" spans="1:15" ht="24.6" thickBot="1" x14ac:dyDescent="0.35">
      <c r="A348" s="319"/>
      <c r="B348" s="1031" t="s">
        <v>174</v>
      </c>
      <c r="C348" s="1032"/>
      <c r="D348" s="1033"/>
      <c r="E348" s="374">
        <f>+E285+E320+E347</f>
        <v>0</v>
      </c>
      <c r="F348" s="374">
        <f>+F285+F320+F347</f>
        <v>1024800</v>
      </c>
      <c r="G348" s="374">
        <f>+G285+G320+G347</f>
        <v>247264</v>
      </c>
      <c r="H348" s="374">
        <f>+H285+H320+H347</f>
        <v>363008</v>
      </c>
      <c r="I348" s="374">
        <f>+I285+I320+I347</f>
        <v>2978</v>
      </c>
      <c r="J348" s="375" t="str">
        <f>IFERROR(G348/#REF!,"-")</f>
        <v>-</v>
      </c>
      <c r="K348" s="374">
        <f>+K285+K320+K347</f>
        <v>993998</v>
      </c>
      <c r="L348" s="374">
        <f>+L285+L320+L347</f>
        <v>986066</v>
      </c>
      <c r="M348" s="374">
        <f>+M285+M320+M347</f>
        <v>7932</v>
      </c>
      <c r="N348" s="375" t="str">
        <f>IFERROR(K348/E348,"-")</f>
        <v>-</v>
      </c>
      <c r="O348" s="375">
        <f>IFERROR(M348/K348,"-")</f>
        <v>7.9798953317813514E-3</v>
      </c>
    </row>
    <row r="349" spans="1:15" ht="23.4" x14ac:dyDescent="0.3">
      <c r="A349" s="1057" t="s">
        <v>1</v>
      </c>
      <c r="B349" s="1060" t="s">
        <v>2</v>
      </c>
      <c r="C349" s="1063" t="s">
        <v>396</v>
      </c>
      <c r="D349" s="1063" t="s">
        <v>397</v>
      </c>
      <c r="E349" s="1066" t="s">
        <v>4</v>
      </c>
      <c r="F349" s="1067"/>
      <c r="G349" s="1067"/>
      <c r="H349" s="1067"/>
      <c r="I349" s="1067"/>
      <c r="J349" s="1067"/>
      <c r="K349" s="1067"/>
      <c r="L349" s="1067"/>
      <c r="M349" s="1067"/>
      <c r="N349" s="1067"/>
      <c r="O349" s="1068"/>
    </row>
    <row r="350" spans="1:15" ht="23.4" x14ac:dyDescent="0.3">
      <c r="A350" s="1058"/>
      <c r="B350" s="1061"/>
      <c r="C350" s="1064"/>
      <c r="D350" s="1064"/>
      <c r="E350" s="1069" t="s">
        <v>7</v>
      </c>
      <c r="F350" s="1071" t="s">
        <v>108</v>
      </c>
      <c r="G350" s="1073" t="s">
        <v>493</v>
      </c>
      <c r="H350" s="1074"/>
      <c r="I350" s="1074"/>
      <c r="J350" s="1075"/>
      <c r="K350" s="1076" t="s">
        <v>398</v>
      </c>
      <c r="L350" s="1077"/>
      <c r="M350" s="1078"/>
      <c r="N350" s="1079" t="s">
        <v>399</v>
      </c>
      <c r="O350" s="1081" t="s">
        <v>164</v>
      </c>
    </row>
    <row r="351" spans="1:15" ht="41.4" thickBot="1" x14ac:dyDescent="0.35">
      <c r="A351" s="1059"/>
      <c r="B351" s="1062"/>
      <c r="C351" s="1065"/>
      <c r="D351" s="1065"/>
      <c r="E351" s="1070"/>
      <c r="F351" s="1072"/>
      <c r="G351" s="452" t="s">
        <v>13</v>
      </c>
      <c r="H351" s="453" t="s">
        <v>14</v>
      </c>
      <c r="I351" s="453" t="s">
        <v>15</v>
      </c>
      <c r="J351" s="454" t="s">
        <v>166</v>
      </c>
      <c r="K351" s="680" t="s">
        <v>13</v>
      </c>
      <c r="L351" s="678" t="s">
        <v>14</v>
      </c>
      <c r="M351" s="679" t="s">
        <v>15</v>
      </c>
      <c r="N351" s="1080"/>
      <c r="O351" s="1082"/>
    </row>
    <row r="352" spans="1:15" ht="24" thickBot="1" x14ac:dyDescent="0.35">
      <c r="A352" s="268" t="s">
        <v>103</v>
      </c>
      <c r="B352" s="1043" t="s">
        <v>16</v>
      </c>
      <c r="C352" s="269" t="s">
        <v>368</v>
      </c>
      <c r="D352" s="269" t="s">
        <v>369</v>
      </c>
      <c r="E352" s="270">
        <v>20000</v>
      </c>
      <c r="F352" s="271"/>
      <c r="G352" s="332">
        <f>+H352+I352</f>
        <v>0</v>
      </c>
      <c r="H352" s="272"/>
      <c r="I352" s="272"/>
      <c r="J352" s="351"/>
      <c r="K352" s="457">
        <f>+L352+M352</f>
        <v>0</v>
      </c>
      <c r="L352" s="688">
        <f>+H352+L239</f>
        <v>0</v>
      </c>
      <c r="M352" s="688">
        <f>+I352+M239</f>
        <v>0</v>
      </c>
      <c r="N352" s="336">
        <f>IFERROR(K352/E352,"-")</f>
        <v>0</v>
      </c>
      <c r="O352" s="343" t="str">
        <f t="shared" ref="O352:O353" si="443">IFERROR(M352/K352,"-")</f>
        <v>-</v>
      </c>
    </row>
    <row r="353" spans="1:15" ht="23.4" x14ac:dyDescent="0.3">
      <c r="A353" s="274" t="s">
        <v>103</v>
      </c>
      <c r="B353" s="1044"/>
      <c r="C353" s="275" t="s">
        <v>376</v>
      </c>
      <c r="D353" s="275" t="s">
        <v>375</v>
      </c>
      <c r="E353" s="276"/>
      <c r="F353" s="277"/>
      <c r="G353" s="333">
        <f t="shared" ref="G353:G355" si="444">+H353+I353</f>
        <v>0</v>
      </c>
      <c r="H353" s="278"/>
      <c r="I353" s="278"/>
      <c r="J353" s="352" t="str">
        <f>IFERROR(G353/#REF!,"-")</f>
        <v>-</v>
      </c>
      <c r="K353" s="690">
        <f t="shared" ref="K353:K355" si="445">+L353+M353</f>
        <v>0</v>
      </c>
      <c r="L353" s="527">
        <f t="shared" ref="L353:L355" si="446">+H353+L240</f>
        <v>0</v>
      </c>
      <c r="M353" s="459">
        <f t="shared" ref="M353:M355" si="447">+I353+M240</f>
        <v>0</v>
      </c>
      <c r="N353" s="337" t="str">
        <f t="shared" ref="N353:N355" si="448">IFERROR(K353/E353,"-")</f>
        <v>-</v>
      </c>
      <c r="O353" s="265" t="str">
        <f t="shared" si="443"/>
        <v>-</v>
      </c>
    </row>
    <row r="354" spans="1:15" s="723" customFormat="1" ht="23.4" x14ac:dyDescent="0.3">
      <c r="A354" s="274" t="s">
        <v>103</v>
      </c>
      <c r="B354" s="1044"/>
      <c r="C354" s="573" t="s">
        <v>431</v>
      </c>
      <c r="D354" s="573" t="s">
        <v>366</v>
      </c>
      <c r="E354" s="720"/>
      <c r="F354" s="721"/>
      <c r="G354" s="333">
        <f t="shared" si="444"/>
        <v>0</v>
      </c>
      <c r="H354" s="722"/>
      <c r="I354" s="722"/>
      <c r="J354" s="352" t="str">
        <f>IFERROR(G354/#REF!,"-")</f>
        <v>-</v>
      </c>
      <c r="K354" s="690">
        <f t="shared" si="445"/>
        <v>3520</v>
      </c>
      <c r="L354" s="720">
        <f t="shared" si="446"/>
        <v>3520</v>
      </c>
      <c r="M354" s="529">
        <f t="shared" si="447"/>
        <v>0</v>
      </c>
      <c r="N354" s="337" t="str">
        <f t="shared" si="448"/>
        <v>-</v>
      </c>
      <c r="O354" s="265">
        <f>IFERROR(M354/K354,"-")</f>
        <v>0</v>
      </c>
    </row>
    <row r="355" spans="1:15" ht="24" thickBot="1" x14ac:dyDescent="0.35">
      <c r="A355" s="274" t="s">
        <v>103</v>
      </c>
      <c r="B355" s="1045"/>
      <c r="C355" s="279" t="s">
        <v>428</v>
      </c>
      <c r="D355" s="279" t="s">
        <v>374</v>
      </c>
      <c r="E355" s="280"/>
      <c r="F355" s="281"/>
      <c r="G355" s="334">
        <f t="shared" si="444"/>
        <v>0</v>
      </c>
      <c r="H355" s="272"/>
      <c r="I355" s="272"/>
      <c r="J355" s="353" t="str">
        <f>IFERROR(G355/#REF!,"-")</f>
        <v>-</v>
      </c>
      <c r="K355" s="691">
        <f t="shared" si="445"/>
        <v>0</v>
      </c>
      <c r="L355" s="530">
        <f t="shared" si="446"/>
        <v>0</v>
      </c>
      <c r="M355" s="462">
        <f t="shared" si="447"/>
        <v>0</v>
      </c>
      <c r="N355" s="338" t="str">
        <f t="shared" si="448"/>
        <v>-</v>
      </c>
      <c r="O355" s="344" t="str">
        <f t="shared" ref="O355:O373" si="449">IFERROR(M355/K355,"-")</f>
        <v>-</v>
      </c>
    </row>
    <row r="356" spans="1:15" ht="24" thickBot="1" x14ac:dyDescent="0.35">
      <c r="A356" s="274" t="s">
        <v>103</v>
      </c>
      <c r="B356" s="1025" t="s">
        <v>44</v>
      </c>
      <c r="C356" s="1026"/>
      <c r="D356" s="1027"/>
      <c r="E356" s="320">
        <f>SUM(E352:E355)</f>
        <v>20000</v>
      </c>
      <c r="F356" s="285">
        <v>15000</v>
      </c>
      <c r="G356" s="320">
        <f>SUM(G352:G355)</f>
        <v>0</v>
      </c>
      <c r="H356" s="321">
        <f t="shared" ref="H356:I356" si="450">SUM(H352:H355)</f>
        <v>0</v>
      </c>
      <c r="I356" s="321">
        <f t="shared" si="450"/>
        <v>0</v>
      </c>
      <c r="J356" s="345">
        <f>+G356/F356</f>
        <v>0</v>
      </c>
      <c r="K356" s="320">
        <f t="shared" ref="K356" si="451">SUM(K352:K355)</f>
        <v>3520</v>
      </c>
      <c r="L356" s="692">
        <f>SUM(L352:L355)</f>
        <v>3520</v>
      </c>
      <c r="M356" s="693">
        <f>SUM(M352:M355)</f>
        <v>0</v>
      </c>
      <c r="N356" s="339">
        <f>IFERROR(K356/E356,"-")</f>
        <v>0.17599999999999999</v>
      </c>
      <c r="O356" s="345">
        <f t="shared" si="449"/>
        <v>0</v>
      </c>
    </row>
    <row r="357" spans="1:15" ht="23.4" x14ac:dyDescent="0.3">
      <c r="A357" s="274" t="s">
        <v>103</v>
      </c>
      <c r="B357" s="1043" t="s">
        <v>17</v>
      </c>
      <c r="C357" s="269" t="s">
        <v>294</v>
      </c>
      <c r="D357" s="269"/>
      <c r="E357" s="270"/>
      <c r="F357" s="271"/>
      <c r="G357" s="332">
        <f t="shared" ref="G357:G363" si="452">+H357+I357</f>
        <v>0</v>
      </c>
      <c r="H357" s="272"/>
      <c r="I357" s="272"/>
      <c r="J357" s="351" t="str">
        <f>IFERROR(G357/#REF!,"-")</f>
        <v>-</v>
      </c>
      <c r="K357" s="694">
        <f t="shared" ref="K357:K363" si="453">+L357+M357</f>
        <v>0</v>
      </c>
      <c r="L357" s="527">
        <f t="shared" ref="L357:L363" si="454">+H357+L244</f>
        <v>0</v>
      </c>
      <c r="M357" s="459">
        <f t="shared" ref="M357:M363" si="455">+I357+M244</f>
        <v>0</v>
      </c>
      <c r="N357" s="336" t="str">
        <f t="shared" ref="N357:N363" si="456">IFERROR(K357/E357,"-")</f>
        <v>-</v>
      </c>
      <c r="O357" s="346" t="str">
        <f t="shared" si="449"/>
        <v>-</v>
      </c>
    </row>
    <row r="358" spans="1:15" ht="23.4" x14ac:dyDescent="0.3">
      <c r="A358" s="274" t="s">
        <v>103</v>
      </c>
      <c r="B358" s="1044"/>
      <c r="C358" s="275" t="s">
        <v>344</v>
      </c>
      <c r="D358" s="275" t="s">
        <v>232</v>
      </c>
      <c r="E358" s="276">
        <v>1600000</v>
      </c>
      <c r="F358" s="277"/>
      <c r="G358" s="333">
        <f t="shared" si="452"/>
        <v>6120</v>
      </c>
      <c r="H358" s="278">
        <v>5980</v>
      </c>
      <c r="I358" s="278">
        <v>140</v>
      </c>
      <c r="J358" s="352" t="str">
        <f>IFERROR(G358/#REF!,"-")</f>
        <v>-</v>
      </c>
      <c r="K358" s="690">
        <f t="shared" si="453"/>
        <v>6120</v>
      </c>
      <c r="L358" s="276">
        <f t="shared" si="454"/>
        <v>5980</v>
      </c>
      <c r="M358" s="436">
        <f t="shared" si="455"/>
        <v>140</v>
      </c>
      <c r="N358" s="337">
        <f t="shared" si="456"/>
        <v>3.8249999999999998E-3</v>
      </c>
      <c r="O358" s="263">
        <f t="shared" si="449"/>
        <v>2.2875816993464051E-2</v>
      </c>
    </row>
    <row r="359" spans="1:15" ht="23.4" x14ac:dyDescent="0.3">
      <c r="A359" s="274" t="s">
        <v>103</v>
      </c>
      <c r="B359" s="1044"/>
      <c r="C359" s="275" t="s">
        <v>367</v>
      </c>
      <c r="D359" s="275" t="s">
        <v>187</v>
      </c>
      <c r="E359" s="276">
        <v>1000000</v>
      </c>
      <c r="F359" s="277"/>
      <c r="G359" s="333">
        <f t="shared" si="452"/>
        <v>122816</v>
      </c>
      <c r="H359" s="278">
        <v>122400</v>
      </c>
      <c r="I359" s="278">
        <v>416</v>
      </c>
      <c r="J359" s="352" t="str">
        <f>IFERROR(G359/#REF!,"-")</f>
        <v>-</v>
      </c>
      <c r="K359" s="690">
        <f t="shared" si="453"/>
        <v>252022</v>
      </c>
      <c r="L359" s="276">
        <f t="shared" si="454"/>
        <v>250920</v>
      </c>
      <c r="M359" s="436">
        <f t="shared" si="455"/>
        <v>1102</v>
      </c>
      <c r="N359" s="337">
        <f t="shared" si="456"/>
        <v>0.25202200000000002</v>
      </c>
      <c r="O359" s="263">
        <f t="shared" si="449"/>
        <v>4.3726341351151884E-3</v>
      </c>
    </row>
    <row r="360" spans="1:15" ht="23.4" x14ac:dyDescent="0.3">
      <c r="A360" s="274" t="s">
        <v>103</v>
      </c>
      <c r="B360" s="1044"/>
      <c r="C360" s="275" t="s">
        <v>293</v>
      </c>
      <c r="D360" s="275" t="s">
        <v>188</v>
      </c>
      <c r="E360" s="276"/>
      <c r="F360" s="277"/>
      <c r="G360" s="333">
        <f t="shared" si="452"/>
        <v>0</v>
      </c>
      <c r="H360" s="278"/>
      <c r="I360" s="278"/>
      <c r="J360" s="352" t="str">
        <f>IFERROR(G360/#REF!,"-")</f>
        <v>-</v>
      </c>
      <c r="K360" s="690">
        <f t="shared" si="453"/>
        <v>0</v>
      </c>
      <c r="L360" s="276">
        <f t="shared" si="454"/>
        <v>0</v>
      </c>
      <c r="M360" s="436">
        <f t="shared" si="455"/>
        <v>0</v>
      </c>
      <c r="N360" s="337" t="str">
        <f t="shared" si="456"/>
        <v>-</v>
      </c>
      <c r="O360" s="263" t="str">
        <f t="shared" si="449"/>
        <v>-</v>
      </c>
    </row>
    <row r="361" spans="1:15" ht="23.4" x14ac:dyDescent="0.3">
      <c r="A361" s="274" t="s">
        <v>103</v>
      </c>
      <c r="B361" s="1044"/>
      <c r="C361" s="275" t="s">
        <v>323</v>
      </c>
      <c r="D361" s="275" t="s">
        <v>318</v>
      </c>
      <c r="E361" s="276"/>
      <c r="F361" s="277"/>
      <c r="G361" s="333">
        <f t="shared" si="452"/>
        <v>0</v>
      </c>
      <c r="H361" s="278"/>
      <c r="I361" s="278"/>
      <c r="J361" s="352" t="str">
        <f>IFERROR(G361/#REF!,"-")</f>
        <v>-</v>
      </c>
      <c r="K361" s="690">
        <f t="shared" si="453"/>
        <v>0</v>
      </c>
      <c r="L361" s="276">
        <f t="shared" si="454"/>
        <v>0</v>
      </c>
      <c r="M361" s="436">
        <f t="shared" si="455"/>
        <v>0</v>
      </c>
      <c r="N361" s="337" t="str">
        <f t="shared" si="456"/>
        <v>-</v>
      </c>
      <c r="O361" s="263" t="str">
        <f t="shared" si="449"/>
        <v>-</v>
      </c>
    </row>
    <row r="362" spans="1:15" ht="23.4" x14ac:dyDescent="0.3">
      <c r="A362" s="274" t="s">
        <v>103</v>
      </c>
      <c r="B362" s="1044"/>
      <c r="C362" s="275" t="s">
        <v>352</v>
      </c>
      <c r="D362" s="275" t="s">
        <v>189</v>
      </c>
      <c r="E362" s="276"/>
      <c r="F362" s="277"/>
      <c r="G362" s="333">
        <f t="shared" si="452"/>
        <v>0</v>
      </c>
      <c r="H362" s="278"/>
      <c r="I362" s="278"/>
      <c r="J362" s="352" t="str">
        <f>IFERROR(G362/#REF!,"-")</f>
        <v>-</v>
      </c>
      <c r="K362" s="690">
        <f t="shared" si="453"/>
        <v>0</v>
      </c>
      <c r="L362" s="276">
        <f t="shared" si="454"/>
        <v>0</v>
      </c>
      <c r="M362" s="436">
        <f t="shared" si="455"/>
        <v>0</v>
      </c>
      <c r="N362" s="337" t="str">
        <f t="shared" si="456"/>
        <v>-</v>
      </c>
      <c r="O362" s="263" t="str">
        <f t="shared" si="449"/>
        <v>-</v>
      </c>
    </row>
    <row r="363" spans="1:15" ht="24" thickBot="1" x14ac:dyDescent="0.35">
      <c r="A363" s="274" t="s">
        <v>103</v>
      </c>
      <c r="B363" s="1045"/>
      <c r="C363" s="279" t="s">
        <v>341</v>
      </c>
      <c r="D363" s="279" t="s">
        <v>232</v>
      </c>
      <c r="E363" s="280"/>
      <c r="F363" s="281"/>
      <c r="G363" s="334">
        <f t="shared" si="452"/>
        <v>0</v>
      </c>
      <c r="H363" s="282"/>
      <c r="I363" s="282"/>
      <c r="J363" s="353" t="str">
        <f>IFERROR(G363/#REF!,"-")</f>
        <v>-</v>
      </c>
      <c r="K363" s="691">
        <f t="shared" si="453"/>
        <v>0</v>
      </c>
      <c r="L363" s="530">
        <f t="shared" si="454"/>
        <v>0</v>
      </c>
      <c r="M363" s="462">
        <f t="shared" si="455"/>
        <v>0</v>
      </c>
      <c r="N363" s="338" t="str">
        <f t="shared" si="456"/>
        <v>-</v>
      </c>
      <c r="O363" s="347" t="str">
        <f t="shared" si="449"/>
        <v>-</v>
      </c>
    </row>
    <row r="364" spans="1:15" ht="24" thickBot="1" x14ac:dyDescent="0.35">
      <c r="A364" s="274" t="s">
        <v>103</v>
      </c>
      <c r="B364" s="1025" t="s">
        <v>45</v>
      </c>
      <c r="C364" s="1026"/>
      <c r="D364" s="1027"/>
      <c r="E364" s="320">
        <f>SUM(E357:E363)</f>
        <v>2600000</v>
      </c>
      <c r="F364" s="285">
        <v>100000</v>
      </c>
      <c r="G364" s="320">
        <f>SUM(G357:G363)</f>
        <v>128936</v>
      </c>
      <c r="H364" s="321">
        <f t="shared" ref="H364:I364" si="457">SUM(H357:H363)</f>
        <v>128380</v>
      </c>
      <c r="I364" s="321">
        <f t="shared" si="457"/>
        <v>556</v>
      </c>
      <c r="J364" s="345">
        <f>+G364/F364</f>
        <v>1.2893600000000001</v>
      </c>
      <c r="K364" s="320">
        <f>SUM(K357:K363)</f>
        <v>258142</v>
      </c>
      <c r="L364" s="519">
        <f>SUM(L357:L363)</f>
        <v>256900</v>
      </c>
      <c r="M364" s="689">
        <f t="shared" ref="M364" si="458">SUM(M357:M363)</f>
        <v>1242</v>
      </c>
      <c r="N364" s="339">
        <f>IFERROR(K364/E364,"-")</f>
        <v>9.9285384615384609E-2</v>
      </c>
      <c r="O364" s="345">
        <f t="shared" si="449"/>
        <v>4.8113054055519827E-3</v>
      </c>
    </row>
    <row r="365" spans="1:15" ht="23.4" x14ac:dyDescent="0.3">
      <c r="A365" s="274" t="s">
        <v>103</v>
      </c>
      <c r="B365" s="1043" t="s">
        <v>18</v>
      </c>
      <c r="C365" s="269" t="s">
        <v>312</v>
      </c>
      <c r="D365" s="269" t="s">
        <v>92</v>
      </c>
      <c r="E365" s="270"/>
      <c r="F365" s="271"/>
      <c r="G365" s="332">
        <f t="shared" ref="G365:G371" si="459">+H365+I365</f>
        <v>0</v>
      </c>
      <c r="H365" s="272"/>
      <c r="I365" s="272"/>
      <c r="J365" s="351" t="str">
        <f>IFERROR(G365/#REF!,"-")</f>
        <v>-</v>
      </c>
      <c r="K365" s="332">
        <f t="shared" ref="K365:K371" si="460">+L365+M365</f>
        <v>0</v>
      </c>
      <c r="L365" s="272">
        <f t="shared" ref="L365:L371" si="461">+H365+L252</f>
        <v>0</v>
      </c>
      <c r="M365" s="273">
        <f t="shared" ref="M365:M371" si="462">+I365+M252</f>
        <v>0</v>
      </c>
      <c r="N365" s="336" t="str">
        <f t="shared" ref="N365:N372" si="463">IFERROR(K365/E365,"-")</f>
        <v>-</v>
      </c>
      <c r="O365" s="346" t="str">
        <f t="shared" si="449"/>
        <v>-</v>
      </c>
    </row>
    <row r="366" spans="1:15" ht="23.4" x14ac:dyDescent="0.3">
      <c r="A366" s="274" t="s">
        <v>103</v>
      </c>
      <c r="B366" s="1044"/>
      <c r="C366" s="275" t="s">
        <v>233</v>
      </c>
      <c r="D366" s="275" t="s">
        <v>234</v>
      </c>
      <c r="E366" s="276"/>
      <c r="F366" s="277"/>
      <c r="G366" s="333">
        <f t="shared" si="459"/>
        <v>0</v>
      </c>
      <c r="H366" s="278"/>
      <c r="I366" s="278"/>
      <c r="J366" s="352" t="str">
        <f>IFERROR(G366/#REF!,"-")</f>
        <v>-</v>
      </c>
      <c r="K366" s="333">
        <f t="shared" si="460"/>
        <v>0</v>
      </c>
      <c r="L366" s="272">
        <f t="shared" si="461"/>
        <v>0</v>
      </c>
      <c r="M366" s="273">
        <f t="shared" si="462"/>
        <v>0</v>
      </c>
      <c r="N366" s="337" t="str">
        <f t="shared" si="463"/>
        <v>-</v>
      </c>
      <c r="O366" s="263" t="str">
        <f t="shared" si="449"/>
        <v>-</v>
      </c>
    </row>
    <row r="367" spans="1:15" ht="23.4" x14ac:dyDescent="0.3">
      <c r="A367" s="274" t="s">
        <v>103</v>
      </c>
      <c r="B367" s="1044"/>
      <c r="C367" s="275" t="s">
        <v>115</v>
      </c>
      <c r="D367" s="275"/>
      <c r="E367" s="276"/>
      <c r="F367" s="277"/>
      <c r="G367" s="333">
        <f t="shared" si="459"/>
        <v>0</v>
      </c>
      <c r="H367" s="278"/>
      <c r="I367" s="278"/>
      <c r="J367" s="352" t="str">
        <f>IFERROR(G367/#REF!,"-")</f>
        <v>-</v>
      </c>
      <c r="K367" s="333">
        <f t="shared" si="460"/>
        <v>0</v>
      </c>
      <c r="L367" s="272">
        <f t="shared" si="461"/>
        <v>0</v>
      </c>
      <c r="M367" s="273">
        <f t="shared" si="462"/>
        <v>0</v>
      </c>
      <c r="N367" s="337" t="str">
        <f t="shared" si="463"/>
        <v>-</v>
      </c>
      <c r="O367" s="263" t="str">
        <f t="shared" si="449"/>
        <v>-</v>
      </c>
    </row>
    <row r="368" spans="1:15" ht="23.4" x14ac:dyDescent="0.3">
      <c r="A368" s="274" t="s">
        <v>103</v>
      </c>
      <c r="B368" s="1044"/>
      <c r="C368" s="275" t="s">
        <v>122</v>
      </c>
      <c r="D368" s="275"/>
      <c r="E368" s="276"/>
      <c r="F368" s="277"/>
      <c r="G368" s="333">
        <f t="shared" si="459"/>
        <v>0</v>
      </c>
      <c r="H368" s="278"/>
      <c r="I368" s="278"/>
      <c r="J368" s="352" t="str">
        <f>IFERROR(G368/#REF!,"-")</f>
        <v>-</v>
      </c>
      <c r="K368" s="333">
        <f t="shared" si="460"/>
        <v>0</v>
      </c>
      <c r="L368" s="272">
        <f t="shared" si="461"/>
        <v>0</v>
      </c>
      <c r="M368" s="273">
        <f t="shared" si="462"/>
        <v>0</v>
      </c>
      <c r="N368" s="337" t="str">
        <f t="shared" si="463"/>
        <v>-</v>
      </c>
      <c r="O368" s="263" t="str">
        <f t="shared" si="449"/>
        <v>-</v>
      </c>
    </row>
    <row r="369" spans="1:15" ht="23.4" x14ac:dyDescent="0.3">
      <c r="A369" s="274" t="s">
        <v>103</v>
      </c>
      <c r="B369" s="1044"/>
      <c r="C369" s="275" t="s">
        <v>176</v>
      </c>
      <c r="D369" s="275" t="s">
        <v>177</v>
      </c>
      <c r="E369" s="276"/>
      <c r="F369" s="277"/>
      <c r="G369" s="333">
        <f t="shared" si="459"/>
        <v>0</v>
      </c>
      <c r="H369" s="278"/>
      <c r="I369" s="278"/>
      <c r="J369" s="352" t="str">
        <f>IFERROR(G369/#REF!,"-")</f>
        <v>-</v>
      </c>
      <c r="K369" s="333">
        <f t="shared" si="460"/>
        <v>0</v>
      </c>
      <c r="L369" s="272">
        <f t="shared" si="461"/>
        <v>0</v>
      </c>
      <c r="M369" s="273">
        <f t="shared" si="462"/>
        <v>0</v>
      </c>
      <c r="N369" s="337" t="str">
        <f t="shared" si="463"/>
        <v>-</v>
      </c>
      <c r="O369" s="263" t="str">
        <f t="shared" si="449"/>
        <v>-</v>
      </c>
    </row>
    <row r="370" spans="1:15" ht="23.4" x14ac:dyDescent="0.3">
      <c r="A370" s="274" t="s">
        <v>103</v>
      </c>
      <c r="B370" s="1044"/>
      <c r="C370" s="275" t="s">
        <v>179</v>
      </c>
      <c r="D370" s="275" t="s">
        <v>178</v>
      </c>
      <c r="E370" s="276"/>
      <c r="F370" s="277"/>
      <c r="G370" s="333">
        <f t="shared" si="459"/>
        <v>0</v>
      </c>
      <c r="H370" s="278"/>
      <c r="I370" s="278"/>
      <c r="J370" s="352" t="str">
        <f>IFERROR(G370/#REF!,"-")</f>
        <v>-</v>
      </c>
      <c r="K370" s="333">
        <f t="shared" si="460"/>
        <v>0</v>
      </c>
      <c r="L370" s="272">
        <f t="shared" si="461"/>
        <v>0</v>
      </c>
      <c r="M370" s="273">
        <f t="shared" si="462"/>
        <v>0</v>
      </c>
      <c r="N370" s="337" t="str">
        <f t="shared" si="463"/>
        <v>-</v>
      </c>
      <c r="O370" s="263" t="str">
        <f t="shared" si="449"/>
        <v>-</v>
      </c>
    </row>
    <row r="371" spans="1:15" ht="24" thickBot="1" x14ac:dyDescent="0.35">
      <c r="A371" s="274" t="s">
        <v>103</v>
      </c>
      <c r="B371" s="1045"/>
      <c r="C371" s="286" t="s">
        <v>180</v>
      </c>
      <c r="D371" s="286" t="s">
        <v>107</v>
      </c>
      <c r="E371" s="280"/>
      <c r="F371" s="281"/>
      <c r="G371" s="334">
        <f t="shared" si="459"/>
        <v>0</v>
      </c>
      <c r="H371" s="282"/>
      <c r="I371" s="282"/>
      <c r="J371" s="353" t="str">
        <f>IFERROR(G371/#REF!,"-")</f>
        <v>-</v>
      </c>
      <c r="K371" s="334">
        <f t="shared" si="460"/>
        <v>0</v>
      </c>
      <c r="L371" s="272">
        <f t="shared" si="461"/>
        <v>0</v>
      </c>
      <c r="M371" s="273">
        <f t="shared" si="462"/>
        <v>0</v>
      </c>
      <c r="N371" s="338" t="str">
        <f t="shared" si="463"/>
        <v>-</v>
      </c>
      <c r="O371" s="347" t="str">
        <f t="shared" si="449"/>
        <v>-</v>
      </c>
    </row>
    <row r="372" spans="1:15" ht="24" thickBot="1" x14ac:dyDescent="0.35">
      <c r="A372" s="274" t="s">
        <v>103</v>
      </c>
      <c r="B372" s="1025" t="s">
        <v>29</v>
      </c>
      <c r="C372" s="1026"/>
      <c r="D372" s="1027"/>
      <c r="E372" s="320">
        <f t="shared" ref="E372" si="464">SUM(E365:E371)</f>
        <v>0</v>
      </c>
      <c r="F372" s="285">
        <v>80000</v>
      </c>
      <c r="G372" s="320">
        <f>SUM(G365:G371)</f>
        <v>0</v>
      </c>
      <c r="H372" s="321">
        <f t="shared" ref="H372:I372" si="465">SUM(H365:H371)</f>
        <v>0</v>
      </c>
      <c r="I372" s="321">
        <f t="shared" si="465"/>
        <v>0</v>
      </c>
      <c r="J372" s="345">
        <f>+G372/F372</f>
        <v>0</v>
      </c>
      <c r="K372" s="320">
        <f t="shared" ref="K372" si="466">SUM(K365:K371)</f>
        <v>0</v>
      </c>
      <c r="L372" s="321">
        <f>SUM(L365:L371)</f>
        <v>0</v>
      </c>
      <c r="M372" s="322">
        <f t="shared" ref="M372" si="467">SUM(M365:M371)</f>
        <v>0</v>
      </c>
      <c r="N372" s="339" t="str">
        <f t="shared" si="463"/>
        <v>-</v>
      </c>
      <c r="O372" s="345" t="str">
        <f t="shared" si="449"/>
        <v>-</v>
      </c>
    </row>
    <row r="373" spans="1:15" ht="24" thickBot="1" x14ac:dyDescent="0.35">
      <c r="A373" s="252" t="s">
        <v>103</v>
      </c>
      <c r="B373" s="1085" t="s">
        <v>19</v>
      </c>
      <c r="C373" s="641" t="s">
        <v>235</v>
      </c>
      <c r="D373" s="669" t="s">
        <v>177</v>
      </c>
      <c r="E373" s="674"/>
      <c r="F373" s="671">
        <v>220000</v>
      </c>
      <c r="G373" s="644">
        <f t="shared" ref="G373:G375" si="468">+H373+I373</f>
        <v>0</v>
      </c>
      <c r="H373" s="458"/>
      <c r="I373" s="458"/>
      <c r="J373" s="531" t="str">
        <f>IFERROR(G373/#REF!,"-")</f>
        <v>-</v>
      </c>
      <c r="K373" s="457">
        <f>+L373+M373</f>
        <v>0</v>
      </c>
      <c r="L373" s="458">
        <f t="shared" ref="L373:L375" si="469">+H373+L260</f>
        <v>0</v>
      </c>
      <c r="M373" s="459">
        <f t="shared" ref="M373:M375" si="470">+I373+M260</f>
        <v>0</v>
      </c>
      <c r="N373" s="646" t="str">
        <f>IFERROR(K373/E373,"-")</f>
        <v>-</v>
      </c>
      <c r="O373" s="647" t="str">
        <f t="shared" si="449"/>
        <v>-</v>
      </c>
    </row>
    <row r="374" spans="1:15" ht="24" thickBot="1" x14ac:dyDescent="0.35">
      <c r="A374" s="252"/>
      <c r="B374" s="1086"/>
      <c r="C374" s="296" t="s">
        <v>377</v>
      </c>
      <c r="D374" s="645" t="s">
        <v>423</v>
      </c>
      <c r="E374" s="675">
        <v>1000000</v>
      </c>
      <c r="F374" s="672"/>
      <c r="G374" s="640">
        <f t="shared" si="468"/>
        <v>169298</v>
      </c>
      <c r="H374" s="272">
        <v>168960</v>
      </c>
      <c r="I374" s="272">
        <v>338</v>
      </c>
      <c r="J374" s="351" t="str">
        <f>IFERROR(G374/#REF!,"-")</f>
        <v>-</v>
      </c>
      <c r="K374" s="335">
        <f>+L374+M374</f>
        <v>576188</v>
      </c>
      <c r="L374" s="458">
        <f t="shared" si="469"/>
        <v>574464</v>
      </c>
      <c r="M374" s="459">
        <f t="shared" si="470"/>
        <v>1724</v>
      </c>
      <c r="N374" s="340">
        <f t="shared" ref="N374:N375" si="471">IFERROR(K374/E374,"-")</f>
        <v>0.57618800000000003</v>
      </c>
      <c r="O374" s="639">
        <f>IFERROR(M374/K374,"-")</f>
        <v>2.9920789742236909E-3</v>
      </c>
    </row>
    <row r="375" spans="1:15" ht="24" thickBot="1" x14ac:dyDescent="0.35">
      <c r="A375" s="252"/>
      <c r="B375" s="1087"/>
      <c r="C375" s="635" t="s">
        <v>342</v>
      </c>
      <c r="D375" s="670"/>
      <c r="E375" s="676">
        <v>150000</v>
      </c>
      <c r="F375" s="673"/>
      <c r="G375" s="589">
        <f t="shared" si="468"/>
        <v>0</v>
      </c>
      <c r="H375" s="282"/>
      <c r="I375" s="282"/>
      <c r="J375" s="353"/>
      <c r="K375" s="460">
        <f>+L375+M375</f>
        <v>0</v>
      </c>
      <c r="L375" s="458">
        <f t="shared" si="469"/>
        <v>0</v>
      </c>
      <c r="M375" s="459">
        <f t="shared" si="470"/>
        <v>0</v>
      </c>
      <c r="N375" s="338">
        <f t="shared" si="471"/>
        <v>0</v>
      </c>
      <c r="O375" s="636" t="str">
        <f t="shared" ref="O375:O393" si="472">IFERROR(M375/K375,"-")</f>
        <v>-</v>
      </c>
    </row>
    <row r="376" spans="1:15" ht="24" thickBot="1" x14ac:dyDescent="0.35">
      <c r="A376" s="274" t="s">
        <v>103</v>
      </c>
      <c r="B376" s="1040" t="s">
        <v>46</v>
      </c>
      <c r="C376" s="1026"/>
      <c r="D376" s="1027"/>
      <c r="E376" s="320">
        <f>SUM(E373:E375)</f>
        <v>1150000</v>
      </c>
      <c r="F376" s="323">
        <f t="shared" ref="F376" si="473">SUM(F373)</f>
        <v>220000</v>
      </c>
      <c r="G376" s="320">
        <f>SUM(G373)</f>
        <v>0</v>
      </c>
      <c r="H376" s="321">
        <f>SUM(H373:H375)</f>
        <v>168960</v>
      </c>
      <c r="I376" s="321">
        <f>SUM(I373:I375)</f>
        <v>338</v>
      </c>
      <c r="J376" s="345">
        <f>+G376/F376</f>
        <v>0</v>
      </c>
      <c r="K376" s="637">
        <f>SUM(K373:K374)</f>
        <v>576188</v>
      </c>
      <c r="L376" s="321">
        <f>SUM(L373:L374)</f>
        <v>574464</v>
      </c>
      <c r="M376" s="322">
        <f>SUM(M373:M374)</f>
        <v>1724</v>
      </c>
      <c r="N376" s="339">
        <f>IFERROR(K376/E376,"-")</f>
        <v>0.50103304347826083</v>
      </c>
      <c r="O376" s="345">
        <f t="shared" si="472"/>
        <v>2.9920789742236909E-3</v>
      </c>
    </row>
    <row r="377" spans="1:15" ht="23.4" x14ac:dyDescent="0.3">
      <c r="A377" s="274" t="s">
        <v>103</v>
      </c>
      <c r="B377" s="1043" t="s">
        <v>20</v>
      </c>
      <c r="C377" s="291" t="s">
        <v>317</v>
      </c>
      <c r="D377" s="291" t="s">
        <v>289</v>
      </c>
      <c r="E377" s="270"/>
      <c r="F377" s="271"/>
      <c r="G377" s="332">
        <f t="shared" ref="G377:G379" si="474">+H377+I377</f>
        <v>0</v>
      </c>
      <c r="H377" s="272"/>
      <c r="I377" s="272"/>
      <c r="J377" s="351" t="str">
        <f>IFERROR(G377/#REF!,"-")</f>
        <v>-</v>
      </c>
      <c r="K377" s="332">
        <f t="shared" ref="K377:K379" si="475">+L377+M377</f>
        <v>0</v>
      </c>
      <c r="L377" s="272">
        <f t="shared" ref="L377:L379" si="476">+H377+L264</f>
        <v>0</v>
      </c>
      <c r="M377" s="273">
        <f t="shared" ref="M377:M379" si="477">+I377+M264</f>
        <v>0</v>
      </c>
      <c r="N377" s="336" t="str">
        <f t="shared" ref="N377:N380" si="478">IFERROR(K377/E377,"-")</f>
        <v>-</v>
      </c>
      <c r="O377" s="346" t="str">
        <f t="shared" si="472"/>
        <v>-</v>
      </c>
    </row>
    <row r="378" spans="1:15" ht="23.4" x14ac:dyDescent="0.3">
      <c r="A378" s="274" t="s">
        <v>103</v>
      </c>
      <c r="B378" s="1044"/>
      <c r="C378" s="292" t="s">
        <v>114</v>
      </c>
      <c r="D378" s="292"/>
      <c r="E378" s="276"/>
      <c r="F378" s="277"/>
      <c r="G378" s="333">
        <f t="shared" si="474"/>
        <v>0</v>
      </c>
      <c r="H378" s="278"/>
      <c r="I378" s="278"/>
      <c r="J378" s="352" t="str">
        <f>IFERROR(G378/#REF!,"-")</f>
        <v>-</v>
      </c>
      <c r="K378" s="333">
        <f t="shared" si="475"/>
        <v>0</v>
      </c>
      <c r="L378" s="272">
        <f t="shared" si="476"/>
        <v>0</v>
      </c>
      <c r="M378" s="273">
        <f t="shared" si="477"/>
        <v>0</v>
      </c>
      <c r="N378" s="337" t="str">
        <f t="shared" si="478"/>
        <v>-</v>
      </c>
      <c r="O378" s="263" t="str">
        <f t="shared" si="472"/>
        <v>-</v>
      </c>
    </row>
    <row r="379" spans="1:15" ht="24" thickBot="1" x14ac:dyDescent="0.35">
      <c r="A379" s="274" t="s">
        <v>103</v>
      </c>
      <c r="B379" s="1045"/>
      <c r="C379" s="293" t="s">
        <v>120</v>
      </c>
      <c r="D379" s="293"/>
      <c r="E379" s="280"/>
      <c r="F379" s="281"/>
      <c r="G379" s="334">
        <f t="shared" si="474"/>
        <v>0</v>
      </c>
      <c r="H379" s="282"/>
      <c r="I379" s="282"/>
      <c r="J379" s="353" t="str">
        <f>IFERROR(G379/#REF!,"-")</f>
        <v>-</v>
      </c>
      <c r="K379" s="334">
        <f t="shared" si="475"/>
        <v>0</v>
      </c>
      <c r="L379" s="272">
        <f t="shared" si="476"/>
        <v>0</v>
      </c>
      <c r="M379" s="273">
        <f t="shared" si="477"/>
        <v>0</v>
      </c>
      <c r="N379" s="338" t="str">
        <f t="shared" si="478"/>
        <v>-</v>
      </c>
      <c r="O379" s="347" t="str">
        <f t="shared" si="472"/>
        <v>-</v>
      </c>
    </row>
    <row r="380" spans="1:15" ht="24" thickBot="1" x14ac:dyDescent="0.35">
      <c r="A380" s="274" t="s">
        <v>103</v>
      </c>
      <c r="B380" s="1026" t="s">
        <v>47</v>
      </c>
      <c r="C380" s="1026"/>
      <c r="D380" s="1046"/>
      <c r="E380" s="320">
        <f t="shared" ref="E380" si="479">SUM(E377:E379)</f>
        <v>0</v>
      </c>
      <c r="F380" s="285">
        <v>50000</v>
      </c>
      <c r="G380" s="320">
        <f>SUM(G377:G379)</f>
        <v>0</v>
      </c>
      <c r="H380" s="321">
        <f t="shared" ref="H380:I380" si="480">SUM(H377:H379)</f>
        <v>0</v>
      </c>
      <c r="I380" s="321">
        <f t="shared" si="480"/>
        <v>0</v>
      </c>
      <c r="J380" s="345">
        <f>+G380/F380</f>
        <v>0</v>
      </c>
      <c r="K380" s="320">
        <f t="shared" ref="K380:M380" si="481">SUM(K377:K379)</f>
        <v>0</v>
      </c>
      <c r="L380" s="321">
        <f t="shared" si="481"/>
        <v>0</v>
      </c>
      <c r="M380" s="322">
        <f t="shared" si="481"/>
        <v>0</v>
      </c>
      <c r="N380" s="339" t="str">
        <f t="shared" si="478"/>
        <v>-</v>
      </c>
      <c r="O380" s="345" t="str">
        <f t="shared" si="472"/>
        <v>-</v>
      </c>
    </row>
    <row r="381" spans="1:15" ht="24" thickBot="1" x14ac:dyDescent="0.35">
      <c r="A381" s="274" t="s">
        <v>103</v>
      </c>
      <c r="B381" s="1047" t="s">
        <v>21</v>
      </c>
      <c r="C381" s="1048"/>
      <c r="D381" s="1049"/>
      <c r="E381" s="326">
        <f>+E356+E364+E372+E376+E380</f>
        <v>3770000</v>
      </c>
      <c r="F381" s="327">
        <f>+F356+F364+F372+F376+F380</f>
        <v>465000</v>
      </c>
      <c r="G381" s="326">
        <f>+G356+G364+G372+G376+G380</f>
        <v>128936</v>
      </c>
      <c r="H381" s="324">
        <f>+H356+H364+H372+H376+H380</f>
        <v>297340</v>
      </c>
      <c r="I381" s="324">
        <f>+I356+I364+I372+I376+I380</f>
        <v>894</v>
      </c>
      <c r="J381" s="349">
        <f>+G381/F381</f>
        <v>0.27728172043010751</v>
      </c>
      <c r="K381" s="326">
        <f>+K356+K364+K372+K376+K380</f>
        <v>837850</v>
      </c>
      <c r="L381" s="324">
        <f>+L356+L364+L372+L376+L380</f>
        <v>834884</v>
      </c>
      <c r="M381" s="325">
        <f>+M356+M364+M372+M376+M380</f>
        <v>2966</v>
      </c>
      <c r="N381" s="341">
        <f>IFERROR(K381/E381,"-")</f>
        <v>0.22224137931034482</v>
      </c>
      <c r="O381" s="349">
        <f t="shared" si="472"/>
        <v>3.5400131288416781E-3</v>
      </c>
    </row>
    <row r="382" spans="1:15" ht="23.4" x14ac:dyDescent="0.3">
      <c r="A382" s="274" t="s">
        <v>103</v>
      </c>
      <c r="B382" s="1043" t="s">
        <v>400</v>
      </c>
      <c r="C382" s="269" t="s">
        <v>125</v>
      </c>
      <c r="D382" s="269"/>
      <c r="E382" s="270"/>
      <c r="F382" s="271"/>
      <c r="G382" s="332">
        <f t="shared" ref="G382:G385" si="482">+H382+I382</f>
        <v>0</v>
      </c>
      <c r="H382" s="272"/>
      <c r="I382" s="272"/>
      <c r="J382" s="351" t="str">
        <f>IFERROR(G382/#REF!,"-")</f>
        <v>-</v>
      </c>
      <c r="K382" s="332">
        <f t="shared" ref="K382:K385" si="483">+L382+M382</f>
        <v>0</v>
      </c>
      <c r="L382" s="272">
        <f t="shared" ref="L382:L385" si="484">+H382+L269</f>
        <v>0</v>
      </c>
      <c r="M382" s="273">
        <f t="shared" ref="M382:M385" si="485">+I382+M269</f>
        <v>0</v>
      </c>
      <c r="N382" s="336" t="str">
        <f t="shared" ref="N382:N393" si="486">IFERROR(K382/E382,"-")</f>
        <v>-</v>
      </c>
      <c r="O382" s="346" t="str">
        <f t="shared" si="472"/>
        <v>-</v>
      </c>
    </row>
    <row r="383" spans="1:15" ht="23.4" x14ac:dyDescent="0.3">
      <c r="A383" s="274" t="s">
        <v>103</v>
      </c>
      <c r="B383" s="1044"/>
      <c r="C383" s="295" t="s">
        <v>263</v>
      </c>
      <c r="D383" s="295" t="s">
        <v>181</v>
      </c>
      <c r="E383" s="276"/>
      <c r="F383" s="277"/>
      <c r="G383" s="333">
        <f t="shared" si="482"/>
        <v>0</v>
      </c>
      <c r="H383" s="278"/>
      <c r="I383" s="278"/>
      <c r="J383" s="352" t="str">
        <f>IFERROR(G383/#REF!,"-")</f>
        <v>-</v>
      </c>
      <c r="K383" s="333">
        <f t="shared" si="483"/>
        <v>0</v>
      </c>
      <c r="L383" s="272">
        <f t="shared" si="484"/>
        <v>0</v>
      </c>
      <c r="M383" s="273">
        <f t="shared" si="485"/>
        <v>0</v>
      </c>
      <c r="N383" s="337" t="str">
        <f t="shared" si="486"/>
        <v>-</v>
      </c>
      <c r="O383" s="263" t="str">
        <f t="shared" si="472"/>
        <v>-</v>
      </c>
    </row>
    <row r="384" spans="1:15" ht="23.4" x14ac:dyDescent="0.3">
      <c r="A384" s="274" t="s">
        <v>103</v>
      </c>
      <c r="B384" s="1044"/>
      <c r="C384" s="295" t="s">
        <v>362</v>
      </c>
      <c r="D384" s="295" t="s">
        <v>181</v>
      </c>
      <c r="E384" s="276"/>
      <c r="F384" s="277"/>
      <c r="G384" s="333">
        <f t="shared" si="482"/>
        <v>0</v>
      </c>
      <c r="H384" s="278"/>
      <c r="I384" s="278"/>
      <c r="J384" s="352" t="str">
        <f>IFERROR(G384/#REF!,"-")</f>
        <v>-</v>
      </c>
      <c r="K384" s="333">
        <f t="shared" si="483"/>
        <v>0</v>
      </c>
      <c r="L384" s="272">
        <f t="shared" si="484"/>
        <v>0</v>
      </c>
      <c r="M384" s="273">
        <f t="shared" si="485"/>
        <v>0</v>
      </c>
      <c r="N384" s="337" t="str">
        <f t="shared" si="486"/>
        <v>-</v>
      </c>
      <c r="O384" s="263" t="str">
        <f t="shared" si="472"/>
        <v>-</v>
      </c>
    </row>
    <row r="385" spans="1:15" ht="24" thickBot="1" x14ac:dyDescent="0.35">
      <c r="A385" s="274" t="s">
        <v>103</v>
      </c>
      <c r="B385" s="1045"/>
      <c r="C385" s="279" t="s">
        <v>182</v>
      </c>
      <c r="D385" s="279" t="s">
        <v>93</v>
      </c>
      <c r="E385" s="280"/>
      <c r="F385" s="281"/>
      <c r="G385" s="334">
        <f t="shared" si="482"/>
        <v>0</v>
      </c>
      <c r="H385" s="282"/>
      <c r="I385" s="282"/>
      <c r="J385" s="353" t="str">
        <f>IFERROR(G385/#REF!,"-")</f>
        <v>-</v>
      </c>
      <c r="K385" s="334">
        <f t="shared" si="483"/>
        <v>0</v>
      </c>
      <c r="L385" s="272">
        <f t="shared" si="484"/>
        <v>0</v>
      </c>
      <c r="M385" s="273">
        <f t="shared" si="485"/>
        <v>0</v>
      </c>
      <c r="N385" s="338" t="str">
        <f t="shared" si="486"/>
        <v>-</v>
      </c>
      <c r="O385" s="347" t="str">
        <f t="shared" si="472"/>
        <v>-</v>
      </c>
    </row>
    <row r="386" spans="1:15" ht="24" thickBot="1" x14ac:dyDescent="0.35">
      <c r="A386" s="274" t="s">
        <v>103</v>
      </c>
      <c r="B386" s="1025" t="s">
        <v>48</v>
      </c>
      <c r="C386" s="1026"/>
      <c r="D386" s="1027"/>
      <c r="E386" s="284">
        <f>SUM(E382:E385)</f>
        <v>0</v>
      </c>
      <c r="F386" s="285">
        <v>80000</v>
      </c>
      <c r="G386" s="320">
        <f>SUM(G382:G385)</f>
        <v>0</v>
      </c>
      <c r="H386" s="321">
        <f t="shared" ref="H386:I386" si="487">SUM(H382:H385)</f>
        <v>0</v>
      </c>
      <c r="I386" s="321">
        <f t="shared" si="487"/>
        <v>0</v>
      </c>
      <c r="J386" s="345">
        <f>+G386/F386</f>
        <v>0</v>
      </c>
      <c r="K386" s="320">
        <f t="shared" ref="K386" si="488">SUM(K382:K385)</f>
        <v>0</v>
      </c>
      <c r="L386" s="321">
        <f>SUM(L382:L385)</f>
        <v>0</v>
      </c>
      <c r="M386" s="322">
        <f t="shared" ref="M386" si="489">SUM(M382:M385)</f>
        <v>0</v>
      </c>
      <c r="N386" s="339" t="str">
        <f t="shared" si="486"/>
        <v>-</v>
      </c>
      <c r="O386" s="345" t="str">
        <f t="shared" si="472"/>
        <v>-</v>
      </c>
    </row>
    <row r="387" spans="1:15" ht="23.4" x14ac:dyDescent="0.3">
      <c r="A387" s="274" t="s">
        <v>103</v>
      </c>
      <c r="B387" s="1043" t="s">
        <v>23</v>
      </c>
      <c r="C387" s="275" t="s">
        <v>500</v>
      </c>
      <c r="D387" s="296" t="s">
        <v>238</v>
      </c>
      <c r="E387" s="270">
        <v>10000</v>
      </c>
      <c r="F387" s="271"/>
      <c r="G387" s="332">
        <f t="shared" ref="G387:G395" si="490">+H387+I387</f>
        <v>0</v>
      </c>
      <c r="H387" s="272"/>
      <c r="I387" s="272"/>
      <c r="J387" s="351" t="str">
        <f>IFERROR(G387/#REF!,"-")</f>
        <v>-</v>
      </c>
      <c r="K387" s="332">
        <f t="shared" ref="K387:K395" si="491">+L387+M387</f>
        <v>0</v>
      </c>
      <c r="L387" s="272">
        <f t="shared" ref="L387:L395" si="492">+H387+L274</f>
        <v>0</v>
      </c>
      <c r="M387" s="273">
        <f t="shared" ref="M387:M395" si="493">+I387+M274</f>
        <v>0</v>
      </c>
      <c r="N387" s="336">
        <f t="shared" si="486"/>
        <v>0</v>
      </c>
      <c r="O387" s="346" t="str">
        <f t="shared" si="472"/>
        <v>-</v>
      </c>
    </row>
    <row r="388" spans="1:15" ht="23.4" x14ac:dyDescent="0.3">
      <c r="A388" s="274" t="s">
        <v>103</v>
      </c>
      <c r="B388" s="1044"/>
      <c r="C388" s="275" t="s">
        <v>24</v>
      </c>
      <c r="D388" s="275" t="s">
        <v>238</v>
      </c>
      <c r="E388" s="276"/>
      <c r="F388" s="277"/>
      <c r="G388" s="333">
        <f t="shared" si="490"/>
        <v>0</v>
      </c>
      <c r="H388" s="278"/>
      <c r="I388" s="278"/>
      <c r="J388" s="352" t="str">
        <f>IFERROR(G388/#REF!,"-")</f>
        <v>-</v>
      </c>
      <c r="K388" s="333">
        <f t="shared" si="491"/>
        <v>0</v>
      </c>
      <c r="L388" s="272">
        <f t="shared" si="492"/>
        <v>0</v>
      </c>
      <c r="M388" s="273">
        <f t="shared" si="493"/>
        <v>0</v>
      </c>
      <c r="N388" s="337" t="str">
        <f t="shared" si="486"/>
        <v>-</v>
      </c>
      <c r="O388" s="263" t="str">
        <f t="shared" si="472"/>
        <v>-</v>
      </c>
    </row>
    <row r="389" spans="1:15" ht="23.4" x14ac:dyDescent="0.3">
      <c r="A389" s="274" t="s">
        <v>103</v>
      </c>
      <c r="B389" s="1044"/>
      <c r="C389" s="275" t="s">
        <v>236</v>
      </c>
      <c r="D389" s="275" t="s">
        <v>238</v>
      </c>
      <c r="E389" s="276"/>
      <c r="F389" s="277"/>
      <c r="G389" s="333">
        <f t="shared" si="490"/>
        <v>0</v>
      </c>
      <c r="H389" s="278"/>
      <c r="I389" s="278"/>
      <c r="J389" s="352" t="str">
        <f>IFERROR(G389/#REF!,"-")</f>
        <v>-</v>
      </c>
      <c r="K389" s="333">
        <f t="shared" si="491"/>
        <v>0</v>
      </c>
      <c r="L389" s="272">
        <f t="shared" si="492"/>
        <v>0</v>
      </c>
      <c r="M389" s="273">
        <f t="shared" si="493"/>
        <v>0</v>
      </c>
      <c r="N389" s="337" t="str">
        <f t="shared" si="486"/>
        <v>-</v>
      </c>
      <c r="O389" s="263" t="str">
        <f t="shared" si="472"/>
        <v>-</v>
      </c>
    </row>
    <row r="390" spans="1:15" ht="23.4" x14ac:dyDescent="0.3">
      <c r="A390" s="274" t="s">
        <v>103</v>
      </c>
      <c r="B390" s="1044"/>
      <c r="C390" s="275" t="s">
        <v>237</v>
      </c>
      <c r="D390" s="275" t="s">
        <v>238</v>
      </c>
      <c r="E390" s="276"/>
      <c r="F390" s="277"/>
      <c r="G390" s="333">
        <f t="shared" si="490"/>
        <v>0</v>
      </c>
      <c r="H390" s="278"/>
      <c r="I390" s="278"/>
      <c r="J390" s="352" t="str">
        <f>IFERROR(G390/#REF!,"-")</f>
        <v>-</v>
      </c>
      <c r="K390" s="333">
        <f t="shared" si="491"/>
        <v>0</v>
      </c>
      <c r="L390" s="272">
        <f t="shared" si="492"/>
        <v>0</v>
      </c>
      <c r="M390" s="273">
        <f t="shared" si="493"/>
        <v>0</v>
      </c>
      <c r="N390" s="337" t="str">
        <f t="shared" si="486"/>
        <v>-</v>
      </c>
      <c r="O390" s="263" t="str">
        <f t="shared" si="472"/>
        <v>-</v>
      </c>
    </row>
    <row r="391" spans="1:15" ht="23.4" x14ac:dyDescent="0.3">
      <c r="A391" s="274" t="s">
        <v>103</v>
      </c>
      <c r="B391" s="1044"/>
      <c r="C391" s="295" t="s">
        <v>394</v>
      </c>
      <c r="D391" s="275" t="s">
        <v>238</v>
      </c>
      <c r="E391" s="276"/>
      <c r="F391" s="277"/>
      <c r="G391" s="333">
        <f t="shared" si="490"/>
        <v>0</v>
      </c>
      <c r="H391" s="278"/>
      <c r="I391" s="278"/>
      <c r="J391" s="352" t="str">
        <f>IFERROR(G391/#REF!,"-")</f>
        <v>-</v>
      </c>
      <c r="K391" s="333">
        <f t="shared" si="491"/>
        <v>0</v>
      </c>
      <c r="L391" s="272">
        <f t="shared" si="492"/>
        <v>0</v>
      </c>
      <c r="M391" s="273">
        <f t="shared" si="493"/>
        <v>0</v>
      </c>
      <c r="N391" s="337" t="str">
        <f t="shared" si="486"/>
        <v>-</v>
      </c>
      <c r="O391" s="263" t="str">
        <f t="shared" si="472"/>
        <v>-</v>
      </c>
    </row>
    <row r="392" spans="1:15" ht="23.4" x14ac:dyDescent="0.3">
      <c r="A392" s="274" t="s">
        <v>103</v>
      </c>
      <c r="B392" s="1044"/>
      <c r="C392" s="295" t="s">
        <v>422</v>
      </c>
      <c r="D392" s="275" t="s">
        <v>238</v>
      </c>
      <c r="E392" s="276"/>
      <c r="F392" s="277"/>
      <c r="G392" s="333">
        <f t="shared" si="490"/>
        <v>0</v>
      </c>
      <c r="H392" s="278"/>
      <c r="I392" s="278"/>
      <c r="J392" s="352" t="str">
        <f>IFERROR(G392/#REF!,"-")</f>
        <v>-</v>
      </c>
      <c r="K392" s="333">
        <f t="shared" si="491"/>
        <v>0</v>
      </c>
      <c r="L392" s="272">
        <f t="shared" si="492"/>
        <v>0</v>
      </c>
      <c r="M392" s="273">
        <f t="shared" si="493"/>
        <v>0</v>
      </c>
      <c r="N392" s="337" t="str">
        <f t="shared" si="486"/>
        <v>-</v>
      </c>
      <c r="O392" s="263" t="str">
        <f t="shared" si="472"/>
        <v>-</v>
      </c>
    </row>
    <row r="393" spans="1:15" ht="23.4" x14ac:dyDescent="0.3">
      <c r="A393" s="274" t="s">
        <v>103</v>
      </c>
      <c r="B393" s="1044"/>
      <c r="C393" s="295" t="s">
        <v>241</v>
      </c>
      <c r="D393" s="275" t="s">
        <v>243</v>
      </c>
      <c r="E393" s="276"/>
      <c r="F393" s="277"/>
      <c r="G393" s="333">
        <f t="shared" si="490"/>
        <v>0</v>
      </c>
      <c r="H393" s="278"/>
      <c r="I393" s="278"/>
      <c r="J393" s="352" t="str">
        <f>IFERROR(G393/#REF!,"-")</f>
        <v>-</v>
      </c>
      <c r="K393" s="333">
        <f t="shared" si="491"/>
        <v>0</v>
      </c>
      <c r="L393" s="272">
        <f t="shared" si="492"/>
        <v>0</v>
      </c>
      <c r="M393" s="273">
        <f t="shared" si="493"/>
        <v>0</v>
      </c>
      <c r="N393" s="337" t="str">
        <f t="shared" si="486"/>
        <v>-</v>
      </c>
      <c r="O393" s="263" t="str">
        <f t="shared" si="472"/>
        <v>-</v>
      </c>
    </row>
    <row r="394" spans="1:15" ht="23.4" x14ac:dyDescent="0.3">
      <c r="A394" s="274"/>
      <c r="B394" s="1045"/>
      <c r="C394" s="295" t="s">
        <v>456</v>
      </c>
      <c r="D394" s="275" t="s">
        <v>238</v>
      </c>
      <c r="E394" s="280"/>
      <c r="F394" s="281"/>
      <c r="G394" s="333">
        <f t="shared" si="490"/>
        <v>0</v>
      </c>
      <c r="H394" s="282"/>
      <c r="I394" s="282"/>
      <c r="J394" s="352" t="str">
        <f>IFERROR(G394/#REF!,"-")</f>
        <v>-</v>
      </c>
      <c r="K394" s="333">
        <f t="shared" si="491"/>
        <v>0</v>
      </c>
      <c r="L394" s="272">
        <f t="shared" si="492"/>
        <v>0</v>
      </c>
      <c r="M394" s="273">
        <f t="shared" si="493"/>
        <v>0</v>
      </c>
      <c r="N394" s="338"/>
      <c r="O394" s="347"/>
    </row>
    <row r="395" spans="1:15" ht="24" thickBot="1" x14ac:dyDescent="0.35">
      <c r="A395" s="274" t="s">
        <v>103</v>
      </c>
      <c r="B395" s="1045"/>
      <c r="C395" s="295" t="s">
        <v>242</v>
      </c>
      <c r="D395" s="275" t="s">
        <v>238</v>
      </c>
      <c r="E395" s="280"/>
      <c r="F395" s="281"/>
      <c r="G395" s="334">
        <f t="shared" si="490"/>
        <v>0</v>
      </c>
      <c r="H395" s="282"/>
      <c r="I395" s="282"/>
      <c r="J395" s="353" t="str">
        <f>IFERROR(G395/#REF!,"-")</f>
        <v>-</v>
      </c>
      <c r="K395" s="334">
        <f t="shared" si="491"/>
        <v>0</v>
      </c>
      <c r="L395" s="272">
        <f t="shared" si="492"/>
        <v>0</v>
      </c>
      <c r="M395" s="273">
        <f t="shared" si="493"/>
        <v>0</v>
      </c>
      <c r="N395" s="338" t="str">
        <f t="shared" ref="N395:N397" si="494">IFERROR(K395/E395,"-")</f>
        <v>-</v>
      </c>
      <c r="O395" s="347" t="str">
        <f t="shared" ref="O395:O412" si="495">IFERROR(M395/K395,"-")</f>
        <v>-</v>
      </c>
    </row>
    <row r="396" spans="1:15" ht="24" thickBot="1" x14ac:dyDescent="0.35">
      <c r="A396" s="274" t="s">
        <v>103</v>
      </c>
      <c r="B396" s="1025" t="s">
        <v>49</v>
      </c>
      <c r="C396" s="1026"/>
      <c r="D396" s="1027"/>
      <c r="E396" s="284">
        <f>SUM(E387:E395)</f>
        <v>10000</v>
      </c>
      <c r="F396" s="285">
        <v>14000</v>
      </c>
      <c r="G396" s="320">
        <f>SUM(G387:G395)</f>
        <v>0</v>
      </c>
      <c r="H396" s="321">
        <f t="shared" ref="H396:I396" si="496">SUM(H387:H395)</f>
        <v>0</v>
      </c>
      <c r="I396" s="321">
        <f t="shared" si="496"/>
        <v>0</v>
      </c>
      <c r="J396" s="345">
        <f>+G397/F397</f>
        <v>0</v>
      </c>
      <c r="K396" s="320">
        <f>SUM(K387:K395)</f>
        <v>0</v>
      </c>
      <c r="L396" s="321">
        <f>+H396</f>
        <v>0</v>
      </c>
      <c r="M396" s="322">
        <f>+I396</f>
        <v>0</v>
      </c>
      <c r="N396" s="339">
        <f t="shared" si="494"/>
        <v>0</v>
      </c>
      <c r="O396" s="345" t="str">
        <f t="shared" si="495"/>
        <v>-</v>
      </c>
    </row>
    <row r="397" spans="1:15" ht="24" thickBot="1" x14ac:dyDescent="0.35">
      <c r="A397" s="274" t="s">
        <v>103</v>
      </c>
      <c r="B397" s="1047" t="s">
        <v>25</v>
      </c>
      <c r="C397" s="1048"/>
      <c r="D397" s="1049"/>
      <c r="E397" s="326">
        <f t="shared" ref="E397:F397" si="497">+E386+E396</f>
        <v>10000</v>
      </c>
      <c r="F397" s="327">
        <f t="shared" si="497"/>
        <v>94000</v>
      </c>
      <c r="G397" s="326">
        <f>+G386+G396</f>
        <v>0</v>
      </c>
      <c r="H397" s="324">
        <f t="shared" ref="H397:I397" si="498">+H386+H396</f>
        <v>0</v>
      </c>
      <c r="I397" s="324">
        <f t="shared" si="498"/>
        <v>0</v>
      </c>
      <c r="J397" s="349" t="str">
        <f>IFERROR(G397/#REF!,"-")</f>
        <v>-</v>
      </c>
      <c r="K397" s="326">
        <f t="shared" ref="K397" si="499">+K386+K396</f>
        <v>0</v>
      </c>
      <c r="L397" s="324">
        <f>+L386+L396</f>
        <v>0</v>
      </c>
      <c r="M397" s="325">
        <f t="shared" ref="M397" si="500">+M386+M396</f>
        <v>0</v>
      </c>
      <c r="N397" s="341">
        <f t="shared" si="494"/>
        <v>0</v>
      </c>
      <c r="O397" s="349" t="str">
        <f t="shared" si="495"/>
        <v>-</v>
      </c>
    </row>
    <row r="398" spans="1:15" ht="24" thickBot="1" x14ac:dyDescent="0.35">
      <c r="A398" s="274" t="s">
        <v>103</v>
      </c>
      <c r="B398" s="1019" t="s">
        <v>172</v>
      </c>
      <c r="C398" s="1020"/>
      <c r="D398" s="1021"/>
      <c r="E398" s="330">
        <f>+E381+E397</f>
        <v>3780000</v>
      </c>
      <c r="F398" s="331">
        <f t="shared" ref="F398:I398" si="501">+F381+F397</f>
        <v>559000</v>
      </c>
      <c r="G398" s="330">
        <f t="shared" si="501"/>
        <v>128936</v>
      </c>
      <c r="H398" s="328">
        <f t="shared" si="501"/>
        <v>297340</v>
      </c>
      <c r="I398" s="328">
        <f t="shared" si="501"/>
        <v>894</v>
      </c>
      <c r="J398" s="350">
        <f>+G398/F398</f>
        <v>0.23065474060822899</v>
      </c>
      <c r="K398" s="330">
        <f>+K381+K397</f>
        <v>837850</v>
      </c>
      <c r="L398" s="328">
        <f t="shared" ref="L398:M398" si="502">+L381+L397</f>
        <v>834884</v>
      </c>
      <c r="M398" s="329">
        <f t="shared" si="502"/>
        <v>2966</v>
      </c>
      <c r="N398" s="342">
        <f>IFERROR(K398/E398,"-")</f>
        <v>0.22165343915343916</v>
      </c>
      <c r="O398" s="350">
        <f t="shared" si="495"/>
        <v>3.5400131288416781E-3</v>
      </c>
    </row>
    <row r="399" spans="1:15" ht="23.4" x14ac:dyDescent="0.3">
      <c r="A399" s="268" t="s">
        <v>101</v>
      </c>
      <c r="B399" s="1051" t="s">
        <v>26</v>
      </c>
      <c r="C399" s="297" t="s">
        <v>297</v>
      </c>
      <c r="D399" s="297" t="s">
        <v>177</v>
      </c>
      <c r="E399" s="270"/>
      <c r="F399" s="271"/>
      <c r="G399" s="332">
        <f t="shared" ref="G399:G408" si="503">+H399+I399</f>
        <v>0</v>
      </c>
      <c r="H399" s="272"/>
      <c r="I399" s="272"/>
      <c r="J399" s="351" t="str">
        <f>IFERROR(G399/#REF!,"-")</f>
        <v>-</v>
      </c>
      <c r="K399" s="332">
        <f t="shared" ref="K399:K408" si="504">+L399+M399</f>
        <v>0</v>
      </c>
      <c r="L399" s="272">
        <f t="shared" ref="L399:L408" si="505">+H399+L286</f>
        <v>0</v>
      </c>
      <c r="M399" s="273">
        <f t="shared" ref="M399:M408" si="506">+I399+M286</f>
        <v>0</v>
      </c>
      <c r="N399" s="336" t="str">
        <f t="shared" ref="N399:N408" si="507">IFERROR(K399/E399,"-")</f>
        <v>-</v>
      </c>
      <c r="O399" s="346" t="str">
        <f t="shared" si="495"/>
        <v>-</v>
      </c>
    </row>
    <row r="400" spans="1:15" ht="23.4" x14ac:dyDescent="0.3">
      <c r="A400" s="274" t="s">
        <v>101</v>
      </c>
      <c r="B400" s="1051"/>
      <c r="C400" s="298" t="s">
        <v>424</v>
      </c>
      <c r="D400" s="298" t="s">
        <v>423</v>
      </c>
      <c r="E400" s="276">
        <v>564432</v>
      </c>
      <c r="F400" s="277"/>
      <c r="G400" s="333">
        <f t="shared" si="503"/>
        <v>0</v>
      </c>
      <c r="H400" s="278"/>
      <c r="I400" s="278"/>
      <c r="J400" s="352" t="str">
        <f>IFERROR(G400/#REF!,"-")</f>
        <v>-</v>
      </c>
      <c r="K400" s="333">
        <f t="shared" si="504"/>
        <v>249062</v>
      </c>
      <c r="L400" s="272">
        <f t="shared" si="505"/>
        <v>246636</v>
      </c>
      <c r="M400" s="273">
        <f t="shared" si="506"/>
        <v>2426</v>
      </c>
      <c r="N400" s="337">
        <f t="shared" si="507"/>
        <v>0.44126130339881509</v>
      </c>
      <c r="O400" s="263">
        <f t="shared" si="495"/>
        <v>9.7405465305827471E-3</v>
      </c>
    </row>
    <row r="401" spans="1:15" ht="23.4" x14ac:dyDescent="0.3">
      <c r="A401" s="274" t="s">
        <v>101</v>
      </c>
      <c r="B401" s="1051"/>
      <c r="C401" s="299" t="s">
        <v>27</v>
      </c>
      <c r="D401" s="299" t="s">
        <v>334</v>
      </c>
      <c r="E401" s="280">
        <v>1301232</v>
      </c>
      <c r="F401" s="281"/>
      <c r="G401" s="333">
        <f t="shared" si="503"/>
        <v>0</v>
      </c>
      <c r="H401" s="282"/>
      <c r="I401" s="282"/>
      <c r="J401" s="353" t="str">
        <f>IFERROR(G401/#REF!,"-")</f>
        <v>-</v>
      </c>
      <c r="K401" s="333">
        <f t="shared" si="504"/>
        <v>0</v>
      </c>
      <c r="L401" s="272">
        <f t="shared" si="505"/>
        <v>0</v>
      </c>
      <c r="M401" s="273">
        <f t="shared" si="506"/>
        <v>0</v>
      </c>
      <c r="N401" s="337">
        <f t="shared" si="507"/>
        <v>0</v>
      </c>
      <c r="O401" s="263" t="str">
        <f t="shared" si="495"/>
        <v>-</v>
      </c>
    </row>
    <row r="402" spans="1:15" ht="23.4" x14ac:dyDescent="0.3">
      <c r="A402" s="274" t="s">
        <v>101</v>
      </c>
      <c r="B402" s="1051"/>
      <c r="C402" s="299" t="s">
        <v>27</v>
      </c>
      <c r="D402" s="297" t="s">
        <v>492</v>
      </c>
      <c r="E402" s="280"/>
      <c r="F402" s="281"/>
      <c r="G402" s="333">
        <f t="shared" si="503"/>
        <v>68588</v>
      </c>
      <c r="H402" s="282">
        <v>67626</v>
      </c>
      <c r="I402" s="282">
        <v>962</v>
      </c>
      <c r="J402" s="353" t="str">
        <f>IFERROR(G402/#REF!,"-")</f>
        <v>-</v>
      </c>
      <c r="K402" s="333">
        <f t="shared" si="504"/>
        <v>68588</v>
      </c>
      <c r="L402" s="272">
        <f t="shared" si="505"/>
        <v>67626</v>
      </c>
      <c r="M402" s="273">
        <f t="shared" si="506"/>
        <v>962</v>
      </c>
      <c r="N402" s="337" t="str">
        <f t="shared" si="507"/>
        <v>-</v>
      </c>
      <c r="O402" s="263">
        <f t="shared" si="495"/>
        <v>1.4025777103866566E-2</v>
      </c>
    </row>
    <row r="403" spans="1:15" ht="23.4" x14ac:dyDescent="0.3">
      <c r="A403" s="274" t="s">
        <v>101</v>
      </c>
      <c r="B403" s="1051"/>
      <c r="C403" s="299" t="s">
        <v>27</v>
      </c>
      <c r="D403" s="299" t="s">
        <v>279</v>
      </c>
      <c r="E403" s="280"/>
      <c r="F403" s="281"/>
      <c r="G403" s="333">
        <f t="shared" si="503"/>
        <v>0</v>
      </c>
      <c r="H403" s="282"/>
      <c r="I403" s="282"/>
      <c r="J403" s="353" t="str">
        <f>IFERROR(G403/#REF!,"-")</f>
        <v>-</v>
      </c>
      <c r="K403" s="333">
        <f t="shared" si="504"/>
        <v>0</v>
      </c>
      <c r="L403" s="272">
        <f t="shared" si="505"/>
        <v>0</v>
      </c>
      <c r="M403" s="273">
        <f t="shared" si="506"/>
        <v>0</v>
      </c>
      <c r="N403" s="337" t="str">
        <f t="shared" si="507"/>
        <v>-</v>
      </c>
      <c r="O403" s="263" t="str">
        <f t="shared" si="495"/>
        <v>-</v>
      </c>
    </row>
    <row r="404" spans="1:15" ht="22.5" customHeight="1" x14ac:dyDescent="0.3">
      <c r="A404" s="274"/>
      <c r="B404" s="1051"/>
      <c r="C404" s="299" t="s">
        <v>432</v>
      </c>
      <c r="D404" s="299" t="s">
        <v>178</v>
      </c>
      <c r="E404" s="280"/>
      <c r="F404" s="281"/>
      <c r="G404" s="334">
        <f t="shared" si="503"/>
        <v>0</v>
      </c>
      <c r="H404" s="282"/>
      <c r="I404" s="282"/>
      <c r="J404" s="353" t="str">
        <f>IFERROR(G404/#REF!,"-")</f>
        <v>-</v>
      </c>
      <c r="K404" s="334">
        <f t="shared" si="504"/>
        <v>0</v>
      </c>
      <c r="L404" s="272">
        <f t="shared" si="505"/>
        <v>0</v>
      </c>
      <c r="M404" s="273">
        <f t="shared" si="506"/>
        <v>0</v>
      </c>
      <c r="N404" s="337" t="str">
        <f t="shared" si="507"/>
        <v>-</v>
      </c>
      <c r="O404" s="263" t="str">
        <f t="shared" si="495"/>
        <v>-</v>
      </c>
    </row>
    <row r="405" spans="1:15" ht="23.4" x14ac:dyDescent="0.3">
      <c r="A405" s="274"/>
      <c r="B405" s="1051"/>
      <c r="C405" s="299" t="s">
        <v>333</v>
      </c>
      <c r="D405" s="299" t="s">
        <v>94</v>
      </c>
      <c r="E405" s="280"/>
      <c r="F405" s="281"/>
      <c r="G405" s="334">
        <f t="shared" si="503"/>
        <v>0</v>
      </c>
      <c r="H405" s="282"/>
      <c r="I405" s="282"/>
      <c r="J405" s="353" t="str">
        <f>IFERROR(G405/#REF!,"-")</f>
        <v>-</v>
      </c>
      <c r="K405" s="334">
        <f t="shared" si="504"/>
        <v>0</v>
      </c>
      <c r="L405" s="272">
        <f t="shared" si="505"/>
        <v>0</v>
      </c>
      <c r="M405" s="273">
        <f t="shared" si="506"/>
        <v>0</v>
      </c>
      <c r="N405" s="337" t="str">
        <f t="shared" si="507"/>
        <v>-</v>
      </c>
      <c r="O405" s="263" t="str">
        <f t="shared" si="495"/>
        <v>-</v>
      </c>
    </row>
    <row r="406" spans="1:15" ht="23.4" x14ac:dyDescent="0.3">
      <c r="A406" s="274"/>
      <c r="B406" s="1051"/>
      <c r="C406" s="299" t="s">
        <v>433</v>
      </c>
      <c r="D406" s="299" t="s">
        <v>178</v>
      </c>
      <c r="E406" s="280"/>
      <c r="F406" s="281"/>
      <c r="G406" s="334">
        <f t="shared" si="503"/>
        <v>0</v>
      </c>
      <c r="H406" s="282"/>
      <c r="I406" s="282"/>
      <c r="J406" s="353" t="str">
        <f>IFERROR(G406/#REF!,"-")</f>
        <v>-</v>
      </c>
      <c r="K406" s="334">
        <f t="shared" si="504"/>
        <v>0</v>
      </c>
      <c r="L406" s="272">
        <f t="shared" si="505"/>
        <v>0</v>
      </c>
      <c r="M406" s="272">
        <f t="shared" si="506"/>
        <v>0</v>
      </c>
      <c r="N406" s="337" t="str">
        <f t="shared" si="507"/>
        <v>-</v>
      </c>
      <c r="O406" s="263" t="str">
        <f t="shared" si="495"/>
        <v>-</v>
      </c>
    </row>
    <row r="407" spans="1:15" ht="23.4" x14ac:dyDescent="0.3">
      <c r="A407" s="274"/>
      <c r="B407" s="1051"/>
      <c r="C407" s="299" t="s">
        <v>382</v>
      </c>
      <c r="D407" s="299" t="s">
        <v>366</v>
      </c>
      <c r="E407" s="280"/>
      <c r="F407" s="281"/>
      <c r="G407" s="334">
        <f t="shared" si="503"/>
        <v>0</v>
      </c>
      <c r="H407" s="282"/>
      <c r="I407" s="282"/>
      <c r="J407" s="353" t="str">
        <f>IFERROR(G407/#REF!,"-")</f>
        <v>-</v>
      </c>
      <c r="K407" s="334">
        <f t="shared" si="504"/>
        <v>0</v>
      </c>
      <c r="L407" s="272">
        <f t="shared" si="505"/>
        <v>0</v>
      </c>
      <c r="M407" s="273">
        <f t="shared" si="506"/>
        <v>0</v>
      </c>
      <c r="N407" s="337" t="str">
        <f t="shared" si="507"/>
        <v>-</v>
      </c>
      <c r="O407" s="263" t="str">
        <f t="shared" si="495"/>
        <v>-</v>
      </c>
    </row>
    <row r="408" spans="1:15" ht="24" thickBot="1" x14ac:dyDescent="0.35">
      <c r="A408" s="274" t="s">
        <v>101</v>
      </c>
      <c r="B408" s="1051"/>
      <c r="C408" s="300" t="s">
        <v>290</v>
      </c>
      <c r="D408" s="299" t="s">
        <v>289</v>
      </c>
      <c r="E408" s="280"/>
      <c r="F408" s="281"/>
      <c r="G408" s="334">
        <f t="shared" si="503"/>
        <v>0</v>
      </c>
      <c r="H408" s="282"/>
      <c r="I408" s="282"/>
      <c r="J408" s="353" t="str">
        <f>IFERROR(G408/#REF!,"-")</f>
        <v>-</v>
      </c>
      <c r="K408" s="334">
        <f t="shared" si="504"/>
        <v>0</v>
      </c>
      <c r="L408" s="272">
        <f t="shared" si="505"/>
        <v>0</v>
      </c>
      <c r="M408" s="273">
        <f t="shared" si="506"/>
        <v>0</v>
      </c>
      <c r="N408" s="337" t="str">
        <f t="shared" si="507"/>
        <v>-</v>
      </c>
      <c r="O408" s="347" t="str">
        <f t="shared" si="495"/>
        <v>-</v>
      </c>
    </row>
    <row r="409" spans="1:15" ht="24" thickBot="1" x14ac:dyDescent="0.35">
      <c r="A409" s="274" t="s">
        <v>101</v>
      </c>
      <c r="B409" s="1052"/>
      <c r="C409" s="301"/>
      <c r="D409" s="302" t="s">
        <v>52</v>
      </c>
      <c r="E409" s="284">
        <f>SUM(E399:E408)</f>
        <v>1865664</v>
      </c>
      <c r="F409" s="285">
        <v>160000</v>
      </c>
      <c r="G409" s="320">
        <f>SUM(G399:G408)</f>
        <v>68588</v>
      </c>
      <c r="H409" s="321">
        <f>SUM(H399:H408)</f>
        <v>67626</v>
      </c>
      <c r="I409" s="321">
        <f>SUM(I399:I408)</f>
        <v>962</v>
      </c>
      <c r="J409" s="345">
        <f>+G409/F409</f>
        <v>0.42867499999999997</v>
      </c>
      <c r="K409" s="320">
        <f>SUM(K399:K408)</f>
        <v>317650</v>
      </c>
      <c r="L409" s="321">
        <f>SUM(L399:L408)</f>
        <v>314262</v>
      </c>
      <c r="M409" s="322">
        <f>SUM(M399:M408)</f>
        <v>3388</v>
      </c>
      <c r="N409" s="339">
        <f t="shared" ref="N409:N412" si="508">IFERROR(K409/E409,"-")</f>
        <v>0.17026109738945491</v>
      </c>
      <c r="O409" s="345">
        <f t="shared" si="495"/>
        <v>1.066582716826696E-2</v>
      </c>
    </row>
    <row r="410" spans="1:15" ht="23.4" x14ac:dyDescent="0.3">
      <c r="A410" s="274" t="s">
        <v>101</v>
      </c>
      <c r="B410" s="1053" t="s">
        <v>28</v>
      </c>
      <c r="C410" s="299" t="s">
        <v>27</v>
      </c>
      <c r="D410" s="297" t="s">
        <v>492</v>
      </c>
      <c r="E410" s="270"/>
      <c r="F410" s="271"/>
      <c r="G410" s="332">
        <f t="shared" ref="G410:G414" si="509">+H410+I410</f>
        <v>44233</v>
      </c>
      <c r="H410" s="272">
        <v>43758</v>
      </c>
      <c r="I410" s="272">
        <v>475</v>
      </c>
      <c r="J410" s="351" t="str">
        <f>IFERROR(G410/#REF!,"-")</f>
        <v>-</v>
      </c>
      <c r="K410" s="332">
        <f t="shared" ref="K410:K416" si="510">+L410+M410</f>
        <v>76878</v>
      </c>
      <c r="L410" s="272">
        <f t="shared" ref="L410:L416" si="511">+H410+L297</f>
        <v>75582</v>
      </c>
      <c r="M410" s="273">
        <f t="shared" ref="M410:M416" si="512">+I410+M297</f>
        <v>1296</v>
      </c>
      <c r="N410" s="336" t="str">
        <f t="shared" si="508"/>
        <v>-</v>
      </c>
      <c r="O410" s="346">
        <f t="shared" si="495"/>
        <v>1.6857878716928121E-2</v>
      </c>
    </row>
    <row r="411" spans="1:15" ht="23.4" x14ac:dyDescent="0.3">
      <c r="A411" s="274" t="s">
        <v>101</v>
      </c>
      <c r="B411" s="1051"/>
      <c r="C411" s="299" t="s">
        <v>385</v>
      </c>
      <c r="D411" s="299" t="s">
        <v>334</v>
      </c>
      <c r="E411" s="276"/>
      <c r="F411" s="277"/>
      <c r="G411" s="333">
        <f t="shared" si="509"/>
        <v>0</v>
      </c>
      <c r="H411" s="278"/>
      <c r="I411" s="278"/>
      <c r="J411" s="352" t="str">
        <f>IFERROR(G411/#REF!,"-")</f>
        <v>-</v>
      </c>
      <c r="K411" s="333">
        <f t="shared" si="510"/>
        <v>96975</v>
      </c>
      <c r="L411" s="272">
        <f t="shared" si="511"/>
        <v>95472</v>
      </c>
      <c r="M411" s="273">
        <f t="shared" si="512"/>
        <v>1503</v>
      </c>
      <c r="N411" s="337" t="str">
        <f t="shared" si="508"/>
        <v>-</v>
      </c>
      <c r="O411" s="263">
        <f t="shared" si="495"/>
        <v>1.5498839907192575E-2</v>
      </c>
    </row>
    <row r="412" spans="1:15" ht="23.4" x14ac:dyDescent="0.3">
      <c r="A412" s="274" t="s">
        <v>101</v>
      </c>
      <c r="B412" s="1051"/>
      <c r="C412" s="299" t="s">
        <v>27</v>
      </c>
      <c r="D412" s="299" t="s">
        <v>334</v>
      </c>
      <c r="E412" s="276"/>
      <c r="F412" s="277"/>
      <c r="G412" s="333">
        <f t="shared" si="509"/>
        <v>0</v>
      </c>
      <c r="H412" s="278"/>
      <c r="I412" s="278"/>
      <c r="J412" s="352" t="str">
        <f>IFERROR(G412/#REF!,"-")</f>
        <v>-</v>
      </c>
      <c r="K412" s="333">
        <f t="shared" si="510"/>
        <v>0</v>
      </c>
      <c r="L412" s="272">
        <f t="shared" si="511"/>
        <v>0</v>
      </c>
      <c r="M412" s="273">
        <f t="shared" si="512"/>
        <v>0</v>
      </c>
      <c r="N412" s="337" t="str">
        <f t="shared" si="508"/>
        <v>-</v>
      </c>
      <c r="O412" s="263" t="str">
        <f t="shared" si="495"/>
        <v>-</v>
      </c>
    </row>
    <row r="413" spans="1:15" ht="23.4" x14ac:dyDescent="0.3">
      <c r="A413" s="274"/>
      <c r="B413" s="1051"/>
      <c r="C413" s="299" t="s">
        <v>460</v>
      </c>
      <c r="D413" s="299" t="s">
        <v>334</v>
      </c>
      <c r="E413" s="280"/>
      <c r="F413" s="281"/>
      <c r="G413" s="333">
        <f t="shared" si="509"/>
        <v>0</v>
      </c>
      <c r="H413" s="282"/>
      <c r="I413" s="282"/>
      <c r="J413" s="352" t="str">
        <f>IFERROR(G413/#REF!,"-")</f>
        <v>-</v>
      </c>
      <c r="K413" s="333">
        <f t="shared" si="510"/>
        <v>0</v>
      </c>
      <c r="L413" s="272">
        <f t="shared" si="511"/>
        <v>0</v>
      </c>
      <c r="M413" s="273">
        <f t="shared" si="512"/>
        <v>0</v>
      </c>
      <c r="N413" s="338"/>
      <c r="O413" s="347"/>
    </row>
    <row r="414" spans="1:15" ht="23.4" x14ac:dyDescent="0.3">
      <c r="A414" s="274" t="s">
        <v>101</v>
      </c>
      <c r="B414" s="1051"/>
      <c r="C414" s="299" t="s">
        <v>382</v>
      </c>
      <c r="D414" s="300" t="s">
        <v>366</v>
      </c>
      <c r="E414" s="280"/>
      <c r="F414" s="281"/>
      <c r="G414" s="334">
        <f t="shared" si="509"/>
        <v>0</v>
      </c>
      <c r="H414" s="282"/>
      <c r="I414" s="282"/>
      <c r="J414" s="352" t="str">
        <f>IFERROR(G414/#REF!,"-")</f>
        <v>-</v>
      </c>
      <c r="K414" s="334">
        <f t="shared" si="510"/>
        <v>0</v>
      </c>
      <c r="L414" s="272">
        <f t="shared" si="511"/>
        <v>0</v>
      </c>
      <c r="M414" s="702">
        <f t="shared" si="512"/>
        <v>0</v>
      </c>
      <c r="N414" s="338" t="str">
        <f t="shared" ref="N414" si="513">IFERROR(K414/E414,"-")</f>
        <v>-</v>
      </c>
      <c r="O414" s="347" t="str">
        <f t="shared" ref="O414" si="514">IFERROR(M414/K414,"-")</f>
        <v>-</v>
      </c>
    </row>
    <row r="415" spans="1:15" ht="23.4" x14ac:dyDescent="0.3">
      <c r="A415" s="274"/>
      <c r="B415" s="1051"/>
      <c r="C415" s="299" t="s">
        <v>458</v>
      </c>
      <c r="D415" s="300" t="s">
        <v>280</v>
      </c>
      <c r="E415" s="280"/>
      <c r="F415" s="281"/>
      <c r="G415" s="334"/>
      <c r="H415" s="282"/>
      <c r="I415" s="282"/>
      <c r="J415" s="352" t="str">
        <f>IFERROR(G415/#REF!,"-")</f>
        <v>-</v>
      </c>
      <c r="K415" s="334">
        <f t="shared" si="510"/>
        <v>0</v>
      </c>
      <c r="L415" s="272">
        <f t="shared" si="511"/>
        <v>0</v>
      </c>
      <c r="M415" s="272">
        <f t="shared" si="512"/>
        <v>0</v>
      </c>
      <c r="N415" s="338"/>
      <c r="O415" s="347"/>
    </row>
    <row r="416" spans="1:15" ht="24" thickBot="1" x14ac:dyDescent="0.35">
      <c r="A416" s="274" t="s">
        <v>101</v>
      </c>
      <c r="B416" s="1051"/>
      <c r="C416" s="299" t="s">
        <v>27</v>
      </c>
      <c r="D416" s="300" t="s">
        <v>234</v>
      </c>
      <c r="E416" s="280"/>
      <c r="F416" s="281"/>
      <c r="G416" s="334">
        <f t="shared" ref="G416" si="515">+H416+I416</f>
        <v>0</v>
      </c>
      <c r="H416" s="282"/>
      <c r="I416" s="282"/>
      <c r="J416" s="353" t="str">
        <f>IFERROR(G416/#REF!,"-")</f>
        <v>-</v>
      </c>
      <c r="K416" s="334">
        <f t="shared" si="510"/>
        <v>0</v>
      </c>
      <c r="L416" s="272">
        <f t="shared" si="511"/>
        <v>0</v>
      </c>
      <c r="M416" s="702">
        <f t="shared" si="512"/>
        <v>0</v>
      </c>
      <c r="N416" s="338" t="str">
        <f t="shared" ref="N416:N417" si="516">IFERROR(K416/E416,"-")</f>
        <v>-</v>
      </c>
      <c r="O416" s="347" t="str">
        <f t="shared" ref="O416:O432" si="517">IFERROR(M416/K416,"-")</f>
        <v>-</v>
      </c>
    </row>
    <row r="417" spans="1:15" ht="24" thickBot="1" x14ac:dyDescent="0.35">
      <c r="A417" s="274" t="s">
        <v>101</v>
      </c>
      <c r="B417" s="1051"/>
      <c r="C417" s="304"/>
      <c r="D417" s="305" t="s">
        <v>52</v>
      </c>
      <c r="E417" s="306">
        <f>SUM(E410:E416)</f>
        <v>0</v>
      </c>
      <c r="F417" s="307">
        <v>80000</v>
      </c>
      <c r="G417" s="366">
        <f>SUM(G410:G416)</f>
        <v>44233</v>
      </c>
      <c r="H417" s="365">
        <f>SUM(H410:H416)</f>
        <v>43758</v>
      </c>
      <c r="I417" s="365">
        <f>SUM(I410:I416)</f>
        <v>475</v>
      </c>
      <c r="J417" s="356">
        <f>+G417/F417</f>
        <v>0.55291250000000003</v>
      </c>
      <c r="K417" s="366">
        <f>SUM(K410:K416)</f>
        <v>173853</v>
      </c>
      <c r="L417" s="365">
        <f>SUM(L410:L416)</f>
        <v>171054</v>
      </c>
      <c r="M417" s="367">
        <f>SUM(M410:M416)</f>
        <v>2799</v>
      </c>
      <c r="N417" s="355" t="str">
        <f t="shared" si="516"/>
        <v>-</v>
      </c>
      <c r="O417" s="356">
        <f t="shared" si="517"/>
        <v>1.6099808458870424E-2</v>
      </c>
    </row>
    <row r="418" spans="1:15" ht="24" thickBot="1" x14ac:dyDescent="0.35">
      <c r="A418" s="785" t="s">
        <v>101</v>
      </c>
      <c r="B418" s="1054" t="s">
        <v>162</v>
      </c>
      <c r="C418" s="1055"/>
      <c r="D418" s="1056"/>
      <c r="E418" s="308">
        <f>+E417+E409</f>
        <v>1865664</v>
      </c>
      <c r="F418" s="309">
        <f>+F417+F409</f>
        <v>240000</v>
      </c>
      <c r="G418" s="369">
        <f>+G409+G417</f>
        <v>112821</v>
      </c>
      <c r="H418" s="368">
        <f>+H409+H417</f>
        <v>111384</v>
      </c>
      <c r="I418" s="368">
        <f>+I409+I417</f>
        <v>1437</v>
      </c>
      <c r="J418" s="358">
        <f>+G418/F418</f>
        <v>0.47008749999999999</v>
      </c>
      <c r="K418" s="369">
        <f>+K409+K417</f>
        <v>491503</v>
      </c>
      <c r="L418" s="368">
        <f>+L409+L417</f>
        <v>485316</v>
      </c>
      <c r="M418" s="370">
        <f>+M409+M417</f>
        <v>6187</v>
      </c>
      <c r="N418" s="357">
        <f>IFERROR(K418/E418,"-")</f>
        <v>0.26344668707763025</v>
      </c>
      <c r="O418" s="358">
        <f t="shared" si="517"/>
        <v>1.2587919097136743E-2</v>
      </c>
    </row>
    <row r="419" spans="1:15" ht="23.4" x14ac:dyDescent="0.3">
      <c r="A419" s="274" t="s">
        <v>101</v>
      </c>
      <c r="B419" s="1051" t="s">
        <v>30</v>
      </c>
      <c r="C419" s="303" t="s">
        <v>446</v>
      </c>
      <c r="D419" s="299" t="s">
        <v>334</v>
      </c>
      <c r="E419" s="270">
        <v>225000</v>
      </c>
      <c r="F419" s="271"/>
      <c r="G419" s="332">
        <f t="shared" ref="G419:G421" si="518">+H419+I419</f>
        <v>0</v>
      </c>
      <c r="H419" s="272"/>
      <c r="I419" s="272"/>
      <c r="J419" s="351" t="str">
        <f>IFERROR(G419/#REF!,"-")</f>
        <v>-</v>
      </c>
      <c r="K419" s="332">
        <f t="shared" ref="K419:K421" si="519">+L419+M419</f>
        <v>0</v>
      </c>
      <c r="L419" s="272">
        <f t="shared" ref="L419:L421" si="520">+H419+L306</f>
        <v>0</v>
      </c>
      <c r="M419" s="273">
        <f t="shared" ref="M419:M421" si="521">+I419+M306</f>
        <v>0</v>
      </c>
      <c r="N419" s="336">
        <f t="shared" ref="N419:N432" si="522">IFERROR(K419/E419,"-")</f>
        <v>0</v>
      </c>
      <c r="O419" s="346" t="str">
        <f t="shared" si="517"/>
        <v>-</v>
      </c>
    </row>
    <row r="420" spans="1:15" ht="23.4" x14ac:dyDescent="0.3">
      <c r="A420" s="274" t="s">
        <v>101</v>
      </c>
      <c r="B420" s="1051"/>
      <c r="C420" s="300" t="s">
        <v>429</v>
      </c>
      <c r="D420" s="303" t="s">
        <v>366</v>
      </c>
      <c r="E420" s="276"/>
      <c r="F420" s="277"/>
      <c r="G420" s="333">
        <f t="shared" si="518"/>
        <v>0</v>
      </c>
      <c r="H420" s="278"/>
      <c r="I420" s="278"/>
      <c r="J420" s="352" t="str">
        <f>IFERROR(G420/#REF!,"-")</f>
        <v>-</v>
      </c>
      <c r="K420" s="333">
        <f t="shared" si="519"/>
        <v>0</v>
      </c>
      <c r="L420" s="272">
        <f t="shared" si="520"/>
        <v>0</v>
      </c>
      <c r="M420" s="273">
        <f t="shared" si="521"/>
        <v>0</v>
      </c>
      <c r="N420" s="337" t="str">
        <f t="shared" si="522"/>
        <v>-</v>
      </c>
      <c r="O420" s="263" t="str">
        <f t="shared" si="517"/>
        <v>-</v>
      </c>
    </row>
    <row r="421" spans="1:15" ht="24" thickBot="1" x14ac:dyDescent="0.35">
      <c r="A421" s="274" t="s">
        <v>101</v>
      </c>
      <c r="B421" s="1051"/>
      <c r="C421" s="300" t="s">
        <v>291</v>
      </c>
      <c r="D421" s="300" t="s">
        <v>366</v>
      </c>
      <c r="E421" s="280"/>
      <c r="F421" s="281"/>
      <c r="G421" s="334">
        <f t="shared" si="518"/>
        <v>0</v>
      </c>
      <c r="H421" s="282"/>
      <c r="I421" s="282"/>
      <c r="J421" s="353" t="str">
        <f>IFERROR(G421/#REF!,"-")</f>
        <v>-</v>
      </c>
      <c r="K421" s="334">
        <f t="shared" si="519"/>
        <v>0</v>
      </c>
      <c r="L421" s="272">
        <f t="shared" si="520"/>
        <v>0</v>
      </c>
      <c r="M421" s="273">
        <f t="shared" si="521"/>
        <v>0</v>
      </c>
      <c r="N421" s="338" t="str">
        <f t="shared" si="522"/>
        <v>-</v>
      </c>
      <c r="O421" s="347" t="str">
        <f t="shared" si="517"/>
        <v>-</v>
      </c>
    </row>
    <row r="422" spans="1:15" ht="24" thickBot="1" x14ac:dyDescent="0.35">
      <c r="A422" s="274" t="s">
        <v>101</v>
      </c>
      <c r="B422" s="1051"/>
      <c r="C422" s="301"/>
      <c r="D422" s="302" t="s">
        <v>50</v>
      </c>
      <c r="E422" s="284">
        <f>SUM(E419:E421)</f>
        <v>225000</v>
      </c>
      <c r="F422" s="285">
        <v>50000</v>
      </c>
      <c r="G422" s="320">
        <f>SUM(G419:G421)</f>
        <v>0</v>
      </c>
      <c r="H422" s="321">
        <f>SUM(H419:H421)</f>
        <v>0</v>
      </c>
      <c r="I422" s="321">
        <f>SUM(I419:I421)</f>
        <v>0</v>
      </c>
      <c r="J422" s="345" t="e">
        <f>+H422/G422</f>
        <v>#DIV/0!</v>
      </c>
      <c r="K422" s="320">
        <f>SUM(K419:K421)</f>
        <v>0</v>
      </c>
      <c r="L422" s="321">
        <f>SUM(L419:L421)</f>
        <v>0</v>
      </c>
      <c r="M422" s="322">
        <f>SUM(M419:M421)</f>
        <v>0</v>
      </c>
      <c r="N422" s="339">
        <f t="shared" si="522"/>
        <v>0</v>
      </c>
      <c r="O422" s="345" t="str">
        <f t="shared" si="517"/>
        <v>-</v>
      </c>
    </row>
    <row r="423" spans="1:15" ht="23.4" x14ac:dyDescent="0.3">
      <c r="A423" s="274" t="s">
        <v>101</v>
      </c>
      <c r="B423" s="1051"/>
      <c r="C423" s="297" t="s">
        <v>434</v>
      </c>
      <c r="D423" s="297" t="s">
        <v>92</v>
      </c>
      <c r="E423" s="270"/>
      <c r="F423" s="271"/>
      <c r="G423" s="332">
        <f t="shared" ref="G423:G424" si="523">+H423+I423</f>
        <v>0</v>
      </c>
      <c r="H423" s="272"/>
      <c r="I423" s="272"/>
      <c r="J423" s="351" t="str">
        <f>IFERROR(G423/#REF!,"-")</f>
        <v>-</v>
      </c>
      <c r="K423" s="332">
        <f t="shared" ref="K423:K428" si="524">+L423+M423</f>
        <v>0</v>
      </c>
      <c r="L423" s="272">
        <f t="shared" ref="L423:L428" si="525">+H423+L310</f>
        <v>0</v>
      </c>
      <c r="M423" s="273">
        <f t="shared" ref="M423:M428" si="526">+I423+M310</f>
        <v>0</v>
      </c>
      <c r="N423" s="336" t="str">
        <f t="shared" si="522"/>
        <v>-</v>
      </c>
      <c r="O423" s="346" t="str">
        <f t="shared" si="517"/>
        <v>-</v>
      </c>
    </row>
    <row r="424" spans="1:15" ht="23.4" x14ac:dyDescent="0.3">
      <c r="A424" s="274"/>
      <c r="B424" s="1051"/>
      <c r="C424" s="303" t="s">
        <v>449</v>
      </c>
      <c r="D424" s="299" t="s">
        <v>334</v>
      </c>
      <c r="E424" s="270"/>
      <c r="F424" s="271"/>
      <c r="G424" s="332">
        <f t="shared" si="523"/>
        <v>0</v>
      </c>
      <c r="H424" s="272"/>
      <c r="I424" s="272"/>
      <c r="J424" s="351" t="str">
        <f>IFERROR(G424/#REF!,"-")</f>
        <v>-</v>
      </c>
      <c r="K424" s="332">
        <f t="shared" si="524"/>
        <v>0</v>
      </c>
      <c r="L424" s="272">
        <f t="shared" si="525"/>
        <v>0</v>
      </c>
      <c r="M424" s="273">
        <f t="shared" si="526"/>
        <v>0</v>
      </c>
      <c r="N424" s="337" t="str">
        <f t="shared" si="522"/>
        <v>-</v>
      </c>
      <c r="O424" s="346" t="str">
        <f t="shared" si="517"/>
        <v>-</v>
      </c>
    </row>
    <row r="425" spans="1:15" ht="23.4" x14ac:dyDescent="0.3">
      <c r="A425" s="274"/>
      <c r="B425" s="1051"/>
      <c r="C425" s="303" t="s">
        <v>452</v>
      </c>
      <c r="D425" s="299" t="s">
        <v>334</v>
      </c>
      <c r="E425" s="270"/>
      <c r="F425" s="271"/>
      <c r="G425" s="332"/>
      <c r="H425" s="272"/>
      <c r="I425" s="272"/>
      <c r="J425" s="351" t="str">
        <f>IFERROR(G425/#REF!,"-")</f>
        <v>-</v>
      </c>
      <c r="K425" s="332">
        <f t="shared" si="524"/>
        <v>0</v>
      </c>
      <c r="L425" s="272">
        <f t="shared" si="525"/>
        <v>0</v>
      </c>
      <c r="M425" s="273">
        <f t="shared" si="526"/>
        <v>0</v>
      </c>
      <c r="N425" s="337" t="str">
        <f t="shared" si="522"/>
        <v>-</v>
      </c>
      <c r="O425" s="346" t="str">
        <f t="shared" si="517"/>
        <v>-</v>
      </c>
    </row>
    <row r="426" spans="1:15" ht="23.4" x14ac:dyDescent="0.3">
      <c r="A426" s="274" t="s">
        <v>101</v>
      </c>
      <c r="B426" s="1051"/>
      <c r="C426" s="303" t="s">
        <v>501</v>
      </c>
      <c r="D426" s="300" t="s">
        <v>423</v>
      </c>
      <c r="E426" s="276">
        <v>125000</v>
      </c>
      <c r="F426" s="277"/>
      <c r="G426" s="333">
        <f t="shared" ref="G426" si="527">+H426+I426</f>
        <v>8116</v>
      </c>
      <c r="H426" s="278">
        <v>7488</v>
      </c>
      <c r="I426" s="278">
        <v>628</v>
      </c>
      <c r="J426" s="351" t="str">
        <f>IFERROR(G426/#REF!,"-")</f>
        <v>-</v>
      </c>
      <c r="K426" s="333">
        <f t="shared" si="524"/>
        <v>8116</v>
      </c>
      <c r="L426" s="272">
        <f t="shared" si="525"/>
        <v>7488</v>
      </c>
      <c r="M426" s="273">
        <f t="shared" si="526"/>
        <v>628</v>
      </c>
      <c r="N426" s="337">
        <f t="shared" si="522"/>
        <v>6.4928E-2</v>
      </c>
      <c r="O426" s="263">
        <f t="shared" si="517"/>
        <v>7.737801872843765E-2</v>
      </c>
    </row>
    <row r="427" spans="1:15" ht="23.4" x14ac:dyDescent="0.3">
      <c r="A427" s="274"/>
      <c r="B427" s="1051"/>
      <c r="C427" s="300" t="s">
        <v>459</v>
      </c>
      <c r="D427" s="300" t="s">
        <v>366</v>
      </c>
      <c r="E427" s="280"/>
      <c r="F427" s="281"/>
      <c r="G427" s="334"/>
      <c r="H427" s="282"/>
      <c r="I427" s="282"/>
      <c r="J427" s="351" t="str">
        <f>IFERROR(G427/#REF!,"-")</f>
        <v>-</v>
      </c>
      <c r="K427" s="333">
        <f t="shared" si="524"/>
        <v>0</v>
      </c>
      <c r="L427" s="272">
        <f t="shared" si="525"/>
        <v>0</v>
      </c>
      <c r="M427" s="272">
        <f t="shared" si="526"/>
        <v>0</v>
      </c>
      <c r="N427" s="337" t="str">
        <f t="shared" si="522"/>
        <v>-</v>
      </c>
      <c r="O427" s="263" t="str">
        <f t="shared" si="517"/>
        <v>-</v>
      </c>
    </row>
    <row r="428" spans="1:15" ht="24" thickBot="1" x14ac:dyDescent="0.35">
      <c r="A428" s="274" t="s">
        <v>101</v>
      </c>
      <c r="B428" s="1051"/>
      <c r="C428" s="300" t="s">
        <v>435</v>
      </c>
      <c r="D428" s="300" t="s">
        <v>423</v>
      </c>
      <c r="E428" s="280"/>
      <c r="F428" s="281"/>
      <c r="G428" s="334">
        <f t="shared" ref="G428" si="528">+H428+I428</f>
        <v>0</v>
      </c>
      <c r="H428" s="282"/>
      <c r="I428" s="282"/>
      <c r="J428" s="353" t="str">
        <f>IFERROR(G428/#REF!,"-")</f>
        <v>-</v>
      </c>
      <c r="K428" s="334">
        <f t="shared" si="524"/>
        <v>0</v>
      </c>
      <c r="L428" s="272">
        <f t="shared" si="525"/>
        <v>0</v>
      </c>
      <c r="M428" s="273">
        <f t="shared" si="526"/>
        <v>0</v>
      </c>
      <c r="N428" s="338" t="str">
        <f t="shared" si="522"/>
        <v>-</v>
      </c>
      <c r="O428" s="347" t="str">
        <f t="shared" si="517"/>
        <v>-</v>
      </c>
    </row>
    <row r="429" spans="1:15" ht="24" thickBot="1" x14ac:dyDescent="0.35">
      <c r="A429" s="274" t="s">
        <v>101</v>
      </c>
      <c r="B429" s="1051"/>
      <c r="C429" s="304"/>
      <c r="D429" s="305" t="s">
        <v>51</v>
      </c>
      <c r="E429" s="306">
        <f>SUM(E423:E428)</f>
        <v>125000</v>
      </c>
      <c r="F429" s="307">
        <v>50000</v>
      </c>
      <c r="G429" s="366">
        <f>SUM(G423:G428)</f>
        <v>8116</v>
      </c>
      <c r="H429" s="365">
        <f t="shared" ref="H429:I429" si="529">SUM(H423:H428)</f>
        <v>7488</v>
      </c>
      <c r="I429" s="365">
        <f t="shared" si="529"/>
        <v>628</v>
      </c>
      <c r="J429" s="356">
        <f>+G429/F429</f>
        <v>0.16231999999999999</v>
      </c>
      <c r="K429" s="366">
        <f t="shared" ref="K429:M429" si="530">SUM(K423:K428)</f>
        <v>8116</v>
      </c>
      <c r="L429" s="365">
        <f t="shared" si="530"/>
        <v>7488</v>
      </c>
      <c r="M429" s="367">
        <f t="shared" si="530"/>
        <v>628</v>
      </c>
      <c r="N429" s="355">
        <f t="shared" si="522"/>
        <v>6.4928E-2</v>
      </c>
      <c r="O429" s="356">
        <f t="shared" si="517"/>
        <v>7.737801872843765E-2</v>
      </c>
    </row>
    <row r="430" spans="1:15" ht="24" thickBot="1" x14ac:dyDescent="0.35">
      <c r="A430" s="274" t="s">
        <v>101</v>
      </c>
      <c r="B430" s="1054" t="s">
        <v>163</v>
      </c>
      <c r="C430" s="1055"/>
      <c r="D430" s="1056"/>
      <c r="E430" s="308">
        <f>+E429+E422</f>
        <v>350000</v>
      </c>
      <c r="F430" s="309">
        <v>50000</v>
      </c>
      <c r="G430" s="369">
        <f>+G422+G429</f>
        <v>8116</v>
      </c>
      <c r="H430" s="368">
        <f t="shared" ref="H430:I430" si="531">+H422+H429</f>
        <v>7488</v>
      </c>
      <c r="I430" s="368">
        <f t="shared" si="531"/>
        <v>628</v>
      </c>
      <c r="J430" s="358">
        <f>+G430/F430</f>
        <v>0.16231999999999999</v>
      </c>
      <c r="K430" s="369">
        <f t="shared" ref="K430:M430" si="532">+K422+K429</f>
        <v>8116</v>
      </c>
      <c r="L430" s="368">
        <f t="shared" si="532"/>
        <v>7488</v>
      </c>
      <c r="M430" s="370">
        <f t="shared" si="532"/>
        <v>628</v>
      </c>
      <c r="N430" s="357">
        <f t="shared" si="522"/>
        <v>2.318857142857143E-2</v>
      </c>
      <c r="O430" s="358">
        <f t="shared" si="517"/>
        <v>7.737801872843765E-2</v>
      </c>
    </row>
    <row r="431" spans="1:15" ht="24" thickBot="1" x14ac:dyDescent="0.35">
      <c r="A431" s="274" t="s">
        <v>101</v>
      </c>
      <c r="B431" s="598" t="s">
        <v>32</v>
      </c>
      <c r="C431" s="781"/>
      <c r="D431" s="310" t="s">
        <v>32</v>
      </c>
      <c r="E431" s="287">
        <v>0</v>
      </c>
      <c r="F431" s="288">
        <v>110000</v>
      </c>
      <c r="G431" s="335">
        <f t="shared" ref="G431" si="533">+H431+I431</f>
        <v>0</v>
      </c>
      <c r="H431" s="289"/>
      <c r="I431" s="289"/>
      <c r="J431" s="354" t="str">
        <f>IFERROR(G431/#REF!,"-")</f>
        <v>-</v>
      </c>
      <c r="K431" s="335">
        <f>+L431+M431</f>
        <v>0</v>
      </c>
      <c r="L431" s="289">
        <f>+H431+L318</f>
        <v>0</v>
      </c>
      <c r="M431" s="290">
        <f>+I431+M318</f>
        <v>0</v>
      </c>
      <c r="N431" s="340" t="str">
        <f t="shared" si="522"/>
        <v>-</v>
      </c>
      <c r="O431" s="348" t="str">
        <f t="shared" si="517"/>
        <v>-</v>
      </c>
    </row>
    <row r="432" spans="1:15" ht="24" thickBot="1" x14ac:dyDescent="0.35">
      <c r="A432" s="274" t="s">
        <v>101</v>
      </c>
      <c r="B432" s="1047" t="s">
        <v>21</v>
      </c>
      <c r="C432" s="1048"/>
      <c r="D432" s="1049"/>
      <c r="E432" s="326">
        <f>+E418+E430+E431</f>
        <v>2215664</v>
      </c>
      <c r="F432" s="327">
        <f>+F418+F430+F431</f>
        <v>400000</v>
      </c>
      <c r="G432" s="326">
        <f>+G418+G430+G431</f>
        <v>120937</v>
      </c>
      <c r="H432" s="324">
        <f>+H418+H430+H431</f>
        <v>118872</v>
      </c>
      <c r="I432" s="324">
        <f>+I418+I430+I431</f>
        <v>2065</v>
      </c>
      <c r="J432" s="349">
        <f>+G432/F432</f>
        <v>0.30234250000000001</v>
      </c>
      <c r="K432" s="326">
        <f>+K418+K430+K431</f>
        <v>499619</v>
      </c>
      <c r="L432" s="324">
        <f>+L418+L430+L431</f>
        <v>492804</v>
      </c>
      <c r="M432" s="325">
        <f>+M418+M430+M431</f>
        <v>6815</v>
      </c>
      <c r="N432" s="341">
        <f t="shared" si="522"/>
        <v>0.22549402797536089</v>
      </c>
      <c r="O432" s="349">
        <f t="shared" si="517"/>
        <v>1.3640393980212922E-2</v>
      </c>
    </row>
    <row r="433" spans="1:15" ht="24" thickBot="1" x14ac:dyDescent="0.35">
      <c r="A433" s="274" t="s">
        <v>101</v>
      </c>
      <c r="B433" s="1019" t="s">
        <v>171</v>
      </c>
      <c r="C433" s="1020"/>
      <c r="D433" s="1021"/>
      <c r="E433" s="330">
        <f>+E432</f>
        <v>2215664</v>
      </c>
      <c r="F433" s="331">
        <f t="shared" ref="F433:I433" si="534">+F432</f>
        <v>400000</v>
      </c>
      <c r="G433" s="330">
        <f t="shared" si="534"/>
        <v>120937</v>
      </c>
      <c r="H433" s="328">
        <f t="shared" si="534"/>
        <v>118872</v>
      </c>
      <c r="I433" s="328">
        <f t="shared" si="534"/>
        <v>2065</v>
      </c>
      <c r="J433" s="350">
        <f>+J432</f>
        <v>0.30234250000000001</v>
      </c>
      <c r="K433" s="330">
        <f>+K432</f>
        <v>499619</v>
      </c>
      <c r="L433" s="328">
        <f t="shared" ref="L433" si="535">+L432</f>
        <v>492804</v>
      </c>
      <c r="M433" s="329">
        <f>+M432</f>
        <v>6815</v>
      </c>
      <c r="N433" s="342">
        <f t="shared" ref="N433:O433" si="536">+N432</f>
        <v>0.22549402797536089</v>
      </c>
      <c r="O433" s="350">
        <f t="shared" si="536"/>
        <v>1.3640393980212922E-2</v>
      </c>
    </row>
    <row r="434" spans="1:15" ht="23.4" x14ac:dyDescent="0.3">
      <c r="A434" s="268" t="s">
        <v>102</v>
      </c>
      <c r="B434" s="1022" t="s">
        <v>401</v>
      </c>
      <c r="C434" s="311" t="s">
        <v>113</v>
      </c>
      <c r="D434" s="311"/>
      <c r="E434" s="270"/>
      <c r="F434" s="271"/>
      <c r="G434" s="332">
        <f t="shared" ref="G434:G436" si="537">+H434+I434</f>
        <v>0</v>
      </c>
      <c r="H434" s="272"/>
      <c r="I434" s="272"/>
      <c r="J434" s="351" t="str">
        <f>IFERROR(G434/#REF!,"-")</f>
        <v>-</v>
      </c>
      <c r="K434" s="332">
        <f t="shared" ref="K434:K436" si="538">+L434+M434</f>
        <v>0</v>
      </c>
      <c r="L434" s="272">
        <f t="shared" ref="L434:L436" si="539">+H434+L321</f>
        <v>0</v>
      </c>
      <c r="M434" s="273">
        <f t="shared" ref="M434:M436" si="540">+I434+M321</f>
        <v>0</v>
      </c>
      <c r="N434" s="336" t="str">
        <f t="shared" ref="N434:N441" si="541">IFERROR(K434/E434,"-")</f>
        <v>-</v>
      </c>
      <c r="O434" s="346" t="str">
        <f t="shared" ref="O434:O459" si="542">IFERROR(M434/K434,"-")</f>
        <v>-</v>
      </c>
    </row>
    <row r="435" spans="1:15" ht="23.4" x14ac:dyDescent="0.3">
      <c r="A435" s="274" t="s">
        <v>102</v>
      </c>
      <c r="B435" s="1023"/>
      <c r="C435" s="312" t="s">
        <v>247</v>
      </c>
      <c r="D435" s="312"/>
      <c r="E435" s="276">
        <v>2000</v>
      </c>
      <c r="F435" s="277"/>
      <c r="G435" s="333">
        <f t="shared" si="537"/>
        <v>1440</v>
      </c>
      <c r="H435" s="278">
        <v>1300</v>
      </c>
      <c r="I435" s="278">
        <v>140</v>
      </c>
      <c r="J435" s="352" t="str">
        <f>IFERROR(G435/#REF!,"-")</f>
        <v>-</v>
      </c>
      <c r="K435" s="333">
        <f t="shared" si="538"/>
        <v>3437</v>
      </c>
      <c r="L435" s="272">
        <f t="shared" si="539"/>
        <v>3200</v>
      </c>
      <c r="M435" s="273">
        <f t="shared" si="540"/>
        <v>237</v>
      </c>
      <c r="N435" s="337">
        <f t="shared" si="541"/>
        <v>1.7184999999999999</v>
      </c>
      <c r="O435" s="263">
        <f t="shared" si="542"/>
        <v>6.8955484434099504E-2</v>
      </c>
    </row>
    <row r="436" spans="1:15" ht="24" thickBot="1" x14ac:dyDescent="0.35">
      <c r="A436" s="274" t="s">
        <v>102</v>
      </c>
      <c r="B436" s="1024"/>
      <c r="C436" s="313" t="s">
        <v>33</v>
      </c>
      <c r="D436" s="313"/>
      <c r="E436" s="280"/>
      <c r="F436" s="281"/>
      <c r="G436" s="334">
        <f t="shared" si="537"/>
        <v>0</v>
      </c>
      <c r="H436" s="282"/>
      <c r="I436" s="282"/>
      <c r="J436" s="353" t="str">
        <f>IFERROR(G436/#REF!,"-")</f>
        <v>-</v>
      </c>
      <c r="K436" s="334">
        <f t="shared" si="538"/>
        <v>0</v>
      </c>
      <c r="L436" s="272">
        <f t="shared" si="539"/>
        <v>0</v>
      </c>
      <c r="M436" s="273">
        <f t="shared" si="540"/>
        <v>0</v>
      </c>
      <c r="N436" s="338" t="str">
        <f t="shared" si="541"/>
        <v>-</v>
      </c>
      <c r="O436" s="347" t="str">
        <f t="shared" si="542"/>
        <v>-</v>
      </c>
    </row>
    <row r="437" spans="1:15" ht="24" thickBot="1" x14ac:dyDescent="0.35">
      <c r="A437" s="274" t="s">
        <v>102</v>
      </c>
      <c r="B437" s="1025" t="s">
        <v>34</v>
      </c>
      <c r="C437" s="1026"/>
      <c r="D437" s="1027"/>
      <c r="E437" s="284">
        <f>SUM(E434:E436)</f>
        <v>2000</v>
      </c>
      <c r="F437" s="285">
        <v>6500</v>
      </c>
      <c r="G437" s="320">
        <f>SUM(G434:G436)</f>
        <v>1440</v>
      </c>
      <c r="H437" s="321">
        <f t="shared" ref="H437:I437" si="543">SUM(H434:H436)</f>
        <v>1300</v>
      </c>
      <c r="I437" s="321">
        <f t="shared" si="543"/>
        <v>140</v>
      </c>
      <c r="J437" s="345" t="str">
        <f>IFERROR(G437/#REF!,"-")</f>
        <v>-</v>
      </c>
      <c r="K437" s="320">
        <f t="shared" ref="K437:M437" si="544">SUM(K434:K436)</f>
        <v>3437</v>
      </c>
      <c r="L437" s="321">
        <f t="shared" si="544"/>
        <v>3200</v>
      </c>
      <c r="M437" s="322">
        <f t="shared" si="544"/>
        <v>237</v>
      </c>
      <c r="N437" s="339">
        <f t="shared" si="541"/>
        <v>1.7184999999999999</v>
      </c>
      <c r="O437" s="345">
        <f t="shared" si="542"/>
        <v>6.8955484434099504E-2</v>
      </c>
    </row>
    <row r="438" spans="1:15" ht="23.4" x14ac:dyDescent="0.3">
      <c r="A438" s="274" t="s">
        <v>102</v>
      </c>
      <c r="B438" s="1022" t="s">
        <v>35</v>
      </c>
      <c r="C438" s="311" t="s">
        <v>113</v>
      </c>
      <c r="D438" s="311"/>
      <c r="E438" s="270"/>
      <c r="F438" s="271"/>
      <c r="G438" s="332">
        <f t="shared" ref="G438:G441" si="545">+H438+I438</f>
        <v>0</v>
      </c>
      <c r="H438" s="272"/>
      <c r="I438" s="272"/>
      <c r="J438" s="351" t="str">
        <f>IFERROR(G438/#REF!,"-")</f>
        <v>-</v>
      </c>
      <c r="K438" s="332">
        <f t="shared" ref="K438:K441" si="546">+L438+M438</f>
        <v>0</v>
      </c>
      <c r="L438" s="272">
        <f t="shared" ref="L438:L441" si="547">+H438+L325</f>
        <v>0</v>
      </c>
      <c r="M438" s="273">
        <f t="shared" ref="M438:M441" si="548">+I438+M325</f>
        <v>0</v>
      </c>
      <c r="N438" s="336" t="str">
        <f t="shared" si="541"/>
        <v>-</v>
      </c>
      <c r="O438" s="346" t="str">
        <f t="shared" si="542"/>
        <v>-</v>
      </c>
    </row>
    <row r="439" spans="1:15" ht="23.4" x14ac:dyDescent="0.3">
      <c r="A439" s="274" t="s">
        <v>102</v>
      </c>
      <c r="B439" s="1023"/>
      <c r="C439" s="312" t="s">
        <v>247</v>
      </c>
      <c r="D439" s="312"/>
      <c r="E439" s="276"/>
      <c r="F439" s="277"/>
      <c r="G439" s="333">
        <f t="shared" si="545"/>
        <v>0</v>
      </c>
      <c r="H439" s="278"/>
      <c r="I439" s="278"/>
      <c r="J439" s="352" t="str">
        <f>IFERROR(G439/#REF!,"-")</f>
        <v>-</v>
      </c>
      <c r="K439" s="333">
        <f t="shared" si="546"/>
        <v>0</v>
      </c>
      <c r="L439" s="272">
        <f t="shared" si="547"/>
        <v>0</v>
      </c>
      <c r="M439" s="273">
        <f t="shared" si="548"/>
        <v>0</v>
      </c>
      <c r="N439" s="337" t="str">
        <f t="shared" si="541"/>
        <v>-</v>
      </c>
      <c r="O439" s="263" t="str">
        <f t="shared" si="542"/>
        <v>-</v>
      </c>
    </row>
    <row r="440" spans="1:15" ht="23.4" x14ac:dyDescent="0.3">
      <c r="A440" s="274" t="s">
        <v>102</v>
      </c>
      <c r="B440" s="1023"/>
      <c r="C440" s="312" t="s">
        <v>496</v>
      </c>
      <c r="D440" s="312"/>
      <c r="E440" s="276">
        <v>20000</v>
      </c>
      <c r="F440" s="277"/>
      <c r="G440" s="333">
        <f t="shared" si="545"/>
        <v>0</v>
      </c>
      <c r="H440" s="278"/>
      <c r="I440" s="278"/>
      <c r="J440" s="352" t="str">
        <f>IFERROR(G440/#REF!,"-")</f>
        <v>-</v>
      </c>
      <c r="K440" s="333">
        <f t="shared" si="546"/>
        <v>0</v>
      </c>
      <c r="L440" s="272">
        <f t="shared" si="547"/>
        <v>0</v>
      </c>
      <c r="M440" s="273">
        <f t="shared" si="548"/>
        <v>0</v>
      </c>
      <c r="N440" s="337">
        <f t="shared" si="541"/>
        <v>0</v>
      </c>
      <c r="O440" s="263" t="str">
        <f t="shared" si="542"/>
        <v>-</v>
      </c>
    </row>
    <row r="441" spans="1:15" ht="24" thickBot="1" x14ac:dyDescent="0.35">
      <c r="A441" s="274" t="s">
        <v>102</v>
      </c>
      <c r="B441" s="1024"/>
      <c r="C441" s="313" t="s">
        <v>36</v>
      </c>
      <c r="D441" s="313"/>
      <c r="E441" s="280"/>
      <c r="F441" s="281"/>
      <c r="G441" s="334">
        <f t="shared" si="545"/>
        <v>0</v>
      </c>
      <c r="H441" s="282"/>
      <c r="I441" s="282"/>
      <c r="J441" s="353" t="str">
        <f>IFERROR(G441/#REF!,"-")</f>
        <v>-</v>
      </c>
      <c r="K441" s="334">
        <f t="shared" si="546"/>
        <v>0</v>
      </c>
      <c r="L441" s="272">
        <f t="shared" si="547"/>
        <v>0</v>
      </c>
      <c r="M441" s="273">
        <f t="shared" si="548"/>
        <v>0</v>
      </c>
      <c r="N441" s="338" t="str">
        <f t="shared" si="541"/>
        <v>-</v>
      </c>
      <c r="O441" s="347" t="str">
        <f t="shared" si="542"/>
        <v>-</v>
      </c>
    </row>
    <row r="442" spans="1:15" ht="24" thickBot="1" x14ac:dyDescent="0.35">
      <c r="A442" s="274" t="s">
        <v>102</v>
      </c>
      <c r="B442" s="1025" t="s">
        <v>37</v>
      </c>
      <c r="C442" s="1026"/>
      <c r="D442" s="1027"/>
      <c r="E442" s="284">
        <f>SUM(E438:E441)</f>
        <v>20000</v>
      </c>
      <c r="F442" s="285">
        <v>6500</v>
      </c>
      <c r="G442" s="320">
        <f>SUM(G438:G441)</f>
        <v>0</v>
      </c>
      <c r="H442" s="321">
        <f t="shared" ref="H442:I442" si="549">SUM(H438:H441)</f>
        <v>0</v>
      </c>
      <c r="I442" s="321">
        <f t="shared" si="549"/>
        <v>0</v>
      </c>
      <c r="J442" s="345" t="str">
        <f>IFERROR(G442/#REF!,"-")</f>
        <v>-</v>
      </c>
      <c r="K442" s="320">
        <f t="shared" ref="K442:M442" si="550">SUM(K438:K441)</f>
        <v>0</v>
      </c>
      <c r="L442" s="321">
        <f t="shared" si="550"/>
        <v>0</v>
      </c>
      <c r="M442" s="322">
        <f t="shared" si="550"/>
        <v>0</v>
      </c>
      <c r="N442" s="339">
        <f>IFERROR(K442/E442,"-")</f>
        <v>0</v>
      </c>
      <c r="O442" s="345" t="str">
        <f t="shared" si="542"/>
        <v>-</v>
      </c>
    </row>
    <row r="443" spans="1:15" ht="23.4" x14ac:dyDescent="0.3">
      <c r="A443" s="274" t="s">
        <v>102</v>
      </c>
      <c r="B443" s="1022" t="s">
        <v>402</v>
      </c>
      <c r="C443" s="314" t="s">
        <v>116</v>
      </c>
      <c r="D443" s="314"/>
      <c r="E443" s="270">
        <v>14000</v>
      </c>
      <c r="F443" s="271"/>
      <c r="G443" s="332">
        <f t="shared" ref="G443:G444" si="551">+H443+I443</f>
        <v>0</v>
      </c>
      <c r="H443" s="272"/>
      <c r="I443" s="272"/>
      <c r="J443" s="351" t="str">
        <f>IFERROR(G443/#REF!,"-")</f>
        <v>-</v>
      </c>
      <c r="K443" s="332">
        <f t="shared" ref="K443:K444" si="552">+L443+M443</f>
        <v>0</v>
      </c>
      <c r="L443" s="272">
        <f t="shared" ref="L443:L444" si="553">+H443+L330</f>
        <v>0</v>
      </c>
      <c r="M443" s="273">
        <f t="shared" ref="M443:M444" si="554">+I443+M330</f>
        <v>0</v>
      </c>
      <c r="N443" s="336">
        <f t="shared" ref="N443:N459" si="555">IFERROR(K443/E443,"-")</f>
        <v>0</v>
      </c>
      <c r="O443" s="346" t="str">
        <f t="shared" si="542"/>
        <v>-</v>
      </c>
    </row>
    <row r="444" spans="1:15" ht="24" thickBot="1" x14ac:dyDescent="0.35">
      <c r="A444" s="274" t="s">
        <v>102</v>
      </c>
      <c r="B444" s="1024"/>
      <c r="C444" s="286" t="s">
        <v>132</v>
      </c>
      <c r="D444" s="286"/>
      <c r="E444" s="280"/>
      <c r="F444" s="281"/>
      <c r="G444" s="334">
        <f t="shared" si="551"/>
        <v>0</v>
      </c>
      <c r="H444" s="282"/>
      <c r="I444" s="282"/>
      <c r="J444" s="353" t="str">
        <f>IFERROR(G444/#REF!,"-")</f>
        <v>-</v>
      </c>
      <c r="K444" s="334">
        <f t="shared" si="552"/>
        <v>2660</v>
      </c>
      <c r="L444" s="272">
        <f t="shared" si="553"/>
        <v>2490</v>
      </c>
      <c r="M444" s="273">
        <f t="shared" si="554"/>
        <v>170</v>
      </c>
      <c r="N444" s="338" t="str">
        <f t="shared" si="555"/>
        <v>-</v>
      </c>
      <c r="O444" s="347">
        <f t="shared" si="542"/>
        <v>6.3909774436090222E-2</v>
      </c>
    </row>
    <row r="445" spans="1:15" ht="24" thickBot="1" x14ac:dyDescent="0.35">
      <c r="A445" s="785" t="s">
        <v>102</v>
      </c>
      <c r="B445" s="1025" t="s">
        <v>38</v>
      </c>
      <c r="C445" s="1026"/>
      <c r="D445" s="1027"/>
      <c r="E445" s="284">
        <f>SUM(E443:E444)</f>
        <v>14000</v>
      </c>
      <c r="F445" s="285">
        <v>2800</v>
      </c>
      <c r="G445" s="320">
        <f>SUM(G443:G444)</f>
        <v>0</v>
      </c>
      <c r="H445" s="321">
        <f t="shared" ref="H445:I445" si="556">SUM(H443:H444)</f>
        <v>0</v>
      </c>
      <c r="I445" s="321">
        <f t="shared" si="556"/>
        <v>0</v>
      </c>
      <c r="J445" s="345" t="str">
        <f>IFERROR(G445/#REF!,"-")</f>
        <v>-</v>
      </c>
      <c r="K445" s="320">
        <f t="shared" ref="K445:M445" si="557">SUM(K443:K444)</f>
        <v>2660</v>
      </c>
      <c r="L445" s="321">
        <f t="shared" si="557"/>
        <v>2490</v>
      </c>
      <c r="M445" s="322">
        <f t="shared" si="557"/>
        <v>170</v>
      </c>
      <c r="N445" s="339">
        <f t="shared" si="555"/>
        <v>0.19</v>
      </c>
      <c r="O445" s="345">
        <f t="shared" si="542"/>
        <v>6.3909774436090222E-2</v>
      </c>
    </row>
    <row r="446" spans="1:15" ht="23.4" x14ac:dyDescent="0.3">
      <c r="A446" s="274" t="s">
        <v>102</v>
      </c>
      <c r="B446" s="1022" t="s">
        <v>403</v>
      </c>
      <c r="C446" s="269" t="s">
        <v>306</v>
      </c>
      <c r="D446" s="269"/>
      <c r="E446" s="270">
        <f>176000+39000+35000+36000+19000</f>
        <v>305000</v>
      </c>
      <c r="F446" s="315"/>
      <c r="G446" s="332">
        <f t="shared" ref="G446:G450" si="558">+H446+I446</f>
        <v>19497</v>
      </c>
      <c r="H446" s="272">
        <v>19356</v>
      </c>
      <c r="I446" s="272">
        <v>141</v>
      </c>
      <c r="J446" s="371" t="str">
        <f>IFERROR(G446/#REF!,"-")</f>
        <v>-</v>
      </c>
      <c r="K446" s="332">
        <f t="shared" ref="K446:K450" si="559">+L446+M446</f>
        <v>78714</v>
      </c>
      <c r="L446" s="272">
        <f t="shared" ref="L446:L450" si="560">+H446+L333</f>
        <v>78156</v>
      </c>
      <c r="M446" s="272">
        <f t="shared" ref="M446:M450" si="561">+I446+M333</f>
        <v>558</v>
      </c>
      <c r="N446" s="359">
        <f t="shared" si="555"/>
        <v>0.25807868852459015</v>
      </c>
      <c r="O446" s="360">
        <f t="shared" si="542"/>
        <v>7.0889549508346677E-3</v>
      </c>
    </row>
    <row r="447" spans="1:15" ht="23.4" x14ac:dyDescent="0.3">
      <c r="A447" s="274" t="s">
        <v>102</v>
      </c>
      <c r="B447" s="1023"/>
      <c r="C447" s="269" t="s">
        <v>307</v>
      </c>
      <c r="D447" s="275"/>
      <c r="E447" s="276"/>
      <c r="F447" s="316"/>
      <c r="G447" s="333">
        <f t="shared" si="558"/>
        <v>0</v>
      </c>
      <c r="H447" s="278"/>
      <c r="I447" s="278"/>
      <c r="J447" s="372" t="str">
        <f>IFERROR(G447/#REF!,"-")</f>
        <v>-</v>
      </c>
      <c r="K447" s="333">
        <f t="shared" si="559"/>
        <v>0</v>
      </c>
      <c r="L447" s="272">
        <f t="shared" si="560"/>
        <v>0</v>
      </c>
      <c r="M447" s="273">
        <f t="shared" si="561"/>
        <v>0</v>
      </c>
      <c r="N447" s="361" t="str">
        <f t="shared" si="555"/>
        <v>-</v>
      </c>
      <c r="O447" s="362" t="str">
        <f t="shared" si="542"/>
        <v>-</v>
      </c>
    </row>
    <row r="448" spans="1:15" ht="23.4" x14ac:dyDescent="0.3">
      <c r="A448" s="274" t="s">
        <v>102</v>
      </c>
      <c r="B448" s="1023"/>
      <c r="C448" s="275" t="s">
        <v>499</v>
      </c>
      <c r="D448" s="275"/>
      <c r="E448" s="276">
        <f>70000+15000</f>
        <v>85000</v>
      </c>
      <c r="F448" s="316"/>
      <c r="G448" s="333">
        <f t="shared" si="558"/>
        <v>7360</v>
      </c>
      <c r="H448" s="278">
        <v>7200</v>
      </c>
      <c r="I448" s="278">
        <v>160</v>
      </c>
      <c r="J448" s="372" t="str">
        <f>IFERROR(G448/#REF!,"-")</f>
        <v>-</v>
      </c>
      <c r="K448" s="333">
        <f t="shared" si="559"/>
        <v>7360</v>
      </c>
      <c r="L448" s="272">
        <f t="shared" si="560"/>
        <v>7200</v>
      </c>
      <c r="M448" s="273">
        <f t="shared" si="561"/>
        <v>160</v>
      </c>
      <c r="N448" s="361">
        <f t="shared" si="555"/>
        <v>8.6588235294117646E-2</v>
      </c>
      <c r="O448" s="362">
        <f t="shared" si="542"/>
        <v>2.1739130434782608E-2</v>
      </c>
    </row>
    <row r="449" spans="1:15" ht="23.4" x14ac:dyDescent="0.3">
      <c r="A449" s="274" t="s">
        <v>102</v>
      </c>
      <c r="B449" s="1023"/>
      <c r="C449" s="275" t="s">
        <v>157</v>
      </c>
      <c r="D449" s="275"/>
      <c r="E449" s="276"/>
      <c r="F449" s="316"/>
      <c r="G449" s="333">
        <f t="shared" si="558"/>
        <v>0</v>
      </c>
      <c r="H449" s="278"/>
      <c r="I449" s="278"/>
      <c r="J449" s="372" t="str">
        <f>IFERROR(G449/#REF!,"-")</f>
        <v>-</v>
      </c>
      <c r="K449" s="333">
        <f t="shared" si="559"/>
        <v>0</v>
      </c>
      <c r="L449" s="272">
        <f t="shared" si="560"/>
        <v>0</v>
      </c>
      <c r="M449" s="273">
        <f t="shared" si="561"/>
        <v>0</v>
      </c>
      <c r="N449" s="361" t="str">
        <f t="shared" si="555"/>
        <v>-</v>
      </c>
      <c r="O449" s="362" t="str">
        <f t="shared" si="542"/>
        <v>-</v>
      </c>
    </row>
    <row r="450" spans="1:15" ht="24" thickBot="1" x14ac:dyDescent="0.35">
      <c r="A450" s="274" t="s">
        <v>102</v>
      </c>
      <c r="B450" s="1024"/>
      <c r="C450" s="279" t="s">
        <v>158</v>
      </c>
      <c r="D450" s="279"/>
      <c r="E450" s="280"/>
      <c r="F450" s="317"/>
      <c r="G450" s="334">
        <f t="shared" si="558"/>
        <v>0</v>
      </c>
      <c r="H450" s="282"/>
      <c r="I450" s="282"/>
      <c r="J450" s="373" t="str">
        <f>IFERROR(G450/#REF!,"-")</f>
        <v>-</v>
      </c>
      <c r="K450" s="334">
        <f t="shared" si="559"/>
        <v>0</v>
      </c>
      <c r="L450" s="272">
        <f t="shared" si="560"/>
        <v>0</v>
      </c>
      <c r="M450" s="273">
        <f t="shared" si="561"/>
        <v>0</v>
      </c>
      <c r="N450" s="363" t="str">
        <f t="shared" si="555"/>
        <v>-</v>
      </c>
      <c r="O450" s="364" t="str">
        <f t="shared" si="542"/>
        <v>-</v>
      </c>
    </row>
    <row r="451" spans="1:15" ht="24" thickBot="1" x14ac:dyDescent="0.35">
      <c r="A451" s="274" t="s">
        <v>102</v>
      </c>
      <c r="B451" s="1025" t="s">
        <v>39</v>
      </c>
      <c r="C451" s="1026"/>
      <c r="D451" s="1027"/>
      <c r="E451" s="320">
        <f>SUM(E446:E450)</f>
        <v>390000</v>
      </c>
      <c r="F451" s="285">
        <v>25000</v>
      </c>
      <c r="G451" s="320">
        <f>SUM(G446:G450)</f>
        <v>26857</v>
      </c>
      <c r="H451" s="321">
        <f>SUM(H446:H450)</f>
        <v>26556</v>
      </c>
      <c r="I451" s="321">
        <f>SUM(I446:I450)</f>
        <v>301</v>
      </c>
      <c r="J451" s="345" t="str">
        <f>IFERROR(G451/#REF!,"-")</f>
        <v>-</v>
      </c>
      <c r="K451" s="320">
        <f>SUM(K446:K450)</f>
        <v>86074</v>
      </c>
      <c r="L451" s="321">
        <f>SUM(L446:L450)</f>
        <v>85356</v>
      </c>
      <c r="M451" s="322">
        <f>SUM(M446:M450)</f>
        <v>718</v>
      </c>
      <c r="N451" s="339">
        <f t="shared" si="555"/>
        <v>0.22070256410256411</v>
      </c>
      <c r="O451" s="345">
        <f t="shared" si="542"/>
        <v>8.3416595022887275E-3</v>
      </c>
    </row>
    <row r="452" spans="1:15" ht="23.4" x14ac:dyDescent="0.3">
      <c r="A452" s="274" t="s">
        <v>102</v>
      </c>
      <c r="B452" s="1022" t="s">
        <v>404</v>
      </c>
      <c r="C452" s="269" t="s">
        <v>186</v>
      </c>
      <c r="D452" s="269"/>
      <c r="E452" s="270"/>
      <c r="F452" s="271"/>
      <c r="G452" s="332">
        <f t="shared" ref="G452:G454" si="562">+H452+I452</f>
        <v>0</v>
      </c>
      <c r="H452" s="272"/>
      <c r="I452" s="272"/>
      <c r="J452" s="351" t="str">
        <f>IFERROR(G452/#REF!,"-")</f>
        <v>-</v>
      </c>
      <c r="K452" s="332">
        <f t="shared" ref="K452:K454" si="563">+L452+M452</f>
        <v>0</v>
      </c>
      <c r="L452" s="272">
        <f t="shared" ref="L452:L454" si="564">+H452+L339</f>
        <v>0</v>
      </c>
      <c r="M452" s="273">
        <f t="shared" ref="M452:M454" si="565">+I452+M339</f>
        <v>0</v>
      </c>
      <c r="N452" s="336" t="str">
        <f t="shared" si="555"/>
        <v>-</v>
      </c>
      <c r="O452" s="346" t="str">
        <f t="shared" si="542"/>
        <v>-</v>
      </c>
    </row>
    <row r="453" spans="1:15" ht="23.4" x14ac:dyDescent="0.3">
      <c r="A453" s="274" t="s">
        <v>102</v>
      </c>
      <c r="B453" s="1023"/>
      <c r="C453" s="275" t="s">
        <v>497</v>
      </c>
      <c r="D453" s="275"/>
      <c r="E453" s="276">
        <f>33000+15000</f>
        <v>48000</v>
      </c>
      <c r="F453" s="277"/>
      <c r="G453" s="333">
        <f t="shared" si="562"/>
        <v>0</v>
      </c>
      <c r="H453" s="278"/>
      <c r="I453" s="278"/>
      <c r="J453" s="372" t="str">
        <f>IFERROR(G453/#REF!,"-")</f>
        <v>-</v>
      </c>
      <c r="K453" s="333">
        <f t="shared" si="563"/>
        <v>11826</v>
      </c>
      <c r="L453" s="714">
        <f t="shared" si="564"/>
        <v>11400</v>
      </c>
      <c r="M453" s="273">
        <f t="shared" si="565"/>
        <v>426</v>
      </c>
      <c r="N453" s="361">
        <f t="shared" si="555"/>
        <v>0.24637500000000001</v>
      </c>
      <c r="O453" s="362">
        <f t="shared" si="542"/>
        <v>3.6022323693556568E-2</v>
      </c>
    </row>
    <row r="454" spans="1:15" ht="24" thickBot="1" x14ac:dyDescent="0.35">
      <c r="A454" s="274" t="s">
        <v>102</v>
      </c>
      <c r="B454" s="1024"/>
      <c r="C454" s="279" t="s">
        <v>498</v>
      </c>
      <c r="D454" s="279"/>
      <c r="E454" s="280">
        <f>50000+10000</f>
        <v>60000</v>
      </c>
      <c r="F454" s="281"/>
      <c r="G454" s="334">
        <f t="shared" si="562"/>
        <v>0</v>
      </c>
      <c r="H454" s="282"/>
      <c r="I454" s="282"/>
      <c r="J454" s="373" t="str">
        <f>IFERROR(G454/#REF!,"-")</f>
        <v>-</v>
      </c>
      <c r="K454" s="334">
        <f t="shared" si="563"/>
        <v>0</v>
      </c>
      <c r="L454" s="272">
        <f t="shared" si="564"/>
        <v>0</v>
      </c>
      <c r="M454" s="273">
        <f t="shared" si="565"/>
        <v>0</v>
      </c>
      <c r="N454" s="363">
        <f t="shared" si="555"/>
        <v>0</v>
      </c>
      <c r="O454" s="364" t="str">
        <f t="shared" si="542"/>
        <v>-</v>
      </c>
    </row>
    <row r="455" spans="1:15" ht="24" thickBot="1" x14ac:dyDescent="0.35">
      <c r="A455" s="274" t="s">
        <v>102</v>
      </c>
      <c r="B455" s="1034" t="s">
        <v>41</v>
      </c>
      <c r="C455" s="1035"/>
      <c r="D455" s="1036"/>
      <c r="E455" s="320">
        <f>SUM(E452:E454)</f>
        <v>108000</v>
      </c>
      <c r="F455" s="285"/>
      <c r="G455" s="320">
        <f>SUM(G452:G454)</f>
        <v>0</v>
      </c>
      <c r="H455" s="321">
        <f t="shared" ref="H455:I455" si="566">SUM(H452:H454)</f>
        <v>0</v>
      </c>
      <c r="I455" s="321">
        <f t="shared" si="566"/>
        <v>0</v>
      </c>
      <c r="J455" s="345" t="str">
        <f>IFERROR(G455/#REF!,"-")</f>
        <v>-</v>
      </c>
      <c r="K455" s="320">
        <f t="shared" ref="K455:M455" si="567">SUM(K452:K454)</f>
        <v>11826</v>
      </c>
      <c r="L455" s="365">
        <f t="shared" si="567"/>
        <v>11400</v>
      </c>
      <c r="M455" s="367">
        <f t="shared" si="567"/>
        <v>426</v>
      </c>
      <c r="N455" s="339">
        <f t="shared" si="555"/>
        <v>0.1095</v>
      </c>
      <c r="O455" s="345">
        <f t="shared" si="542"/>
        <v>3.6022323693556568E-2</v>
      </c>
    </row>
    <row r="456" spans="1:15" ht="24" thickBot="1" x14ac:dyDescent="0.35">
      <c r="A456" s="274" t="s">
        <v>102</v>
      </c>
      <c r="B456" s="1022" t="s">
        <v>42</v>
      </c>
      <c r="C456" s="269" t="s">
        <v>160</v>
      </c>
      <c r="D456" s="269"/>
      <c r="E456" s="270">
        <v>11076</v>
      </c>
      <c r="F456" s="271"/>
      <c r="G456" s="332">
        <f t="shared" ref="G456:G457" si="568">+H456+I456</f>
        <v>0</v>
      </c>
      <c r="H456" s="272"/>
      <c r="I456" s="272"/>
      <c r="J456" s="371" t="str">
        <f>IFERROR(G456/#REF!,"-")</f>
        <v>-</v>
      </c>
      <c r="K456" s="695">
        <f t="shared" ref="K456:K457" si="569">+L456+M456</f>
        <v>0</v>
      </c>
      <c r="L456" s="688">
        <f t="shared" ref="L456:L457" si="570">+H456+L343</f>
        <v>0</v>
      </c>
      <c r="M456" s="688">
        <f t="shared" ref="M456:M457" si="571">+I456+M343</f>
        <v>0</v>
      </c>
      <c r="N456" s="359">
        <f t="shared" si="555"/>
        <v>0</v>
      </c>
      <c r="O456" s="360" t="str">
        <f t="shared" si="542"/>
        <v>-</v>
      </c>
    </row>
    <row r="457" spans="1:15" ht="24" thickBot="1" x14ac:dyDescent="0.35">
      <c r="A457" s="274" t="s">
        <v>102</v>
      </c>
      <c r="B457" s="1024"/>
      <c r="C457" s="279" t="s">
        <v>161</v>
      </c>
      <c r="D457" s="279"/>
      <c r="E457" s="280">
        <v>0</v>
      </c>
      <c r="F457" s="281"/>
      <c r="G457" s="334">
        <f t="shared" si="568"/>
        <v>0</v>
      </c>
      <c r="H457" s="282"/>
      <c r="I457" s="282"/>
      <c r="J457" s="373" t="str">
        <f>IFERROR(G457/#REF!,"-")</f>
        <v>-</v>
      </c>
      <c r="K457" s="696">
        <f t="shared" si="569"/>
        <v>0</v>
      </c>
      <c r="L457" s="688">
        <f t="shared" si="570"/>
        <v>0</v>
      </c>
      <c r="M457" s="688">
        <f t="shared" si="571"/>
        <v>0</v>
      </c>
      <c r="N457" s="363" t="str">
        <f t="shared" si="555"/>
        <v>-</v>
      </c>
      <c r="O457" s="364" t="str">
        <f t="shared" si="542"/>
        <v>-</v>
      </c>
    </row>
    <row r="458" spans="1:15" ht="24" thickBot="1" x14ac:dyDescent="0.35">
      <c r="A458" s="274" t="s">
        <v>102</v>
      </c>
      <c r="B458" s="1034" t="s">
        <v>43</v>
      </c>
      <c r="C458" s="1035"/>
      <c r="D458" s="1036"/>
      <c r="E458" s="284">
        <f>SUM(E456:E457)</f>
        <v>11076</v>
      </c>
      <c r="F458" s="285">
        <v>25000</v>
      </c>
      <c r="G458" s="320">
        <f>SUM(G456:G457)</f>
        <v>0</v>
      </c>
      <c r="H458" s="321">
        <f t="shared" ref="H458:I458" si="572">SUM(H456:H457)</f>
        <v>0</v>
      </c>
      <c r="I458" s="321">
        <f t="shared" si="572"/>
        <v>0</v>
      </c>
      <c r="J458" s="345" t="str">
        <f>IFERROR(G458/#REF!,"-")</f>
        <v>-</v>
      </c>
      <c r="K458" s="760">
        <f t="shared" ref="K458:M458" si="573">SUM(K456:K457)</f>
        <v>0</v>
      </c>
      <c r="L458" s="761">
        <f t="shared" si="573"/>
        <v>0</v>
      </c>
      <c r="M458" s="761">
        <f t="shared" si="573"/>
        <v>0</v>
      </c>
      <c r="N458" s="339">
        <f t="shared" si="555"/>
        <v>0</v>
      </c>
      <c r="O458" s="345" t="str">
        <f t="shared" si="542"/>
        <v>-</v>
      </c>
    </row>
    <row r="459" spans="1:15" ht="24" thickBot="1" x14ac:dyDescent="0.35">
      <c r="A459" s="274" t="s">
        <v>102</v>
      </c>
      <c r="B459" s="1028" t="s">
        <v>25</v>
      </c>
      <c r="C459" s="1029"/>
      <c r="D459" s="1030"/>
      <c r="E459" s="326">
        <f t="shared" ref="E459:F459" si="574">+E437+E442+E445+E451+E455+E458</f>
        <v>545076</v>
      </c>
      <c r="F459" s="327">
        <f t="shared" si="574"/>
        <v>65800</v>
      </c>
      <c r="G459" s="326">
        <f>+G437+G442+G445+G451+G455+G458</f>
        <v>28297</v>
      </c>
      <c r="H459" s="324">
        <f>+H437+H442+H445+H451+H455+H458</f>
        <v>27856</v>
      </c>
      <c r="I459" s="324">
        <f t="shared" ref="I459" si="575">+I437+I442+I445+I451+I455+I458</f>
        <v>441</v>
      </c>
      <c r="J459" s="349" t="str">
        <f>IFERROR(G459/#REF!,"-")</f>
        <v>-</v>
      </c>
      <c r="K459" s="326">
        <f>+K437+K442+K445+K451+K455+K458</f>
        <v>103997</v>
      </c>
      <c r="L459" s="759">
        <f t="shared" ref="L459:M459" si="576">+L437+L442+L445+L451+L455+L458</f>
        <v>102446</v>
      </c>
      <c r="M459" s="325">
        <f t="shared" si="576"/>
        <v>1551</v>
      </c>
      <c r="N459" s="341">
        <f t="shared" si="555"/>
        <v>0.19079357740938879</v>
      </c>
      <c r="O459" s="349">
        <f t="shared" si="542"/>
        <v>1.4913891746877314E-2</v>
      </c>
    </row>
    <row r="460" spans="1:15" ht="24" thickBot="1" x14ac:dyDescent="0.35">
      <c r="A460" s="318" t="s">
        <v>102</v>
      </c>
      <c r="B460" s="1020" t="s">
        <v>173</v>
      </c>
      <c r="C460" s="1020"/>
      <c r="D460" s="1021"/>
      <c r="E460" s="330">
        <f>+E459</f>
        <v>545076</v>
      </c>
      <c r="F460" s="331">
        <f t="shared" ref="F460:O460" si="577">+F459</f>
        <v>65800</v>
      </c>
      <c r="G460" s="330">
        <f t="shared" si="577"/>
        <v>28297</v>
      </c>
      <c r="H460" s="328">
        <f t="shared" si="577"/>
        <v>27856</v>
      </c>
      <c r="I460" s="328">
        <f t="shared" si="577"/>
        <v>441</v>
      </c>
      <c r="J460" s="350" t="str">
        <f t="shared" si="577"/>
        <v>-</v>
      </c>
      <c r="K460" s="330">
        <f t="shared" si="577"/>
        <v>103997</v>
      </c>
      <c r="L460" s="328">
        <f t="shared" si="577"/>
        <v>102446</v>
      </c>
      <c r="M460" s="329">
        <f t="shared" si="577"/>
        <v>1551</v>
      </c>
      <c r="N460" s="342">
        <f t="shared" si="577"/>
        <v>0.19079357740938879</v>
      </c>
      <c r="O460" s="350">
        <f t="shared" si="577"/>
        <v>1.4913891746877314E-2</v>
      </c>
    </row>
    <row r="461" spans="1:15" ht="24.6" thickBot="1" x14ac:dyDescent="0.35">
      <c r="A461" s="319"/>
      <c r="B461" s="1031" t="s">
        <v>174</v>
      </c>
      <c r="C461" s="1032"/>
      <c r="D461" s="1033"/>
      <c r="E461" s="374">
        <f>+E398+E433+E460</f>
        <v>6540740</v>
      </c>
      <c r="F461" s="374">
        <f>+F398+F433+F460</f>
        <v>1024800</v>
      </c>
      <c r="G461" s="374">
        <f>+G398+G433+G460</f>
        <v>278170</v>
      </c>
      <c r="H461" s="374">
        <f>+H398+H433+H460</f>
        <v>444068</v>
      </c>
      <c r="I461" s="374">
        <f>+I398+I433+I460</f>
        <v>3400</v>
      </c>
      <c r="J461" s="375" t="str">
        <f>IFERROR(G461/#REF!,"-")</f>
        <v>-</v>
      </c>
      <c r="K461" s="374">
        <f>+K398+K433+K460</f>
        <v>1441466</v>
      </c>
      <c r="L461" s="374">
        <f>+L398+L433+L460</f>
        <v>1430134</v>
      </c>
      <c r="M461" s="374">
        <f>+M398+M433+M460</f>
        <v>11332</v>
      </c>
      <c r="N461" s="375">
        <f>IFERROR(K461/E461,"-")</f>
        <v>0.22038270899011428</v>
      </c>
      <c r="O461" s="375">
        <f>IFERROR(M461/K461,"-")</f>
        <v>7.8614410606979278E-3</v>
      </c>
    </row>
    <row r="462" spans="1:15" ht="23.4" x14ac:dyDescent="0.3">
      <c r="A462" s="1057" t="s">
        <v>1</v>
      </c>
      <c r="B462" s="1060" t="s">
        <v>2</v>
      </c>
      <c r="C462" s="1063" t="s">
        <v>396</v>
      </c>
      <c r="D462" s="1063" t="s">
        <v>397</v>
      </c>
      <c r="E462" s="1066" t="s">
        <v>4</v>
      </c>
      <c r="F462" s="1067"/>
      <c r="G462" s="1067"/>
      <c r="H462" s="1067"/>
      <c r="I462" s="1067"/>
      <c r="J462" s="1067"/>
      <c r="K462" s="1067"/>
      <c r="L462" s="1067"/>
      <c r="M462" s="1067"/>
      <c r="N462" s="1067"/>
      <c r="O462" s="1068"/>
    </row>
    <row r="463" spans="1:15" ht="23.4" x14ac:dyDescent="0.3">
      <c r="A463" s="1058"/>
      <c r="B463" s="1061"/>
      <c r="C463" s="1064"/>
      <c r="D463" s="1064"/>
      <c r="E463" s="1069" t="s">
        <v>7</v>
      </c>
      <c r="F463" s="1071" t="s">
        <v>108</v>
      </c>
      <c r="G463" s="1073" t="s">
        <v>504</v>
      </c>
      <c r="H463" s="1074"/>
      <c r="I463" s="1074"/>
      <c r="J463" s="1075"/>
      <c r="K463" s="1076" t="s">
        <v>398</v>
      </c>
      <c r="L463" s="1077"/>
      <c r="M463" s="1078"/>
      <c r="N463" s="1079" t="s">
        <v>399</v>
      </c>
      <c r="O463" s="1081" t="s">
        <v>164</v>
      </c>
    </row>
    <row r="464" spans="1:15" ht="41.4" thickBot="1" x14ac:dyDescent="0.35">
      <c r="A464" s="1059"/>
      <c r="B464" s="1062"/>
      <c r="C464" s="1065"/>
      <c r="D464" s="1065"/>
      <c r="E464" s="1070"/>
      <c r="F464" s="1072"/>
      <c r="G464" s="452" t="s">
        <v>13</v>
      </c>
      <c r="H464" s="453" t="s">
        <v>14</v>
      </c>
      <c r="I464" s="453" t="s">
        <v>15</v>
      </c>
      <c r="J464" s="454" t="s">
        <v>166</v>
      </c>
      <c r="K464" s="680" t="s">
        <v>13</v>
      </c>
      <c r="L464" s="678" t="s">
        <v>14</v>
      </c>
      <c r="M464" s="679" t="s">
        <v>15</v>
      </c>
      <c r="N464" s="1080"/>
      <c r="O464" s="1082"/>
    </row>
    <row r="465" spans="1:15" ht="24" thickBot="1" x14ac:dyDescent="0.35">
      <c r="A465" s="268" t="s">
        <v>103</v>
      </c>
      <c r="B465" s="1043" t="s">
        <v>16</v>
      </c>
      <c r="C465" s="269" t="s">
        <v>368</v>
      </c>
      <c r="D465" s="269" t="s">
        <v>369</v>
      </c>
      <c r="E465" s="270">
        <v>20000</v>
      </c>
      <c r="F465" s="271"/>
      <c r="G465" s="332">
        <f>+H465+I465</f>
        <v>0</v>
      </c>
      <c r="H465" s="272"/>
      <c r="I465" s="272"/>
      <c r="J465" s="351"/>
      <c r="K465" s="457">
        <f>+L465+M465</f>
        <v>0</v>
      </c>
      <c r="L465" s="688">
        <f>+H465+L352</f>
        <v>0</v>
      </c>
      <c r="M465" s="688">
        <f>+I465+M352</f>
        <v>0</v>
      </c>
      <c r="N465" s="336">
        <f>IFERROR(K465/E465,"-")</f>
        <v>0</v>
      </c>
      <c r="O465" s="343" t="str">
        <f t="shared" ref="O465:O466" si="578">IFERROR(M465/K465,"-")</f>
        <v>-</v>
      </c>
    </row>
    <row r="466" spans="1:15" ht="23.4" x14ac:dyDescent="0.3">
      <c r="A466" s="274" t="s">
        <v>103</v>
      </c>
      <c r="B466" s="1044"/>
      <c r="C466" s="275" t="s">
        <v>376</v>
      </c>
      <c r="D466" s="275" t="s">
        <v>375</v>
      </c>
      <c r="E466" s="276"/>
      <c r="F466" s="277"/>
      <c r="G466" s="333">
        <f t="shared" ref="G466:G468" si="579">+H466+I466</f>
        <v>0</v>
      </c>
      <c r="H466" s="278"/>
      <c r="I466" s="278"/>
      <c r="J466" s="352" t="str">
        <f>IFERROR(G466/#REF!,"-")</f>
        <v>-</v>
      </c>
      <c r="K466" s="690">
        <f t="shared" ref="K466:K468" si="580">+L466+M466</f>
        <v>0</v>
      </c>
      <c r="L466" s="527">
        <f t="shared" ref="L466:L468" si="581">+H466+L353</f>
        <v>0</v>
      </c>
      <c r="M466" s="459">
        <f t="shared" ref="M466:M468" si="582">+I466+M353</f>
        <v>0</v>
      </c>
      <c r="N466" s="337" t="str">
        <f t="shared" ref="N466:N468" si="583">IFERROR(K466/E466,"-")</f>
        <v>-</v>
      </c>
      <c r="O466" s="265" t="str">
        <f t="shared" si="578"/>
        <v>-</v>
      </c>
    </row>
    <row r="467" spans="1:15" s="723" customFormat="1" ht="23.4" x14ac:dyDescent="0.3">
      <c r="A467" s="274" t="s">
        <v>103</v>
      </c>
      <c r="B467" s="1044"/>
      <c r="C467" s="573" t="s">
        <v>431</v>
      </c>
      <c r="D467" s="573" t="s">
        <v>366</v>
      </c>
      <c r="E467" s="720"/>
      <c r="F467" s="721"/>
      <c r="G467" s="333">
        <f t="shared" si="579"/>
        <v>0</v>
      </c>
      <c r="H467" s="722"/>
      <c r="I467" s="722"/>
      <c r="J467" s="352" t="str">
        <f>IFERROR(G467/#REF!,"-")</f>
        <v>-</v>
      </c>
      <c r="K467" s="690">
        <f t="shared" si="580"/>
        <v>3520</v>
      </c>
      <c r="L467" s="720">
        <f t="shared" si="581"/>
        <v>3520</v>
      </c>
      <c r="M467" s="529">
        <f t="shared" si="582"/>
        <v>0</v>
      </c>
      <c r="N467" s="337" t="str">
        <f t="shared" si="583"/>
        <v>-</v>
      </c>
      <c r="O467" s="265">
        <f>IFERROR(M467/K467,"-")</f>
        <v>0</v>
      </c>
    </row>
    <row r="468" spans="1:15" ht="24" thickBot="1" x14ac:dyDescent="0.35">
      <c r="A468" s="274" t="s">
        <v>103</v>
      </c>
      <c r="B468" s="1045"/>
      <c r="C468" s="279" t="s">
        <v>428</v>
      </c>
      <c r="D468" s="279" t="s">
        <v>374</v>
      </c>
      <c r="E468" s="280"/>
      <c r="F468" s="281"/>
      <c r="G468" s="334">
        <f t="shared" si="579"/>
        <v>0</v>
      </c>
      <c r="H468" s="272"/>
      <c r="I468" s="272"/>
      <c r="J468" s="353" t="str">
        <f>IFERROR(G468/#REF!,"-")</f>
        <v>-</v>
      </c>
      <c r="K468" s="691">
        <f t="shared" si="580"/>
        <v>0</v>
      </c>
      <c r="L468" s="530">
        <f t="shared" si="581"/>
        <v>0</v>
      </c>
      <c r="M468" s="462">
        <f t="shared" si="582"/>
        <v>0</v>
      </c>
      <c r="N468" s="338" t="str">
        <f t="shared" si="583"/>
        <v>-</v>
      </c>
      <c r="O468" s="344" t="str">
        <f t="shared" ref="O468:O486" si="584">IFERROR(M468/K468,"-")</f>
        <v>-</v>
      </c>
    </row>
    <row r="469" spans="1:15" ht="24" thickBot="1" x14ac:dyDescent="0.35">
      <c r="A469" s="274" t="s">
        <v>103</v>
      </c>
      <c r="B469" s="1025" t="s">
        <v>44</v>
      </c>
      <c r="C469" s="1026"/>
      <c r="D469" s="1027"/>
      <c r="E469" s="320">
        <f>SUM(E465:E468)</f>
        <v>20000</v>
      </c>
      <c r="F469" s="285">
        <v>15000</v>
      </c>
      <c r="G469" s="320">
        <f>SUM(G465:G468)</f>
        <v>0</v>
      </c>
      <c r="H469" s="321">
        <f t="shared" ref="H469:I469" si="585">SUM(H465:H468)</f>
        <v>0</v>
      </c>
      <c r="I469" s="321">
        <f t="shared" si="585"/>
        <v>0</v>
      </c>
      <c r="J469" s="345">
        <f>+G469/F469</f>
        <v>0</v>
      </c>
      <c r="K469" s="320">
        <f t="shared" ref="K469" si="586">SUM(K465:K468)</f>
        <v>3520</v>
      </c>
      <c r="L469" s="692">
        <f>SUM(L465:L468)</f>
        <v>3520</v>
      </c>
      <c r="M469" s="693">
        <f>SUM(M465:M468)</f>
        <v>0</v>
      </c>
      <c r="N469" s="339">
        <f>IFERROR(K469/E469,"-")</f>
        <v>0.17599999999999999</v>
      </c>
      <c r="O469" s="345">
        <f t="shared" si="584"/>
        <v>0</v>
      </c>
    </row>
    <row r="470" spans="1:15" ht="23.4" x14ac:dyDescent="0.3">
      <c r="A470" s="274" t="s">
        <v>103</v>
      </c>
      <c r="B470" s="1043" t="s">
        <v>17</v>
      </c>
      <c r="C470" s="269" t="s">
        <v>294</v>
      </c>
      <c r="D470" s="269"/>
      <c r="E470" s="270"/>
      <c r="F470" s="271"/>
      <c r="G470" s="332">
        <f t="shared" ref="G470:G476" si="587">+H470+I470</f>
        <v>0</v>
      </c>
      <c r="H470" s="272"/>
      <c r="I470" s="272"/>
      <c r="J470" s="351" t="str">
        <f>IFERROR(G470/#REF!,"-")</f>
        <v>-</v>
      </c>
      <c r="K470" s="694">
        <f t="shared" ref="K470:K476" si="588">+L470+M470</f>
        <v>0</v>
      </c>
      <c r="L470" s="527">
        <f t="shared" ref="L470:L476" si="589">+H470+L357</f>
        <v>0</v>
      </c>
      <c r="M470" s="459">
        <f t="shared" ref="M470:M476" si="590">+I470+M357</f>
        <v>0</v>
      </c>
      <c r="N470" s="336" t="str">
        <f t="shared" ref="N470:N476" si="591">IFERROR(K470/E470,"-")</f>
        <v>-</v>
      </c>
      <c r="O470" s="346" t="str">
        <f t="shared" si="584"/>
        <v>-</v>
      </c>
    </row>
    <row r="471" spans="1:15" ht="23.4" x14ac:dyDescent="0.3">
      <c r="A471" s="274" t="s">
        <v>103</v>
      </c>
      <c r="B471" s="1044"/>
      <c r="C471" s="275" t="s">
        <v>344</v>
      </c>
      <c r="D471" s="275" t="s">
        <v>232</v>
      </c>
      <c r="E471" s="276">
        <v>1600000</v>
      </c>
      <c r="F471" s="277"/>
      <c r="G471" s="333">
        <f t="shared" si="587"/>
        <v>0</v>
      </c>
      <c r="H471" s="278"/>
      <c r="I471" s="278"/>
      <c r="J471" s="352" t="str">
        <f>IFERROR(G471/#REF!,"-")</f>
        <v>-</v>
      </c>
      <c r="K471" s="690">
        <f t="shared" si="588"/>
        <v>6120</v>
      </c>
      <c r="L471" s="276">
        <f t="shared" si="589"/>
        <v>5980</v>
      </c>
      <c r="M471" s="436">
        <f t="shared" si="590"/>
        <v>140</v>
      </c>
      <c r="N471" s="337">
        <f t="shared" si="591"/>
        <v>3.8249999999999998E-3</v>
      </c>
      <c r="O471" s="263">
        <f t="shared" si="584"/>
        <v>2.2875816993464051E-2</v>
      </c>
    </row>
    <row r="472" spans="1:15" ht="23.4" x14ac:dyDescent="0.3">
      <c r="A472" s="274" t="s">
        <v>103</v>
      </c>
      <c r="B472" s="1044"/>
      <c r="C472" s="275" t="s">
        <v>367</v>
      </c>
      <c r="D472" s="275" t="s">
        <v>187</v>
      </c>
      <c r="E472" s="276">
        <v>1000000</v>
      </c>
      <c r="F472" s="277"/>
      <c r="G472" s="333">
        <f t="shared" si="587"/>
        <v>98290</v>
      </c>
      <c r="H472" s="278">
        <f>91800+6120</f>
        <v>97920</v>
      </c>
      <c r="I472" s="278">
        <v>370</v>
      </c>
      <c r="J472" s="352" t="str">
        <f>IFERROR(G472/#REF!,"-")</f>
        <v>-</v>
      </c>
      <c r="K472" s="690">
        <f t="shared" si="588"/>
        <v>350312</v>
      </c>
      <c r="L472" s="276">
        <f t="shared" si="589"/>
        <v>348840</v>
      </c>
      <c r="M472" s="436">
        <f t="shared" si="590"/>
        <v>1472</v>
      </c>
      <c r="N472" s="337">
        <f t="shared" si="591"/>
        <v>0.35031200000000001</v>
      </c>
      <c r="O472" s="263">
        <f t="shared" si="584"/>
        <v>4.2019685309095892E-3</v>
      </c>
    </row>
    <row r="473" spans="1:15" ht="23.4" x14ac:dyDescent="0.3">
      <c r="A473" s="274" t="s">
        <v>103</v>
      </c>
      <c r="B473" s="1044"/>
      <c r="C473" s="275" t="s">
        <v>293</v>
      </c>
      <c r="D473" s="275" t="s">
        <v>188</v>
      </c>
      <c r="E473" s="276"/>
      <c r="F473" s="277"/>
      <c r="G473" s="333">
        <f t="shared" si="587"/>
        <v>0</v>
      </c>
      <c r="H473" s="278"/>
      <c r="I473" s="278"/>
      <c r="J473" s="352" t="str">
        <f>IFERROR(G473/#REF!,"-")</f>
        <v>-</v>
      </c>
      <c r="K473" s="690">
        <f t="shared" si="588"/>
        <v>0</v>
      </c>
      <c r="L473" s="276">
        <f t="shared" si="589"/>
        <v>0</v>
      </c>
      <c r="M473" s="436">
        <f t="shared" si="590"/>
        <v>0</v>
      </c>
      <c r="N473" s="337" t="str">
        <f t="shared" si="591"/>
        <v>-</v>
      </c>
      <c r="O473" s="263" t="str">
        <f t="shared" si="584"/>
        <v>-</v>
      </c>
    </row>
    <row r="474" spans="1:15" ht="23.4" x14ac:dyDescent="0.3">
      <c r="A474" s="274" t="s">
        <v>103</v>
      </c>
      <c r="B474" s="1044"/>
      <c r="C474" s="275" t="s">
        <v>323</v>
      </c>
      <c r="D474" s="275" t="s">
        <v>318</v>
      </c>
      <c r="E474" s="276"/>
      <c r="F474" s="277"/>
      <c r="G474" s="333">
        <f t="shared" si="587"/>
        <v>0</v>
      </c>
      <c r="H474" s="278"/>
      <c r="I474" s="278"/>
      <c r="J474" s="352" t="str">
        <f>IFERROR(G474/#REF!,"-")</f>
        <v>-</v>
      </c>
      <c r="K474" s="690">
        <f t="shared" si="588"/>
        <v>0</v>
      </c>
      <c r="L474" s="276">
        <f t="shared" si="589"/>
        <v>0</v>
      </c>
      <c r="M474" s="436">
        <f t="shared" si="590"/>
        <v>0</v>
      </c>
      <c r="N474" s="337" t="str">
        <f t="shared" si="591"/>
        <v>-</v>
      </c>
      <c r="O474" s="263" t="str">
        <f t="shared" si="584"/>
        <v>-</v>
      </c>
    </row>
    <row r="475" spans="1:15" ht="23.4" x14ac:dyDescent="0.3">
      <c r="A475" s="274" t="s">
        <v>103</v>
      </c>
      <c r="B475" s="1044"/>
      <c r="C475" s="275" t="s">
        <v>352</v>
      </c>
      <c r="D475" s="275" t="s">
        <v>189</v>
      </c>
      <c r="E475" s="276"/>
      <c r="F475" s="277"/>
      <c r="G475" s="333">
        <f t="shared" si="587"/>
        <v>0</v>
      </c>
      <c r="H475" s="278"/>
      <c r="I475" s="278"/>
      <c r="J475" s="352" t="str">
        <f>IFERROR(G475/#REF!,"-")</f>
        <v>-</v>
      </c>
      <c r="K475" s="690">
        <f t="shared" si="588"/>
        <v>0</v>
      </c>
      <c r="L475" s="276">
        <f t="shared" si="589"/>
        <v>0</v>
      </c>
      <c r="M475" s="436">
        <f t="shared" si="590"/>
        <v>0</v>
      </c>
      <c r="N475" s="337" t="str">
        <f t="shared" si="591"/>
        <v>-</v>
      </c>
      <c r="O475" s="263" t="str">
        <f t="shared" si="584"/>
        <v>-</v>
      </c>
    </row>
    <row r="476" spans="1:15" ht="24" thickBot="1" x14ac:dyDescent="0.35">
      <c r="A476" s="274" t="s">
        <v>103</v>
      </c>
      <c r="B476" s="1045"/>
      <c r="C476" s="279" t="s">
        <v>341</v>
      </c>
      <c r="D476" s="279" t="s">
        <v>232</v>
      </c>
      <c r="E476" s="280"/>
      <c r="F476" s="281"/>
      <c r="G476" s="334">
        <f t="shared" si="587"/>
        <v>0</v>
      </c>
      <c r="H476" s="282"/>
      <c r="I476" s="282"/>
      <c r="J476" s="353" t="str">
        <f>IFERROR(G476/#REF!,"-")</f>
        <v>-</v>
      </c>
      <c r="K476" s="691">
        <f t="shared" si="588"/>
        <v>0</v>
      </c>
      <c r="L476" s="530">
        <f t="shared" si="589"/>
        <v>0</v>
      </c>
      <c r="M476" s="462">
        <f t="shared" si="590"/>
        <v>0</v>
      </c>
      <c r="N476" s="338" t="str">
        <f t="shared" si="591"/>
        <v>-</v>
      </c>
      <c r="O476" s="347" t="str">
        <f t="shared" si="584"/>
        <v>-</v>
      </c>
    </row>
    <row r="477" spans="1:15" ht="24" thickBot="1" x14ac:dyDescent="0.35">
      <c r="A477" s="274" t="s">
        <v>103</v>
      </c>
      <c r="B477" s="1025" t="s">
        <v>45</v>
      </c>
      <c r="C477" s="1026"/>
      <c r="D477" s="1027"/>
      <c r="E477" s="320">
        <f>SUM(E470:E476)</f>
        <v>2600000</v>
      </c>
      <c r="F477" s="285">
        <v>100000</v>
      </c>
      <c r="G477" s="320">
        <f>SUM(G470:G476)</f>
        <v>98290</v>
      </c>
      <c r="H477" s="321">
        <f t="shared" ref="H477:I477" si="592">SUM(H470:H476)</f>
        <v>97920</v>
      </c>
      <c r="I477" s="321">
        <f t="shared" si="592"/>
        <v>370</v>
      </c>
      <c r="J477" s="345">
        <f>+G477/F477</f>
        <v>0.9829</v>
      </c>
      <c r="K477" s="320">
        <f>SUM(K470:K476)</f>
        <v>356432</v>
      </c>
      <c r="L477" s="519">
        <f>SUM(L470:L476)</f>
        <v>354820</v>
      </c>
      <c r="M477" s="689">
        <f t="shared" ref="M477" si="593">SUM(M470:M476)</f>
        <v>1612</v>
      </c>
      <c r="N477" s="339">
        <f>IFERROR(K477/E477,"-")</f>
        <v>0.13708923076923077</v>
      </c>
      <c r="O477" s="345">
        <f t="shared" si="584"/>
        <v>4.5226017865960411E-3</v>
      </c>
    </row>
    <row r="478" spans="1:15" ht="23.4" x14ac:dyDescent="0.3">
      <c r="A478" s="274" t="s">
        <v>103</v>
      </c>
      <c r="B478" s="1043" t="s">
        <v>18</v>
      </c>
      <c r="C478" s="269" t="s">
        <v>312</v>
      </c>
      <c r="D478" s="269" t="s">
        <v>92</v>
      </c>
      <c r="E478" s="270"/>
      <c r="F478" s="271"/>
      <c r="G478" s="332">
        <f t="shared" ref="G478:G484" si="594">+H478+I478</f>
        <v>0</v>
      </c>
      <c r="H478" s="272"/>
      <c r="I478" s="272"/>
      <c r="J478" s="351" t="str">
        <f>IFERROR(G478/#REF!,"-")</f>
        <v>-</v>
      </c>
      <c r="K478" s="332">
        <f t="shared" ref="K478:K484" si="595">+L478+M478</f>
        <v>0</v>
      </c>
      <c r="L478" s="272">
        <f t="shared" ref="L478:L484" si="596">+H478+L365</f>
        <v>0</v>
      </c>
      <c r="M478" s="273">
        <f t="shared" ref="M478:M484" si="597">+I478+M365</f>
        <v>0</v>
      </c>
      <c r="N478" s="336" t="str">
        <f t="shared" ref="N478:N485" si="598">IFERROR(K478/E478,"-")</f>
        <v>-</v>
      </c>
      <c r="O478" s="346" t="str">
        <f t="shared" si="584"/>
        <v>-</v>
      </c>
    </row>
    <row r="479" spans="1:15" ht="23.4" x14ac:dyDescent="0.3">
      <c r="A479" s="274" t="s">
        <v>103</v>
      </c>
      <c r="B479" s="1044"/>
      <c r="C479" s="275" t="s">
        <v>233</v>
      </c>
      <c r="D479" s="275" t="s">
        <v>234</v>
      </c>
      <c r="E479" s="276"/>
      <c r="F479" s="277"/>
      <c r="G479" s="333">
        <f t="shared" si="594"/>
        <v>0</v>
      </c>
      <c r="H479" s="278"/>
      <c r="I479" s="278"/>
      <c r="J479" s="352" t="str">
        <f>IFERROR(G479/#REF!,"-")</f>
        <v>-</v>
      </c>
      <c r="K479" s="333">
        <f t="shared" si="595"/>
        <v>0</v>
      </c>
      <c r="L479" s="272">
        <f t="shared" si="596"/>
        <v>0</v>
      </c>
      <c r="M479" s="273">
        <f t="shared" si="597"/>
        <v>0</v>
      </c>
      <c r="N479" s="337" t="str">
        <f t="shared" si="598"/>
        <v>-</v>
      </c>
      <c r="O479" s="263" t="str">
        <f t="shared" si="584"/>
        <v>-</v>
      </c>
    </row>
    <row r="480" spans="1:15" ht="23.4" x14ac:dyDescent="0.3">
      <c r="A480" s="274" t="s">
        <v>103</v>
      </c>
      <c r="B480" s="1044"/>
      <c r="C480" s="275" t="s">
        <v>115</v>
      </c>
      <c r="D480" s="275"/>
      <c r="E480" s="276"/>
      <c r="F480" s="277"/>
      <c r="G480" s="333">
        <f t="shared" si="594"/>
        <v>0</v>
      </c>
      <c r="H480" s="278"/>
      <c r="I480" s="278"/>
      <c r="J480" s="352" t="str">
        <f>IFERROR(G480/#REF!,"-")</f>
        <v>-</v>
      </c>
      <c r="K480" s="333">
        <f t="shared" si="595"/>
        <v>0</v>
      </c>
      <c r="L480" s="272">
        <f t="shared" si="596"/>
        <v>0</v>
      </c>
      <c r="M480" s="273">
        <f t="shared" si="597"/>
        <v>0</v>
      </c>
      <c r="N480" s="337" t="str">
        <f t="shared" si="598"/>
        <v>-</v>
      </c>
      <c r="O480" s="263" t="str">
        <f t="shared" si="584"/>
        <v>-</v>
      </c>
    </row>
    <row r="481" spans="1:15" ht="23.4" x14ac:dyDescent="0.3">
      <c r="A481" s="274" t="s">
        <v>103</v>
      </c>
      <c r="B481" s="1044"/>
      <c r="C481" s="275" t="s">
        <v>122</v>
      </c>
      <c r="D481" s="275"/>
      <c r="E481" s="276"/>
      <c r="F481" s="277"/>
      <c r="G481" s="333">
        <f t="shared" si="594"/>
        <v>0</v>
      </c>
      <c r="H481" s="278"/>
      <c r="I481" s="278"/>
      <c r="J481" s="352" t="str">
        <f>IFERROR(G481/#REF!,"-")</f>
        <v>-</v>
      </c>
      <c r="K481" s="333">
        <f t="shared" si="595"/>
        <v>0</v>
      </c>
      <c r="L481" s="272">
        <f t="shared" si="596"/>
        <v>0</v>
      </c>
      <c r="M481" s="273">
        <f t="shared" si="597"/>
        <v>0</v>
      </c>
      <c r="N481" s="337" t="str">
        <f t="shared" si="598"/>
        <v>-</v>
      </c>
      <c r="O481" s="263" t="str">
        <f t="shared" si="584"/>
        <v>-</v>
      </c>
    </row>
    <row r="482" spans="1:15" ht="23.4" x14ac:dyDescent="0.3">
      <c r="A482" s="274" t="s">
        <v>103</v>
      </c>
      <c r="B482" s="1044"/>
      <c r="C482" s="275" t="s">
        <v>176</v>
      </c>
      <c r="D482" s="275" t="s">
        <v>177</v>
      </c>
      <c r="E482" s="276"/>
      <c r="F482" s="277"/>
      <c r="G482" s="333">
        <f t="shared" si="594"/>
        <v>0</v>
      </c>
      <c r="H482" s="278"/>
      <c r="I482" s="278"/>
      <c r="J482" s="352" t="str">
        <f>IFERROR(G482/#REF!,"-")</f>
        <v>-</v>
      </c>
      <c r="K482" s="333">
        <f t="shared" si="595"/>
        <v>0</v>
      </c>
      <c r="L482" s="272">
        <f t="shared" si="596"/>
        <v>0</v>
      </c>
      <c r="M482" s="273">
        <f t="shared" si="597"/>
        <v>0</v>
      </c>
      <c r="N482" s="337" t="str">
        <f t="shared" si="598"/>
        <v>-</v>
      </c>
      <c r="O482" s="263" t="str">
        <f t="shared" si="584"/>
        <v>-</v>
      </c>
    </row>
    <row r="483" spans="1:15" ht="23.4" x14ac:dyDescent="0.3">
      <c r="A483" s="274" t="s">
        <v>103</v>
      </c>
      <c r="B483" s="1044"/>
      <c r="C483" s="275" t="s">
        <v>179</v>
      </c>
      <c r="D483" s="275" t="s">
        <v>178</v>
      </c>
      <c r="E483" s="276"/>
      <c r="F483" s="277"/>
      <c r="G483" s="333">
        <f t="shared" si="594"/>
        <v>0</v>
      </c>
      <c r="H483" s="278"/>
      <c r="I483" s="278"/>
      <c r="J483" s="352" t="str">
        <f>IFERROR(G483/#REF!,"-")</f>
        <v>-</v>
      </c>
      <c r="K483" s="333">
        <f t="shared" si="595"/>
        <v>0</v>
      </c>
      <c r="L483" s="272">
        <f t="shared" si="596"/>
        <v>0</v>
      </c>
      <c r="M483" s="273">
        <f t="shared" si="597"/>
        <v>0</v>
      </c>
      <c r="N483" s="337" t="str">
        <f t="shared" si="598"/>
        <v>-</v>
      </c>
      <c r="O483" s="263" t="str">
        <f t="shared" si="584"/>
        <v>-</v>
      </c>
    </row>
    <row r="484" spans="1:15" ht="24" thickBot="1" x14ac:dyDescent="0.35">
      <c r="A484" s="274" t="s">
        <v>103</v>
      </c>
      <c r="B484" s="1045"/>
      <c r="C484" s="286" t="s">
        <v>180</v>
      </c>
      <c r="D484" s="286" t="s">
        <v>107</v>
      </c>
      <c r="E484" s="280"/>
      <c r="F484" s="281"/>
      <c r="G484" s="334">
        <f t="shared" si="594"/>
        <v>0</v>
      </c>
      <c r="H484" s="282"/>
      <c r="I484" s="282"/>
      <c r="J484" s="353" t="str">
        <f>IFERROR(G484/#REF!,"-")</f>
        <v>-</v>
      </c>
      <c r="K484" s="334">
        <f t="shared" si="595"/>
        <v>0</v>
      </c>
      <c r="L484" s="272">
        <f t="shared" si="596"/>
        <v>0</v>
      </c>
      <c r="M484" s="273">
        <f t="shared" si="597"/>
        <v>0</v>
      </c>
      <c r="N484" s="338" t="str">
        <f t="shared" si="598"/>
        <v>-</v>
      </c>
      <c r="O484" s="347" t="str">
        <f t="shared" si="584"/>
        <v>-</v>
      </c>
    </row>
    <row r="485" spans="1:15" ht="24" thickBot="1" x14ac:dyDescent="0.35">
      <c r="A485" s="274" t="s">
        <v>103</v>
      </c>
      <c r="B485" s="1025" t="s">
        <v>29</v>
      </c>
      <c r="C485" s="1026"/>
      <c r="D485" s="1027"/>
      <c r="E485" s="320">
        <f t="shared" ref="E485" si="599">SUM(E478:E484)</f>
        <v>0</v>
      </c>
      <c r="F485" s="285">
        <v>80000</v>
      </c>
      <c r="G485" s="320">
        <f>SUM(G478:G484)</f>
        <v>0</v>
      </c>
      <c r="H485" s="321">
        <f t="shared" ref="H485:I485" si="600">SUM(H478:H484)</f>
        <v>0</v>
      </c>
      <c r="I485" s="321">
        <f t="shared" si="600"/>
        <v>0</v>
      </c>
      <c r="J485" s="345">
        <f>+G485/F485</f>
        <v>0</v>
      </c>
      <c r="K485" s="320">
        <f t="shared" ref="K485" si="601">SUM(K478:K484)</f>
        <v>0</v>
      </c>
      <c r="L485" s="321">
        <f>SUM(L478:L484)</f>
        <v>0</v>
      </c>
      <c r="M485" s="322">
        <f t="shared" ref="M485" si="602">SUM(M478:M484)</f>
        <v>0</v>
      </c>
      <c r="N485" s="339" t="str">
        <f t="shared" si="598"/>
        <v>-</v>
      </c>
      <c r="O485" s="345" t="str">
        <f t="shared" si="584"/>
        <v>-</v>
      </c>
    </row>
    <row r="486" spans="1:15" ht="24" thickBot="1" x14ac:dyDescent="0.35">
      <c r="A486" s="252" t="s">
        <v>103</v>
      </c>
      <c r="B486" s="1085" t="s">
        <v>19</v>
      </c>
      <c r="C486" s="641" t="s">
        <v>235</v>
      </c>
      <c r="D486" s="669" t="s">
        <v>177</v>
      </c>
      <c r="E486" s="674"/>
      <c r="F486" s="671">
        <v>220000</v>
      </c>
      <c r="G486" s="644">
        <f t="shared" ref="G486:G488" si="603">+H486+I486</f>
        <v>0</v>
      </c>
      <c r="H486" s="458"/>
      <c r="I486" s="458"/>
      <c r="J486" s="531" t="str">
        <f>IFERROR(G486/#REF!,"-")</f>
        <v>-</v>
      </c>
      <c r="K486" s="457">
        <f>+L486+M486</f>
        <v>0</v>
      </c>
      <c r="L486" s="458">
        <f t="shared" ref="L486:L488" si="604">+H486+L373</f>
        <v>0</v>
      </c>
      <c r="M486" s="459">
        <f t="shared" ref="M486:M488" si="605">+I486+M373</f>
        <v>0</v>
      </c>
      <c r="N486" s="646" t="str">
        <f>IFERROR(K486/E486,"-")</f>
        <v>-</v>
      </c>
      <c r="O486" s="647" t="str">
        <f t="shared" si="584"/>
        <v>-</v>
      </c>
    </row>
    <row r="487" spans="1:15" ht="24" thickBot="1" x14ac:dyDescent="0.35">
      <c r="A487" s="252"/>
      <c r="B487" s="1086"/>
      <c r="C487" s="296" t="s">
        <v>377</v>
      </c>
      <c r="D487" s="645" t="s">
        <v>423</v>
      </c>
      <c r="E487" s="675">
        <v>1000000</v>
      </c>
      <c r="F487" s="672"/>
      <c r="G487" s="640">
        <f t="shared" si="603"/>
        <v>0</v>
      </c>
      <c r="H487" s="272"/>
      <c r="I487" s="272"/>
      <c r="J487" s="351" t="str">
        <f>IFERROR(G487/#REF!,"-")</f>
        <v>-</v>
      </c>
      <c r="K487" s="335">
        <f>+L487+M487</f>
        <v>576188</v>
      </c>
      <c r="L487" s="458">
        <f t="shared" si="604"/>
        <v>574464</v>
      </c>
      <c r="M487" s="459">
        <f t="shared" si="605"/>
        <v>1724</v>
      </c>
      <c r="N487" s="340">
        <f t="shared" ref="N487:N488" si="606">IFERROR(K487/E487,"-")</f>
        <v>0.57618800000000003</v>
      </c>
      <c r="O487" s="639">
        <f>IFERROR(M487/K487,"-")</f>
        <v>2.9920789742236909E-3</v>
      </c>
    </row>
    <row r="488" spans="1:15" ht="24" thickBot="1" x14ac:dyDescent="0.35">
      <c r="A488" s="252"/>
      <c r="B488" s="1087"/>
      <c r="C488" s="635" t="s">
        <v>342</v>
      </c>
      <c r="D488" s="670"/>
      <c r="E488" s="676">
        <v>150000</v>
      </c>
      <c r="F488" s="673"/>
      <c r="G488" s="589">
        <f t="shared" si="603"/>
        <v>0</v>
      </c>
      <c r="H488" s="282"/>
      <c r="I488" s="282"/>
      <c r="J488" s="353"/>
      <c r="K488" s="460">
        <f>+L488+M488</f>
        <v>0</v>
      </c>
      <c r="L488" s="458">
        <f t="shared" si="604"/>
        <v>0</v>
      </c>
      <c r="M488" s="459">
        <f t="shared" si="605"/>
        <v>0</v>
      </c>
      <c r="N488" s="338">
        <f t="shared" si="606"/>
        <v>0</v>
      </c>
      <c r="O488" s="636" t="str">
        <f t="shared" ref="O488:O506" si="607">IFERROR(M488/K488,"-")</f>
        <v>-</v>
      </c>
    </row>
    <row r="489" spans="1:15" ht="24" thickBot="1" x14ac:dyDescent="0.35">
      <c r="A489" s="274" t="s">
        <v>103</v>
      </c>
      <c r="B489" s="1040" t="s">
        <v>46</v>
      </c>
      <c r="C489" s="1026"/>
      <c r="D489" s="1027"/>
      <c r="E489" s="320">
        <f>SUM(E486:E488)</f>
        <v>1150000</v>
      </c>
      <c r="F489" s="323">
        <f t="shared" ref="F489" si="608">SUM(F486)</f>
        <v>220000</v>
      </c>
      <c r="G489" s="320">
        <f>SUM(G486)</f>
        <v>0</v>
      </c>
      <c r="H489" s="321">
        <f>SUM(H486:H488)</f>
        <v>0</v>
      </c>
      <c r="I489" s="321">
        <f>SUM(I486:I488)</f>
        <v>0</v>
      </c>
      <c r="J489" s="345">
        <f>+G489/F489</f>
        <v>0</v>
      </c>
      <c r="K489" s="637">
        <f>SUM(K486:K487)</f>
        <v>576188</v>
      </c>
      <c r="L489" s="321">
        <f>SUM(L486:L487)</f>
        <v>574464</v>
      </c>
      <c r="M489" s="322">
        <f>SUM(M486:M487)</f>
        <v>1724</v>
      </c>
      <c r="N489" s="339">
        <f>IFERROR(K489/E489,"-")</f>
        <v>0.50103304347826083</v>
      </c>
      <c r="O489" s="345">
        <f t="shared" si="607"/>
        <v>2.9920789742236909E-3</v>
      </c>
    </row>
    <row r="490" spans="1:15" ht="23.4" x14ac:dyDescent="0.3">
      <c r="A490" s="274" t="s">
        <v>103</v>
      </c>
      <c r="B490" s="1043" t="s">
        <v>20</v>
      </c>
      <c r="C490" s="291" t="s">
        <v>317</v>
      </c>
      <c r="D490" s="291" t="s">
        <v>289</v>
      </c>
      <c r="E490" s="270"/>
      <c r="F490" s="271"/>
      <c r="G490" s="332">
        <f t="shared" ref="G490:G492" si="609">+H490+I490</f>
        <v>0</v>
      </c>
      <c r="H490" s="272"/>
      <c r="I490" s="272"/>
      <c r="J490" s="351" t="str">
        <f>IFERROR(G490/#REF!,"-")</f>
        <v>-</v>
      </c>
      <c r="K490" s="332">
        <f t="shared" ref="K490:K492" si="610">+L490+M490</f>
        <v>0</v>
      </c>
      <c r="L490" s="272">
        <f t="shared" ref="L490:L492" si="611">+H490+L377</f>
        <v>0</v>
      </c>
      <c r="M490" s="273">
        <f t="shared" ref="M490:M492" si="612">+I490+M377</f>
        <v>0</v>
      </c>
      <c r="N490" s="336" t="str">
        <f t="shared" ref="N490:N493" si="613">IFERROR(K490/E490,"-")</f>
        <v>-</v>
      </c>
      <c r="O490" s="346" t="str">
        <f t="shared" si="607"/>
        <v>-</v>
      </c>
    </row>
    <row r="491" spans="1:15" ht="23.4" x14ac:dyDescent="0.3">
      <c r="A491" s="274" t="s">
        <v>103</v>
      </c>
      <c r="B491" s="1044"/>
      <c r="C491" s="292" t="s">
        <v>114</v>
      </c>
      <c r="D491" s="292"/>
      <c r="E491" s="276"/>
      <c r="F491" s="277"/>
      <c r="G491" s="333">
        <f t="shared" si="609"/>
        <v>0</v>
      </c>
      <c r="H491" s="278"/>
      <c r="I491" s="278"/>
      <c r="J491" s="352" t="str">
        <f>IFERROR(G491/#REF!,"-")</f>
        <v>-</v>
      </c>
      <c r="K491" s="333">
        <f t="shared" si="610"/>
        <v>0</v>
      </c>
      <c r="L491" s="272">
        <f t="shared" si="611"/>
        <v>0</v>
      </c>
      <c r="M491" s="273">
        <f t="shared" si="612"/>
        <v>0</v>
      </c>
      <c r="N491" s="337" t="str">
        <f t="shared" si="613"/>
        <v>-</v>
      </c>
      <c r="O491" s="263" t="str">
        <f t="shared" si="607"/>
        <v>-</v>
      </c>
    </row>
    <row r="492" spans="1:15" ht="24" thickBot="1" x14ac:dyDescent="0.35">
      <c r="A492" s="274" t="s">
        <v>103</v>
      </c>
      <c r="B492" s="1045"/>
      <c r="C492" s="293" t="s">
        <v>120</v>
      </c>
      <c r="D492" s="293"/>
      <c r="E492" s="280"/>
      <c r="F492" s="281"/>
      <c r="G492" s="334">
        <f t="shared" si="609"/>
        <v>0</v>
      </c>
      <c r="H492" s="282"/>
      <c r="I492" s="282"/>
      <c r="J492" s="353" t="str">
        <f>IFERROR(G492/#REF!,"-")</f>
        <v>-</v>
      </c>
      <c r="K492" s="334">
        <f t="shared" si="610"/>
        <v>0</v>
      </c>
      <c r="L492" s="272">
        <f t="shared" si="611"/>
        <v>0</v>
      </c>
      <c r="M492" s="273">
        <f t="shared" si="612"/>
        <v>0</v>
      </c>
      <c r="N492" s="338" t="str">
        <f t="shared" si="613"/>
        <v>-</v>
      </c>
      <c r="O492" s="347" t="str">
        <f t="shared" si="607"/>
        <v>-</v>
      </c>
    </row>
    <row r="493" spans="1:15" ht="24" thickBot="1" x14ac:dyDescent="0.35">
      <c r="A493" s="274" t="s">
        <v>103</v>
      </c>
      <c r="B493" s="1026" t="s">
        <v>47</v>
      </c>
      <c r="C493" s="1026"/>
      <c r="D493" s="1046"/>
      <c r="E493" s="320">
        <f t="shared" ref="E493" si="614">SUM(E490:E492)</f>
        <v>0</v>
      </c>
      <c r="F493" s="285">
        <v>50000</v>
      </c>
      <c r="G493" s="320">
        <f>SUM(G490:G492)</f>
        <v>0</v>
      </c>
      <c r="H493" s="321">
        <f t="shared" ref="H493:I493" si="615">SUM(H490:H492)</f>
        <v>0</v>
      </c>
      <c r="I493" s="321">
        <f t="shared" si="615"/>
        <v>0</v>
      </c>
      <c r="J493" s="345">
        <f>+G493/F493</f>
        <v>0</v>
      </c>
      <c r="K493" s="320">
        <f t="shared" ref="K493:M493" si="616">SUM(K490:K492)</f>
        <v>0</v>
      </c>
      <c r="L493" s="321">
        <f t="shared" si="616"/>
        <v>0</v>
      </c>
      <c r="M493" s="322">
        <f t="shared" si="616"/>
        <v>0</v>
      </c>
      <c r="N493" s="339" t="str">
        <f t="shared" si="613"/>
        <v>-</v>
      </c>
      <c r="O493" s="345" t="str">
        <f t="shared" si="607"/>
        <v>-</v>
      </c>
    </row>
    <row r="494" spans="1:15" ht="24" thickBot="1" x14ac:dyDescent="0.35">
      <c r="A494" s="274" t="s">
        <v>103</v>
      </c>
      <c r="B494" s="1047" t="s">
        <v>21</v>
      </c>
      <c r="C494" s="1048"/>
      <c r="D494" s="1049"/>
      <c r="E494" s="326">
        <f>+E469+E477+E485+E489+E493</f>
        <v>3770000</v>
      </c>
      <c r="F494" s="327">
        <f>+F469+F477+F485+F489+F493</f>
        <v>465000</v>
      </c>
      <c r="G494" s="326">
        <f>+G469+G477+G485+G489+G493</f>
        <v>98290</v>
      </c>
      <c r="H494" s="324">
        <f>+H469+H477+H485+H489+H493</f>
        <v>97920</v>
      </c>
      <c r="I494" s="324">
        <f>+I469+I477+I485+I489+I493</f>
        <v>370</v>
      </c>
      <c r="J494" s="349">
        <f>+G494/F494</f>
        <v>0.21137634408602152</v>
      </c>
      <c r="K494" s="326">
        <f>+K469+K477+K485+K489+K493</f>
        <v>936140</v>
      </c>
      <c r="L494" s="324">
        <f>+L469+L477+L485+L489+L493</f>
        <v>932804</v>
      </c>
      <c r="M494" s="325">
        <f>+M469+M477+M485+M489+M493</f>
        <v>3336</v>
      </c>
      <c r="N494" s="341">
        <f>IFERROR(K494/E494,"-")</f>
        <v>0.24831299734748011</v>
      </c>
      <c r="O494" s="349">
        <f t="shared" si="607"/>
        <v>3.5635695515628006E-3</v>
      </c>
    </row>
    <row r="495" spans="1:15" ht="23.4" x14ac:dyDescent="0.3">
      <c r="A495" s="274" t="s">
        <v>103</v>
      </c>
      <c r="B495" s="1043" t="s">
        <v>400</v>
      </c>
      <c r="C495" s="269" t="s">
        <v>125</v>
      </c>
      <c r="D495" s="269"/>
      <c r="E495" s="270"/>
      <c r="F495" s="271"/>
      <c r="G495" s="332">
        <f t="shared" ref="G495:G498" si="617">+H495+I495</f>
        <v>0</v>
      </c>
      <c r="H495" s="272"/>
      <c r="I495" s="272"/>
      <c r="J495" s="351" t="str">
        <f>IFERROR(G495/#REF!,"-")</f>
        <v>-</v>
      </c>
      <c r="K495" s="332">
        <f t="shared" ref="K495:K498" si="618">+L495+M495</f>
        <v>0</v>
      </c>
      <c r="L495" s="272">
        <f t="shared" ref="L495:L498" si="619">+H495+L382</f>
        <v>0</v>
      </c>
      <c r="M495" s="273">
        <f t="shared" ref="M495:M498" si="620">+I495+M382</f>
        <v>0</v>
      </c>
      <c r="N495" s="336" t="str">
        <f t="shared" ref="N495:N506" si="621">IFERROR(K495/E495,"-")</f>
        <v>-</v>
      </c>
      <c r="O495" s="346" t="str">
        <f t="shared" si="607"/>
        <v>-</v>
      </c>
    </row>
    <row r="496" spans="1:15" ht="23.4" x14ac:dyDescent="0.3">
      <c r="A496" s="274" t="s">
        <v>103</v>
      </c>
      <c r="B496" s="1044"/>
      <c r="C496" s="295" t="s">
        <v>263</v>
      </c>
      <c r="D496" s="295" t="s">
        <v>181</v>
      </c>
      <c r="E496" s="276"/>
      <c r="F496" s="277"/>
      <c r="G496" s="333">
        <f t="shared" si="617"/>
        <v>0</v>
      </c>
      <c r="H496" s="278"/>
      <c r="I496" s="278"/>
      <c r="J496" s="352" t="str">
        <f>IFERROR(G496/#REF!,"-")</f>
        <v>-</v>
      </c>
      <c r="K496" s="333">
        <f t="shared" si="618"/>
        <v>0</v>
      </c>
      <c r="L496" s="272">
        <f t="shared" si="619"/>
        <v>0</v>
      </c>
      <c r="M496" s="273">
        <f t="shared" si="620"/>
        <v>0</v>
      </c>
      <c r="N496" s="337" t="str">
        <f t="shared" si="621"/>
        <v>-</v>
      </c>
      <c r="O496" s="263" t="str">
        <f t="shared" si="607"/>
        <v>-</v>
      </c>
    </row>
    <row r="497" spans="1:15" ht="23.4" x14ac:dyDescent="0.3">
      <c r="A497" s="274" t="s">
        <v>103</v>
      </c>
      <c r="B497" s="1044"/>
      <c r="C497" s="295" t="s">
        <v>362</v>
      </c>
      <c r="D497" s="295" t="s">
        <v>181</v>
      </c>
      <c r="E497" s="276"/>
      <c r="F497" s="277"/>
      <c r="G497" s="333">
        <f t="shared" si="617"/>
        <v>0</v>
      </c>
      <c r="H497" s="278"/>
      <c r="I497" s="278"/>
      <c r="J497" s="352" t="str">
        <f>IFERROR(G497/#REF!,"-")</f>
        <v>-</v>
      </c>
      <c r="K497" s="333">
        <f t="shared" si="618"/>
        <v>0</v>
      </c>
      <c r="L497" s="272">
        <f t="shared" si="619"/>
        <v>0</v>
      </c>
      <c r="M497" s="273">
        <f t="shared" si="620"/>
        <v>0</v>
      </c>
      <c r="N497" s="337" t="str">
        <f t="shared" si="621"/>
        <v>-</v>
      </c>
      <c r="O497" s="263" t="str">
        <f t="shared" si="607"/>
        <v>-</v>
      </c>
    </row>
    <row r="498" spans="1:15" ht="24" thickBot="1" x14ac:dyDescent="0.35">
      <c r="A498" s="274" t="s">
        <v>103</v>
      </c>
      <c r="B498" s="1045"/>
      <c r="C498" s="279" t="s">
        <v>182</v>
      </c>
      <c r="D498" s="279" t="s">
        <v>93</v>
      </c>
      <c r="E498" s="280"/>
      <c r="F498" s="281"/>
      <c r="G498" s="334">
        <f t="shared" si="617"/>
        <v>0</v>
      </c>
      <c r="H498" s="282"/>
      <c r="I498" s="282"/>
      <c r="J498" s="353" t="str">
        <f>IFERROR(G498/#REF!,"-")</f>
        <v>-</v>
      </c>
      <c r="K498" s="334">
        <f t="shared" si="618"/>
        <v>0</v>
      </c>
      <c r="L498" s="272">
        <f t="shared" si="619"/>
        <v>0</v>
      </c>
      <c r="M498" s="273">
        <f t="shared" si="620"/>
        <v>0</v>
      </c>
      <c r="N498" s="338" t="str">
        <f t="shared" si="621"/>
        <v>-</v>
      </c>
      <c r="O498" s="347" t="str">
        <f t="shared" si="607"/>
        <v>-</v>
      </c>
    </row>
    <row r="499" spans="1:15" ht="24" thickBot="1" x14ac:dyDescent="0.35">
      <c r="A499" s="274" t="s">
        <v>103</v>
      </c>
      <c r="B499" s="1025" t="s">
        <v>48</v>
      </c>
      <c r="C499" s="1026"/>
      <c r="D499" s="1027"/>
      <c r="E499" s="284">
        <f>SUM(E495:E498)</f>
        <v>0</v>
      </c>
      <c r="F499" s="285">
        <v>80000</v>
      </c>
      <c r="G499" s="320">
        <f>SUM(G495:G498)</f>
        <v>0</v>
      </c>
      <c r="H499" s="321">
        <f t="shared" ref="H499:I499" si="622">SUM(H495:H498)</f>
        <v>0</v>
      </c>
      <c r="I499" s="321">
        <f t="shared" si="622"/>
        <v>0</v>
      </c>
      <c r="J499" s="345">
        <f>+G499/F499</f>
        <v>0</v>
      </c>
      <c r="K499" s="320">
        <f t="shared" ref="K499" si="623">SUM(K495:K498)</f>
        <v>0</v>
      </c>
      <c r="L499" s="321">
        <f>SUM(L495:L498)</f>
        <v>0</v>
      </c>
      <c r="M499" s="322">
        <f t="shared" ref="M499" si="624">SUM(M495:M498)</f>
        <v>0</v>
      </c>
      <c r="N499" s="339" t="str">
        <f t="shared" si="621"/>
        <v>-</v>
      </c>
      <c r="O499" s="345" t="str">
        <f t="shared" si="607"/>
        <v>-</v>
      </c>
    </row>
    <row r="500" spans="1:15" ht="23.4" x14ac:dyDescent="0.3">
      <c r="A500" s="274" t="s">
        <v>103</v>
      </c>
      <c r="B500" s="1043" t="s">
        <v>23</v>
      </c>
      <c r="C500" s="275" t="s">
        <v>500</v>
      </c>
      <c r="D500" s="296" t="s">
        <v>238</v>
      </c>
      <c r="E500" s="270">
        <v>10000</v>
      </c>
      <c r="F500" s="271"/>
      <c r="G500" s="332">
        <f t="shared" ref="G500:G508" si="625">+H500+I500</f>
        <v>0</v>
      </c>
      <c r="H500" s="272"/>
      <c r="I500" s="272"/>
      <c r="J500" s="351" t="str">
        <f>IFERROR(G500/#REF!,"-")</f>
        <v>-</v>
      </c>
      <c r="K500" s="332">
        <f t="shared" ref="K500:K508" si="626">+L500+M500</f>
        <v>0</v>
      </c>
      <c r="L500" s="272">
        <f t="shared" ref="L500:L508" si="627">+H500+L387</f>
        <v>0</v>
      </c>
      <c r="M500" s="273">
        <f t="shared" ref="M500:M508" si="628">+I500+M387</f>
        <v>0</v>
      </c>
      <c r="N500" s="336">
        <f t="shared" si="621"/>
        <v>0</v>
      </c>
      <c r="O500" s="346" t="str">
        <f t="shared" si="607"/>
        <v>-</v>
      </c>
    </row>
    <row r="501" spans="1:15" ht="23.4" x14ac:dyDescent="0.3">
      <c r="A501" s="274" t="s">
        <v>103</v>
      </c>
      <c r="B501" s="1044"/>
      <c r="C501" s="275" t="s">
        <v>24</v>
      </c>
      <c r="D501" s="275" t="s">
        <v>238</v>
      </c>
      <c r="E501" s="276"/>
      <c r="F501" s="277"/>
      <c r="G501" s="333">
        <f t="shared" si="625"/>
        <v>0</v>
      </c>
      <c r="H501" s="278"/>
      <c r="I501" s="278"/>
      <c r="J501" s="352" t="str">
        <f>IFERROR(G501/#REF!,"-")</f>
        <v>-</v>
      </c>
      <c r="K501" s="333">
        <f t="shared" si="626"/>
        <v>0</v>
      </c>
      <c r="L501" s="272">
        <f t="shared" si="627"/>
        <v>0</v>
      </c>
      <c r="M501" s="273">
        <f t="shared" si="628"/>
        <v>0</v>
      </c>
      <c r="N501" s="337" t="str">
        <f t="shared" si="621"/>
        <v>-</v>
      </c>
      <c r="O501" s="263" t="str">
        <f t="shared" si="607"/>
        <v>-</v>
      </c>
    </row>
    <row r="502" spans="1:15" ht="23.4" x14ac:dyDescent="0.3">
      <c r="A502" s="274" t="s">
        <v>103</v>
      </c>
      <c r="B502" s="1044"/>
      <c r="C502" s="275" t="s">
        <v>236</v>
      </c>
      <c r="D502" s="275" t="s">
        <v>238</v>
      </c>
      <c r="E502" s="276"/>
      <c r="F502" s="277"/>
      <c r="G502" s="333">
        <f t="shared" si="625"/>
        <v>0</v>
      </c>
      <c r="H502" s="278"/>
      <c r="I502" s="278"/>
      <c r="J502" s="352" t="str">
        <f>IFERROR(G502/#REF!,"-")</f>
        <v>-</v>
      </c>
      <c r="K502" s="333">
        <f t="shared" si="626"/>
        <v>0</v>
      </c>
      <c r="L502" s="272">
        <f t="shared" si="627"/>
        <v>0</v>
      </c>
      <c r="M502" s="273">
        <f t="shared" si="628"/>
        <v>0</v>
      </c>
      <c r="N502" s="337" t="str">
        <f t="shared" si="621"/>
        <v>-</v>
      </c>
      <c r="O502" s="263" t="str">
        <f t="shared" si="607"/>
        <v>-</v>
      </c>
    </row>
    <row r="503" spans="1:15" ht="23.4" x14ac:dyDescent="0.3">
      <c r="A503" s="274" t="s">
        <v>103</v>
      </c>
      <c r="B503" s="1044"/>
      <c r="C503" s="275" t="s">
        <v>237</v>
      </c>
      <c r="D503" s="275" t="s">
        <v>238</v>
      </c>
      <c r="E503" s="276"/>
      <c r="F503" s="277"/>
      <c r="G503" s="333">
        <f t="shared" si="625"/>
        <v>0</v>
      </c>
      <c r="H503" s="278"/>
      <c r="I503" s="278"/>
      <c r="J503" s="352" t="str">
        <f>IFERROR(G503/#REF!,"-")</f>
        <v>-</v>
      </c>
      <c r="K503" s="333">
        <f t="shared" si="626"/>
        <v>0</v>
      </c>
      <c r="L503" s="272">
        <f t="shared" si="627"/>
        <v>0</v>
      </c>
      <c r="M503" s="273">
        <f t="shared" si="628"/>
        <v>0</v>
      </c>
      <c r="N503" s="337" t="str">
        <f t="shared" si="621"/>
        <v>-</v>
      </c>
      <c r="O503" s="263" t="str">
        <f t="shared" si="607"/>
        <v>-</v>
      </c>
    </row>
    <row r="504" spans="1:15" ht="23.4" x14ac:dyDescent="0.3">
      <c r="A504" s="274" t="s">
        <v>103</v>
      </c>
      <c r="B504" s="1044"/>
      <c r="C504" s="295" t="s">
        <v>394</v>
      </c>
      <c r="D504" s="275" t="s">
        <v>238</v>
      </c>
      <c r="E504" s="276"/>
      <c r="F504" s="277"/>
      <c r="G504" s="333">
        <f t="shared" si="625"/>
        <v>0</v>
      </c>
      <c r="H504" s="278"/>
      <c r="I504" s="278"/>
      <c r="J504" s="352" t="str">
        <f>IFERROR(G504/#REF!,"-")</f>
        <v>-</v>
      </c>
      <c r="K504" s="333">
        <f t="shared" si="626"/>
        <v>0</v>
      </c>
      <c r="L504" s="272">
        <f t="shared" si="627"/>
        <v>0</v>
      </c>
      <c r="M504" s="273">
        <f t="shared" si="628"/>
        <v>0</v>
      </c>
      <c r="N504" s="337" t="str">
        <f t="shared" si="621"/>
        <v>-</v>
      </c>
      <c r="O504" s="263" t="str">
        <f t="shared" si="607"/>
        <v>-</v>
      </c>
    </row>
    <row r="505" spans="1:15" ht="23.4" x14ac:dyDescent="0.3">
      <c r="A505" s="274" t="s">
        <v>103</v>
      </c>
      <c r="B505" s="1044"/>
      <c r="C505" s="295" t="s">
        <v>422</v>
      </c>
      <c r="D505" s="275" t="s">
        <v>238</v>
      </c>
      <c r="E505" s="276"/>
      <c r="F505" s="277"/>
      <c r="G505" s="333">
        <f t="shared" si="625"/>
        <v>0</v>
      </c>
      <c r="H505" s="278"/>
      <c r="I505" s="278"/>
      <c r="J505" s="352" t="str">
        <f>IFERROR(G505/#REF!,"-")</f>
        <v>-</v>
      </c>
      <c r="K505" s="333">
        <f t="shared" si="626"/>
        <v>0</v>
      </c>
      <c r="L505" s="272">
        <f t="shared" si="627"/>
        <v>0</v>
      </c>
      <c r="M505" s="273">
        <f t="shared" si="628"/>
        <v>0</v>
      </c>
      <c r="N505" s="337" t="str">
        <f t="shared" si="621"/>
        <v>-</v>
      </c>
      <c r="O505" s="263" t="str">
        <f t="shared" si="607"/>
        <v>-</v>
      </c>
    </row>
    <row r="506" spans="1:15" ht="23.4" x14ac:dyDescent="0.3">
      <c r="A506" s="274" t="s">
        <v>103</v>
      </c>
      <c r="B506" s="1044"/>
      <c r="C506" s="295" t="s">
        <v>241</v>
      </c>
      <c r="D506" s="275" t="s">
        <v>243</v>
      </c>
      <c r="E506" s="276"/>
      <c r="F506" s="277"/>
      <c r="G506" s="333">
        <f t="shared" si="625"/>
        <v>0</v>
      </c>
      <c r="H506" s="278"/>
      <c r="I506" s="278"/>
      <c r="J506" s="352" t="str">
        <f>IFERROR(G506/#REF!,"-")</f>
        <v>-</v>
      </c>
      <c r="K506" s="333">
        <f t="shared" si="626"/>
        <v>0</v>
      </c>
      <c r="L506" s="272">
        <f t="shared" si="627"/>
        <v>0</v>
      </c>
      <c r="M506" s="273">
        <f t="shared" si="628"/>
        <v>0</v>
      </c>
      <c r="N506" s="337" t="str">
        <f t="shared" si="621"/>
        <v>-</v>
      </c>
      <c r="O506" s="263" t="str">
        <f t="shared" si="607"/>
        <v>-</v>
      </c>
    </row>
    <row r="507" spans="1:15" ht="23.4" x14ac:dyDescent="0.3">
      <c r="A507" s="274"/>
      <c r="B507" s="1045"/>
      <c r="C507" s="295" t="s">
        <v>456</v>
      </c>
      <c r="D507" s="275" t="s">
        <v>238</v>
      </c>
      <c r="E507" s="280"/>
      <c r="F507" s="281"/>
      <c r="G507" s="333">
        <f t="shared" si="625"/>
        <v>0</v>
      </c>
      <c r="H507" s="282"/>
      <c r="I507" s="282"/>
      <c r="J507" s="352" t="str">
        <f>IFERROR(G507/#REF!,"-")</f>
        <v>-</v>
      </c>
      <c r="K507" s="333">
        <f t="shared" si="626"/>
        <v>0</v>
      </c>
      <c r="L507" s="272">
        <f t="shared" si="627"/>
        <v>0</v>
      </c>
      <c r="M507" s="273">
        <f t="shared" si="628"/>
        <v>0</v>
      </c>
      <c r="N507" s="338"/>
      <c r="O507" s="347"/>
    </row>
    <row r="508" spans="1:15" ht="24" thickBot="1" x14ac:dyDescent="0.35">
      <c r="A508" s="274" t="s">
        <v>103</v>
      </c>
      <c r="B508" s="1045"/>
      <c r="C508" s="295" t="s">
        <v>242</v>
      </c>
      <c r="D508" s="275" t="s">
        <v>238</v>
      </c>
      <c r="E508" s="280"/>
      <c r="F508" s="281"/>
      <c r="G508" s="334">
        <f t="shared" si="625"/>
        <v>0</v>
      </c>
      <c r="H508" s="282"/>
      <c r="I508" s="282"/>
      <c r="J508" s="353" t="str">
        <f>IFERROR(G508/#REF!,"-")</f>
        <v>-</v>
      </c>
      <c r="K508" s="334">
        <f t="shared" si="626"/>
        <v>0</v>
      </c>
      <c r="L508" s="272">
        <f t="shared" si="627"/>
        <v>0</v>
      </c>
      <c r="M508" s="273">
        <f t="shared" si="628"/>
        <v>0</v>
      </c>
      <c r="N508" s="338" t="str">
        <f t="shared" ref="N508:N510" si="629">IFERROR(K508/E508,"-")</f>
        <v>-</v>
      </c>
      <c r="O508" s="347" t="str">
        <f t="shared" ref="O508:O525" si="630">IFERROR(M508/K508,"-")</f>
        <v>-</v>
      </c>
    </row>
    <row r="509" spans="1:15" ht="24" thickBot="1" x14ac:dyDescent="0.35">
      <c r="A509" s="274" t="s">
        <v>103</v>
      </c>
      <c r="B509" s="1025" t="s">
        <v>49</v>
      </c>
      <c r="C509" s="1026"/>
      <c r="D509" s="1027"/>
      <c r="E509" s="284">
        <f>SUM(E500:E508)</f>
        <v>10000</v>
      </c>
      <c r="F509" s="285">
        <v>14000</v>
      </c>
      <c r="G509" s="320">
        <f>SUM(G500:G508)</f>
        <v>0</v>
      </c>
      <c r="H509" s="321">
        <f t="shared" ref="H509:I509" si="631">SUM(H500:H508)</f>
        <v>0</v>
      </c>
      <c r="I509" s="321">
        <f t="shared" si="631"/>
        <v>0</v>
      </c>
      <c r="J509" s="345">
        <f>+G510/F510</f>
        <v>0</v>
      </c>
      <c r="K509" s="320">
        <f>SUM(K500:K508)</f>
        <v>0</v>
      </c>
      <c r="L509" s="321">
        <f>+H509</f>
        <v>0</v>
      </c>
      <c r="M509" s="322">
        <f>+I509</f>
        <v>0</v>
      </c>
      <c r="N509" s="339">
        <f t="shared" si="629"/>
        <v>0</v>
      </c>
      <c r="O509" s="345" t="str">
        <f t="shared" si="630"/>
        <v>-</v>
      </c>
    </row>
    <row r="510" spans="1:15" ht="24" thickBot="1" x14ac:dyDescent="0.35">
      <c r="A510" s="274" t="s">
        <v>103</v>
      </c>
      <c r="B510" s="1047" t="s">
        <v>25</v>
      </c>
      <c r="C510" s="1048"/>
      <c r="D510" s="1049"/>
      <c r="E510" s="326">
        <f t="shared" ref="E510:F510" si="632">+E499+E509</f>
        <v>10000</v>
      </c>
      <c r="F510" s="327">
        <f t="shared" si="632"/>
        <v>94000</v>
      </c>
      <c r="G510" s="326">
        <f>+G499+G509</f>
        <v>0</v>
      </c>
      <c r="H510" s="324">
        <f t="shared" ref="H510:I510" si="633">+H499+H509</f>
        <v>0</v>
      </c>
      <c r="I510" s="324">
        <f t="shared" si="633"/>
        <v>0</v>
      </c>
      <c r="J510" s="349" t="str">
        <f>IFERROR(G510/#REF!,"-")</f>
        <v>-</v>
      </c>
      <c r="K510" s="326">
        <f t="shared" ref="K510" si="634">+K499+K509</f>
        <v>0</v>
      </c>
      <c r="L510" s="324">
        <f>+L499+L509</f>
        <v>0</v>
      </c>
      <c r="M510" s="325">
        <f t="shared" ref="M510" si="635">+M499+M509</f>
        <v>0</v>
      </c>
      <c r="N510" s="341">
        <f t="shared" si="629"/>
        <v>0</v>
      </c>
      <c r="O510" s="349" t="str">
        <f t="shared" si="630"/>
        <v>-</v>
      </c>
    </row>
    <row r="511" spans="1:15" ht="24" thickBot="1" x14ac:dyDescent="0.35">
      <c r="A511" s="274" t="s">
        <v>103</v>
      </c>
      <c r="B511" s="1019" t="s">
        <v>172</v>
      </c>
      <c r="C511" s="1020"/>
      <c r="D511" s="1021"/>
      <c r="E511" s="330">
        <f>+E494+E510</f>
        <v>3780000</v>
      </c>
      <c r="F511" s="331">
        <f t="shared" ref="F511:I511" si="636">+F494+F510</f>
        <v>559000</v>
      </c>
      <c r="G511" s="330">
        <f t="shared" si="636"/>
        <v>98290</v>
      </c>
      <c r="H511" s="328">
        <f t="shared" si="636"/>
        <v>97920</v>
      </c>
      <c r="I511" s="328">
        <f t="shared" si="636"/>
        <v>370</v>
      </c>
      <c r="J511" s="350">
        <f>+G511/F511</f>
        <v>0.17583184257602863</v>
      </c>
      <c r="K511" s="330">
        <f>+K494+K510</f>
        <v>936140</v>
      </c>
      <c r="L511" s="328">
        <f t="shared" ref="L511:M511" si="637">+L494+L510</f>
        <v>932804</v>
      </c>
      <c r="M511" s="329">
        <f t="shared" si="637"/>
        <v>3336</v>
      </c>
      <c r="N511" s="342">
        <f>IFERROR(K511/E511,"-")</f>
        <v>0.24765608465608466</v>
      </c>
      <c r="O511" s="350">
        <f t="shared" si="630"/>
        <v>3.5635695515628006E-3</v>
      </c>
    </row>
    <row r="512" spans="1:15" ht="23.4" x14ac:dyDescent="0.3">
      <c r="A512" s="268" t="s">
        <v>101</v>
      </c>
      <c r="B512" s="1051" t="s">
        <v>26</v>
      </c>
      <c r="C512" s="297" t="s">
        <v>297</v>
      </c>
      <c r="D512" s="297" t="s">
        <v>177</v>
      </c>
      <c r="E512" s="270"/>
      <c r="F512" s="271"/>
      <c r="G512" s="332">
        <f t="shared" ref="G512:G521" si="638">+H512+I512</f>
        <v>0</v>
      </c>
      <c r="H512" s="272"/>
      <c r="I512" s="272"/>
      <c r="J512" s="351" t="str">
        <f>IFERROR(G512/#REF!,"-")</f>
        <v>-</v>
      </c>
      <c r="K512" s="332">
        <f t="shared" ref="K512:K521" si="639">+L512+M512</f>
        <v>0</v>
      </c>
      <c r="L512" s="272">
        <f t="shared" ref="L512:L521" si="640">+H512+L399</f>
        <v>0</v>
      </c>
      <c r="M512" s="273">
        <f t="shared" ref="M512:M521" si="641">+I512+M399</f>
        <v>0</v>
      </c>
      <c r="N512" s="336" t="str">
        <f t="shared" ref="N512:N525" si="642">IFERROR(K512/E512,"-")</f>
        <v>-</v>
      </c>
      <c r="O512" s="346" t="str">
        <f t="shared" si="630"/>
        <v>-</v>
      </c>
    </row>
    <row r="513" spans="1:15" ht="23.4" x14ac:dyDescent="0.3">
      <c r="A513" s="274" t="s">
        <v>101</v>
      </c>
      <c r="B513" s="1051"/>
      <c r="C513" s="298" t="s">
        <v>424</v>
      </c>
      <c r="D513" s="298" t="s">
        <v>423</v>
      </c>
      <c r="E513" s="276">
        <v>564432</v>
      </c>
      <c r="F513" s="277"/>
      <c r="G513" s="333">
        <f t="shared" si="638"/>
        <v>3978</v>
      </c>
      <c r="H513" s="278">
        <v>3978</v>
      </c>
      <c r="I513" s="278"/>
      <c r="J513" s="352" t="str">
        <f>IFERROR(G513/#REF!,"-")</f>
        <v>-</v>
      </c>
      <c r="K513" s="333">
        <f t="shared" si="639"/>
        <v>253040</v>
      </c>
      <c r="L513" s="272">
        <f t="shared" si="640"/>
        <v>250614</v>
      </c>
      <c r="M513" s="273">
        <f t="shared" si="641"/>
        <v>2426</v>
      </c>
      <c r="N513" s="337">
        <f t="shared" si="642"/>
        <v>0.44830909657850726</v>
      </c>
      <c r="O513" s="263">
        <f t="shared" si="630"/>
        <v>9.5874170091685106E-3</v>
      </c>
    </row>
    <row r="514" spans="1:15" ht="23.4" x14ac:dyDescent="0.3">
      <c r="A514" s="274" t="s">
        <v>101</v>
      </c>
      <c r="B514" s="1051"/>
      <c r="C514" s="299" t="s">
        <v>27</v>
      </c>
      <c r="D514" s="299" t="s">
        <v>334</v>
      </c>
      <c r="E514" s="280">
        <v>1301232</v>
      </c>
      <c r="F514" s="281"/>
      <c r="G514" s="333">
        <f t="shared" si="638"/>
        <v>0</v>
      </c>
      <c r="H514" s="282"/>
      <c r="I514" s="282"/>
      <c r="J514" s="353" t="str">
        <f>IFERROR(G514/#REF!,"-")</f>
        <v>-</v>
      </c>
      <c r="K514" s="333">
        <f t="shared" si="639"/>
        <v>0</v>
      </c>
      <c r="L514" s="272">
        <f t="shared" si="640"/>
        <v>0</v>
      </c>
      <c r="M514" s="273">
        <f t="shared" si="641"/>
        <v>0</v>
      </c>
      <c r="N514" s="337">
        <f t="shared" si="642"/>
        <v>0</v>
      </c>
      <c r="O514" s="263" t="str">
        <f t="shared" si="630"/>
        <v>-</v>
      </c>
    </row>
    <row r="515" spans="1:15" ht="23.4" x14ac:dyDescent="0.3">
      <c r="A515" s="274" t="s">
        <v>101</v>
      </c>
      <c r="B515" s="1051"/>
      <c r="C515" s="299" t="s">
        <v>27</v>
      </c>
      <c r="D515" s="297" t="s">
        <v>492</v>
      </c>
      <c r="E515" s="280"/>
      <c r="F515" s="281"/>
      <c r="G515" s="333">
        <f t="shared" si="638"/>
        <v>202042</v>
      </c>
      <c r="H515" s="282">
        <f>107406+59670+31824</f>
        <v>198900</v>
      </c>
      <c r="I515" s="282">
        <f>1166+1269+707</f>
        <v>3142</v>
      </c>
      <c r="J515" s="353" t="str">
        <f>IFERROR(G515/#REF!,"-")</f>
        <v>-</v>
      </c>
      <c r="K515" s="333">
        <f t="shared" si="639"/>
        <v>270630</v>
      </c>
      <c r="L515" s="272">
        <f t="shared" si="640"/>
        <v>266526</v>
      </c>
      <c r="M515" s="273">
        <f t="shared" si="641"/>
        <v>4104</v>
      </c>
      <c r="N515" s="337" t="str">
        <f t="shared" si="642"/>
        <v>-</v>
      </c>
      <c r="O515" s="263">
        <f t="shared" si="630"/>
        <v>1.5164615896242102E-2</v>
      </c>
    </row>
    <row r="516" spans="1:15" ht="23.4" x14ac:dyDescent="0.3">
      <c r="A516" s="274" t="s">
        <v>101</v>
      </c>
      <c r="B516" s="1051"/>
      <c r="C516" s="299" t="s">
        <v>27</v>
      </c>
      <c r="D516" s="299" t="s">
        <v>279</v>
      </c>
      <c r="E516" s="280"/>
      <c r="F516" s="281">
        <v>160000</v>
      </c>
      <c r="G516" s="333">
        <f t="shared" si="638"/>
        <v>0</v>
      </c>
      <c r="H516" s="282"/>
      <c r="I516" s="282"/>
      <c r="J516" s="353" t="str">
        <f>IFERROR(G516/#REF!,"-")</f>
        <v>-</v>
      </c>
      <c r="K516" s="333">
        <f t="shared" si="639"/>
        <v>0</v>
      </c>
      <c r="L516" s="272">
        <f t="shared" si="640"/>
        <v>0</v>
      </c>
      <c r="M516" s="273">
        <f t="shared" si="641"/>
        <v>0</v>
      </c>
      <c r="N516" s="337" t="str">
        <f t="shared" si="642"/>
        <v>-</v>
      </c>
      <c r="O516" s="263" t="str">
        <f t="shared" si="630"/>
        <v>-</v>
      </c>
    </row>
    <row r="517" spans="1:15" ht="22.5" customHeight="1" x14ac:dyDescent="0.3">
      <c r="A517" s="274"/>
      <c r="B517" s="1051"/>
      <c r="C517" s="299" t="s">
        <v>432</v>
      </c>
      <c r="D517" s="299" t="s">
        <v>178</v>
      </c>
      <c r="E517" s="280"/>
      <c r="F517" s="281"/>
      <c r="G517" s="334">
        <f t="shared" si="638"/>
        <v>0</v>
      </c>
      <c r="H517" s="282"/>
      <c r="I517" s="282"/>
      <c r="J517" s="353" t="str">
        <f>IFERROR(G517/#REF!,"-")</f>
        <v>-</v>
      </c>
      <c r="K517" s="334">
        <f t="shared" si="639"/>
        <v>0</v>
      </c>
      <c r="L517" s="272">
        <f t="shared" si="640"/>
        <v>0</v>
      </c>
      <c r="M517" s="273">
        <f t="shared" si="641"/>
        <v>0</v>
      </c>
      <c r="N517" s="337" t="str">
        <f t="shared" si="642"/>
        <v>-</v>
      </c>
      <c r="O517" s="263" t="str">
        <f t="shared" si="630"/>
        <v>-</v>
      </c>
    </row>
    <row r="518" spans="1:15" ht="23.4" x14ac:dyDescent="0.3">
      <c r="A518" s="274"/>
      <c r="B518" s="1051"/>
      <c r="C518" s="299" t="s">
        <v>333</v>
      </c>
      <c r="D518" s="299" t="s">
        <v>94</v>
      </c>
      <c r="E518" s="280"/>
      <c r="F518" s="281"/>
      <c r="G518" s="334">
        <f t="shared" si="638"/>
        <v>0</v>
      </c>
      <c r="H518" s="282"/>
      <c r="I518" s="282"/>
      <c r="J518" s="353" t="str">
        <f>IFERROR(G518/#REF!,"-")</f>
        <v>-</v>
      </c>
      <c r="K518" s="334">
        <f t="shared" si="639"/>
        <v>0</v>
      </c>
      <c r="L518" s="272">
        <f t="shared" si="640"/>
        <v>0</v>
      </c>
      <c r="M518" s="273">
        <f t="shared" si="641"/>
        <v>0</v>
      </c>
      <c r="N518" s="337" t="str">
        <f t="shared" si="642"/>
        <v>-</v>
      </c>
      <c r="O518" s="263" t="str">
        <f t="shared" si="630"/>
        <v>-</v>
      </c>
    </row>
    <row r="519" spans="1:15" ht="23.4" x14ac:dyDescent="0.3">
      <c r="A519" s="274"/>
      <c r="B519" s="1051"/>
      <c r="C519" s="299" t="s">
        <v>433</v>
      </c>
      <c r="D519" s="299" t="s">
        <v>178</v>
      </c>
      <c r="E519" s="280"/>
      <c r="F519" s="281">
        <v>80000</v>
      </c>
      <c r="G519" s="334">
        <f t="shared" si="638"/>
        <v>0</v>
      </c>
      <c r="H519" s="282"/>
      <c r="I519" s="282"/>
      <c r="J519" s="353" t="str">
        <f>IFERROR(G519/#REF!,"-")</f>
        <v>-</v>
      </c>
      <c r="K519" s="334">
        <f t="shared" si="639"/>
        <v>0</v>
      </c>
      <c r="L519" s="272">
        <f t="shared" si="640"/>
        <v>0</v>
      </c>
      <c r="M519" s="272">
        <f t="shared" si="641"/>
        <v>0</v>
      </c>
      <c r="N519" s="337" t="str">
        <f t="shared" si="642"/>
        <v>-</v>
      </c>
      <c r="O519" s="263" t="str">
        <f t="shared" si="630"/>
        <v>-</v>
      </c>
    </row>
    <row r="520" spans="1:15" ht="23.4" x14ac:dyDescent="0.3">
      <c r="A520" s="274"/>
      <c r="B520" s="1051"/>
      <c r="C520" s="299" t="s">
        <v>382</v>
      </c>
      <c r="D520" s="299" t="s">
        <v>366</v>
      </c>
      <c r="E520" s="280"/>
      <c r="F520" s="281">
        <v>80000</v>
      </c>
      <c r="G520" s="334">
        <f t="shared" si="638"/>
        <v>0</v>
      </c>
      <c r="H520" s="282"/>
      <c r="I520" s="282"/>
      <c r="J520" s="353" t="str">
        <f>IFERROR(G520/#REF!,"-")</f>
        <v>-</v>
      </c>
      <c r="K520" s="334">
        <f t="shared" si="639"/>
        <v>0</v>
      </c>
      <c r="L520" s="272">
        <f t="shared" si="640"/>
        <v>0</v>
      </c>
      <c r="M520" s="273">
        <f t="shared" si="641"/>
        <v>0</v>
      </c>
      <c r="N520" s="337" t="str">
        <f t="shared" si="642"/>
        <v>-</v>
      </c>
      <c r="O520" s="263" t="str">
        <f t="shared" si="630"/>
        <v>-</v>
      </c>
    </row>
    <row r="521" spans="1:15" ht="24" thickBot="1" x14ac:dyDescent="0.35">
      <c r="A521" s="274" t="s">
        <v>101</v>
      </c>
      <c r="B521" s="1051"/>
      <c r="C521" s="300" t="s">
        <v>290</v>
      </c>
      <c r="D521" s="299" t="s">
        <v>289</v>
      </c>
      <c r="E521" s="280"/>
      <c r="F521" s="281"/>
      <c r="G521" s="334">
        <f t="shared" si="638"/>
        <v>0</v>
      </c>
      <c r="H521" s="282"/>
      <c r="I521" s="282"/>
      <c r="J521" s="353" t="str">
        <f>IFERROR(G521/#REF!,"-")</f>
        <v>-</v>
      </c>
      <c r="K521" s="334">
        <f t="shared" si="639"/>
        <v>0</v>
      </c>
      <c r="L521" s="272">
        <f t="shared" si="640"/>
        <v>0</v>
      </c>
      <c r="M521" s="273">
        <f t="shared" si="641"/>
        <v>0</v>
      </c>
      <c r="N521" s="337" t="str">
        <f t="shared" si="642"/>
        <v>-</v>
      </c>
      <c r="O521" s="347" t="str">
        <f t="shared" si="630"/>
        <v>-</v>
      </c>
    </row>
    <row r="522" spans="1:15" ht="24" thickBot="1" x14ac:dyDescent="0.35">
      <c r="A522" s="274" t="s">
        <v>101</v>
      </c>
      <c r="B522" s="1052"/>
      <c r="C522" s="301"/>
      <c r="D522" s="302" t="s">
        <v>52</v>
      </c>
      <c r="E522" s="284">
        <f>SUM(E512:E521)</f>
        <v>1865664</v>
      </c>
      <c r="F522" s="285">
        <f>SUM(F512:F521)</f>
        <v>320000</v>
      </c>
      <c r="G522" s="320">
        <f>SUM(G512:G521)</f>
        <v>206020</v>
      </c>
      <c r="H522" s="321">
        <f>SUM(H512:H521)</f>
        <v>202878</v>
      </c>
      <c r="I522" s="321">
        <f>SUM(I512:I521)</f>
        <v>3142</v>
      </c>
      <c r="J522" s="345">
        <f>+G522/F522</f>
        <v>0.64381250000000001</v>
      </c>
      <c r="K522" s="320">
        <f>SUM(K512:K521)</f>
        <v>523670</v>
      </c>
      <c r="L522" s="321">
        <f>SUM(L512:L521)</f>
        <v>517140</v>
      </c>
      <c r="M522" s="322">
        <f>SUM(M512:M521)</f>
        <v>6530</v>
      </c>
      <c r="N522" s="339">
        <f t="shared" si="642"/>
        <v>0.28068826969915267</v>
      </c>
      <c r="O522" s="345">
        <f t="shared" si="630"/>
        <v>1.2469685107033055E-2</v>
      </c>
    </row>
    <row r="523" spans="1:15" ht="23.4" x14ac:dyDescent="0.3">
      <c r="A523" s="274" t="s">
        <v>101</v>
      </c>
      <c r="B523" s="1053" t="s">
        <v>28</v>
      </c>
      <c r="C523" s="299" t="s">
        <v>27</v>
      </c>
      <c r="D523" s="297" t="s">
        <v>492</v>
      </c>
      <c r="E523" s="270"/>
      <c r="F523" s="271"/>
      <c r="G523" s="332">
        <f t="shared" ref="G523:G527" si="643">+H523+I523</f>
        <v>0</v>
      </c>
      <c r="H523" s="272"/>
      <c r="I523" s="272"/>
      <c r="J523" s="351" t="str">
        <f>IFERROR(G523/#REF!,"-")</f>
        <v>-</v>
      </c>
      <c r="K523" s="332">
        <f t="shared" ref="K523:K529" si="644">+L523+M523</f>
        <v>76878</v>
      </c>
      <c r="L523" s="272">
        <f t="shared" ref="L523:L529" si="645">+H523+L410</f>
        <v>75582</v>
      </c>
      <c r="M523" s="273">
        <f t="shared" ref="M523:M529" si="646">+I523+M410</f>
        <v>1296</v>
      </c>
      <c r="N523" s="336" t="str">
        <f t="shared" si="642"/>
        <v>-</v>
      </c>
      <c r="O523" s="346">
        <f t="shared" si="630"/>
        <v>1.6857878716928121E-2</v>
      </c>
    </row>
    <row r="524" spans="1:15" ht="23.4" x14ac:dyDescent="0.3">
      <c r="A524" s="274" t="s">
        <v>101</v>
      </c>
      <c r="B524" s="1051"/>
      <c r="C524" s="299" t="s">
        <v>385</v>
      </c>
      <c r="D524" s="299" t="s">
        <v>334</v>
      </c>
      <c r="E524" s="276"/>
      <c r="F524" s="277"/>
      <c r="G524" s="333">
        <f t="shared" si="643"/>
        <v>0</v>
      </c>
      <c r="H524" s="278"/>
      <c r="I524" s="278"/>
      <c r="J524" s="352" t="str">
        <f>IFERROR(G524/#REF!,"-")</f>
        <v>-</v>
      </c>
      <c r="K524" s="333">
        <f t="shared" si="644"/>
        <v>96975</v>
      </c>
      <c r="L524" s="272">
        <f t="shared" si="645"/>
        <v>95472</v>
      </c>
      <c r="M524" s="273">
        <f t="shared" si="646"/>
        <v>1503</v>
      </c>
      <c r="N524" s="337" t="str">
        <f t="shared" si="642"/>
        <v>-</v>
      </c>
      <c r="O524" s="263">
        <f t="shared" si="630"/>
        <v>1.5498839907192575E-2</v>
      </c>
    </row>
    <row r="525" spans="1:15" ht="23.4" x14ac:dyDescent="0.3">
      <c r="A525" s="274" t="s">
        <v>101</v>
      </c>
      <c r="B525" s="1051"/>
      <c r="C525" s="299" t="s">
        <v>27</v>
      </c>
      <c r="D525" s="299" t="s">
        <v>334</v>
      </c>
      <c r="E525" s="276"/>
      <c r="F525" s="277"/>
      <c r="G525" s="333">
        <f t="shared" si="643"/>
        <v>0</v>
      </c>
      <c r="H525" s="278"/>
      <c r="I525" s="278"/>
      <c r="J525" s="352" t="str">
        <f>IFERROR(G525/#REF!,"-")</f>
        <v>-</v>
      </c>
      <c r="K525" s="333">
        <f t="shared" si="644"/>
        <v>0</v>
      </c>
      <c r="L525" s="272">
        <f t="shared" si="645"/>
        <v>0</v>
      </c>
      <c r="M525" s="273">
        <f t="shared" si="646"/>
        <v>0</v>
      </c>
      <c r="N525" s="337" t="str">
        <f t="shared" si="642"/>
        <v>-</v>
      </c>
      <c r="O525" s="263" t="str">
        <f t="shared" si="630"/>
        <v>-</v>
      </c>
    </row>
    <row r="526" spans="1:15" ht="23.4" x14ac:dyDescent="0.3">
      <c r="A526" s="274"/>
      <c r="B526" s="1051"/>
      <c r="C526" s="299" t="s">
        <v>460</v>
      </c>
      <c r="D526" s="299" t="s">
        <v>334</v>
      </c>
      <c r="E526" s="280"/>
      <c r="F526" s="281"/>
      <c r="G526" s="333">
        <f t="shared" si="643"/>
        <v>0</v>
      </c>
      <c r="H526" s="282"/>
      <c r="I526" s="282"/>
      <c r="J526" s="352" t="str">
        <f>IFERROR(G526/#REF!,"-")</f>
        <v>-</v>
      </c>
      <c r="K526" s="333">
        <f t="shared" si="644"/>
        <v>0</v>
      </c>
      <c r="L526" s="272">
        <f t="shared" si="645"/>
        <v>0</v>
      </c>
      <c r="M526" s="273">
        <f t="shared" si="646"/>
        <v>0</v>
      </c>
      <c r="N526" s="338"/>
      <c r="O526" s="347"/>
    </row>
    <row r="527" spans="1:15" ht="23.4" x14ac:dyDescent="0.3">
      <c r="A527" s="274" t="s">
        <v>101</v>
      </c>
      <c r="B527" s="1051"/>
      <c r="C527" s="299" t="s">
        <v>382</v>
      </c>
      <c r="D527" s="300" t="s">
        <v>366</v>
      </c>
      <c r="E527" s="280"/>
      <c r="F527" s="281"/>
      <c r="G527" s="334">
        <f t="shared" si="643"/>
        <v>0</v>
      </c>
      <c r="H527" s="282"/>
      <c r="I527" s="282"/>
      <c r="J527" s="352" t="str">
        <f>IFERROR(G527/#REF!,"-")</f>
        <v>-</v>
      </c>
      <c r="K527" s="334">
        <f t="shared" si="644"/>
        <v>0</v>
      </c>
      <c r="L527" s="272">
        <f t="shared" si="645"/>
        <v>0</v>
      </c>
      <c r="M527" s="702">
        <f t="shared" si="646"/>
        <v>0</v>
      </c>
      <c r="N527" s="338" t="str">
        <f t="shared" ref="N527" si="647">IFERROR(K527/E527,"-")</f>
        <v>-</v>
      </c>
      <c r="O527" s="347" t="str">
        <f t="shared" ref="O527" si="648">IFERROR(M527/K527,"-")</f>
        <v>-</v>
      </c>
    </row>
    <row r="528" spans="1:15" ht="23.4" x14ac:dyDescent="0.3">
      <c r="A528" s="274"/>
      <c r="B528" s="1051"/>
      <c r="C528" s="299" t="s">
        <v>458</v>
      </c>
      <c r="D528" s="300" t="s">
        <v>280</v>
      </c>
      <c r="E528" s="280"/>
      <c r="F528" s="281"/>
      <c r="G528" s="334"/>
      <c r="H528" s="282"/>
      <c r="I528" s="282"/>
      <c r="J528" s="352" t="str">
        <f>IFERROR(G528/#REF!,"-")</f>
        <v>-</v>
      </c>
      <c r="K528" s="334">
        <f t="shared" si="644"/>
        <v>0</v>
      </c>
      <c r="L528" s="272">
        <f t="shared" si="645"/>
        <v>0</v>
      </c>
      <c r="M528" s="272">
        <f t="shared" si="646"/>
        <v>0</v>
      </c>
      <c r="N528" s="338"/>
      <c r="O528" s="347"/>
    </row>
    <row r="529" spans="1:15" ht="24" thickBot="1" x14ac:dyDescent="0.35">
      <c r="A529" s="274" t="s">
        <v>101</v>
      </c>
      <c r="B529" s="1051"/>
      <c r="C529" s="299" t="s">
        <v>27</v>
      </c>
      <c r="D529" s="300" t="s">
        <v>234</v>
      </c>
      <c r="E529" s="280"/>
      <c r="F529" s="281"/>
      <c r="G529" s="334">
        <f t="shared" ref="G529" si="649">+H529+I529</f>
        <v>0</v>
      </c>
      <c r="H529" s="282"/>
      <c r="I529" s="282"/>
      <c r="J529" s="353" t="str">
        <f>IFERROR(G529/#REF!,"-")</f>
        <v>-</v>
      </c>
      <c r="K529" s="334">
        <f t="shared" si="644"/>
        <v>0</v>
      </c>
      <c r="L529" s="272">
        <f t="shared" si="645"/>
        <v>0</v>
      </c>
      <c r="M529" s="702">
        <f t="shared" si="646"/>
        <v>0</v>
      </c>
      <c r="N529" s="338" t="str">
        <f t="shared" ref="N529:N530" si="650">IFERROR(K529/E529,"-")</f>
        <v>-</v>
      </c>
      <c r="O529" s="347" t="str">
        <f t="shared" ref="O529:O545" si="651">IFERROR(M529/K529,"-")</f>
        <v>-</v>
      </c>
    </row>
    <row r="530" spans="1:15" ht="24" thickBot="1" x14ac:dyDescent="0.35">
      <c r="A530" s="274" t="s">
        <v>101</v>
      </c>
      <c r="B530" s="1051"/>
      <c r="C530" s="304"/>
      <c r="D530" s="305" t="s">
        <v>52</v>
      </c>
      <c r="E530" s="306">
        <f>SUM(E523:E529)</f>
        <v>0</v>
      </c>
      <c r="F530" s="307">
        <v>80000</v>
      </c>
      <c r="G530" s="366">
        <f>SUM(G523:G529)</f>
        <v>0</v>
      </c>
      <c r="H530" s="365">
        <f>SUM(H523:H529)</f>
        <v>0</v>
      </c>
      <c r="I530" s="365">
        <f>SUM(I523:I529)</f>
        <v>0</v>
      </c>
      <c r="J530" s="356">
        <f>+G530/F530</f>
        <v>0</v>
      </c>
      <c r="K530" s="366">
        <f>SUM(K523:K529)</f>
        <v>173853</v>
      </c>
      <c r="L530" s="365">
        <f>SUM(L523:L529)</f>
        <v>171054</v>
      </c>
      <c r="M530" s="367">
        <f>SUM(M523:M529)</f>
        <v>2799</v>
      </c>
      <c r="N530" s="355" t="str">
        <f t="shared" si="650"/>
        <v>-</v>
      </c>
      <c r="O530" s="356">
        <f t="shared" si="651"/>
        <v>1.6099808458870424E-2</v>
      </c>
    </row>
    <row r="531" spans="1:15" ht="24" thickBot="1" x14ac:dyDescent="0.35">
      <c r="A531" s="794" t="s">
        <v>101</v>
      </c>
      <c r="B531" s="1054" t="s">
        <v>162</v>
      </c>
      <c r="C531" s="1055"/>
      <c r="D531" s="1056"/>
      <c r="E531" s="308">
        <f>+E530+E522</f>
        <v>1865664</v>
      </c>
      <c r="F531" s="309">
        <f>+F530+F522</f>
        <v>400000</v>
      </c>
      <c r="G531" s="369">
        <f>+G522+G530</f>
        <v>206020</v>
      </c>
      <c r="H531" s="368">
        <f>+H522+H530</f>
        <v>202878</v>
      </c>
      <c r="I531" s="368">
        <f>+I522+I530</f>
        <v>3142</v>
      </c>
      <c r="J531" s="358">
        <f>+G531/F531</f>
        <v>0.51505000000000001</v>
      </c>
      <c r="K531" s="369">
        <f>+K522+K530</f>
        <v>697523</v>
      </c>
      <c r="L531" s="368">
        <f>+L522+L530</f>
        <v>688194</v>
      </c>
      <c r="M531" s="370">
        <f>+M522+M530</f>
        <v>9329</v>
      </c>
      <c r="N531" s="357">
        <f>IFERROR(K531/E531,"-")</f>
        <v>0.37387385938732803</v>
      </c>
      <c r="O531" s="358">
        <f t="shared" si="651"/>
        <v>1.337446937233611E-2</v>
      </c>
    </row>
    <row r="532" spans="1:15" ht="23.4" x14ac:dyDescent="0.3">
      <c r="A532" s="274" t="s">
        <v>101</v>
      </c>
      <c r="B532" s="1051" t="s">
        <v>30</v>
      </c>
      <c r="C532" s="303" t="s">
        <v>446</v>
      </c>
      <c r="D532" s="299" t="s">
        <v>334</v>
      </c>
      <c r="E532" s="270">
        <v>225000</v>
      </c>
      <c r="F532" s="271"/>
      <c r="G532" s="332">
        <f t="shared" ref="G532:G534" si="652">+H532+I532</f>
        <v>0</v>
      </c>
      <c r="H532" s="272"/>
      <c r="I532" s="272"/>
      <c r="J532" s="351" t="str">
        <f>IFERROR(G532/#REF!,"-")</f>
        <v>-</v>
      </c>
      <c r="K532" s="332">
        <f t="shared" ref="K532:K534" si="653">+L532+M532</f>
        <v>0</v>
      </c>
      <c r="L532" s="272">
        <f t="shared" ref="L532:L534" si="654">+H532+L419</f>
        <v>0</v>
      </c>
      <c r="M532" s="273">
        <f t="shared" ref="M532:M534" si="655">+I532+M419</f>
        <v>0</v>
      </c>
      <c r="N532" s="336">
        <f t="shared" ref="N532:N545" si="656">IFERROR(K532/E532,"-")</f>
        <v>0</v>
      </c>
      <c r="O532" s="346" t="str">
        <f t="shared" si="651"/>
        <v>-</v>
      </c>
    </row>
    <row r="533" spans="1:15" ht="23.4" x14ac:dyDescent="0.3">
      <c r="A533" s="274" t="s">
        <v>101</v>
      </c>
      <c r="B533" s="1051"/>
      <c r="C533" s="300" t="s">
        <v>429</v>
      </c>
      <c r="D533" s="303" t="s">
        <v>366</v>
      </c>
      <c r="E533" s="276"/>
      <c r="F533" s="277"/>
      <c r="G533" s="333">
        <f t="shared" si="652"/>
        <v>0</v>
      </c>
      <c r="H533" s="278"/>
      <c r="I533" s="278"/>
      <c r="J533" s="352" t="str">
        <f>IFERROR(G533/#REF!,"-")</f>
        <v>-</v>
      </c>
      <c r="K533" s="333">
        <f t="shared" si="653"/>
        <v>0</v>
      </c>
      <c r="L533" s="272">
        <f t="shared" si="654"/>
        <v>0</v>
      </c>
      <c r="M533" s="273">
        <f t="shared" si="655"/>
        <v>0</v>
      </c>
      <c r="N533" s="337" t="str">
        <f t="shared" si="656"/>
        <v>-</v>
      </c>
      <c r="O533" s="263" t="str">
        <f t="shared" si="651"/>
        <v>-</v>
      </c>
    </row>
    <row r="534" spans="1:15" ht="24" thickBot="1" x14ac:dyDescent="0.35">
      <c r="A534" s="274" t="s">
        <v>101</v>
      </c>
      <c r="B534" s="1051"/>
      <c r="C534" s="300" t="s">
        <v>291</v>
      </c>
      <c r="D534" s="300" t="s">
        <v>366</v>
      </c>
      <c r="E534" s="280"/>
      <c r="F534" s="281"/>
      <c r="G534" s="334">
        <f t="shared" si="652"/>
        <v>0</v>
      </c>
      <c r="H534" s="282"/>
      <c r="I534" s="282"/>
      <c r="J534" s="353" t="str">
        <f>IFERROR(G534/#REF!,"-")</f>
        <v>-</v>
      </c>
      <c r="K534" s="334">
        <f t="shared" si="653"/>
        <v>0</v>
      </c>
      <c r="L534" s="272">
        <f t="shared" si="654"/>
        <v>0</v>
      </c>
      <c r="M534" s="273">
        <f t="shared" si="655"/>
        <v>0</v>
      </c>
      <c r="N534" s="338" t="str">
        <f t="shared" si="656"/>
        <v>-</v>
      </c>
      <c r="O534" s="347" t="str">
        <f t="shared" si="651"/>
        <v>-</v>
      </c>
    </row>
    <row r="535" spans="1:15" ht="24" thickBot="1" x14ac:dyDescent="0.35">
      <c r="A535" s="274" t="s">
        <v>101</v>
      </c>
      <c r="B535" s="1051"/>
      <c r="C535" s="301"/>
      <c r="D535" s="302" t="s">
        <v>50</v>
      </c>
      <c r="E535" s="284">
        <f>SUM(E532:E534)</f>
        <v>225000</v>
      </c>
      <c r="F535" s="285">
        <v>50000</v>
      </c>
      <c r="G535" s="320">
        <f>SUM(G532:G534)</f>
        <v>0</v>
      </c>
      <c r="H535" s="321">
        <f>SUM(H532:H534)</f>
        <v>0</v>
      </c>
      <c r="I535" s="321">
        <f>SUM(I532:I534)</f>
        <v>0</v>
      </c>
      <c r="J535" s="345" t="e">
        <f>+H535/G535</f>
        <v>#DIV/0!</v>
      </c>
      <c r="K535" s="320">
        <f>SUM(K532:K534)</f>
        <v>0</v>
      </c>
      <c r="L535" s="321">
        <f>SUM(L532:L534)</f>
        <v>0</v>
      </c>
      <c r="M535" s="322">
        <f>SUM(M532:M534)</f>
        <v>0</v>
      </c>
      <c r="N535" s="339">
        <f t="shared" si="656"/>
        <v>0</v>
      </c>
      <c r="O535" s="345" t="str">
        <f t="shared" si="651"/>
        <v>-</v>
      </c>
    </row>
    <row r="536" spans="1:15" ht="23.4" x14ac:dyDescent="0.3">
      <c r="A536" s="274" t="s">
        <v>101</v>
      </c>
      <c r="B536" s="1051"/>
      <c r="C536" s="297" t="s">
        <v>434</v>
      </c>
      <c r="D536" s="297" t="s">
        <v>92</v>
      </c>
      <c r="E536" s="270"/>
      <c r="F536" s="271"/>
      <c r="G536" s="332">
        <f t="shared" ref="G536:G537" si="657">+H536+I536</f>
        <v>0</v>
      </c>
      <c r="H536" s="272"/>
      <c r="I536" s="272"/>
      <c r="J536" s="351" t="str">
        <f>IFERROR(G536/#REF!,"-")</f>
        <v>-</v>
      </c>
      <c r="K536" s="332">
        <f t="shared" ref="K536:K541" si="658">+L536+M536</f>
        <v>0</v>
      </c>
      <c r="L536" s="272">
        <f t="shared" ref="L536:L541" si="659">+H536+L423</f>
        <v>0</v>
      </c>
      <c r="M536" s="273">
        <f t="shared" ref="M536:M541" si="660">+I536+M423</f>
        <v>0</v>
      </c>
      <c r="N536" s="336" t="str">
        <f t="shared" si="656"/>
        <v>-</v>
      </c>
      <c r="O536" s="346" t="str">
        <f t="shared" si="651"/>
        <v>-</v>
      </c>
    </row>
    <row r="537" spans="1:15" ht="23.4" x14ac:dyDescent="0.3">
      <c r="A537" s="274"/>
      <c r="B537" s="1051"/>
      <c r="C537" s="303" t="s">
        <v>449</v>
      </c>
      <c r="D537" s="299" t="s">
        <v>334</v>
      </c>
      <c r="E537" s="270"/>
      <c r="F537" s="271"/>
      <c r="G537" s="332">
        <f t="shared" si="657"/>
        <v>0</v>
      </c>
      <c r="H537" s="272"/>
      <c r="I537" s="272"/>
      <c r="J537" s="351" t="str">
        <f>IFERROR(G537/#REF!,"-")</f>
        <v>-</v>
      </c>
      <c r="K537" s="332">
        <f t="shared" si="658"/>
        <v>0</v>
      </c>
      <c r="L537" s="272">
        <f t="shared" si="659"/>
        <v>0</v>
      </c>
      <c r="M537" s="273">
        <f t="shared" si="660"/>
        <v>0</v>
      </c>
      <c r="N537" s="337" t="str">
        <f t="shared" si="656"/>
        <v>-</v>
      </c>
      <c r="O537" s="346" t="str">
        <f t="shared" si="651"/>
        <v>-</v>
      </c>
    </row>
    <row r="538" spans="1:15" ht="23.4" x14ac:dyDescent="0.3">
      <c r="A538" s="274"/>
      <c r="B538" s="1051"/>
      <c r="C538" s="303" t="s">
        <v>452</v>
      </c>
      <c r="D538" s="299" t="s">
        <v>334</v>
      </c>
      <c r="E538" s="270"/>
      <c r="F538" s="271"/>
      <c r="G538" s="332"/>
      <c r="H538" s="272"/>
      <c r="I538" s="272"/>
      <c r="J538" s="351" t="str">
        <f>IFERROR(G538/#REF!,"-")</f>
        <v>-</v>
      </c>
      <c r="K538" s="332">
        <f t="shared" si="658"/>
        <v>0</v>
      </c>
      <c r="L538" s="272">
        <f t="shared" si="659"/>
        <v>0</v>
      </c>
      <c r="M538" s="273">
        <f t="shared" si="660"/>
        <v>0</v>
      </c>
      <c r="N538" s="337" t="str">
        <f t="shared" si="656"/>
        <v>-</v>
      </c>
      <c r="O538" s="346" t="str">
        <f t="shared" si="651"/>
        <v>-</v>
      </c>
    </row>
    <row r="539" spans="1:15" ht="23.4" x14ac:dyDescent="0.3">
      <c r="A539" s="274" t="s">
        <v>101</v>
      </c>
      <c r="B539" s="1051"/>
      <c r="C539" s="303" t="s">
        <v>501</v>
      </c>
      <c r="D539" s="300" t="s">
        <v>423</v>
      </c>
      <c r="E539" s="276">
        <v>125000</v>
      </c>
      <c r="F539" s="277"/>
      <c r="G539" s="333">
        <f t="shared" ref="G539" si="661">+H539+I539</f>
        <v>0</v>
      </c>
      <c r="H539" s="278"/>
      <c r="I539" s="278"/>
      <c r="J539" s="351" t="str">
        <f>IFERROR(G539/#REF!,"-")</f>
        <v>-</v>
      </c>
      <c r="K539" s="333">
        <f t="shared" si="658"/>
        <v>8116</v>
      </c>
      <c r="L539" s="272">
        <f t="shared" si="659"/>
        <v>7488</v>
      </c>
      <c r="M539" s="273">
        <f t="shared" si="660"/>
        <v>628</v>
      </c>
      <c r="N539" s="337">
        <f t="shared" si="656"/>
        <v>6.4928E-2</v>
      </c>
      <c r="O539" s="263">
        <f t="shared" si="651"/>
        <v>7.737801872843765E-2</v>
      </c>
    </row>
    <row r="540" spans="1:15" ht="23.4" x14ac:dyDescent="0.3">
      <c r="A540" s="274"/>
      <c r="B540" s="1051"/>
      <c r="C540" s="300" t="s">
        <v>459</v>
      </c>
      <c r="D540" s="300" t="s">
        <v>366</v>
      </c>
      <c r="E540" s="280"/>
      <c r="F540" s="281"/>
      <c r="G540" s="334"/>
      <c r="H540" s="282"/>
      <c r="I540" s="282"/>
      <c r="J540" s="351" t="str">
        <f>IFERROR(G540/#REF!,"-")</f>
        <v>-</v>
      </c>
      <c r="K540" s="333">
        <f t="shared" si="658"/>
        <v>0</v>
      </c>
      <c r="L540" s="272">
        <f t="shared" si="659"/>
        <v>0</v>
      </c>
      <c r="M540" s="272">
        <f t="shared" si="660"/>
        <v>0</v>
      </c>
      <c r="N540" s="337" t="str">
        <f t="shared" si="656"/>
        <v>-</v>
      </c>
      <c r="O540" s="263" t="str">
        <f t="shared" si="651"/>
        <v>-</v>
      </c>
    </row>
    <row r="541" spans="1:15" ht="24" thickBot="1" x14ac:dyDescent="0.35">
      <c r="A541" s="274" t="s">
        <v>101</v>
      </c>
      <c r="B541" s="1051"/>
      <c r="C541" s="300" t="s">
        <v>435</v>
      </c>
      <c r="D541" s="300" t="s">
        <v>423</v>
      </c>
      <c r="E541" s="280"/>
      <c r="F541" s="281"/>
      <c r="G541" s="334">
        <f t="shared" ref="G541" si="662">+H541+I541</f>
        <v>0</v>
      </c>
      <c r="H541" s="282"/>
      <c r="I541" s="282"/>
      <c r="J541" s="353" t="str">
        <f>IFERROR(G541/#REF!,"-")</f>
        <v>-</v>
      </c>
      <c r="K541" s="334">
        <f t="shared" si="658"/>
        <v>0</v>
      </c>
      <c r="L541" s="272">
        <f t="shared" si="659"/>
        <v>0</v>
      </c>
      <c r="M541" s="273">
        <f t="shared" si="660"/>
        <v>0</v>
      </c>
      <c r="N541" s="338" t="str">
        <f t="shared" si="656"/>
        <v>-</v>
      </c>
      <c r="O541" s="347" t="str">
        <f t="shared" si="651"/>
        <v>-</v>
      </c>
    </row>
    <row r="542" spans="1:15" ht="24" thickBot="1" x14ac:dyDescent="0.35">
      <c r="A542" s="274" t="s">
        <v>101</v>
      </c>
      <c r="B542" s="1051"/>
      <c r="C542" s="304"/>
      <c r="D542" s="305" t="s">
        <v>51</v>
      </c>
      <c r="E542" s="306">
        <f>SUM(E536:E541)</f>
        <v>125000</v>
      </c>
      <c r="F542" s="307">
        <v>50000</v>
      </c>
      <c r="G542" s="366">
        <f>SUM(G536:G541)</f>
        <v>0</v>
      </c>
      <c r="H542" s="365">
        <f t="shared" ref="H542:I542" si="663">SUM(H536:H541)</f>
        <v>0</v>
      </c>
      <c r="I542" s="365">
        <f t="shared" si="663"/>
        <v>0</v>
      </c>
      <c r="J542" s="356">
        <f>+G542/F542</f>
        <v>0</v>
      </c>
      <c r="K542" s="366">
        <f t="shared" ref="K542:M542" si="664">SUM(K536:K541)</f>
        <v>8116</v>
      </c>
      <c r="L542" s="365">
        <f t="shared" si="664"/>
        <v>7488</v>
      </c>
      <c r="M542" s="367">
        <f t="shared" si="664"/>
        <v>628</v>
      </c>
      <c r="N542" s="355">
        <f t="shared" si="656"/>
        <v>6.4928E-2</v>
      </c>
      <c r="O542" s="356">
        <f t="shared" si="651"/>
        <v>7.737801872843765E-2</v>
      </c>
    </row>
    <row r="543" spans="1:15" ht="24" thickBot="1" x14ac:dyDescent="0.35">
      <c r="A543" s="274" t="s">
        <v>101</v>
      </c>
      <c r="B543" s="1054" t="s">
        <v>163</v>
      </c>
      <c r="C543" s="1055"/>
      <c r="D543" s="1056"/>
      <c r="E543" s="308">
        <f>+E542+E535</f>
        <v>350000</v>
      </c>
      <c r="F543" s="309">
        <v>50000</v>
      </c>
      <c r="G543" s="369">
        <f>+G535+G542</f>
        <v>0</v>
      </c>
      <c r="H543" s="368">
        <f t="shared" ref="H543:I543" si="665">+H535+H542</f>
        <v>0</v>
      </c>
      <c r="I543" s="368">
        <f t="shared" si="665"/>
        <v>0</v>
      </c>
      <c r="J543" s="358">
        <f>+G543/F543</f>
        <v>0</v>
      </c>
      <c r="K543" s="369">
        <f t="shared" ref="K543:M543" si="666">+K535+K542</f>
        <v>8116</v>
      </c>
      <c r="L543" s="368">
        <f t="shared" si="666"/>
        <v>7488</v>
      </c>
      <c r="M543" s="370">
        <f t="shared" si="666"/>
        <v>628</v>
      </c>
      <c r="N543" s="357">
        <f t="shared" si="656"/>
        <v>2.318857142857143E-2</v>
      </c>
      <c r="O543" s="358">
        <f t="shared" si="651"/>
        <v>7.737801872843765E-2</v>
      </c>
    </row>
    <row r="544" spans="1:15" ht="24" thickBot="1" x14ac:dyDescent="0.35">
      <c r="A544" s="274" t="s">
        <v>101</v>
      </c>
      <c r="B544" s="598" t="s">
        <v>32</v>
      </c>
      <c r="C544" s="790"/>
      <c r="D544" s="310" t="s">
        <v>32</v>
      </c>
      <c r="E544" s="287">
        <v>0</v>
      </c>
      <c r="F544" s="288">
        <v>110000</v>
      </c>
      <c r="G544" s="335">
        <f t="shared" ref="G544" si="667">+H544+I544</f>
        <v>0</v>
      </c>
      <c r="H544" s="289"/>
      <c r="I544" s="289"/>
      <c r="J544" s="354" t="str">
        <f>IFERROR(G544/#REF!,"-")</f>
        <v>-</v>
      </c>
      <c r="K544" s="335">
        <f>+L544+M544</f>
        <v>0</v>
      </c>
      <c r="L544" s="289">
        <f>+H544+L431</f>
        <v>0</v>
      </c>
      <c r="M544" s="290">
        <f>+I544+M431</f>
        <v>0</v>
      </c>
      <c r="N544" s="340" t="str">
        <f t="shared" si="656"/>
        <v>-</v>
      </c>
      <c r="O544" s="348" t="str">
        <f t="shared" si="651"/>
        <v>-</v>
      </c>
    </row>
    <row r="545" spans="1:15" ht="24" thickBot="1" x14ac:dyDescent="0.35">
      <c r="A545" s="274" t="s">
        <v>101</v>
      </c>
      <c r="B545" s="1047" t="s">
        <v>21</v>
      </c>
      <c r="C545" s="1048"/>
      <c r="D545" s="1049"/>
      <c r="E545" s="326">
        <f>+E531+E543+E544</f>
        <v>2215664</v>
      </c>
      <c r="F545" s="327">
        <f>+F531+F543+F544</f>
        <v>560000</v>
      </c>
      <c r="G545" s="326">
        <f>+G531+G543+G544</f>
        <v>206020</v>
      </c>
      <c r="H545" s="324">
        <f>+H531+H543+H544</f>
        <v>202878</v>
      </c>
      <c r="I545" s="324">
        <f>+I531+I543+I544</f>
        <v>3142</v>
      </c>
      <c r="J545" s="349">
        <f>+G545/F545</f>
        <v>0.36789285714285713</v>
      </c>
      <c r="K545" s="326">
        <f>+K531+K543+K544</f>
        <v>705639</v>
      </c>
      <c r="L545" s="324">
        <f>+L531+L543+L544</f>
        <v>695682</v>
      </c>
      <c r="M545" s="325">
        <f>+M531+M543+M544</f>
        <v>9957</v>
      </c>
      <c r="N545" s="341">
        <f t="shared" si="656"/>
        <v>0.31847744062276589</v>
      </c>
      <c r="O545" s="349">
        <f t="shared" si="651"/>
        <v>1.4110614634395207E-2</v>
      </c>
    </row>
    <row r="546" spans="1:15" ht="24" thickBot="1" x14ac:dyDescent="0.35">
      <c r="A546" s="274" t="s">
        <v>101</v>
      </c>
      <c r="B546" s="1019" t="s">
        <v>171</v>
      </c>
      <c r="C546" s="1020"/>
      <c r="D546" s="1021"/>
      <c r="E546" s="330">
        <f>+E545</f>
        <v>2215664</v>
      </c>
      <c r="F546" s="331">
        <f t="shared" ref="F546:I546" si="668">+F545</f>
        <v>560000</v>
      </c>
      <c r="G546" s="330">
        <f t="shared" si="668"/>
        <v>206020</v>
      </c>
      <c r="H546" s="328">
        <f t="shared" si="668"/>
        <v>202878</v>
      </c>
      <c r="I546" s="328">
        <f t="shared" si="668"/>
        <v>3142</v>
      </c>
      <c r="J546" s="350">
        <f>+J545</f>
        <v>0.36789285714285713</v>
      </c>
      <c r="K546" s="330">
        <f>+K545</f>
        <v>705639</v>
      </c>
      <c r="L546" s="328">
        <f t="shared" ref="L546" si="669">+L545</f>
        <v>695682</v>
      </c>
      <c r="M546" s="329">
        <f>+M545</f>
        <v>9957</v>
      </c>
      <c r="N546" s="342">
        <f t="shared" ref="N546:O546" si="670">+N545</f>
        <v>0.31847744062276589</v>
      </c>
      <c r="O546" s="350">
        <f t="shared" si="670"/>
        <v>1.4110614634395207E-2</v>
      </c>
    </row>
    <row r="547" spans="1:15" ht="23.4" x14ac:dyDescent="0.3">
      <c r="A547" s="268" t="s">
        <v>102</v>
      </c>
      <c r="B547" s="1022" t="s">
        <v>401</v>
      </c>
      <c r="C547" s="311" t="s">
        <v>113</v>
      </c>
      <c r="D547" s="311"/>
      <c r="E547" s="270"/>
      <c r="F547" s="271"/>
      <c r="G547" s="332">
        <f t="shared" ref="G547:G549" si="671">+H547+I547</f>
        <v>0</v>
      </c>
      <c r="H547" s="272"/>
      <c r="I547" s="272"/>
      <c r="J547" s="351" t="str">
        <f>IFERROR(G547/#REF!,"-")</f>
        <v>-</v>
      </c>
      <c r="K547" s="332">
        <f t="shared" ref="K547:K549" si="672">+L547+M547</f>
        <v>0</v>
      </c>
      <c r="L547" s="272">
        <f t="shared" ref="L547:L549" si="673">+H547+L434</f>
        <v>0</v>
      </c>
      <c r="M547" s="273">
        <f t="shared" ref="M547:M549" si="674">+I547+M434</f>
        <v>0</v>
      </c>
      <c r="N547" s="336" t="str">
        <f t="shared" ref="N547:N554" si="675">IFERROR(K547/E547,"-")</f>
        <v>-</v>
      </c>
      <c r="O547" s="346" t="str">
        <f t="shared" ref="O547:O572" si="676">IFERROR(M547/K547,"-")</f>
        <v>-</v>
      </c>
    </row>
    <row r="548" spans="1:15" ht="23.4" x14ac:dyDescent="0.3">
      <c r="A548" s="274" t="s">
        <v>102</v>
      </c>
      <c r="B548" s="1023"/>
      <c r="C548" s="312" t="s">
        <v>247</v>
      </c>
      <c r="D548" s="312"/>
      <c r="E548" s="276">
        <v>2000</v>
      </c>
      <c r="F548" s="277"/>
      <c r="G548" s="333">
        <f t="shared" si="671"/>
        <v>2700</v>
      </c>
      <c r="H548" s="278">
        <f>1600+1000</f>
        <v>2600</v>
      </c>
      <c r="I548" s="278">
        <f>50+50</f>
        <v>100</v>
      </c>
      <c r="J548" s="352" t="str">
        <f>IFERROR(G548/#REF!,"-")</f>
        <v>-</v>
      </c>
      <c r="K548" s="333">
        <f t="shared" si="672"/>
        <v>6137</v>
      </c>
      <c r="L548" s="272">
        <f t="shared" si="673"/>
        <v>5800</v>
      </c>
      <c r="M548" s="273">
        <f t="shared" si="674"/>
        <v>337</v>
      </c>
      <c r="N548" s="337">
        <f t="shared" si="675"/>
        <v>3.0684999999999998</v>
      </c>
      <c r="O548" s="263">
        <f t="shared" si="676"/>
        <v>5.4912823855303897E-2</v>
      </c>
    </row>
    <row r="549" spans="1:15" ht="24" thickBot="1" x14ac:dyDescent="0.35">
      <c r="A549" s="274" t="s">
        <v>102</v>
      </c>
      <c r="B549" s="1024"/>
      <c r="C549" s="313" t="s">
        <v>33</v>
      </c>
      <c r="D549" s="313"/>
      <c r="E549" s="280"/>
      <c r="F549" s="281"/>
      <c r="G549" s="334">
        <f t="shared" si="671"/>
        <v>0</v>
      </c>
      <c r="H549" s="282"/>
      <c r="I549" s="282"/>
      <c r="J549" s="353" t="str">
        <f>IFERROR(G549/#REF!,"-")</f>
        <v>-</v>
      </c>
      <c r="K549" s="334">
        <f t="shared" si="672"/>
        <v>0</v>
      </c>
      <c r="L549" s="272">
        <f t="shared" si="673"/>
        <v>0</v>
      </c>
      <c r="M549" s="273">
        <f t="shared" si="674"/>
        <v>0</v>
      </c>
      <c r="N549" s="338" t="str">
        <f t="shared" si="675"/>
        <v>-</v>
      </c>
      <c r="O549" s="347" t="str">
        <f t="shared" si="676"/>
        <v>-</v>
      </c>
    </row>
    <row r="550" spans="1:15" ht="24" thickBot="1" x14ac:dyDescent="0.35">
      <c r="A550" s="274" t="s">
        <v>102</v>
      </c>
      <c r="B550" s="1025" t="s">
        <v>34</v>
      </c>
      <c r="C550" s="1026"/>
      <c r="D550" s="1027"/>
      <c r="E550" s="284">
        <f>SUM(E547:E549)</f>
        <v>2000</v>
      </c>
      <c r="F550" s="285">
        <v>6500</v>
      </c>
      <c r="G550" s="320">
        <f>SUM(G547:G549)</f>
        <v>2700</v>
      </c>
      <c r="H550" s="321">
        <f t="shared" ref="H550:I550" si="677">SUM(H547:H549)</f>
        <v>2600</v>
      </c>
      <c r="I550" s="321">
        <f t="shared" si="677"/>
        <v>100</v>
      </c>
      <c r="J550" s="345" t="str">
        <f>IFERROR(G550/#REF!,"-")</f>
        <v>-</v>
      </c>
      <c r="K550" s="320">
        <f t="shared" ref="K550:M550" si="678">SUM(K547:K549)</f>
        <v>6137</v>
      </c>
      <c r="L550" s="321">
        <f t="shared" si="678"/>
        <v>5800</v>
      </c>
      <c r="M550" s="322">
        <f t="shared" si="678"/>
        <v>337</v>
      </c>
      <c r="N550" s="339">
        <f t="shared" si="675"/>
        <v>3.0684999999999998</v>
      </c>
      <c r="O550" s="345">
        <f t="shared" si="676"/>
        <v>5.4912823855303897E-2</v>
      </c>
    </row>
    <row r="551" spans="1:15" ht="23.4" x14ac:dyDescent="0.3">
      <c r="A551" s="274" t="s">
        <v>102</v>
      </c>
      <c r="B551" s="1022" t="s">
        <v>35</v>
      </c>
      <c r="C551" s="311" t="s">
        <v>113</v>
      </c>
      <c r="D551" s="311"/>
      <c r="E551" s="270"/>
      <c r="F551" s="271"/>
      <c r="G551" s="332">
        <f t="shared" ref="G551:G554" si="679">+H551+I551</f>
        <v>0</v>
      </c>
      <c r="H551" s="272"/>
      <c r="I551" s="272"/>
      <c r="J551" s="351" t="str">
        <f>IFERROR(G551/#REF!,"-")</f>
        <v>-</v>
      </c>
      <c r="K551" s="332">
        <f t="shared" ref="K551:K554" si="680">+L551+M551</f>
        <v>0</v>
      </c>
      <c r="L551" s="272">
        <f t="shared" ref="L551:L554" si="681">+H551+L438</f>
        <v>0</v>
      </c>
      <c r="M551" s="273">
        <f t="shared" ref="M551:M554" si="682">+I551+M438</f>
        <v>0</v>
      </c>
      <c r="N551" s="336" t="str">
        <f t="shared" si="675"/>
        <v>-</v>
      </c>
      <c r="O551" s="346" t="str">
        <f t="shared" si="676"/>
        <v>-</v>
      </c>
    </row>
    <row r="552" spans="1:15" ht="23.4" x14ac:dyDescent="0.3">
      <c r="A552" s="274" t="s">
        <v>102</v>
      </c>
      <c r="B552" s="1023"/>
      <c r="C552" s="312" t="s">
        <v>247</v>
      </c>
      <c r="D552" s="312"/>
      <c r="E552" s="276"/>
      <c r="F552" s="277"/>
      <c r="G552" s="333">
        <f t="shared" si="679"/>
        <v>0</v>
      </c>
      <c r="H552" s="278"/>
      <c r="I552" s="278"/>
      <c r="J552" s="352" t="str">
        <f>IFERROR(G552/#REF!,"-")</f>
        <v>-</v>
      </c>
      <c r="K552" s="333">
        <f t="shared" si="680"/>
        <v>0</v>
      </c>
      <c r="L552" s="272">
        <f t="shared" si="681"/>
        <v>0</v>
      </c>
      <c r="M552" s="273">
        <f t="shared" si="682"/>
        <v>0</v>
      </c>
      <c r="N552" s="337" t="str">
        <f t="shared" si="675"/>
        <v>-</v>
      </c>
      <c r="O552" s="263" t="str">
        <f t="shared" si="676"/>
        <v>-</v>
      </c>
    </row>
    <row r="553" spans="1:15" ht="23.4" x14ac:dyDescent="0.3">
      <c r="A553" s="274" t="s">
        <v>102</v>
      </c>
      <c r="B553" s="1023"/>
      <c r="C553" s="312" t="s">
        <v>496</v>
      </c>
      <c r="D553" s="312"/>
      <c r="E553" s="276">
        <v>20000</v>
      </c>
      <c r="F553" s="277"/>
      <c r="G553" s="333">
        <f t="shared" si="679"/>
        <v>0</v>
      </c>
      <c r="H553" s="278"/>
      <c r="I553" s="278"/>
      <c r="J553" s="352" t="str">
        <f>IFERROR(G553/#REF!,"-")</f>
        <v>-</v>
      </c>
      <c r="K553" s="333">
        <f t="shared" si="680"/>
        <v>0</v>
      </c>
      <c r="L553" s="272">
        <f t="shared" si="681"/>
        <v>0</v>
      </c>
      <c r="M553" s="273">
        <f t="shared" si="682"/>
        <v>0</v>
      </c>
      <c r="N553" s="337">
        <f t="shared" si="675"/>
        <v>0</v>
      </c>
      <c r="O553" s="263" t="str">
        <f t="shared" si="676"/>
        <v>-</v>
      </c>
    </row>
    <row r="554" spans="1:15" ht="24" thickBot="1" x14ac:dyDescent="0.35">
      <c r="A554" s="274" t="s">
        <v>102</v>
      </c>
      <c r="B554" s="1024"/>
      <c r="C554" s="313" t="s">
        <v>36</v>
      </c>
      <c r="D554" s="313"/>
      <c r="E554" s="280"/>
      <c r="F554" s="281"/>
      <c r="G554" s="334">
        <f t="shared" si="679"/>
        <v>0</v>
      </c>
      <c r="H554" s="282"/>
      <c r="I554" s="282"/>
      <c r="J554" s="353" t="str">
        <f>IFERROR(G554/#REF!,"-")</f>
        <v>-</v>
      </c>
      <c r="K554" s="334">
        <f t="shared" si="680"/>
        <v>0</v>
      </c>
      <c r="L554" s="272">
        <f t="shared" si="681"/>
        <v>0</v>
      </c>
      <c r="M554" s="273">
        <f t="shared" si="682"/>
        <v>0</v>
      </c>
      <c r="N554" s="338" t="str">
        <f t="shared" si="675"/>
        <v>-</v>
      </c>
      <c r="O554" s="347" t="str">
        <f t="shared" si="676"/>
        <v>-</v>
      </c>
    </row>
    <row r="555" spans="1:15" ht="24" thickBot="1" x14ac:dyDescent="0.35">
      <c r="A555" s="274" t="s">
        <v>102</v>
      </c>
      <c r="B555" s="1025" t="s">
        <v>37</v>
      </c>
      <c r="C555" s="1026"/>
      <c r="D555" s="1027"/>
      <c r="E555" s="284">
        <f>SUM(E551:E554)</f>
        <v>20000</v>
      </c>
      <c r="F555" s="285">
        <v>6500</v>
      </c>
      <c r="G555" s="320">
        <f>SUM(G551:G554)</f>
        <v>0</v>
      </c>
      <c r="H555" s="321">
        <f t="shared" ref="H555:I555" si="683">SUM(H551:H554)</f>
        <v>0</v>
      </c>
      <c r="I555" s="321">
        <f t="shared" si="683"/>
        <v>0</v>
      </c>
      <c r="J555" s="345" t="str">
        <f>IFERROR(G555/#REF!,"-")</f>
        <v>-</v>
      </c>
      <c r="K555" s="320">
        <f t="shared" ref="K555:M555" si="684">SUM(K551:K554)</f>
        <v>0</v>
      </c>
      <c r="L555" s="321">
        <f t="shared" si="684"/>
        <v>0</v>
      </c>
      <c r="M555" s="322">
        <f t="shared" si="684"/>
        <v>0</v>
      </c>
      <c r="N555" s="339">
        <f>IFERROR(K555/E555,"-")</f>
        <v>0</v>
      </c>
      <c r="O555" s="345" t="str">
        <f t="shared" si="676"/>
        <v>-</v>
      </c>
    </row>
    <row r="556" spans="1:15" ht="23.4" x14ac:dyDescent="0.3">
      <c r="A556" s="274" t="s">
        <v>102</v>
      </c>
      <c r="B556" s="1022" t="s">
        <v>402</v>
      </c>
      <c r="C556" s="314" t="s">
        <v>116</v>
      </c>
      <c r="D556" s="314"/>
      <c r="E556" s="270">
        <v>14000</v>
      </c>
      <c r="F556" s="271"/>
      <c r="G556" s="332">
        <f t="shared" ref="G556:G557" si="685">+H556+I556</f>
        <v>0</v>
      </c>
      <c r="H556" s="272"/>
      <c r="I556" s="272"/>
      <c r="J556" s="351" t="str">
        <f>IFERROR(G556/#REF!,"-")</f>
        <v>-</v>
      </c>
      <c r="K556" s="332">
        <f t="shared" ref="K556:K557" si="686">+L556+M556</f>
        <v>0</v>
      </c>
      <c r="L556" s="272">
        <f t="shared" ref="L556:L557" si="687">+H556+L443</f>
        <v>0</v>
      </c>
      <c r="M556" s="273">
        <f t="shared" ref="M556:M557" si="688">+I556+M443</f>
        <v>0</v>
      </c>
      <c r="N556" s="336">
        <f t="shared" ref="N556:N572" si="689">IFERROR(K556/E556,"-")</f>
        <v>0</v>
      </c>
      <c r="O556" s="346" t="str">
        <f t="shared" si="676"/>
        <v>-</v>
      </c>
    </row>
    <row r="557" spans="1:15" ht="24" thickBot="1" x14ac:dyDescent="0.35">
      <c r="A557" s="274" t="s">
        <v>102</v>
      </c>
      <c r="B557" s="1024"/>
      <c r="C557" s="286" t="s">
        <v>132</v>
      </c>
      <c r="D557" s="286"/>
      <c r="E557" s="280"/>
      <c r="F557" s="281"/>
      <c r="G557" s="334">
        <f t="shared" si="685"/>
        <v>5467</v>
      </c>
      <c r="H557" s="282">
        <f>3200+2000</f>
        <v>5200</v>
      </c>
      <c r="I557" s="282">
        <f>167+100</f>
        <v>267</v>
      </c>
      <c r="J557" s="353" t="str">
        <f>IFERROR(G557/#REF!,"-")</f>
        <v>-</v>
      </c>
      <c r="K557" s="334">
        <f t="shared" si="686"/>
        <v>8127</v>
      </c>
      <c r="L557" s="272">
        <f t="shared" si="687"/>
        <v>7690</v>
      </c>
      <c r="M557" s="273">
        <f t="shared" si="688"/>
        <v>437</v>
      </c>
      <c r="N557" s="338" t="str">
        <f t="shared" si="689"/>
        <v>-</v>
      </c>
      <c r="O557" s="347">
        <f t="shared" si="676"/>
        <v>5.3771379352774699E-2</v>
      </c>
    </row>
    <row r="558" spans="1:15" ht="24" thickBot="1" x14ac:dyDescent="0.35">
      <c r="A558" s="794" t="s">
        <v>102</v>
      </c>
      <c r="B558" s="1025" t="s">
        <v>38</v>
      </c>
      <c r="C558" s="1026"/>
      <c r="D558" s="1027"/>
      <c r="E558" s="284">
        <f>SUM(E556:E557)</f>
        <v>14000</v>
      </c>
      <c r="F558" s="285">
        <v>2800</v>
      </c>
      <c r="G558" s="320">
        <f>SUM(G556:G557)</f>
        <v>5467</v>
      </c>
      <c r="H558" s="321">
        <f t="shared" ref="H558:I558" si="690">SUM(H556:H557)</f>
        <v>5200</v>
      </c>
      <c r="I558" s="321">
        <f t="shared" si="690"/>
        <v>267</v>
      </c>
      <c r="J558" s="345" t="str">
        <f>IFERROR(G558/#REF!,"-")</f>
        <v>-</v>
      </c>
      <c r="K558" s="320">
        <f t="shared" ref="K558:M558" si="691">SUM(K556:K557)</f>
        <v>8127</v>
      </c>
      <c r="L558" s="321">
        <f t="shared" si="691"/>
        <v>7690</v>
      </c>
      <c r="M558" s="322">
        <f t="shared" si="691"/>
        <v>437</v>
      </c>
      <c r="N558" s="339">
        <f t="shared" si="689"/>
        <v>0.58050000000000002</v>
      </c>
      <c r="O558" s="345">
        <f t="shared" si="676"/>
        <v>5.3771379352774699E-2</v>
      </c>
    </row>
    <row r="559" spans="1:15" ht="23.4" x14ac:dyDescent="0.3">
      <c r="A559" s="274" t="s">
        <v>102</v>
      </c>
      <c r="B559" s="1022" t="s">
        <v>403</v>
      </c>
      <c r="C559" s="269" t="s">
        <v>306</v>
      </c>
      <c r="D559" s="269"/>
      <c r="E559" s="270">
        <f>176000+39000+35000+36000+19000</f>
        <v>305000</v>
      </c>
      <c r="F559" s="315"/>
      <c r="G559" s="332">
        <f t="shared" ref="G559:G563" si="692">+H559+I559</f>
        <v>0</v>
      </c>
      <c r="H559" s="272"/>
      <c r="I559" s="272"/>
      <c r="J559" s="371" t="str">
        <f>IFERROR(G559/#REF!,"-")</f>
        <v>-</v>
      </c>
      <c r="K559" s="332">
        <f t="shared" ref="K559:K563" si="693">+L559+M559</f>
        <v>78714</v>
      </c>
      <c r="L559" s="272">
        <f t="shared" ref="L559:L563" si="694">+H559+L446</f>
        <v>78156</v>
      </c>
      <c r="M559" s="272">
        <f t="shared" ref="M559:M563" si="695">+I559+M446</f>
        <v>558</v>
      </c>
      <c r="N559" s="359">
        <f t="shared" si="689"/>
        <v>0.25807868852459015</v>
      </c>
      <c r="O559" s="360">
        <f t="shared" si="676"/>
        <v>7.0889549508346677E-3</v>
      </c>
    </row>
    <row r="560" spans="1:15" ht="23.4" x14ac:dyDescent="0.3">
      <c r="A560" s="274" t="s">
        <v>102</v>
      </c>
      <c r="B560" s="1023"/>
      <c r="C560" s="269" t="s">
        <v>307</v>
      </c>
      <c r="D560" s="275"/>
      <c r="E560" s="276"/>
      <c r="F560" s="316"/>
      <c r="G560" s="333">
        <f t="shared" si="692"/>
        <v>0</v>
      </c>
      <c r="H560" s="278"/>
      <c r="I560" s="278"/>
      <c r="J560" s="372" t="str">
        <f>IFERROR(G560/#REF!,"-")</f>
        <v>-</v>
      </c>
      <c r="K560" s="333">
        <f t="shared" si="693"/>
        <v>0</v>
      </c>
      <c r="L560" s="272">
        <f t="shared" si="694"/>
        <v>0</v>
      </c>
      <c r="M560" s="273">
        <f t="shared" si="695"/>
        <v>0</v>
      </c>
      <c r="N560" s="361" t="str">
        <f t="shared" si="689"/>
        <v>-</v>
      </c>
      <c r="O560" s="362" t="str">
        <f t="shared" si="676"/>
        <v>-</v>
      </c>
    </row>
    <row r="561" spans="1:15" ht="23.4" x14ac:dyDescent="0.3">
      <c r="A561" s="274" t="s">
        <v>102</v>
      </c>
      <c r="B561" s="1023"/>
      <c r="C561" s="275" t="s">
        <v>499</v>
      </c>
      <c r="D561" s="275"/>
      <c r="E561" s="276">
        <f>70000+15000</f>
        <v>85000</v>
      </c>
      <c r="F561" s="316"/>
      <c r="G561" s="333">
        <f t="shared" si="692"/>
        <v>21770</v>
      </c>
      <c r="H561" s="278">
        <v>21600</v>
      </c>
      <c r="I561" s="278">
        <v>170</v>
      </c>
      <c r="J561" s="372" t="str">
        <f>IFERROR(G561/#REF!,"-")</f>
        <v>-</v>
      </c>
      <c r="K561" s="333">
        <f t="shared" si="693"/>
        <v>29130</v>
      </c>
      <c r="L561" s="272">
        <f t="shared" si="694"/>
        <v>28800</v>
      </c>
      <c r="M561" s="273">
        <f t="shared" si="695"/>
        <v>330</v>
      </c>
      <c r="N561" s="361">
        <f t="shared" si="689"/>
        <v>0.34270588235294119</v>
      </c>
      <c r="O561" s="362">
        <f t="shared" si="676"/>
        <v>1.132852729145211E-2</v>
      </c>
    </row>
    <row r="562" spans="1:15" ht="23.4" x14ac:dyDescent="0.3">
      <c r="A562" s="274" t="s">
        <v>102</v>
      </c>
      <c r="B562" s="1023"/>
      <c r="C562" s="275" t="s">
        <v>157</v>
      </c>
      <c r="D562" s="275"/>
      <c r="E562" s="276"/>
      <c r="F562" s="316"/>
      <c r="G562" s="333">
        <f t="shared" si="692"/>
        <v>0</v>
      </c>
      <c r="H562" s="278"/>
      <c r="I562" s="278"/>
      <c r="J562" s="372" t="str">
        <f>IFERROR(G562/#REF!,"-")</f>
        <v>-</v>
      </c>
      <c r="K562" s="333">
        <f t="shared" si="693"/>
        <v>0</v>
      </c>
      <c r="L562" s="272">
        <f t="shared" si="694"/>
        <v>0</v>
      </c>
      <c r="M562" s="273">
        <f t="shared" si="695"/>
        <v>0</v>
      </c>
      <c r="N562" s="361" t="str">
        <f t="shared" si="689"/>
        <v>-</v>
      </c>
      <c r="O562" s="362" t="str">
        <f t="shared" si="676"/>
        <v>-</v>
      </c>
    </row>
    <row r="563" spans="1:15" ht="24" thickBot="1" x14ac:dyDescent="0.35">
      <c r="A563" s="274" t="s">
        <v>102</v>
      </c>
      <c r="B563" s="1024"/>
      <c r="C563" s="279" t="s">
        <v>158</v>
      </c>
      <c r="D563" s="279"/>
      <c r="E563" s="280"/>
      <c r="F563" s="317"/>
      <c r="G563" s="334">
        <f t="shared" si="692"/>
        <v>0</v>
      </c>
      <c r="H563" s="282"/>
      <c r="I563" s="282"/>
      <c r="J563" s="373" t="str">
        <f>IFERROR(G563/#REF!,"-")</f>
        <v>-</v>
      </c>
      <c r="K563" s="334">
        <f t="shared" si="693"/>
        <v>0</v>
      </c>
      <c r="L563" s="272">
        <f t="shared" si="694"/>
        <v>0</v>
      </c>
      <c r="M563" s="273">
        <f t="shared" si="695"/>
        <v>0</v>
      </c>
      <c r="N563" s="363" t="str">
        <f t="shared" si="689"/>
        <v>-</v>
      </c>
      <c r="O563" s="364" t="str">
        <f t="shared" si="676"/>
        <v>-</v>
      </c>
    </row>
    <row r="564" spans="1:15" ht="24" thickBot="1" x14ac:dyDescent="0.35">
      <c r="A564" s="274" t="s">
        <v>102</v>
      </c>
      <c r="B564" s="1025" t="s">
        <v>39</v>
      </c>
      <c r="C564" s="1026"/>
      <c r="D564" s="1027"/>
      <c r="E564" s="320">
        <f>SUM(E559:E563)</f>
        <v>390000</v>
      </c>
      <c r="F564" s="285">
        <v>25000</v>
      </c>
      <c r="G564" s="320">
        <f>SUM(G559:G563)</f>
        <v>21770</v>
      </c>
      <c r="H564" s="321">
        <f>SUM(H559:H563)</f>
        <v>21600</v>
      </c>
      <c r="I564" s="321">
        <f>SUM(I559:I563)</f>
        <v>170</v>
      </c>
      <c r="J564" s="345" t="str">
        <f>IFERROR(G564/#REF!,"-")</f>
        <v>-</v>
      </c>
      <c r="K564" s="320">
        <f>SUM(K559:K563)</f>
        <v>107844</v>
      </c>
      <c r="L564" s="321">
        <f>SUM(L559:L563)</f>
        <v>106956</v>
      </c>
      <c r="M564" s="322">
        <f>SUM(M559:M563)</f>
        <v>888</v>
      </c>
      <c r="N564" s="339">
        <f t="shared" si="689"/>
        <v>0.27652307692307693</v>
      </c>
      <c r="O564" s="345">
        <f t="shared" si="676"/>
        <v>8.234115945254257E-3</v>
      </c>
    </row>
    <row r="565" spans="1:15" ht="23.4" x14ac:dyDescent="0.3">
      <c r="A565" s="274" t="s">
        <v>102</v>
      </c>
      <c r="B565" s="1022" t="s">
        <v>404</v>
      </c>
      <c r="C565" s="269" t="s">
        <v>186</v>
      </c>
      <c r="D565" s="269"/>
      <c r="E565" s="270"/>
      <c r="F565" s="271"/>
      <c r="G565" s="332">
        <f t="shared" ref="G565:G567" si="696">+H565+I565</f>
        <v>0</v>
      </c>
      <c r="H565" s="272"/>
      <c r="I565" s="272"/>
      <c r="J565" s="351" t="str">
        <f>IFERROR(G565/#REF!,"-")</f>
        <v>-</v>
      </c>
      <c r="K565" s="332">
        <f t="shared" ref="K565:K567" si="697">+L565+M565</f>
        <v>0</v>
      </c>
      <c r="L565" s="272">
        <f t="shared" ref="L565:L567" si="698">+H565+L452</f>
        <v>0</v>
      </c>
      <c r="M565" s="273">
        <f t="shared" ref="M565:M567" si="699">+I565+M452</f>
        <v>0</v>
      </c>
      <c r="N565" s="336" t="str">
        <f t="shared" si="689"/>
        <v>-</v>
      </c>
      <c r="O565" s="346" t="str">
        <f t="shared" si="676"/>
        <v>-</v>
      </c>
    </row>
    <row r="566" spans="1:15" ht="23.4" x14ac:dyDescent="0.3">
      <c r="A566" s="274" t="s">
        <v>102</v>
      </c>
      <c r="B566" s="1023"/>
      <c r="C566" s="275" t="s">
        <v>497</v>
      </c>
      <c r="D566" s="275"/>
      <c r="E566" s="276">
        <f>33000+15000</f>
        <v>48000</v>
      </c>
      <c r="F566" s="277"/>
      <c r="G566" s="333">
        <f t="shared" si="696"/>
        <v>0</v>
      </c>
      <c r="H566" s="278"/>
      <c r="I566" s="278"/>
      <c r="J566" s="372" t="str">
        <f>IFERROR(G566/#REF!,"-")</f>
        <v>-</v>
      </c>
      <c r="K566" s="333">
        <f t="shared" si="697"/>
        <v>11826</v>
      </c>
      <c r="L566" s="714">
        <f t="shared" si="698"/>
        <v>11400</v>
      </c>
      <c r="M566" s="273">
        <f t="shared" si="699"/>
        <v>426</v>
      </c>
      <c r="N566" s="361">
        <f t="shared" si="689"/>
        <v>0.24637500000000001</v>
      </c>
      <c r="O566" s="362">
        <f t="shared" si="676"/>
        <v>3.6022323693556568E-2</v>
      </c>
    </row>
    <row r="567" spans="1:15" ht="24" thickBot="1" x14ac:dyDescent="0.35">
      <c r="A567" s="274" t="s">
        <v>102</v>
      </c>
      <c r="B567" s="1024"/>
      <c r="C567" s="279" t="s">
        <v>498</v>
      </c>
      <c r="D567" s="279"/>
      <c r="E567" s="280">
        <f>50000+10000</f>
        <v>60000</v>
      </c>
      <c r="F567" s="281"/>
      <c r="G567" s="334">
        <f t="shared" si="696"/>
        <v>0</v>
      </c>
      <c r="H567" s="282"/>
      <c r="I567" s="282"/>
      <c r="J567" s="373" t="str">
        <f>IFERROR(G567/#REF!,"-")</f>
        <v>-</v>
      </c>
      <c r="K567" s="334">
        <f t="shared" si="697"/>
        <v>0</v>
      </c>
      <c r="L567" s="272">
        <f t="shared" si="698"/>
        <v>0</v>
      </c>
      <c r="M567" s="273">
        <f t="shared" si="699"/>
        <v>0</v>
      </c>
      <c r="N567" s="363">
        <f t="shared" si="689"/>
        <v>0</v>
      </c>
      <c r="O567" s="364" t="str">
        <f t="shared" si="676"/>
        <v>-</v>
      </c>
    </row>
    <row r="568" spans="1:15" ht="24" thickBot="1" x14ac:dyDescent="0.35">
      <c r="A568" s="274" t="s">
        <v>102</v>
      </c>
      <c r="B568" s="1034" t="s">
        <v>41</v>
      </c>
      <c r="C568" s="1035"/>
      <c r="D568" s="1036"/>
      <c r="E568" s="320">
        <f>SUM(E565:E567)</f>
        <v>108000</v>
      </c>
      <c r="F568" s="285"/>
      <c r="G568" s="320">
        <f>SUM(G565:G567)</f>
        <v>0</v>
      </c>
      <c r="H568" s="321">
        <f t="shared" ref="H568:I568" si="700">SUM(H565:H567)</f>
        <v>0</v>
      </c>
      <c r="I568" s="321">
        <f t="shared" si="700"/>
        <v>0</v>
      </c>
      <c r="J568" s="345" t="str">
        <f>IFERROR(G568/#REF!,"-")</f>
        <v>-</v>
      </c>
      <c r="K568" s="320">
        <f t="shared" ref="K568:M568" si="701">SUM(K565:K567)</f>
        <v>11826</v>
      </c>
      <c r="L568" s="365">
        <f t="shared" si="701"/>
        <v>11400</v>
      </c>
      <c r="M568" s="367">
        <f t="shared" si="701"/>
        <v>426</v>
      </c>
      <c r="N568" s="339">
        <f t="shared" si="689"/>
        <v>0.1095</v>
      </c>
      <c r="O568" s="345">
        <f t="shared" si="676"/>
        <v>3.6022323693556568E-2</v>
      </c>
    </row>
    <row r="569" spans="1:15" ht="24" thickBot="1" x14ac:dyDescent="0.35">
      <c r="A569" s="274" t="s">
        <v>102</v>
      </c>
      <c r="B569" s="1022" t="s">
        <v>42</v>
      </c>
      <c r="C569" s="269" t="s">
        <v>160</v>
      </c>
      <c r="D569" s="269"/>
      <c r="E569" s="270">
        <v>11076</v>
      </c>
      <c r="F569" s="271"/>
      <c r="G569" s="332">
        <f t="shared" ref="G569:G570" si="702">+H569+I569</f>
        <v>0</v>
      </c>
      <c r="H569" s="272"/>
      <c r="I569" s="272"/>
      <c r="J569" s="371" t="str">
        <f>IFERROR(G569/#REF!,"-")</f>
        <v>-</v>
      </c>
      <c r="K569" s="695">
        <f t="shared" ref="K569:K570" si="703">+L569+M569</f>
        <v>0</v>
      </c>
      <c r="L569" s="688">
        <f t="shared" ref="L569:L570" si="704">+H569+L456</f>
        <v>0</v>
      </c>
      <c r="M569" s="688">
        <f t="shared" ref="M569:M570" si="705">+I569+M456</f>
        <v>0</v>
      </c>
      <c r="N569" s="359">
        <f t="shared" si="689"/>
        <v>0</v>
      </c>
      <c r="O569" s="360" t="str">
        <f t="shared" si="676"/>
        <v>-</v>
      </c>
    </row>
    <row r="570" spans="1:15" ht="24" thickBot="1" x14ac:dyDescent="0.35">
      <c r="A570" s="274" t="s">
        <v>102</v>
      </c>
      <c r="B570" s="1024"/>
      <c r="C570" s="279" t="s">
        <v>161</v>
      </c>
      <c r="D570" s="279"/>
      <c r="E570" s="280">
        <v>0</v>
      </c>
      <c r="F570" s="281"/>
      <c r="G570" s="334">
        <f t="shared" si="702"/>
        <v>0</v>
      </c>
      <c r="H570" s="282"/>
      <c r="I570" s="282"/>
      <c r="J570" s="373" t="str">
        <f>IFERROR(G570/#REF!,"-")</f>
        <v>-</v>
      </c>
      <c r="K570" s="696">
        <f t="shared" si="703"/>
        <v>0</v>
      </c>
      <c r="L570" s="688">
        <f t="shared" si="704"/>
        <v>0</v>
      </c>
      <c r="M570" s="688">
        <f t="shared" si="705"/>
        <v>0</v>
      </c>
      <c r="N570" s="363" t="str">
        <f t="shared" si="689"/>
        <v>-</v>
      </c>
      <c r="O570" s="364" t="str">
        <f t="shared" si="676"/>
        <v>-</v>
      </c>
    </row>
    <row r="571" spans="1:15" ht="24" thickBot="1" x14ac:dyDescent="0.35">
      <c r="A571" s="274" t="s">
        <v>102</v>
      </c>
      <c r="B571" s="1034" t="s">
        <v>43</v>
      </c>
      <c r="C571" s="1035"/>
      <c r="D571" s="1036"/>
      <c r="E571" s="284">
        <f>SUM(E569:E570)</f>
        <v>11076</v>
      </c>
      <c r="F571" s="285">
        <v>25000</v>
      </c>
      <c r="G571" s="320">
        <f>SUM(G569:G570)</f>
        <v>0</v>
      </c>
      <c r="H571" s="321">
        <f t="shared" ref="H571:I571" si="706">SUM(H569:H570)</f>
        <v>0</v>
      </c>
      <c r="I571" s="321">
        <f t="shared" si="706"/>
        <v>0</v>
      </c>
      <c r="J571" s="345" t="str">
        <f>IFERROR(G571/#REF!,"-")</f>
        <v>-</v>
      </c>
      <c r="K571" s="760">
        <f t="shared" ref="K571:M571" si="707">SUM(K569:K570)</f>
        <v>0</v>
      </c>
      <c r="L571" s="761">
        <f t="shared" si="707"/>
        <v>0</v>
      </c>
      <c r="M571" s="761">
        <f t="shared" si="707"/>
        <v>0</v>
      </c>
      <c r="N571" s="339">
        <f t="shared" si="689"/>
        <v>0</v>
      </c>
      <c r="O571" s="345" t="str">
        <f t="shared" si="676"/>
        <v>-</v>
      </c>
    </row>
    <row r="572" spans="1:15" ht="24" thickBot="1" x14ac:dyDescent="0.35">
      <c r="A572" s="274" t="s">
        <v>102</v>
      </c>
      <c r="B572" s="1028" t="s">
        <v>25</v>
      </c>
      <c r="C572" s="1029"/>
      <c r="D572" s="1030"/>
      <c r="E572" s="326">
        <f t="shared" ref="E572:F572" si="708">+E550+E555+E558+E564+E568+E571</f>
        <v>545076</v>
      </c>
      <c r="F572" s="327">
        <f t="shared" si="708"/>
        <v>65800</v>
      </c>
      <c r="G572" s="326">
        <f>+G550+G555+G558+G564+G568+G571</f>
        <v>29937</v>
      </c>
      <c r="H572" s="324">
        <f>+H550+H555+H558+H564+H568+H571</f>
        <v>29400</v>
      </c>
      <c r="I572" s="324">
        <f t="shared" ref="I572" si="709">+I550+I555+I558+I564+I568+I571</f>
        <v>537</v>
      </c>
      <c r="J572" s="349" t="str">
        <f>IFERROR(G572/#REF!,"-")</f>
        <v>-</v>
      </c>
      <c r="K572" s="326">
        <f>+K550+K555+K558+K564+K568+K571</f>
        <v>133934</v>
      </c>
      <c r="L572" s="759">
        <f t="shared" ref="L572:M572" si="710">+L550+L555+L558+L564+L568+L571</f>
        <v>131846</v>
      </c>
      <c r="M572" s="325">
        <f t="shared" si="710"/>
        <v>2088</v>
      </c>
      <c r="N572" s="341">
        <f t="shared" si="689"/>
        <v>0.24571619370509801</v>
      </c>
      <c r="O572" s="349">
        <f t="shared" si="676"/>
        <v>1.5589768094733227E-2</v>
      </c>
    </row>
    <row r="573" spans="1:15" ht="24" thickBot="1" x14ac:dyDescent="0.35">
      <c r="A573" s="318" t="s">
        <v>102</v>
      </c>
      <c r="B573" s="1020" t="s">
        <v>173</v>
      </c>
      <c r="C573" s="1020"/>
      <c r="D573" s="1021"/>
      <c r="E573" s="330">
        <f>+E572</f>
        <v>545076</v>
      </c>
      <c r="F573" s="331">
        <f t="shared" ref="F573:O573" si="711">+F572</f>
        <v>65800</v>
      </c>
      <c r="G573" s="330">
        <f t="shared" si="711"/>
        <v>29937</v>
      </c>
      <c r="H573" s="328">
        <f t="shared" si="711"/>
        <v>29400</v>
      </c>
      <c r="I573" s="328">
        <f t="shared" si="711"/>
        <v>537</v>
      </c>
      <c r="J573" s="350" t="str">
        <f t="shared" si="711"/>
        <v>-</v>
      </c>
      <c r="K573" s="330">
        <f t="shared" si="711"/>
        <v>133934</v>
      </c>
      <c r="L573" s="328">
        <f t="shared" si="711"/>
        <v>131846</v>
      </c>
      <c r="M573" s="329">
        <f t="shared" si="711"/>
        <v>2088</v>
      </c>
      <c r="N573" s="342">
        <f t="shared" si="711"/>
        <v>0.24571619370509801</v>
      </c>
      <c r="O573" s="350">
        <f t="shared" si="711"/>
        <v>1.5589768094733227E-2</v>
      </c>
    </row>
    <row r="574" spans="1:15" ht="24.6" thickBot="1" x14ac:dyDescent="0.35">
      <c r="A574" s="319"/>
      <c r="B574" s="1031" t="s">
        <v>174</v>
      </c>
      <c r="C574" s="1032"/>
      <c r="D574" s="1033"/>
      <c r="E574" s="374">
        <f>+E511+E546+E573</f>
        <v>6540740</v>
      </c>
      <c r="F574" s="374">
        <f>+F511+F546+F573</f>
        <v>1184800</v>
      </c>
      <c r="G574" s="374">
        <f>+G511+G546+G573</f>
        <v>334247</v>
      </c>
      <c r="H574" s="374">
        <f>+H511+H546+H573</f>
        <v>330198</v>
      </c>
      <c r="I574" s="374">
        <f>+I511+I546+I573</f>
        <v>4049</v>
      </c>
      <c r="J574" s="375" t="str">
        <f>IFERROR(G574/#REF!,"-")</f>
        <v>-</v>
      </c>
      <c r="K574" s="374">
        <f>+K511+K546+K573</f>
        <v>1775713</v>
      </c>
      <c r="L574" s="374">
        <f>+L511+L546+L573</f>
        <v>1760332</v>
      </c>
      <c r="M574" s="374">
        <f>+M511+M546+M573</f>
        <v>15381</v>
      </c>
      <c r="N574" s="375">
        <f>IFERROR(K574/E574,"-")</f>
        <v>0.27148503074575658</v>
      </c>
      <c r="O574" s="375">
        <f>IFERROR(M574/K574,"-")</f>
        <v>8.6618727238016498E-3</v>
      </c>
    </row>
    <row r="575" spans="1:15" ht="23.4" x14ac:dyDescent="0.3">
      <c r="A575" s="1057" t="s">
        <v>1</v>
      </c>
      <c r="B575" s="1060" t="s">
        <v>2</v>
      </c>
      <c r="C575" s="1063" t="s">
        <v>396</v>
      </c>
      <c r="D575" s="1063" t="s">
        <v>397</v>
      </c>
      <c r="E575" s="1066" t="s">
        <v>4</v>
      </c>
      <c r="F575" s="1067"/>
      <c r="G575" s="1067"/>
      <c r="H575" s="1067"/>
      <c r="I575" s="1067"/>
      <c r="J575" s="1067"/>
      <c r="K575" s="1067"/>
      <c r="L575" s="1067"/>
      <c r="M575" s="1067"/>
      <c r="N575" s="1067"/>
      <c r="O575" s="1068"/>
    </row>
    <row r="576" spans="1:15" ht="23.4" x14ac:dyDescent="0.3">
      <c r="A576" s="1058"/>
      <c r="B576" s="1061"/>
      <c r="C576" s="1064"/>
      <c r="D576" s="1064"/>
      <c r="E576" s="1069" t="s">
        <v>7</v>
      </c>
      <c r="F576" s="1071" t="s">
        <v>108</v>
      </c>
      <c r="G576" s="1073" t="s">
        <v>510</v>
      </c>
      <c r="H576" s="1074"/>
      <c r="I576" s="1074"/>
      <c r="J576" s="1075"/>
      <c r="K576" s="1076" t="s">
        <v>398</v>
      </c>
      <c r="L576" s="1077"/>
      <c r="M576" s="1078"/>
      <c r="N576" s="1079" t="s">
        <v>399</v>
      </c>
      <c r="O576" s="1081" t="s">
        <v>164</v>
      </c>
    </row>
    <row r="577" spans="1:15" ht="41.4" thickBot="1" x14ac:dyDescent="0.35">
      <c r="A577" s="1059"/>
      <c r="B577" s="1062"/>
      <c r="C577" s="1065"/>
      <c r="D577" s="1065"/>
      <c r="E577" s="1070"/>
      <c r="F577" s="1072"/>
      <c r="G577" s="452" t="s">
        <v>13</v>
      </c>
      <c r="H577" s="453" t="s">
        <v>14</v>
      </c>
      <c r="I577" s="453" t="s">
        <v>15</v>
      </c>
      <c r="J577" s="454" t="s">
        <v>166</v>
      </c>
      <c r="K577" s="680" t="s">
        <v>13</v>
      </c>
      <c r="L577" s="678" t="s">
        <v>14</v>
      </c>
      <c r="M577" s="679" t="s">
        <v>15</v>
      </c>
      <c r="N577" s="1080"/>
      <c r="O577" s="1082"/>
    </row>
    <row r="578" spans="1:15" ht="24" thickBot="1" x14ac:dyDescent="0.35">
      <c r="A578" s="268" t="s">
        <v>103</v>
      </c>
      <c r="B578" s="1043" t="s">
        <v>16</v>
      </c>
      <c r="C578" s="269" t="s">
        <v>368</v>
      </c>
      <c r="D578" s="269" t="s">
        <v>369</v>
      </c>
      <c r="E578" s="270">
        <v>20000</v>
      </c>
      <c r="F578" s="271"/>
      <c r="G578" s="332">
        <f>+H578+I578</f>
        <v>0</v>
      </c>
      <c r="H578" s="272"/>
      <c r="I578" s="272"/>
      <c r="J578" s="351"/>
      <c r="K578" s="457">
        <f>+L578+M578</f>
        <v>0</v>
      </c>
      <c r="L578" s="688">
        <f>+H578+L465</f>
        <v>0</v>
      </c>
      <c r="M578" s="688">
        <f>+I578+M465</f>
        <v>0</v>
      </c>
      <c r="N578" s="336">
        <f>IFERROR(K578/E578,"-")</f>
        <v>0</v>
      </c>
      <c r="O578" s="343" t="str">
        <f t="shared" ref="O578:O579" si="712">IFERROR(M578/K578,"-")</f>
        <v>-</v>
      </c>
    </row>
    <row r="579" spans="1:15" ht="23.4" x14ac:dyDescent="0.3">
      <c r="A579" s="274" t="s">
        <v>103</v>
      </c>
      <c r="B579" s="1044"/>
      <c r="C579" s="275" t="s">
        <v>376</v>
      </c>
      <c r="D579" s="275" t="s">
        <v>375</v>
      </c>
      <c r="E579" s="276"/>
      <c r="F579" s="277"/>
      <c r="G579" s="333">
        <f t="shared" ref="G579:G581" si="713">+H579+I579</f>
        <v>0</v>
      </c>
      <c r="H579" s="278"/>
      <c r="I579" s="278"/>
      <c r="J579" s="352" t="str">
        <f>IFERROR(G579/#REF!,"-")</f>
        <v>-</v>
      </c>
      <c r="K579" s="690">
        <f t="shared" ref="K579:K581" si="714">+L579+M579</f>
        <v>0</v>
      </c>
      <c r="L579" s="527">
        <f t="shared" ref="L579:L581" si="715">+H579+L466</f>
        <v>0</v>
      </c>
      <c r="M579" s="459">
        <f t="shared" ref="M579:M581" si="716">+I579+M466</f>
        <v>0</v>
      </c>
      <c r="N579" s="337" t="str">
        <f t="shared" ref="N579:N581" si="717">IFERROR(K579/E579,"-")</f>
        <v>-</v>
      </c>
      <c r="O579" s="265" t="str">
        <f t="shared" si="712"/>
        <v>-</v>
      </c>
    </row>
    <row r="580" spans="1:15" s="723" customFormat="1" ht="23.4" x14ac:dyDescent="0.3">
      <c r="A580" s="274" t="s">
        <v>103</v>
      </c>
      <c r="B580" s="1044"/>
      <c r="C580" s="573" t="s">
        <v>431</v>
      </c>
      <c r="D580" s="573" t="s">
        <v>366</v>
      </c>
      <c r="E580" s="720"/>
      <c r="F580" s="721"/>
      <c r="G580" s="333">
        <f t="shared" si="713"/>
        <v>2240</v>
      </c>
      <c r="H580" s="722">
        <v>2240</v>
      </c>
      <c r="I580" s="722"/>
      <c r="J580" s="352" t="str">
        <f>IFERROR(G580/#REF!,"-")</f>
        <v>-</v>
      </c>
      <c r="K580" s="690">
        <f t="shared" si="714"/>
        <v>5760</v>
      </c>
      <c r="L580" s="720">
        <f t="shared" si="715"/>
        <v>5760</v>
      </c>
      <c r="M580" s="529">
        <f t="shared" si="716"/>
        <v>0</v>
      </c>
      <c r="N580" s="337" t="str">
        <f t="shared" si="717"/>
        <v>-</v>
      </c>
      <c r="O580" s="265">
        <f>IFERROR(M580/K580,"-")</f>
        <v>0</v>
      </c>
    </row>
    <row r="581" spans="1:15" ht="24" thickBot="1" x14ac:dyDescent="0.35">
      <c r="A581" s="274" t="s">
        <v>103</v>
      </c>
      <c r="B581" s="1045"/>
      <c r="C581" s="279" t="s">
        <v>428</v>
      </c>
      <c r="D581" s="279" t="s">
        <v>374</v>
      </c>
      <c r="E581" s="280"/>
      <c r="F581" s="281"/>
      <c r="G581" s="334">
        <f t="shared" si="713"/>
        <v>0</v>
      </c>
      <c r="H581" s="272"/>
      <c r="I581" s="272"/>
      <c r="J581" s="353" t="str">
        <f>IFERROR(G581/#REF!,"-")</f>
        <v>-</v>
      </c>
      <c r="K581" s="691">
        <f t="shared" si="714"/>
        <v>0</v>
      </c>
      <c r="L581" s="530">
        <f t="shared" si="715"/>
        <v>0</v>
      </c>
      <c r="M581" s="462">
        <f t="shared" si="716"/>
        <v>0</v>
      </c>
      <c r="N581" s="338" t="str">
        <f t="shared" si="717"/>
        <v>-</v>
      </c>
      <c r="O581" s="344" t="str">
        <f t="shared" ref="O581:O599" si="718">IFERROR(M581/K581,"-")</f>
        <v>-</v>
      </c>
    </row>
    <row r="582" spans="1:15" ht="24" thickBot="1" x14ac:dyDescent="0.35">
      <c r="A582" s="274" t="s">
        <v>103</v>
      </c>
      <c r="B582" s="1025" t="s">
        <v>44</v>
      </c>
      <c r="C582" s="1026"/>
      <c r="D582" s="1027"/>
      <c r="E582" s="320">
        <f>SUM(E578:E581)</f>
        <v>20000</v>
      </c>
      <c r="F582" s="285">
        <v>15000</v>
      </c>
      <c r="G582" s="320">
        <f>SUM(G578:G581)</f>
        <v>2240</v>
      </c>
      <c r="H582" s="321">
        <f t="shared" ref="H582:I582" si="719">SUM(H578:H581)</f>
        <v>2240</v>
      </c>
      <c r="I582" s="321">
        <f t="shared" si="719"/>
        <v>0</v>
      </c>
      <c r="J582" s="345">
        <f>+G582/F582</f>
        <v>0.14933333333333335</v>
      </c>
      <c r="K582" s="320">
        <f t="shared" ref="K582" si="720">SUM(K578:K581)</f>
        <v>5760</v>
      </c>
      <c r="L582" s="692">
        <f>SUM(L578:L581)</f>
        <v>5760</v>
      </c>
      <c r="M582" s="693">
        <f>SUM(M578:M581)</f>
        <v>0</v>
      </c>
      <c r="N582" s="339">
        <f>IFERROR(K582/E582,"-")</f>
        <v>0.28799999999999998</v>
      </c>
      <c r="O582" s="345">
        <f t="shared" si="718"/>
        <v>0</v>
      </c>
    </row>
    <row r="583" spans="1:15" ht="23.4" x14ac:dyDescent="0.3">
      <c r="A583" s="274" t="s">
        <v>103</v>
      </c>
      <c r="B583" s="1043" t="s">
        <v>17</v>
      </c>
      <c r="C583" s="269" t="s">
        <v>294</v>
      </c>
      <c r="D583" s="269"/>
      <c r="E583" s="270"/>
      <c r="F583" s="271"/>
      <c r="G583" s="332">
        <f t="shared" ref="G583:G589" si="721">+H583+I583</f>
        <v>0</v>
      </c>
      <c r="H583" s="272"/>
      <c r="I583" s="272"/>
      <c r="J583" s="351" t="str">
        <f>IFERROR(G583/#REF!,"-")</f>
        <v>-</v>
      </c>
      <c r="K583" s="694">
        <f t="shared" ref="K583:K589" si="722">+L583+M583</f>
        <v>0</v>
      </c>
      <c r="L583" s="527">
        <f t="shared" ref="L583:L589" si="723">+H583+L470</f>
        <v>0</v>
      </c>
      <c r="M583" s="459">
        <f t="shared" ref="M583:M589" si="724">+I583+M470</f>
        <v>0</v>
      </c>
      <c r="N583" s="336" t="str">
        <f t="shared" ref="N583:N589" si="725">IFERROR(K583/E583,"-")</f>
        <v>-</v>
      </c>
      <c r="O583" s="346" t="str">
        <f t="shared" si="718"/>
        <v>-</v>
      </c>
    </row>
    <row r="584" spans="1:15" ht="23.4" x14ac:dyDescent="0.3">
      <c r="A584" s="274" t="s">
        <v>103</v>
      </c>
      <c r="B584" s="1044"/>
      <c r="C584" s="275" t="s">
        <v>344</v>
      </c>
      <c r="D584" s="275" t="s">
        <v>232</v>
      </c>
      <c r="E584" s="276">
        <v>1600000</v>
      </c>
      <c r="F584" s="277"/>
      <c r="G584" s="333">
        <f t="shared" si="721"/>
        <v>0</v>
      </c>
      <c r="H584" s="278"/>
      <c r="I584" s="278"/>
      <c r="J584" s="352" t="str">
        <f>IFERROR(G584/#REF!,"-")</f>
        <v>-</v>
      </c>
      <c r="K584" s="690">
        <f t="shared" si="722"/>
        <v>6120</v>
      </c>
      <c r="L584" s="276">
        <f t="shared" si="723"/>
        <v>5980</v>
      </c>
      <c r="M584" s="436">
        <f t="shared" si="724"/>
        <v>140</v>
      </c>
      <c r="N584" s="337">
        <f t="shared" si="725"/>
        <v>3.8249999999999998E-3</v>
      </c>
      <c r="O584" s="263">
        <f t="shared" si="718"/>
        <v>2.2875816993464051E-2</v>
      </c>
    </row>
    <row r="585" spans="1:15" ht="23.4" x14ac:dyDescent="0.3">
      <c r="A585" s="274" t="s">
        <v>103</v>
      </c>
      <c r="B585" s="1044"/>
      <c r="C585" s="275" t="s">
        <v>367</v>
      </c>
      <c r="D585" s="275" t="s">
        <v>187</v>
      </c>
      <c r="E585" s="276">
        <v>1000000</v>
      </c>
      <c r="F585" s="277"/>
      <c r="G585" s="333">
        <f t="shared" si="721"/>
        <v>98458</v>
      </c>
      <c r="H585" s="278">
        <v>97920</v>
      </c>
      <c r="I585" s="278">
        <v>538</v>
      </c>
      <c r="J585" s="352" t="str">
        <f>IFERROR(G585/#REF!,"-")</f>
        <v>-</v>
      </c>
      <c r="K585" s="690">
        <f t="shared" si="722"/>
        <v>448770</v>
      </c>
      <c r="L585" s="276">
        <f t="shared" si="723"/>
        <v>446760</v>
      </c>
      <c r="M585" s="436">
        <f t="shared" si="724"/>
        <v>2010</v>
      </c>
      <c r="N585" s="337">
        <f t="shared" si="725"/>
        <v>0.44877</v>
      </c>
      <c r="O585" s="263">
        <f t="shared" si="718"/>
        <v>4.4789090179824858E-3</v>
      </c>
    </row>
    <row r="586" spans="1:15" ht="23.4" x14ac:dyDescent="0.3">
      <c r="A586" s="274" t="s">
        <v>103</v>
      </c>
      <c r="B586" s="1044"/>
      <c r="C586" s="275" t="s">
        <v>293</v>
      </c>
      <c r="D586" s="275" t="s">
        <v>188</v>
      </c>
      <c r="E586" s="276"/>
      <c r="F586" s="277"/>
      <c r="G586" s="333">
        <f t="shared" si="721"/>
        <v>0</v>
      </c>
      <c r="H586" s="278"/>
      <c r="I586" s="278"/>
      <c r="J586" s="352" t="str">
        <f>IFERROR(G586/#REF!,"-")</f>
        <v>-</v>
      </c>
      <c r="K586" s="690">
        <f t="shared" si="722"/>
        <v>0</v>
      </c>
      <c r="L586" s="276">
        <f t="shared" si="723"/>
        <v>0</v>
      </c>
      <c r="M586" s="436">
        <f t="shared" si="724"/>
        <v>0</v>
      </c>
      <c r="N586" s="337" t="str">
        <f t="shared" si="725"/>
        <v>-</v>
      </c>
      <c r="O586" s="263" t="str">
        <f t="shared" si="718"/>
        <v>-</v>
      </c>
    </row>
    <row r="587" spans="1:15" ht="23.4" x14ac:dyDescent="0.3">
      <c r="A587" s="274" t="s">
        <v>103</v>
      </c>
      <c r="B587" s="1044"/>
      <c r="C587" s="275" t="s">
        <v>323</v>
      </c>
      <c r="D587" s="275" t="s">
        <v>318</v>
      </c>
      <c r="E587" s="276"/>
      <c r="F587" s="277"/>
      <c r="G587" s="333">
        <f t="shared" si="721"/>
        <v>0</v>
      </c>
      <c r="H587" s="278"/>
      <c r="I587" s="278"/>
      <c r="J587" s="352" t="str">
        <f>IFERROR(G587/#REF!,"-")</f>
        <v>-</v>
      </c>
      <c r="K587" s="690">
        <f t="shared" si="722"/>
        <v>0</v>
      </c>
      <c r="L587" s="276">
        <f t="shared" si="723"/>
        <v>0</v>
      </c>
      <c r="M587" s="436">
        <f t="shared" si="724"/>
        <v>0</v>
      </c>
      <c r="N587" s="337" t="str">
        <f t="shared" si="725"/>
        <v>-</v>
      </c>
      <c r="O587" s="263" t="str">
        <f t="shared" si="718"/>
        <v>-</v>
      </c>
    </row>
    <row r="588" spans="1:15" ht="23.4" x14ac:dyDescent="0.3">
      <c r="A588" s="274" t="s">
        <v>103</v>
      </c>
      <c r="B588" s="1044"/>
      <c r="C588" s="275" t="s">
        <v>352</v>
      </c>
      <c r="D588" s="275" t="s">
        <v>189</v>
      </c>
      <c r="E588" s="276"/>
      <c r="F588" s="277"/>
      <c r="G588" s="333">
        <f t="shared" si="721"/>
        <v>0</v>
      </c>
      <c r="H588" s="278"/>
      <c r="I588" s="278"/>
      <c r="J588" s="352" t="str">
        <f>IFERROR(G588/#REF!,"-")</f>
        <v>-</v>
      </c>
      <c r="K588" s="690">
        <f t="shared" si="722"/>
        <v>0</v>
      </c>
      <c r="L588" s="276">
        <f t="shared" si="723"/>
        <v>0</v>
      </c>
      <c r="M588" s="436">
        <f t="shared" si="724"/>
        <v>0</v>
      </c>
      <c r="N588" s="337" t="str">
        <f t="shared" si="725"/>
        <v>-</v>
      </c>
      <c r="O588" s="263" t="str">
        <f t="shared" si="718"/>
        <v>-</v>
      </c>
    </row>
    <row r="589" spans="1:15" ht="24" thickBot="1" x14ac:dyDescent="0.35">
      <c r="A589" s="274" t="s">
        <v>103</v>
      </c>
      <c r="B589" s="1045"/>
      <c r="C589" s="279" t="s">
        <v>341</v>
      </c>
      <c r="D589" s="279" t="s">
        <v>232</v>
      </c>
      <c r="E589" s="280"/>
      <c r="F589" s="281"/>
      <c r="G589" s="334">
        <f t="shared" si="721"/>
        <v>0</v>
      </c>
      <c r="H589" s="282"/>
      <c r="I589" s="282"/>
      <c r="J589" s="353" t="str">
        <f>IFERROR(G589/#REF!,"-")</f>
        <v>-</v>
      </c>
      <c r="K589" s="691">
        <f t="shared" si="722"/>
        <v>0</v>
      </c>
      <c r="L589" s="530">
        <f t="shared" si="723"/>
        <v>0</v>
      </c>
      <c r="M589" s="462">
        <f t="shared" si="724"/>
        <v>0</v>
      </c>
      <c r="N589" s="338" t="str">
        <f t="shared" si="725"/>
        <v>-</v>
      </c>
      <c r="O589" s="347" t="str">
        <f t="shared" si="718"/>
        <v>-</v>
      </c>
    </row>
    <row r="590" spans="1:15" ht="24" thickBot="1" x14ac:dyDescent="0.35">
      <c r="A590" s="274" t="s">
        <v>103</v>
      </c>
      <c r="B590" s="1025" t="s">
        <v>45</v>
      </c>
      <c r="C590" s="1026"/>
      <c r="D590" s="1027"/>
      <c r="E590" s="320">
        <f>SUM(E583:E589)</f>
        <v>2600000</v>
      </c>
      <c r="F590" s="285">
        <v>100000</v>
      </c>
      <c r="G590" s="320">
        <f>SUM(G583:G589)</f>
        <v>98458</v>
      </c>
      <c r="H590" s="321">
        <f t="shared" ref="H590:I590" si="726">SUM(H583:H589)</f>
        <v>97920</v>
      </c>
      <c r="I590" s="321">
        <f t="shared" si="726"/>
        <v>538</v>
      </c>
      <c r="J590" s="345">
        <f>+G590/F590</f>
        <v>0.98458000000000001</v>
      </c>
      <c r="K590" s="320">
        <f>SUM(K583:K589)</f>
        <v>454890</v>
      </c>
      <c r="L590" s="519">
        <f>SUM(L583:L589)</f>
        <v>452740</v>
      </c>
      <c r="M590" s="689">
        <f t="shared" ref="M590" si="727">SUM(M583:M589)</f>
        <v>2150</v>
      </c>
      <c r="N590" s="339">
        <f>IFERROR(K590/E590,"-")</f>
        <v>0.17495769230769231</v>
      </c>
      <c r="O590" s="345">
        <f t="shared" si="718"/>
        <v>4.7264173756292726E-3</v>
      </c>
    </row>
    <row r="591" spans="1:15" ht="23.4" x14ac:dyDescent="0.3">
      <c r="A591" s="274" t="s">
        <v>103</v>
      </c>
      <c r="B591" s="1043" t="s">
        <v>18</v>
      </c>
      <c r="C591" s="269" t="s">
        <v>312</v>
      </c>
      <c r="D591" s="269" t="s">
        <v>92</v>
      </c>
      <c r="E591" s="270"/>
      <c r="F591" s="271"/>
      <c r="G591" s="332">
        <f t="shared" ref="G591:G597" si="728">+H591+I591</f>
        <v>0</v>
      </c>
      <c r="H591" s="272"/>
      <c r="I591" s="272"/>
      <c r="J591" s="351" t="str">
        <f>IFERROR(G591/#REF!,"-")</f>
        <v>-</v>
      </c>
      <c r="K591" s="332">
        <f t="shared" ref="K591:K597" si="729">+L591+M591</f>
        <v>0</v>
      </c>
      <c r="L591" s="272">
        <f t="shared" ref="L591:L597" si="730">+H591+L478</f>
        <v>0</v>
      </c>
      <c r="M591" s="273">
        <f t="shared" ref="M591:M597" si="731">+I591+M478</f>
        <v>0</v>
      </c>
      <c r="N591" s="336" t="str">
        <f t="shared" ref="N591:N598" si="732">IFERROR(K591/E591,"-")</f>
        <v>-</v>
      </c>
      <c r="O591" s="346" t="str">
        <f t="shared" si="718"/>
        <v>-</v>
      </c>
    </row>
    <row r="592" spans="1:15" ht="23.4" x14ac:dyDescent="0.3">
      <c r="A592" s="274" t="s">
        <v>103</v>
      </c>
      <c r="B592" s="1044"/>
      <c r="C592" s="275" t="s">
        <v>233</v>
      </c>
      <c r="D592" s="275" t="s">
        <v>234</v>
      </c>
      <c r="E592" s="276"/>
      <c r="F592" s="277"/>
      <c r="G592" s="333">
        <f t="shared" si="728"/>
        <v>0</v>
      </c>
      <c r="H592" s="278"/>
      <c r="I592" s="278"/>
      <c r="J592" s="352" t="str">
        <f>IFERROR(G592/#REF!,"-")</f>
        <v>-</v>
      </c>
      <c r="K592" s="333">
        <f t="shared" si="729"/>
        <v>0</v>
      </c>
      <c r="L592" s="272">
        <f t="shared" si="730"/>
        <v>0</v>
      </c>
      <c r="M592" s="273">
        <f t="shared" si="731"/>
        <v>0</v>
      </c>
      <c r="N592" s="337" t="str">
        <f t="shared" si="732"/>
        <v>-</v>
      </c>
      <c r="O592" s="263" t="str">
        <f t="shared" si="718"/>
        <v>-</v>
      </c>
    </row>
    <row r="593" spans="1:15" ht="23.4" x14ac:dyDescent="0.3">
      <c r="A593" s="274" t="s">
        <v>103</v>
      </c>
      <c r="B593" s="1044"/>
      <c r="C593" s="275" t="s">
        <v>115</v>
      </c>
      <c r="D593" s="275"/>
      <c r="E593" s="276"/>
      <c r="F593" s="277"/>
      <c r="G593" s="333">
        <f t="shared" si="728"/>
        <v>0</v>
      </c>
      <c r="H593" s="278"/>
      <c r="I593" s="278"/>
      <c r="J593" s="352" t="str">
        <f>IFERROR(G593/#REF!,"-")</f>
        <v>-</v>
      </c>
      <c r="K593" s="333">
        <f t="shared" si="729"/>
        <v>0</v>
      </c>
      <c r="L593" s="272">
        <f t="shared" si="730"/>
        <v>0</v>
      </c>
      <c r="M593" s="273">
        <f t="shared" si="731"/>
        <v>0</v>
      </c>
      <c r="N593" s="337" t="str">
        <f t="shared" si="732"/>
        <v>-</v>
      </c>
      <c r="O593" s="263" t="str">
        <f t="shared" si="718"/>
        <v>-</v>
      </c>
    </row>
    <row r="594" spans="1:15" ht="23.4" x14ac:dyDescent="0.3">
      <c r="A594" s="274" t="s">
        <v>103</v>
      </c>
      <c r="B594" s="1044"/>
      <c r="C594" s="275" t="s">
        <v>122</v>
      </c>
      <c r="D594" s="275"/>
      <c r="E594" s="276"/>
      <c r="F594" s="277"/>
      <c r="G594" s="333">
        <f t="shared" si="728"/>
        <v>0</v>
      </c>
      <c r="H594" s="278"/>
      <c r="I594" s="278"/>
      <c r="J594" s="352" t="str">
        <f>IFERROR(G594/#REF!,"-")</f>
        <v>-</v>
      </c>
      <c r="K594" s="333">
        <f t="shared" si="729"/>
        <v>0</v>
      </c>
      <c r="L594" s="272">
        <f t="shared" si="730"/>
        <v>0</v>
      </c>
      <c r="M594" s="273">
        <f t="shared" si="731"/>
        <v>0</v>
      </c>
      <c r="N594" s="337" t="str">
        <f t="shared" si="732"/>
        <v>-</v>
      </c>
      <c r="O594" s="263" t="str">
        <f t="shared" si="718"/>
        <v>-</v>
      </c>
    </row>
    <row r="595" spans="1:15" ht="23.4" x14ac:dyDescent="0.3">
      <c r="A595" s="274" t="s">
        <v>103</v>
      </c>
      <c r="B595" s="1044"/>
      <c r="C595" s="275" t="s">
        <v>176</v>
      </c>
      <c r="D595" s="275" t="s">
        <v>177</v>
      </c>
      <c r="E595" s="276"/>
      <c r="F595" s="277"/>
      <c r="G595" s="333">
        <f t="shared" si="728"/>
        <v>0</v>
      </c>
      <c r="H595" s="278"/>
      <c r="I595" s="278"/>
      <c r="J595" s="352" t="str">
        <f>IFERROR(G595/#REF!,"-")</f>
        <v>-</v>
      </c>
      <c r="K595" s="333">
        <f t="shared" si="729"/>
        <v>0</v>
      </c>
      <c r="L595" s="272">
        <f t="shared" si="730"/>
        <v>0</v>
      </c>
      <c r="M595" s="273">
        <f t="shared" si="731"/>
        <v>0</v>
      </c>
      <c r="N595" s="337" t="str">
        <f t="shared" si="732"/>
        <v>-</v>
      </c>
      <c r="O595" s="263" t="str">
        <f t="shared" si="718"/>
        <v>-</v>
      </c>
    </row>
    <row r="596" spans="1:15" ht="23.4" x14ac:dyDescent="0.3">
      <c r="A596" s="274" t="s">
        <v>103</v>
      </c>
      <c r="B596" s="1044"/>
      <c r="C596" s="275" t="s">
        <v>179</v>
      </c>
      <c r="D596" s="275" t="s">
        <v>178</v>
      </c>
      <c r="E596" s="276"/>
      <c r="F596" s="277"/>
      <c r="G596" s="333">
        <f t="shared" si="728"/>
        <v>0</v>
      </c>
      <c r="H596" s="278"/>
      <c r="I596" s="278"/>
      <c r="J596" s="352" t="str">
        <f>IFERROR(G596/#REF!,"-")</f>
        <v>-</v>
      </c>
      <c r="K596" s="333">
        <f t="shared" si="729"/>
        <v>0</v>
      </c>
      <c r="L596" s="272">
        <f t="shared" si="730"/>
        <v>0</v>
      </c>
      <c r="M596" s="273">
        <f t="shared" si="731"/>
        <v>0</v>
      </c>
      <c r="N596" s="337" t="str">
        <f t="shared" si="732"/>
        <v>-</v>
      </c>
      <c r="O596" s="263" t="str">
        <f t="shared" si="718"/>
        <v>-</v>
      </c>
    </row>
    <row r="597" spans="1:15" ht="24" thickBot="1" x14ac:dyDescent="0.35">
      <c r="A597" s="274" t="s">
        <v>103</v>
      </c>
      <c r="B597" s="1045"/>
      <c r="C597" s="286" t="s">
        <v>180</v>
      </c>
      <c r="D597" s="286" t="s">
        <v>107</v>
      </c>
      <c r="E597" s="280"/>
      <c r="F597" s="281"/>
      <c r="G597" s="334">
        <f t="shared" si="728"/>
        <v>0</v>
      </c>
      <c r="H597" s="282"/>
      <c r="I597" s="282"/>
      <c r="J597" s="353" t="str">
        <f>IFERROR(G597/#REF!,"-")</f>
        <v>-</v>
      </c>
      <c r="K597" s="334">
        <f t="shared" si="729"/>
        <v>0</v>
      </c>
      <c r="L597" s="272">
        <f t="shared" si="730"/>
        <v>0</v>
      </c>
      <c r="M597" s="273">
        <f t="shared" si="731"/>
        <v>0</v>
      </c>
      <c r="N597" s="338" t="str">
        <f t="shared" si="732"/>
        <v>-</v>
      </c>
      <c r="O597" s="347" t="str">
        <f t="shared" si="718"/>
        <v>-</v>
      </c>
    </row>
    <row r="598" spans="1:15" ht="24" thickBot="1" x14ac:dyDescent="0.35">
      <c r="A598" s="274" t="s">
        <v>103</v>
      </c>
      <c r="B598" s="1025" t="s">
        <v>29</v>
      </c>
      <c r="C598" s="1026"/>
      <c r="D598" s="1027"/>
      <c r="E598" s="320">
        <f t="shared" ref="E598" si="733">SUM(E591:E597)</f>
        <v>0</v>
      </c>
      <c r="F598" s="285">
        <v>80000</v>
      </c>
      <c r="G598" s="366">
        <f>SUM(G591:G597)</f>
        <v>0</v>
      </c>
      <c r="H598" s="321">
        <f t="shared" ref="H598:I598" si="734">SUM(H591:H597)</f>
        <v>0</v>
      </c>
      <c r="I598" s="321">
        <f t="shared" si="734"/>
        <v>0</v>
      </c>
      <c r="J598" s="345">
        <f>+G598/F598</f>
        <v>0</v>
      </c>
      <c r="K598" s="366">
        <f t="shared" ref="K598" si="735">SUM(K591:K597)</f>
        <v>0</v>
      </c>
      <c r="L598" s="365">
        <f>SUM(L591:L597)</f>
        <v>0</v>
      </c>
      <c r="M598" s="367">
        <f t="shared" ref="M598" si="736">SUM(M591:M597)</f>
        <v>0</v>
      </c>
      <c r="N598" s="355" t="str">
        <f t="shared" si="732"/>
        <v>-</v>
      </c>
      <c r="O598" s="356" t="str">
        <f t="shared" si="718"/>
        <v>-</v>
      </c>
    </row>
    <row r="599" spans="1:15" ht="23.4" x14ac:dyDescent="0.3">
      <c r="A599" s="252" t="s">
        <v>103</v>
      </c>
      <c r="B599" s="1085" t="s">
        <v>19</v>
      </c>
      <c r="C599" s="641" t="s">
        <v>235</v>
      </c>
      <c r="D599" s="669" t="s">
        <v>177</v>
      </c>
      <c r="E599" s="674"/>
      <c r="F599" s="827">
        <v>220000</v>
      </c>
      <c r="G599" s="916">
        <f t="shared" ref="G599:G603" si="737">+H599+I599</f>
        <v>0</v>
      </c>
      <c r="H599" s="912"/>
      <c r="I599" s="458"/>
      <c r="J599" s="831" t="str">
        <f>IFERROR(G599/#REF!,"-")</f>
        <v>-</v>
      </c>
      <c r="K599" s="457">
        <f>+L599+M599</f>
        <v>0</v>
      </c>
      <c r="L599" s="458">
        <f t="shared" ref="L599:L601" si="738">+H599+L486</f>
        <v>0</v>
      </c>
      <c r="M599" s="838">
        <f t="shared" ref="M599:M601" si="739">+I599+M486</f>
        <v>0</v>
      </c>
      <c r="N599" s="646" t="str">
        <f>IFERROR(K599/E599,"-")</f>
        <v>-</v>
      </c>
      <c r="O599" s="647" t="str">
        <f t="shared" si="718"/>
        <v>-</v>
      </c>
    </row>
    <row r="600" spans="1:15" ht="24" thickBot="1" x14ac:dyDescent="0.35">
      <c r="A600" s="252"/>
      <c r="B600" s="1086"/>
      <c r="C600" s="296" t="s">
        <v>377</v>
      </c>
      <c r="D600" s="824" t="s">
        <v>423</v>
      </c>
      <c r="E600" s="825">
        <v>1000000</v>
      </c>
      <c r="F600" s="828"/>
      <c r="G600" s="917">
        <f t="shared" si="737"/>
        <v>0</v>
      </c>
      <c r="H600" s="915"/>
      <c r="I600" s="289"/>
      <c r="J600" s="832" t="str">
        <f>IFERROR(G600/#REF!,"-")</f>
        <v>-</v>
      </c>
      <c r="K600" s="333">
        <f>+L600+M600</f>
        <v>576188</v>
      </c>
      <c r="L600" s="278">
        <f t="shared" si="738"/>
        <v>574464</v>
      </c>
      <c r="M600" s="277">
        <f t="shared" si="739"/>
        <v>1724</v>
      </c>
      <c r="N600" s="836">
        <f t="shared" ref="N600:N603" si="740">IFERROR(K600/E600,"-")</f>
        <v>0.57618800000000003</v>
      </c>
      <c r="O600" s="263">
        <f>IFERROR(M600/K600,"-")</f>
        <v>2.9920789742236909E-3</v>
      </c>
    </row>
    <row r="601" spans="1:15" ht="23.4" x14ac:dyDescent="0.3">
      <c r="A601" s="252"/>
      <c r="B601" s="1086"/>
      <c r="C601" s="826" t="s">
        <v>235</v>
      </c>
      <c r="D601" s="651" t="s">
        <v>522</v>
      </c>
      <c r="E601" s="701"/>
      <c r="F601" s="829"/>
      <c r="G601" s="917">
        <f t="shared" si="737"/>
        <v>175193</v>
      </c>
      <c r="H601" s="511">
        <f>107184+(67584)</f>
        <v>174768</v>
      </c>
      <c r="I601" s="278">
        <f>290+(135)</f>
        <v>425</v>
      </c>
      <c r="J601" s="833"/>
      <c r="K601" s="333">
        <f t="shared" ref="K601:K602" si="741">+L601+M601</f>
        <v>175193</v>
      </c>
      <c r="L601" s="278">
        <f t="shared" si="738"/>
        <v>174768</v>
      </c>
      <c r="M601" s="277">
        <f t="shared" si="739"/>
        <v>425</v>
      </c>
      <c r="N601" s="836" t="str">
        <f t="shared" si="740"/>
        <v>-</v>
      </c>
      <c r="O601" s="263">
        <f t="shared" ref="O601:O602" si="742">IFERROR(M601/K601,"-")</f>
        <v>2.4258960118269564E-3</v>
      </c>
    </row>
    <row r="602" spans="1:15" ht="23.4" x14ac:dyDescent="0.3">
      <c r="A602" s="252"/>
      <c r="B602" s="1086"/>
      <c r="C602" s="296" t="s">
        <v>377</v>
      </c>
      <c r="D602" s="824" t="s">
        <v>522</v>
      </c>
      <c r="E602" s="825"/>
      <c r="F602" s="828"/>
      <c r="G602" s="917">
        <f t="shared" si="737"/>
        <v>25474</v>
      </c>
      <c r="H602" s="915">
        <v>25344</v>
      </c>
      <c r="I602" s="289">
        <v>130</v>
      </c>
      <c r="J602" s="832"/>
      <c r="K602" s="333">
        <f t="shared" si="741"/>
        <v>25474</v>
      </c>
      <c r="L602" s="278">
        <f>+H602</f>
        <v>25344</v>
      </c>
      <c r="M602" s="277">
        <f>+I602</f>
        <v>130</v>
      </c>
      <c r="N602" s="836" t="str">
        <f t="shared" si="740"/>
        <v>-</v>
      </c>
      <c r="O602" s="263">
        <f t="shared" si="742"/>
        <v>5.1032425217869201E-3</v>
      </c>
    </row>
    <row r="603" spans="1:15" ht="24" thickBot="1" x14ac:dyDescent="0.35">
      <c r="A603" s="252"/>
      <c r="B603" s="1087"/>
      <c r="C603" s="635" t="s">
        <v>342</v>
      </c>
      <c r="D603" s="670"/>
      <c r="E603" s="676">
        <v>150000</v>
      </c>
      <c r="F603" s="830"/>
      <c r="G603" s="918">
        <f t="shared" si="737"/>
        <v>0</v>
      </c>
      <c r="H603" s="913"/>
      <c r="I603" s="461"/>
      <c r="J603" s="834"/>
      <c r="K603" s="460">
        <f>+L603+M603</f>
        <v>0</v>
      </c>
      <c r="L603" s="461">
        <f>+H603+L488</f>
        <v>0</v>
      </c>
      <c r="M603" s="839">
        <f>+I603+M488</f>
        <v>0</v>
      </c>
      <c r="N603" s="837">
        <f t="shared" si="740"/>
        <v>0</v>
      </c>
      <c r="O603" s="264" t="str">
        <f t="shared" ref="O603:O621" si="743">IFERROR(M603/K603,"-")</f>
        <v>-</v>
      </c>
    </row>
    <row r="604" spans="1:15" ht="24" thickBot="1" x14ac:dyDescent="0.35">
      <c r="A604" s="274" t="s">
        <v>103</v>
      </c>
      <c r="B604" s="1040" t="s">
        <v>46</v>
      </c>
      <c r="C604" s="1026"/>
      <c r="D604" s="1027"/>
      <c r="E604" s="320">
        <f>SUM(E599:E603)</f>
        <v>1150000</v>
      </c>
      <c r="F604" s="323">
        <f>SUM(F599)</f>
        <v>220000</v>
      </c>
      <c r="G604" s="513">
        <f>SUM(G599:G603)</f>
        <v>200667</v>
      </c>
      <c r="H604" s="321">
        <f>SUM(H599:H603)</f>
        <v>200112</v>
      </c>
      <c r="I604" s="321">
        <f>SUM(I599:I603)</f>
        <v>555</v>
      </c>
      <c r="J604" s="345">
        <f>+G604/F604</f>
        <v>0.91212272727272725</v>
      </c>
      <c r="K604" s="835">
        <f>SUM(K599:K603)</f>
        <v>776855</v>
      </c>
      <c r="L604" s="835">
        <f t="shared" ref="L604:M604" si="744">SUM(L599:L603)</f>
        <v>774576</v>
      </c>
      <c r="M604" s="835">
        <f t="shared" si="744"/>
        <v>2279</v>
      </c>
      <c r="N604" s="521">
        <f>IFERROR(K604/E604,"-")</f>
        <v>0.67552608695652172</v>
      </c>
      <c r="O604" s="520">
        <f t="shared" si="743"/>
        <v>2.9336233917526436E-3</v>
      </c>
    </row>
    <row r="605" spans="1:15" ht="23.4" x14ac:dyDescent="0.3">
      <c r="A605" s="274" t="s">
        <v>103</v>
      </c>
      <c r="B605" s="1043" t="s">
        <v>20</v>
      </c>
      <c r="C605" s="291" t="s">
        <v>317</v>
      </c>
      <c r="D605" s="291" t="s">
        <v>289</v>
      </c>
      <c r="E605" s="270"/>
      <c r="F605" s="271"/>
      <c r="G605" s="332">
        <f t="shared" ref="G605:G607" si="745">+H605+I605</f>
        <v>0</v>
      </c>
      <c r="H605" s="272"/>
      <c r="I605" s="272"/>
      <c r="J605" s="351" t="str">
        <f>IFERROR(G605/#REF!,"-")</f>
        <v>-</v>
      </c>
      <c r="K605" s="332">
        <f t="shared" ref="K605:K607" si="746">+L605+M605</f>
        <v>0</v>
      </c>
      <c r="L605" s="272">
        <f t="shared" ref="L605:M607" si="747">+H605+L490</f>
        <v>0</v>
      </c>
      <c r="M605" s="273">
        <f t="shared" si="747"/>
        <v>0</v>
      </c>
      <c r="N605" s="336" t="str">
        <f t="shared" ref="N605:N608" si="748">IFERROR(K605/E605,"-")</f>
        <v>-</v>
      </c>
      <c r="O605" s="346" t="str">
        <f t="shared" si="743"/>
        <v>-</v>
      </c>
    </row>
    <row r="606" spans="1:15" ht="23.4" x14ac:dyDescent="0.3">
      <c r="A606" s="274" t="s">
        <v>103</v>
      </c>
      <c r="B606" s="1044"/>
      <c r="C606" s="292" t="s">
        <v>114</v>
      </c>
      <c r="D606" s="292"/>
      <c r="E606" s="276"/>
      <c r="F606" s="277"/>
      <c r="G606" s="333">
        <f t="shared" si="745"/>
        <v>0</v>
      </c>
      <c r="H606" s="278"/>
      <c r="I606" s="278"/>
      <c r="J606" s="352" t="str">
        <f>IFERROR(G606/#REF!,"-")</f>
        <v>-</v>
      </c>
      <c r="K606" s="333">
        <f t="shared" si="746"/>
        <v>0</v>
      </c>
      <c r="L606" s="272">
        <f t="shared" si="747"/>
        <v>0</v>
      </c>
      <c r="M606" s="273">
        <f t="shared" si="747"/>
        <v>0</v>
      </c>
      <c r="N606" s="337" t="str">
        <f t="shared" si="748"/>
        <v>-</v>
      </c>
      <c r="O606" s="263" t="str">
        <f t="shared" si="743"/>
        <v>-</v>
      </c>
    </row>
    <row r="607" spans="1:15" ht="24" thickBot="1" x14ac:dyDescent="0.35">
      <c r="A607" s="274" t="s">
        <v>103</v>
      </c>
      <c r="B607" s="1045"/>
      <c r="C607" s="293" t="s">
        <v>120</v>
      </c>
      <c r="D607" s="293"/>
      <c r="E607" s="280"/>
      <c r="F607" s="281"/>
      <c r="G607" s="334">
        <f t="shared" si="745"/>
        <v>0</v>
      </c>
      <c r="H607" s="282"/>
      <c r="I607" s="282"/>
      <c r="J607" s="353" t="str">
        <f>IFERROR(G607/#REF!,"-")</f>
        <v>-</v>
      </c>
      <c r="K607" s="334">
        <f t="shared" si="746"/>
        <v>0</v>
      </c>
      <c r="L607" s="272">
        <f t="shared" si="747"/>
        <v>0</v>
      </c>
      <c r="M607" s="273">
        <f t="shared" si="747"/>
        <v>0</v>
      </c>
      <c r="N607" s="338" t="str">
        <f t="shared" si="748"/>
        <v>-</v>
      </c>
      <c r="O607" s="347" t="str">
        <f t="shared" si="743"/>
        <v>-</v>
      </c>
    </row>
    <row r="608" spans="1:15" ht="24" thickBot="1" x14ac:dyDescent="0.35">
      <c r="A608" s="274" t="s">
        <v>103</v>
      </c>
      <c r="B608" s="1026" t="s">
        <v>47</v>
      </c>
      <c r="C608" s="1026"/>
      <c r="D608" s="1046"/>
      <c r="E608" s="320">
        <f t="shared" ref="E608" si="749">SUM(E605:E607)</f>
        <v>0</v>
      </c>
      <c r="F608" s="285">
        <v>50000</v>
      </c>
      <c r="G608" s="320">
        <f>SUM(G605:G607)</f>
        <v>0</v>
      </c>
      <c r="H608" s="321">
        <f t="shared" ref="H608:I608" si="750">SUM(H605:H607)</f>
        <v>0</v>
      </c>
      <c r="I608" s="321">
        <f t="shared" si="750"/>
        <v>0</v>
      </c>
      <c r="J608" s="345">
        <f>+G608/F608</f>
        <v>0</v>
      </c>
      <c r="K608" s="320">
        <f t="shared" ref="K608:M608" si="751">SUM(K605:K607)</f>
        <v>0</v>
      </c>
      <c r="L608" s="321">
        <f t="shared" si="751"/>
        <v>0</v>
      </c>
      <c r="M608" s="322">
        <f t="shared" si="751"/>
        <v>0</v>
      </c>
      <c r="N608" s="339" t="str">
        <f t="shared" si="748"/>
        <v>-</v>
      </c>
      <c r="O608" s="345" t="str">
        <f t="shared" si="743"/>
        <v>-</v>
      </c>
    </row>
    <row r="609" spans="1:15" ht="24" thickBot="1" x14ac:dyDescent="0.35">
      <c r="A609" s="274" t="s">
        <v>103</v>
      </c>
      <c r="B609" s="1047" t="s">
        <v>21</v>
      </c>
      <c r="C609" s="1048"/>
      <c r="D609" s="1049"/>
      <c r="E609" s="326">
        <f>+E582+E590+E598+E604+E608</f>
        <v>3770000</v>
      </c>
      <c r="F609" s="327">
        <f>+F582+F590+F598+F604+F608</f>
        <v>465000</v>
      </c>
      <c r="G609" s="326">
        <f>+G582+G590+G598+G604+G608</f>
        <v>301365</v>
      </c>
      <c r="H609" s="324">
        <f>+H582+H590+H598+H604+H608</f>
        <v>300272</v>
      </c>
      <c r="I609" s="324">
        <f>+I582+I590+I598+I604+I608</f>
        <v>1093</v>
      </c>
      <c r="J609" s="349">
        <f>+G609/F609</f>
        <v>0.64809677419354839</v>
      </c>
      <c r="K609" s="326">
        <f>+K582+K590+K598+K604+K608</f>
        <v>1237505</v>
      </c>
      <c r="L609" s="324">
        <f>+L582+L590+L598+L604+L608</f>
        <v>1233076</v>
      </c>
      <c r="M609" s="325">
        <f>+M582+M590+M598+M604+M608</f>
        <v>4429</v>
      </c>
      <c r="N609" s="341">
        <f>IFERROR(K609/E609,"-")</f>
        <v>0.32825066312997347</v>
      </c>
      <c r="O609" s="349">
        <f t="shared" si="743"/>
        <v>3.578975438483077E-3</v>
      </c>
    </row>
    <row r="610" spans="1:15" ht="23.4" x14ac:dyDescent="0.3">
      <c r="A610" s="274" t="s">
        <v>103</v>
      </c>
      <c r="B610" s="1043" t="s">
        <v>400</v>
      </c>
      <c r="C610" s="269" t="s">
        <v>125</v>
      </c>
      <c r="D610" s="269"/>
      <c r="E610" s="270"/>
      <c r="F610" s="271"/>
      <c r="G610" s="332">
        <f t="shared" ref="G610:G613" si="752">+H610+I610</f>
        <v>0</v>
      </c>
      <c r="H610" s="272"/>
      <c r="I610" s="272"/>
      <c r="J610" s="351" t="str">
        <f>IFERROR(G610/#REF!,"-")</f>
        <v>-</v>
      </c>
      <c r="K610" s="332">
        <f t="shared" ref="K610:K613" si="753">+L610+M610</f>
        <v>0</v>
      </c>
      <c r="L610" s="272">
        <f t="shared" ref="L610:M613" si="754">+H610+L495</f>
        <v>0</v>
      </c>
      <c r="M610" s="273">
        <f t="shared" si="754"/>
        <v>0</v>
      </c>
      <c r="N610" s="336" t="str">
        <f t="shared" ref="N610:N621" si="755">IFERROR(K610/E610,"-")</f>
        <v>-</v>
      </c>
      <c r="O610" s="346" t="str">
        <f t="shared" si="743"/>
        <v>-</v>
      </c>
    </row>
    <row r="611" spans="1:15" ht="23.4" x14ac:dyDescent="0.3">
      <c r="A611" s="274" t="s">
        <v>103</v>
      </c>
      <c r="B611" s="1044"/>
      <c r="C611" s="295" t="s">
        <v>263</v>
      </c>
      <c r="D611" s="295" t="s">
        <v>181</v>
      </c>
      <c r="E611" s="276"/>
      <c r="F611" s="277"/>
      <c r="G611" s="333">
        <f t="shared" si="752"/>
        <v>0</v>
      </c>
      <c r="H611" s="278"/>
      <c r="I611" s="278"/>
      <c r="J611" s="352" t="str">
        <f>IFERROR(G611/#REF!,"-")</f>
        <v>-</v>
      </c>
      <c r="K611" s="333">
        <f t="shared" si="753"/>
        <v>0</v>
      </c>
      <c r="L611" s="272">
        <f t="shared" si="754"/>
        <v>0</v>
      </c>
      <c r="M611" s="273">
        <f t="shared" si="754"/>
        <v>0</v>
      </c>
      <c r="N611" s="337" t="str">
        <f t="shared" si="755"/>
        <v>-</v>
      </c>
      <c r="O611" s="263" t="str">
        <f t="shared" si="743"/>
        <v>-</v>
      </c>
    </row>
    <row r="612" spans="1:15" ht="23.4" x14ac:dyDescent="0.3">
      <c r="A612" s="274" t="s">
        <v>103</v>
      </c>
      <c r="B612" s="1044"/>
      <c r="C612" s="295" t="s">
        <v>362</v>
      </c>
      <c r="D612" s="295" t="s">
        <v>181</v>
      </c>
      <c r="E612" s="276"/>
      <c r="F612" s="277"/>
      <c r="G612" s="333">
        <f t="shared" si="752"/>
        <v>0</v>
      </c>
      <c r="H612" s="278"/>
      <c r="I612" s="278"/>
      <c r="J612" s="352" t="str">
        <f>IFERROR(G612/#REF!,"-")</f>
        <v>-</v>
      </c>
      <c r="K612" s="333">
        <f t="shared" si="753"/>
        <v>0</v>
      </c>
      <c r="L612" s="272">
        <f t="shared" si="754"/>
        <v>0</v>
      </c>
      <c r="M612" s="273">
        <f t="shared" si="754"/>
        <v>0</v>
      </c>
      <c r="N612" s="337" t="str">
        <f t="shared" si="755"/>
        <v>-</v>
      </c>
      <c r="O612" s="263" t="str">
        <f t="shared" si="743"/>
        <v>-</v>
      </c>
    </row>
    <row r="613" spans="1:15" ht="24" thickBot="1" x14ac:dyDescent="0.35">
      <c r="A613" s="274" t="s">
        <v>103</v>
      </c>
      <c r="B613" s="1045"/>
      <c r="C613" s="279" t="s">
        <v>182</v>
      </c>
      <c r="D613" s="279" t="s">
        <v>93</v>
      </c>
      <c r="E613" s="280"/>
      <c r="F613" s="281"/>
      <c r="G613" s="334">
        <f t="shared" si="752"/>
        <v>0</v>
      </c>
      <c r="H613" s="282"/>
      <c r="I613" s="282"/>
      <c r="J613" s="353" t="str">
        <f>IFERROR(G613/#REF!,"-")</f>
        <v>-</v>
      </c>
      <c r="K613" s="334">
        <f t="shared" si="753"/>
        <v>0</v>
      </c>
      <c r="L613" s="272">
        <f t="shared" si="754"/>
        <v>0</v>
      </c>
      <c r="M613" s="273">
        <f t="shared" si="754"/>
        <v>0</v>
      </c>
      <c r="N613" s="338" t="str">
        <f t="shared" si="755"/>
        <v>-</v>
      </c>
      <c r="O613" s="347" t="str">
        <f t="shared" si="743"/>
        <v>-</v>
      </c>
    </row>
    <row r="614" spans="1:15" ht="24" thickBot="1" x14ac:dyDescent="0.35">
      <c r="A614" s="274" t="s">
        <v>103</v>
      </c>
      <c r="B614" s="1025" t="s">
        <v>48</v>
      </c>
      <c r="C614" s="1026"/>
      <c r="D614" s="1027"/>
      <c r="E614" s="284">
        <f>SUM(E610:E613)</f>
        <v>0</v>
      </c>
      <c r="F614" s="285">
        <v>80000</v>
      </c>
      <c r="G614" s="320">
        <f>SUM(G610:G613)</f>
        <v>0</v>
      </c>
      <c r="H614" s="321">
        <f t="shared" ref="H614:I614" si="756">SUM(H610:H613)</f>
        <v>0</v>
      </c>
      <c r="I614" s="321">
        <f t="shared" si="756"/>
        <v>0</v>
      </c>
      <c r="J614" s="345">
        <f>+G614/F614</f>
        <v>0</v>
      </c>
      <c r="K614" s="320">
        <f t="shared" ref="K614" si="757">SUM(K610:K613)</f>
        <v>0</v>
      </c>
      <c r="L614" s="321">
        <f>SUM(L610:L613)</f>
        <v>0</v>
      </c>
      <c r="M614" s="322">
        <f t="shared" ref="M614" si="758">SUM(M610:M613)</f>
        <v>0</v>
      </c>
      <c r="N614" s="339" t="str">
        <f t="shared" si="755"/>
        <v>-</v>
      </c>
      <c r="O614" s="345" t="str">
        <f t="shared" si="743"/>
        <v>-</v>
      </c>
    </row>
    <row r="615" spans="1:15" ht="23.4" x14ac:dyDescent="0.3">
      <c r="A615" s="274" t="s">
        <v>103</v>
      </c>
      <c r="B615" s="1043" t="s">
        <v>23</v>
      </c>
      <c r="C615" s="275" t="s">
        <v>500</v>
      </c>
      <c r="D615" s="296" t="s">
        <v>238</v>
      </c>
      <c r="E615" s="270">
        <v>10000</v>
      </c>
      <c r="F615" s="271"/>
      <c r="G615" s="332">
        <f t="shared" ref="G615:G623" si="759">+H615+I615</f>
        <v>0</v>
      </c>
      <c r="H615" s="272"/>
      <c r="I615" s="272"/>
      <c r="J615" s="351" t="str">
        <f>IFERROR(G615/#REF!,"-")</f>
        <v>-</v>
      </c>
      <c r="K615" s="332">
        <f t="shared" ref="K615:K623" si="760">+L615+M615</f>
        <v>0</v>
      </c>
      <c r="L615" s="272">
        <f t="shared" ref="L615:L623" si="761">+H615+L500</f>
        <v>0</v>
      </c>
      <c r="M615" s="273">
        <f t="shared" ref="M615:M623" si="762">+I615+M500</f>
        <v>0</v>
      </c>
      <c r="N615" s="336">
        <f t="shared" si="755"/>
        <v>0</v>
      </c>
      <c r="O615" s="346" t="str">
        <f t="shared" si="743"/>
        <v>-</v>
      </c>
    </row>
    <row r="616" spans="1:15" ht="23.4" x14ac:dyDescent="0.3">
      <c r="A616" s="274" t="s">
        <v>103</v>
      </c>
      <c r="B616" s="1044"/>
      <c r="C616" s="275" t="s">
        <v>24</v>
      </c>
      <c r="D616" s="275" t="s">
        <v>238</v>
      </c>
      <c r="E616" s="276"/>
      <c r="F616" s="277"/>
      <c r="G616" s="333">
        <f t="shared" si="759"/>
        <v>0</v>
      </c>
      <c r="H616" s="278"/>
      <c r="I616" s="278"/>
      <c r="J616" s="352" t="str">
        <f>IFERROR(G616/#REF!,"-")</f>
        <v>-</v>
      </c>
      <c r="K616" s="333">
        <f t="shared" si="760"/>
        <v>0</v>
      </c>
      <c r="L616" s="272">
        <f t="shared" si="761"/>
        <v>0</v>
      </c>
      <c r="M616" s="273">
        <f t="shared" si="762"/>
        <v>0</v>
      </c>
      <c r="N616" s="337" t="str">
        <f t="shared" si="755"/>
        <v>-</v>
      </c>
      <c r="O616" s="263" t="str">
        <f t="shared" si="743"/>
        <v>-</v>
      </c>
    </row>
    <row r="617" spans="1:15" ht="23.4" x14ac:dyDescent="0.3">
      <c r="A617" s="274" t="s">
        <v>103</v>
      </c>
      <c r="B617" s="1044"/>
      <c r="C617" s="275" t="s">
        <v>236</v>
      </c>
      <c r="D617" s="275" t="s">
        <v>238</v>
      </c>
      <c r="E617" s="276"/>
      <c r="F617" s="277"/>
      <c r="G617" s="333">
        <f t="shared" si="759"/>
        <v>0</v>
      </c>
      <c r="H617" s="278"/>
      <c r="I617" s="278"/>
      <c r="J617" s="352" t="str">
        <f>IFERROR(G617/#REF!,"-")</f>
        <v>-</v>
      </c>
      <c r="K617" s="333">
        <f t="shared" si="760"/>
        <v>0</v>
      </c>
      <c r="L617" s="272">
        <f t="shared" si="761"/>
        <v>0</v>
      </c>
      <c r="M617" s="273">
        <f t="shared" si="762"/>
        <v>0</v>
      </c>
      <c r="N617" s="337" t="str">
        <f t="shared" si="755"/>
        <v>-</v>
      </c>
      <c r="O617" s="263" t="str">
        <f t="shared" si="743"/>
        <v>-</v>
      </c>
    </row>
    <row r="618" spans="1:15" ht="23.4" x14ac:dyDescent="0.3">
      <c r="A618" s="274" t="s">
        <v>103</v>
      </c>
      <c r="B618" s="1044"/>
      <c r="C618" s="275" t="s">
        <v>237</v>
      </c>
      <c r="D618" s="275" t="s">
        <v>238</v>
      </c>
      <c r="E618" s="276"/>
      <c r="F618" s="277"/>
      <c r="G618" s="333">
        <f t="shared" si="759"/>
        <v>0</v>
      </c>
      <c r="H618" s="278"/>
      <c r="I618" s="278"/>
      <c r="J618" s="352" t="str">
        <f>IFERROR(G618/#REF!,"-")</f>
        <v>-</v>
      </c>
      <c r="K618" s="333">
        <f t="shared" si="760"/>
        <v>0</v>
      </c>
      <c r="L618" s="272">
        <f t="shared" si="761"/>
        <v>0</v>
      </c>
      <c r="M618" s="273">
        <f t="shared" si="762"/>
        <v>0</v>
      </c>
      <c r="N618" s="337" t="str">
        <f t="shared" si="755"/>
        <v>-</v>
      </c>
      <c r="O618" s="263" t="str">
        <f t="shared" si="743"/>
        <v>-</v>
      </c>
    </row>
    <row r="619" spans="1:15" ht="23.4" x14ac:dyDescent="0.3">
      <c r="A619" s="274" t="s">
        <v>103</v>
      </c>
      <c r="B619" s="1044"/>
      <c r="C619" s="295" t="s">
        <v>394</v>
      </c>
      <c r="D619" s="275" t="s">
        <v>238</v>
      </c>
      <c r="E619" s="276"/>
      <c r="F619" s="277"/>
      <c r="G619" s="333">
        <f t="shared" si="759"/>
        <v>0</v>
      </c>
      <c r="H619" s="278"/>
      <c r="I619" s="278"/>
      <c r="J619" s="352" t="str">
        <f>IFERROR(G619/#REF!,"-")</f>
        <v>-</v>
      </c>
      <c r="K619" s="333">
        <f t="shared" si="760"/>
        <v>0</v>
      </c>
      <c r="L619" s="272">
        <f t="shared" si="761"/>
        <v>0</v>
      </c>
      <c r="M619" s="273">
        <f t="shared" si="762"/>
        <v>0</v>
      </c>
      <c r="N619" s="337" t="str">
        <f t="shared" si="755"/>
        <v>-</v>
      </c>
      <c r="O619" s="263" t="str">
        <f t="shared" si="743"/>
        <v>-</v>
      </c>
    </row>
    <row r="620" spans="1:15" ht="23.4" x14ac:dyDescent="0.3">
      <c r="A620" s="274" t="s">
        <v>103</v>
      </c>
      <c r="B620" s="1044"/>
      <c r="C620" s="295" t="s">
        <v>422</v>
      </c>
      <c r="D620" s="275" t="s">
        <v>238</v>
      </c>
      <c r="E620" s="276"/>
      <c r="F620" s="277"/>
      <c r="G620" s="333">
        <f t="shared" si="759"/>
        <v>0</v>
      </c>
      <c r="H620" s="278"/>
      <c r="I620" s="278"/>
      <c r="J620" s="352" t="str">
        <f>IFERROR(G620/#REF!,"-")</f>
        <v>-</v>
      </c>
      <c r="K620" s="333">
        <f t="shared" si="760"/>
        <v>0</v>
      </c>
      <c r="L620" s="272">
        <f t="shared" si="761"/>
        <v>0</v>
      </c>
      <c r="M620" s="273">
        <f t="shared" si="762"/>
        <v>0</v>
      </c>
      <c r="N620" s="337" t="str">
        <f t="shared" si="755"/>
        <v>-</v>
      </c>
      <c r="O620" s="263" t="str">
        <f t="shared" si="743"/>
        <v>-</v>
      </c>
    </row>
    <row r="621" spans="1:15" ht="23.4" x14ac:dyDescent="0.3">
      <c r="A621" s="274" t="s">
        <v>103</v>
      </c>
      <c r="B621" s="1044"/>
      <c r="C621" s="295" t="s">
        <v>241</v>
      </c>
      <c r="D621" s="275" t="s">
        <v>243</v>
      </c>
      <c r="E621" s="276"/>
      <c r="F621" s="277"/>
      <c r="G621" s="333">
        <f t="shared" si="759"/>
        <v>0</v>
      </c>
      <c r="H621" s="278"/>
      <c r="I621" s="278"/>
      <c r="J621" s="352" t="str">
        <f>IFERROR(G621/#REF!,"-")</f>
        <v>-</v>
      </c>
      <c r="K621" s="333">
        <f t="shared" si="760"/>
        <v>0</v>
      </c>
      <c r="L621" s="272">
        <f t="shared" si="761"/>
        <v>0</v>
      </c>
      <c r="M621" s="273">
        <f t="shared" si="762"/>
        <v>0</v>
      </c>
      <c r="N621" s="337" t="str">
        <f t="shared" si="755"/>
        <v>-</v>
      </c>
      <c r="O621" s="263" t="str">
        <f t="shared" si="743"/>
        <v>-</v>
      </c>
    </row>
    <row r="622" spans="1:15" ht="23.4" x14ac:dyDescent="0.3">
      <c r="A622" s="274"/>
      <c r="B622" s="1045"/>
      <c r="C622" s="295" t="s">
        <v>456</v>
      </c>
      <c r="D622" s="275" t="s">
        <v>238</v>
      </c>
      <c r="E622" s="280"/>
      <c r="F622" s="281"/>
      <c r="G622" s="333">
        <f t="shared" si="759"/>
        <v>0</v>
      </c>
      <c r="H622" s="282"/>
      <c r="I622" s="282"/>
      <c r="J622" s="352" t="str">
        <f>IFERROR(G622/#REF!,"-")</f>
        <v>-</v>
      </c>
      <c r="K622" s="333">
        <f t="shared" si="760"/>
        <v>0</v>
      </c>
      <c r="L622" s="272">
        <f t="shared" si="761"/>
        <v>0</v>
      </c>
      <c r="M622" s="273">
        <f t="shared" si="762"/>
        <v>0</v>
      </c>
      <c r="N622" s="338"/>
      <c r="O622" s="347"/>
    </row>
    <row r="623" spans="1:15" ht="24" thickBot="1" x14ac:dyDescent="0.35">
      <c r="A623" s="274" t="s">
        <v>103</v>
      </c>
      <c r="B623" s="1045"/>
      <c r="C623" s="295" t="s">
        <v>242</v>
      </c>
      <c r="D623" s="275" t="s">
        <v>238</v>
      </c>
      <c r="E623" s="280"/>
      <c r="F623" s="281"/>
      <c r="G623" s="334">
        <f t="shared" si="759"/>
        <v>0</v>
      </c>
      <c r="H623" s="282"/>
      <c r="I623" s="282"/>
      <c r="J623" s="353" t="str">
        <f>IFERROR(G623/#REF!,"-")</f>
        <v>-</v>
      </c>
      <c r="K623" s="334">
        <f t="shared" si="760"/>
        <v>0</v>
      </c>
      <c r="L623" s="272">
        <f t="shared" si="761"/>
        <v>0</v>
      </c>
      <c r="M623" s="273">
        <f t="shared" si="762"/>
        <v>0</v>
      </c>
      <c r="N623" s="338" t="str">
        <f t="shared" ref="N623:N625" si="763">IFERROR(K623/E623,"-")</f>
        <v>-</v>
      </c>
      <c r="O623" s="347" t="str">
        <f t="shared" ref="O623:O640" si="764">IFERROR(M623/K623,"-")</f>
        <v>-</v>
      </c>
    </row>
    <row r="624" spans="1:15" ht="24" thickBot="1" x14ac:dyDescent="0.35">
      <c r="A624" s="274" t="s">
        <v>103</v>
      </c>
      <c r="B624" s="1025" t="s">
        <v>49</v>
      </c>
      <c r="C624" s="1026"/>
      <c r="D624" s="1027"/>
      <c r="E624" s="284">
        <f>SUM(E615:E623)</f>
        <v>10000</v>
      </c>
      <c r="F624" s="285">
        <v>14000</v>
      </c>
      <c r="G624" s="320">
        <f>SUM(G615:G623)</f>
        <v>0</v>
      </c>
      <c r="H624" s="321">
        <f t="shared" ref="H624:I624" si="765">SUM(H615:H623)</f>
        <v>0</v>
      </c>
      <c r="I624" s="321">
        <f t="shared" si="765"/>
        <v>0</v>
      </c>
      <c r="J624" s="345">
        <f>+G625/F625</f>
        <v>0</v>
      </c>
      <c r="K624" s="320">
        <f>SUM(K615:K623)</f>
        <v>0</v>
      </c>
      <c r="L624" s="321">
        <f>+H624</f>
        <v>0</v>
      </c>
      <c r="M624" s="322">
        <f>+I624</f>
        <v>0</v>
      </c>
      <c r="N624" s="339">
        <f t="shared" si="763"/>
        <v>0</v>
      </c>
      <c r="O624" s="345" t="str">
        <f t="shared" si="764"/>
        <v>-</v>
      </c>
    </row>
    <row r="625" spans="1:15" ht="24" thickBot="1" x14ac:dyDescent="0.35">
      <c r="A625" s="274" t="s">
        <v>103</v>
      </c>
      <c r="B625" s="1047" t="s">
        <v>25</v>
      </c>
      <c r="C625" s="1048"/>
      <c r="D625" s="1049"/>
      <c r="E625" s="326">
        <f t="shared" ref="E625:F625" si="766">+E614+E624</f>
        <v>10000</v>
      </c>
      <c r="F625" s="327">
        <f t="shared" si="766"/>
        <v>94000</v>
      </c>
      <c r="G625" s="326">
        <f>+G614+G624</f>
        <v>0</v>
      </c>
      <c r="H625" s="324">
        <f t="shared" ref="H625:I625" si="767">+H614+H624</f>
        <v>0</v>
      </c>
      <c r="I625" s="324">
        <f t="shared" si="767"/>
        <v>0</v>
      </c>
      <c r="J625" s="349" t="str">
        <f>IFERROR(G625/#REF!,"-")</f>
        <v>-</v>
      </c>
      <c r="K625" s="326">
        <f t="shared" ref="K625" si="768">+K614+K624</f>
        <v>0</v>
      </c>
      <c r="L625" s="324">
        <f>+L614+L624</f>
        <v>0</v>
      </c>
      <c r="M625" s="325">
        <f t="shared" ref="M625" si="769">+M614+M624</f>
        <v>0</v>
      </c>
      <c r="N625" s="341">
        <f t="shared" si="763"/>
        <v>0</v>
      </c>
      <c r="O625" s="349" t="str">
        <f t="shared" si="764"/>
        <v>-</v>
      </c>
    </row>
    <row r="626" spans="1:15" ht="24" thickBot="1" x14ac:dyDescent="0.35">
      <c r="A626" s="274" t="s">
        <v>103</v>
      </c>
      <c r="B626" s="1019" t="s">
        <v>172</v>
      </c>
      <c r="C626" s="1020"/>
      <c r="D626" s="1021"/>
      <c r="E626" s="330">
        <f>+E609+E625</f>
        <v>3780000</v>
      </c>
      <c r="F626" s="331">
        <f t="shared" ref="F626:I626" si="770">+F609+F625</f>
        <v>559000</v>
      </c>
      <c r="G626" s="330">
        <f t="shared" si="770"/>
        <v>301365</v>
      </c>
      <c r="H626" s="328">
        <f t="shared" si="770"/>
        <v>300272</v>
      </c>
      <c r="I626" s="328">
        <f t="shared" si="770"/>
        <v>1093</v>
      </c>
      <c r="J626" s="350">
        <f>+G626/F626</f>
        <v>0.53911449016100177</v>
      </c>
      <c r="K626" s="330">
        <f>+K609+K625</f>
        <v>1237505</v>
      </c>
      <c r="L626" s="328">
        <f t="shared" ref="L626:M626" si="771">+L609+L625</f>
        <v>1233076</v>
      </c>
      <c r="M626" s="329">
        <f t="shared" si="771"/>
        <v>4429</v>
      </c>
      <c r="N626" s="342">
        <f>IFERROR(K626/E626,"-")</f>
        <v>0.32738227513227514</v>
      </c>
      <c r="O626" s="350">
        <f t="shared" si="764"/>
        <v>3.578975438483077E-3</v>
      </c>
    </row>
    <row r="627" spans="1:15" ht="23.4" x14ac:dyDescent="0.3">
      <c r="A627" s="268" t="s">
        <v>101</v>
      </c>
      <c r="B627" s="1051" t="s">
        <v>26</v>
      </c>
      <c r="C627" s="297" t="s">
        <v>297</v>
      </c>
      <c r="D627" s="297" t="s">
        <v>177</v>
      </c>
      <c r="E627" s="270"/>
      <c r="F627" s="271"/>
      <c r="G627" s="332">
        <f t="shared" ref="G627:G636" si="772">+H627+I627</f>
        <v>0</v>
      </c>
      <c r="H627" s="272"/>
      <c r="I627" s="272"/>
      <c r="J627" s="351" t="str">
        <f>IFERROR(G627/#REF!,"-")</f>
        <v>-</v>
      </c>
      <c r="K627" s="332">
        <f t="shared" ref="K627:K636" si="773">+L627+M627</f>
        <v>0</v>
      </c>
      <c r="L627" s="272">
        <f t="shared" ref="L627:L636" si="774">+H627+L512</f>
        <v>0</v>
      </c>
      <c r="M627" s="273">
        <f t="shared" ref="M627:M636" si="775">+I627+M512</f>
        <v>0</v>
      </c>
      <c r="N627" s="336" t="str">
        <f t="shared" ref="N627:N640" si="776">IFERROR(K627/E627,"-")</f>
        <v>-</v>
      </c>
      <c r="O627" s="346" t="str">
        <f t="shared" si="764"/>
        <v>-</v>
      </c>
    </row>
    <row r="628" spans="1:15" ht="23.4" x14ac:dyDescent="0.3">
      <c r="A628" s="274" t="s">
        <v>101</v>
      </c>
      <c r="B628" s="1051"/>
      <c r="C628" s="298" t="s">
        <v>424</v>
      </c>
      <c r="D628" s="298" t="s">
        <v>423</v>
      </c>
      <c r="E628" s="276">
        <v>564432</v>
      </c>
      <c r="F628" s="277"/>
      <c r="G628" s="333">
        <f t="shared" si="772"/>
        <v>12394</v>
      </c>
      <c r="H628" s="278">
        <v>11934</v>
      </c>
      <c r="I628" s="278">
        <v>460</v>
      </c>
      <c r="J628" s="352" t="str">
        <f>IFERROR(G628/#REF!,"-")</f>
        <v>-</v>
      </c>
      <c r="K628" s="333">
        <f t="shared" si="773"/>
        <v>265434</v>
      </c>
      <c r="L628" s="272">
        <f t="shared" si="774"/>
        <v>262548</v>
      </c>
      <c r="M628" s="273">
        <f t="shared" si="775"/>
        <v>2886</v>
      </c>
      <c r="N628" s="337">
        <f t="shared" si="776"/>
        <v>0.47026745471553705</v>
      </c>
      <c r="O628" s="263">
        <f t="shared" si="764"/>
        <v>1.0872759330002939E-2</v>
      </c>
    </row>
    <row r="629" spans="1:15" ht="23.4" x14ac:dyDescent="0.3">
      <c r="A629" s="274" t="s">
        <v>101</v>
      </c>
      <c r="B629" s="1051"/>
      <c r="C629" s="299" t="s">
        <v>27</v>
      </c>
      <c r="D629" s="299" t="s">
        <v>334</v>
      </c>
      <c r="E629" s="280">
        <v>1301232</v>
      </c>
      <c r="F629" s="281"/>
      <c r="G629" s="333">
        <f t="shared" si="772"/>
        <v>8567</v>
      </c>
      <c r="H629" s="282">
        <v>7956</v>
      </c>
      <c r="I629" s="282">
        <v>611</v>
      </c>
      <c r="J629" s="353" t="str">
        <f>IFERROR(G629/#REF!,"-")</f>
        <v>-</v>
      </c>
      <c r="K629" s="333">
        <f t="shared" si="773"/>
        <v>8567</v>
      </c>
      <c r="L629" s="272">
        <f t="shared" si="774"/>
        <v>7956</v>
      </c>
      <c r="M629" s="273">
        <f t="shared" si="775"/>
        <v>611</v>
      </c>
      <c r="N629" s="337">
        <f t="shared" si="776"/>
        <v>6.5837606207040716E-3</v>
      </c>
      <c r="O629" s="263">
        <f t="shared" si="764"/>
        <v>7.1320182094081946E-2</v>
      </c>
    </row>
    <row r="630" spans="1:15" ht="23.4" x14ac:dyDescent="0.3">
      <c r="A630" s="274" t="s">
        <v>101</v>
      </c>
      <c r="B630" s="1051"/>
      <c r="C630" s="299" t="s">
        <v>27</v>
      </c>
      <c r="D630" s="297" t="s">
        <v>492</v>
      </c>
      <c r="E630" s="280"/>
      <c r="F630" s="281"/>
      <c r="G630" s="333">
        <f t="shared" si="772"/>
        <v>0</v>
      </c>
      <c r="H630" s="282"/>
      <c r="I630" s="282"/>
      <c r="J630" s="353" t="str">
        <f>IFERROR(G630/#REF!,"-")</f>
        <v>-</v>
      </c>
      <c r="K630" s="333">
        <f t="shared" si="773"/>
        <v>270630</v>
      </c>
      <c r="L630" s="272">
        <f t="shared" si="774"/>
        <v>266526</v>
      </c>
      <c r="M630" s="273">
        <f t="shared" si="775"/>
        <v>4104</v>
      </c>
      <c r="N630" s="337" t="str">
        <f t="shared" si="776"/>
        <v>-</v>
      </c>
      <c r="O630" s="263">
        <f t="shared" si="764"/>
        <v>1.5164615896242102E-2</v>
      </c>
    </row>
    <row r="631" spans="1:15" ht="23.4" x14ac:dyDescent="0.3">
      <c r="A631" s="274" t="s">
        <v>101</v>
      </c>
      <c r="B631" s="1051"/>
      <c r="C631" s="299" t="s">
        <v>27</v>
      </c>
      <c r="D631" s="299" t="s">
        <v>279</v>
      </c>
      <c r="E631" s="280"/>
      <c r="F631" s="281"/>
      <c r="G631" s="333">
        <f t="shared" si="772"/>
        <v>0</v>
      </c>
      <c r="H631" s="282"/>
      <c r="I631" s="282"/>
      <c r="J631" s="353" t="str">
        <f>IFERROR(G631/#REF!,"-")</f>
        <v>-</v>
      </c>
      <c r="K631" s="333">
        <f t="shared" si="773"/>
        <v>0</v>
      </c>
      <c r="L631" s="272">
        <f t="shared" si="774"/>
        <v>0</v>
      </c>
      <c r="M631" s="273">
        <f t="shared" si="775"/>
        <v>0</v>
      </c>
      <c r="N631" s="337" t="str">
        <f t="shared" si="776"/>
        <v>-</v>
      </c>
      <c r="O631" s="263" t="str">
        <f t="shared" si="764"/>
        <v>-</v>
      </c>
    </row>
    <row r="632" spans="1:15" ht="22.5" customHeight="1" x14ac:dyDescent="0.3">
      <c r="A632" s="274"/>
      <c r="B632" s="1051"/>
      <c r="C632" s="299" t="s">
        <v>432</v>
      </c>
      <c r="D632" s="299" t="s">
        <v>178</v>
      </c>
      <c r="E632" s="280"/>
      <c r="F632" s="281"/>
      <c r="G632" s="334">
        <f t="shared" si="772"/>
        <v>0</v>
      </c>
      <c r="H632" s="282"/>
      <c r="I632" s="282"/>
      <c r="J632" s="353" t="str">
        <f>IFERROR(G632/#REF!,"-")</f>
        <v>-</v>
      </c>
      <c r="K632" s="334">
        <f t="shared" si="773"/>
        <v>0</v>
      </c>
      <c r="L632" s="272">
        <f t="shared" si="774"/>
        <v>0</v>
      </c>
      <c r="M632" s="273">
        <f t="shared" si="775"/>
        <v>0</v>
      </c>
      <c r="N632" s="337" t="str">
        <f t="shared" si="776"/>
        <v>-</v>
      </c>
      <c r="O632" s="263" t="str">
        <f t="shared" si="764"/>
        <v>-</v>
      </c>
    </row>
    <row r="633" spans="1:15" ht="23.4" x14ac:dyDescent="0.3">
      <c r="A633" s="274"/>
      <c r="B633" s="1051"/>
      <c r="C633" s="299" t="s">
        <v>333</v>
      </c>
      <c r="D633" s="299" t="s">
        <v>94</v>
      </c>
      <c r="E633" s="280"/>
      <c r="F633" s="281"/>
      <c r="G633" s="334">
        <f t="shared" si="772"/>
        <v>0</v>
      </c>
      <c r="H633" s="282"/>
      <c r="I633" s="282"/>
      <c r="J633" s="353" t="str">
        <f>IFERROR(G633/#REF!,"-")</f>
        <v>-</v>
      </c>
      <c r="K633" s="334">
        <f t="shared" si="773"/>
        <v>0</v>
      </c>
      <c r="L633" s="272">
        <f t="shared" si="774"/>
        <v>0</v>
      </c>
      <c r="M633" s="273">
        <f t="shared" si="775"/>
        <v>0</v>
      </c>
      <c r="N633" s="337" t="str">
        <f t="shared" si="776"/>
        <v>-</v>
      </c>
      <c r="O633" s="263" t="str">
        <f t="shared" si="764"/>
        <v>-</v>
      </c>
    </row>
    <row r="634" spans="1:15" ht="23.4" x14ac:dyDescent="0.3">
      <c r="A634" s="274"/>
      <c r="B634" s="1051"/>
      <c r="C634" s="299" t="s">
        <v>433</v>
      </c>
      <c r="D634" s="299" t="s">
        <v>178</v>
      </c>
      <c r="E634" s="280"/>
      <c r="F634" s="281"/>
      <c r="G634" s="334">
        <f t="shared" si="772"/>
        <v>0</v>
      </c>
      <c r="H634" s="282"/>
      <c r="I634" s="282"/>
      <c r="J634" s="353" t="str">
        <f>IFERROR(G634/#REF!,"-")</f>
        <v>-</v>
      </c>
      <c r="K634" s="334">
        <f t="shared" si="773"/>
        <v>0</v>
      </c>
      <c r="L634" s="272">
        <f t="shared" si="774"/>
        <v>0</v>
      </c>
      <c r="M634" s="272">
        <f t="shared" si="775"/>
        <v>0</v>
      </c>
      <c r="N634" s="337" t="str">
        <f t="shared" si="776"/>
        <v>-</v>
      </c>
      <c r="O634" s="263" t="str">
        <f t="shared" si="764"/>
        <v>-</v>
      </c>
    </row>
    <row r="635" spans="1:15" ht="23.4" x14ac:dyDescent="0.3">
      <c r="A635" s="274"/>
      <c r="B635" s="1051"/>
      <c r="C635" s="299" t="s">
        <v>382</v>
      </c>
      <c r="D635" s="299" t="s">
        <v>366</v>
      </c>
      <c r="E635" s="280"/>
      <c r="F635" s="281"/>
      <c r="G635" s="334">
        <f t="shared" si="772"/>
        <v>0</v>
      </c>
      <c r="H635" s="282"/>
      <c r="I635" s="282"/>
      <c r="J635" s="353" t="str">
        <f>IFERROR(G635/#REF!,"-")</f>
        <v>-</v>
      </c>
      <c r="K635" s="334">
        <f t="shared" si="773"/>
        <v>0</v>
      </c>
      <c r="L635" s="272">
        <f t="shared" si="774"/>
        <v>0</v>
      </c>
      <c r="M635" s="273">
        <f t="shared" si="775"/>
        <v>0</v>
      </c>
      <c r="N635" s="337" t="str">
        <f t="shared" si="776"/>
        <v>-</v>
      </c>
      <c r="O635" s="263" t="str">
        <f t="shared" si="764"/>
        <v>-</v>
      </c>
    </row>
    <row r="636" spans="1:15" ht="24" thickBot="1" x14ac:dyDescent="0.35">
      <c r="A636" s="274" t="s">
        <v>101</v>
      </c>
      <c r="B636" s="1051"/>
      <c r="C636" s="300" t="s">
        <v>290</v>
      </c>
      <c r="D636" s="299" t="s">
        <v>289</v>
      </c>
      <c r="E636" s="280"/>
      <c r="F636" s="281"/>
      <c r="G636" s="334">
        <f t="shared" si="772"/>
        <v>0</v>
      </c>
      <c r="H636" s="282"/>
      <c r="I636" s="282"/>
      <c r="J636" s="353" t="str">
        <f>IFERROR(G636/#REF!,"-")</f>
        <v>-</v>
      </c>
      <c r="K636" s="334">
        <f t="shared" si="773"/>
        <v>0</v>
      </c>
      <c r="L636" s="272">
        <f t="shared" si="774"/>
        <v>0</v>
      </c>
      <c r="M636" s="273">
        <f t="shared" si="775"/>
        <v>0</v>
      </c>
      <c r="N636" s="337" t="str">
        <f t="shared" si="776"/>
        <v>-</v>
      </c>
      <c r="O636" s="347" t="str">
        <f t="shared" si="764"/>
        <v>-</v>
      </c>
    </row>
    <row r="637" spans="1:15" ht="24" thickBot="1" x14ac:dyDescent="0.35">
      <c r="A637" s="274" t="s">
        <v>101</v>
      </c>
      <c r="B637" s="1052"/>
      <c r="C637" s="301"/>
      <c r="D637" s="302" t="s">
        <v>52</v>
      </c>
      <c r="E637" s="284">
        <f>SUM(E627:E636)</f>
        <v>1865664</v>
      </c>
      <c r="F637" s="285">
        <v>80000</v>
      </c>
      <c r="G637" s="320">
        <f>SUM(G627:G636)</f>
        <v>20961</v>
      </c>
      <c r="H637" s="321">
        <f>SUM(H627:H636)</f>
        <v>19890</v>
      </c>
      <c r="I637" s="321">
        <f>SUM(I627:I636)</f>
        <v>1071</v>
      </c>
      <c r="J637" s="345">
        <f>+G637/F637</f>
        <v>0.26201249999999998</v>
      </c>
      <c r="K637" s="320">
        <f>SUM(K627:K636)</f>
        <v>544631</v>
      </c>
      <c r="L637" s="321">
        <f>SUM(L627:L636)</f>
        <v>537030</v>
      </c>
      <c r="M637" s="322">
        <f>SUM(M627:M636)</f>
        <v>7601</v>
      </c>
      <c r="N637" s="339">
        <f t="shared" si="776"/>
        <v>0.29192341171829439</v>
      </c>
      <c r="O637" s="345">
        <f t="shared" si="764"/>
        <v>1.3956238260400161E-2</v>
      </c>
    </row>
    <row r="638" spans="1:15" ht="23.4" x14ac:dyDescent="0.3">
      <c r="A638" s="274" t="s">
        <v>101</v>
      </c>
      <c r="B638" s="1053" t="s">
        <v>28</v>
      </c>
      <c r="C638" s="299" t="s">
        <v>27</v>
      </c>
      <c r="D638" s="297" t="s">
        <v>492</v>
      </c>
      <c r="E638" s="270"/>
      <c r="F638" s="271"/>
      <c r="G638" s="332">
        <f t="shared" ref="G638:G642" si="777">+H638+I638</f>
        <v>52247</v>
      </c>
      <c r="H638" s="272">
        <v>51714</v>
      </c>
      <c r="I638" s="272">
        <v>533</v>
      </c>
      <c r="J638" s="351" t="str">
        <f>IFERROR(G638/#REF!,"-")</f>
        <v>-</v>
      </c>
      <c r="K638" s="332">
        <f t="shared" ref="K638:K644" si="778">+L638+M638</f>
        <v>129125</v>
      </c>
      <c r="L638" s="272">
        <f t="shared" ref="L638:M644" si="779">+H638+L523</f>
        <v>127296</v>
      </c>
      <c r="M638" s="273">
        <f t="shared" si="779"/>
        <v>1829</v>
      </c>
      <c r="N638" s="336" t="str">
        <f t="shared" si="776"/>
        <v>-</v>
      </c>
      <c r="O638" s="346">
        <f t="shared" si="764"/>
        <v>1.416456921587609E-2</v>
      </c>
    </row>
    <row r="639" spans="1:15" ht="23.4" x14ac:dyDescent="0.3">
      <c r="A639" s="274" t="s">
        <v>101</v>
      </c>
      <c r="B639" s="1051"/>
      <c r="C639" s="299" t="s">
        <v>385</v>
      </c>
      <c r="D639" s="299" t="s">
        <v>334</v>
      </c>
      <c r="E639" s="276"/>
      <c r="F639" s="277"/>
      <c r="G639" s="333">
        <f t="shared" si="777"/>
        <v>0</v>
      </c>
      <c r="H639" s="278"/>
      <c r="I639" s="278"/>
      <c r="J639" s="352" t="str">
        <f>IFERROR(G639/#REF!,"-")</f>
        <v>-</v>
      </c>
      <c r="K639" s="333">
        <f t="shared" si="778"/>
        <v>96975</v>
      </c>
      <c r="L639" s="272">
        <f t="shared" si="779"/>
        <v>95472</v>
      </c>
      <c r="M639" s="273">
        <f t="shared" si="779"/>
        <v>1503</v>
      </c>
      <c r="N639" s="337" t="str">
        <f t="shared" si="776"/>
        <v>-</v>
      </c>
      <c r="O639" s="263">
        <f t="shared" si="764"/>
        <v>1.5498839907192575E-2</v>
      </c>
    </row>
    <row r="640" spans="1:15" ht="23.4" x14ac:dyDescent="0.3">
      <c r="A640" s="274" t="s">
        <v>101</v>
      </c>
      <c r="B640" s="1051"/>
      <c r="C640" s="299" t="s">
        <v>27</v>
      </c>
      <c r="D640" s="299" t="s">
        <v>334</v>
      </c>
      <c r="E640" s="276"/>
      <c r="F640" s="277"/>
      <c r="G640" s="333">
        <f t="shared" si="777"/>
        <v>0</v>
      </c>
      <c r="H640" s="278"/>
      <c r="I640" s="278"/>
      <c r="J640" s="352" t="str">
        <f>IFERROR(G640/#REF!,"-")</f>
        <v>-</v>
      </c>
      <c r="K640" s="333">
        <f t="shared" si="778"/>
        <v>0</v>
      </c>
      <c r="L640" s="272">
        <f t="shared" si="779"/>
        <v>0</v>
      </c>
      <c r="M640" s="273">
        <f t="shared" si="779"/>
        <v>0</v>
      </c>
      <c r="N640" s="337" t="str">
        <f t="shared" si="776"/>
        <v>-</v>
      </c>
      <c r="O640" s="263" t="str">
        <f t="shared" si="764"/>
        <v>-</v>
      </c>
    </row>
    <row r="641" spans="1:15" ht="23.4" x14ac:dyDescent="0.3">
      <c r="A641" s="274"/>
      <c r="B641" s="1051"/>
      <c r="C641" s="299" t="s">
        <v>460</v>
      </c>
      <c r="D641" s="299" t="s">
        <v>334</v>
      </c>
      <c r="E641" s="280"/>
      <c r="F641" s="281"/>
      <c r="G641" s="333">
        <f t="shared" si="777"/>
        <v>0</v>
      </c>
      <c r="H641" s="282"/>
      <c r="I641" s="282"/>
      <c r="J641" s="352" t="str">
        <f>IFERROR(G641/#REF!,"-")</f>
        <v>-</v>
      </c>
      <c r="K641" s="333">
        <f t="shared" si="778"/>
        <v>0</v>
      </c>
      <c r="L641" s="272">
        <f t="shared" si="779"/>
        <v>0</v>
      </c>
      <c r="M641" s="273">
        <f t="shared" si="779"/>
        <v>0</v>
      </c>
      <c r="N641" s="338"/>
      <c r="O641" s="347"/>
    </row>
    <row r="642" spans="1:15" ht="23.4" x14ac:dyDescent="0.3">
      <c r="A642" s="274" t="s">
        <v>101</v>
      </c>
      <c r="B642" s="1051"/>
      <c r="C642" s="299" t="s">
        <v>382</v>
      </c>
      <c r="D642" s="300" t="s">
        <v>366</v>
      </c>
      <c r="E642" s="280"/>
      <c r="F642" s="281"/>
      <c r="G642" s="334">
        <f t="shared" si="777"/>
        <v>0</v>
      </c>
      <c r="H642" s="282"/>
      <c r="I642" s="282"/>
      <c r="J642" s="352" t="str">
        <f>IFERROR(G642/#REF!,"-")</f>
        <v>-</v>
      </c>
      <c r="K642" s="334">
        <f t="shared" si="778"/>
        <v>0</v>
      </c>
      <c r="L642" s="272">
        <f t="shared" si="779"/>
        <v>0</v>
      </c>
      <c r="M642" s="702">
        <f t="shared" si="779"/>
        <v>0</v>
      </c>
      <c r="N642" s="338" t="str">
        <f t="shared" ref="N642" si="780">IFERROR(K642/E642,"-")</f>
        <v>-</v>
      </c>
      <c r="O642" s="347" t="str">
        <f t="shared" ref="O642" si="781">IFERROR(M642/K642,"-")</f>
        <v>-</v>
      </c>
    </row>
    <row r="643" spans="1:15" ht="23.4" x14ac:dyDescent="0.3">
      <c r="A643" s="274"/>
      <c r="B643" s="1051"/>
      <c r="C643" s="299" t="s">
        <v>458</v>
      </c>
      <c r="D643" s="300" t="s">
        <v>280</v>
      </c>
      <c r="E643" s="280"/>
      <c r="F643" s="281"/>
      <c r="G643" s="334"/>
      <c r="H643" s="282"/>
      <c r="I643" s="282"/>
      <c r="J643" s="352" t="str">
        <f>IFERROR(G643/#REF!,"-")</f>
        <v>-</v>
      </c>
      <c r="K643" s="334">
        <f t="shared" si="778"/>
        <v>0</v>
      </c>
      <c r="L643" s="272">
        <f t="shared" si="779"/>
        <v>0</v>
      </c>
      <c r="M643" s="272">
        <f t="shared" si="779"/>
        <v>0</v>
      </c>
      <c r="N643" s="338"/>
      <c r="O643" s="347"/>
    </row>
    <row r="644" spans="1:15" ht="24" thickBot="1" x14ac:dyDescent="0.35">
      <c r="A644" s="274" t="s">
        <v>101</v>
      </c>
      <c r="B644" s="1051"/>
      <c r="C644" s="299" t="s">
        <v>27</v>
      </c>
      <c r="D644" s="300" t="s">
        <v>234</v>
      </c>
      <c r="E644" s="280"/>
      <c r="F644" s="281"/>
      <c r="G644" s="334">
        <f t="shared" ref="G644" si="782">+H644+I644</f>
        <v>0</v>
      </c>
      <c r="H644" s="282"/>
      <c r="I644" s="282"/>
      <c r="J644" s="353" t="str">
        <f>IFERROR(G644/#REF!,"-")</f>
        <v>-</v>
      </c>
      <c r="K644" s="334">
        <f t="shared" si="778"/>
        <v>0</v>
      </c>
      <c r="L644" s="272">
        <f t="shared" si="779"/>
        <v>0</v>
      </c>
      <c r="M644" s="702">
        <f t="shared" si="779"/>
        <v>0</v>
      </c>
      <c r="N644" s="338" t="str">
        <f t="shared" ref="N644:N645" si="783">IFERROR(K644/E644,"-")</f>
        <v>-</v>
      </c>
      <c r="O644" s="347" t="str">
        <f t="shared" ref="O644:O660" si="784">IFERROR(M644/K644,"-")</f>
        <v>-</v>
      </c>
    </row>
    <row r="645" spans="1:15" ht="24" thickBot="1" x14ac:dyDescent="0.35">
      <c r="A645" s="274" t="s">
        <v>101</v>
      </c>
      <c r="B645" s="1051"/>
      <c r="C645" s="304"/>
      <c r="D645" s="305" t="s">
        <v>52</v>
      </c>
      <c r="E645" s="306">
        <f>SUM(E638:E644)</f>
        <v>0</v>
      </c>
      <c r="F645" s="307">
        <v>80000</v>
      </c>
      <c r="G645" s="366">
        <f>SUM(G638:G644)</f>
        <v>52247</v>
      </c>
      <c r="H645" s="365">
        <f>SUM(H638:H644)</f>
        <v>51714</v>
      </c>
      <c r="I645" s="365">
        <f>SUM(I638:I644)</f>
        <v>533</v>
      </c>
      <c r="J645" s="356">
        <f>+G645/F645</f>
        <v>0.65308750000000004</v>
      </c>
      <c r="K645" s="366">
        <f>SUM(K638:K644)</f>
        <v>226100</v>
      </c>
      <c r="L645" s="365">
        <f>SUM(L638:L644)</f>
        <v>222768</v>
      </c>
      <c r="M645" s="367">
        <f>SUM(M638:M644)</f>
        <v>3332</v>
      </c>
      <c r="N645" s="355" t="str">
        <f t="shared" si="783"/>
        <v>-</v>
      </c>
      <c r="O645" s="356">
        <f t="shared" si="784"/>
        <v>1.4736842105263158E-2</v>
      </c>
    </row>
    <row r="646" spans="1:15" ht="24" thickBot="1" x14ac:dyDescent="0.35">
      <c r="A646" s="802" t="s">
        <v>101</v>
      </c>
      <c r="B646" s="1054" t="s">
        <v>162</v>
      </c>
      <c r="C646" s="1055"/>
      <c r="D646" s="1056"/>
      <c r="E646" s="308">
        <f>+E645+E637</f>
        <v>1865664</v>
      </c>
      <c r="F646" s="309">
        <f>+F645+F637</f>
        <v>160000</v>
      </c>
      <c r="G646" s="369">
        <f>+G637+G645</f>
        <v>73208</v>
      </c>
      <c r="H646" s="368">
        <f>+H637+H645</f>
        <v>71604</v>
      </c>
      <c r="I646" s="368">
        <f>+I637+I645</f>
        <v>1604</v>
      </c>
      <c r="J646" s="358">
        <f>+G646/F646</f>
        <v>0.45755000000000001</v>
      </c>
      <c r="K646" s="369">
        <f>+K637+K645</f>
        <v>770731</v>
      </c>
      <c r="L646" s="368">
        <f>+L637+L645</f>
        <v>759798</v>
      </c>
      <c r="M646" s="370">
        <f>+M637+M645</f>
        <v>10933</v>
      </c>
      <c r="N646" s="357">
        <f>IFERROR(K646/E646,"-")</f>
        <v>0.41311350811292924</v>
      </c>
      <c r="O646" s="358">
        <f t="shared" si="784"/>
        <v>1.4185234537082328E-2</v>
      </c>
    </row>
    <row r="647" spans="1:15" ht="23.4" x14ac:dyDescent="0.3">
      <c r="A647" s="274" t="s">
        <v>101</v>
      </c>
      <c r="B647" s="1051" t="s">
        <v>30</v>
      </c>
      <c r="C647" s="303" t="s">
        <v>446</v>
      </c>
      <c r="D647" s="299" t="s">
        <v>334</v>
      </c>
      <c r="E647" s="270">
        <v>225000</v>
      </c>
      <c r="F647" s="271"/>
      <c r="G647" s="332">
        <f t="shared" ref="G647:G649" si="785">+H647+I647</f>
        <v>0</v>
      </c>
      <c r="H647" s="272"/>
      <c r="I647" s="272"/>
      <c r="J647" s="351" t="str">
        <f>IFERROR(G647/#REF!,"-")</f>
        <v>-</v>
      </c>
      <c r="K647" s="332">
        <f t="shared" ref="K647:K649" si="786">+L647+M647</f>
        <v>0</v>
      </c>
      <c r="L647" s="272">
        <f t="shared" ref="L647:M649" si="787">+H647+L532</f>
        <v>0</v>
      </c>
      <c r="M647" s="273">
        <f t="shared" si="787"/>
        <v>0</v>
      </c>
      <c r="N647" s="336">
        <f t="shared" ref="N647:N660" si="788">IFERROR(K647/E647,"-")</f>
        <v>0</v>
      </c>
      <c r="O647" s="346" t="str">
        <f t="shared" si="784"/>
        <v>-</v>
      </c>
    </row>
    <row r="648" spans="1:15" ht="23.4" x14ac:dyDescent="0.3">
      <c r="A648" s="274" t="s">
        <v>101</v>
      </c>
      <c r="B648" s="1051"/>
      <c r="C648" s="300" t="s">
        <v>429</v>
      </c>
      <c r="D648" s="303" t="s">
        <v>366</v>
      </c>
      <c r="E648" s="276"/>
      <c r="F648" s="277"/>
      <c r="G648" s="333">
        <f t="shared" si="785"/>
        <v>0</v>
      </c>
      <c r="H648" s="278"/>
      <c r="I648" s="278"/>
      <c r="J648" s="352" t="str">
        <f>IFERROR(G648/#REF!,"-")</f>
        <v>-</v>
      </c>
      <c r="K648" s="333">
        <f t="shared" si="786"/>
        <v>0</v>
      </c>
      <c r="L648" s="272">
        <f t="shared" si="787"/>
        <v>0</v>
      </c>
      <c r="M648" s="273">
        <f t="shared" si="787"/>
        <v>0</v>
      </c>
      <c r="N648" s="337" t="str">
        <f t="shared" si="788"/>
        <v>-</v>
      </c>
      <c r="O648" s="263" t="str">
        <f t="shared" si="784"/>
        <v>-</v>
      </c>
    </row>
    <row r="649" spans="1:15" ht="24" thickBot="1" x14ac:dyDescent="0.35">
      <c r="A649" s="274" t="s">
        <v>101</v>
      </c>
      <c r="B649" s="1051"/>
      <c r="C649" s="300" t="s">
        <v>291</v>
      </c>
      <c r="D649" s="300" t="s">
        <v>366</v>
      </c>
      <c r="E649" s="280"/>
      <c r="F649" s="281"/>
      <c r="G649" s="334">
        <f t="shared" si="785"/>
        <v>0</v>
      </c>
      <c r="H649" s="282"/>
      <c r="I649" s="282"/>
      <c r="J649" s="353" t="str">
        <f>IFERROR(G649/#REF!,"-")</f>
        <v>-</v>
      </c>
      <c r="K649" s="334">
        <f t="shared" si="786"/>
        <v>0</v>
      </c>
      <c r="L649" s="272">
        <f t="shared" si="787"/>
        <v>0</v>
      </c>
      <c r="M649" s="273">
        <f t="shared" si="787"/>
        <v>0</v>
      </c>
      <c r="N649" s="338" t="str">
        <f t="shared" si="788"/>
        <v>-</v>
      </c>
      <c r="O649" s="347" t="str">
        <f t="shared" si="784"/>
        <v>-</v>
      </c>
    </row>
    <row r="650" spans="1:15" ht="24" thickBot="1" x14ac:dyDescent="0.35">
      <c r="A650" s="274" t="s">
        <v>101</v>
      </c>
      <c r="B650" s="1051"/>
      <c r="C650" s="301"/>
      <c r="D650" s="302" t="s">
        <v>50</v>
      </c>
      <c r="E650" s="284">
        <f>SUM(E647:E649)</f>
        <v>225000</v>
      </c>
      <c r="F650" s="285">
        <v>50000</v>
      </c>
      <c r="G650" s="320">
        <f>SUM(G647:G649)</f>
        <v>0</v>
      </c>
      <c r="H650" s="321">
        <f>SUM(H647:H649)</f>
        <v>0</v>
      </c>
      <c r="I650" s="321">
        <f>SUM(I647:I649)</f>
        <v>0</v>
      </c>
      <c r="J650" s="345" t="e">
        <f>+H650/G650</f>
        <v>#DIV/0!</v>
      </c>
      <c r="K650" s="320">
        <f>SUM(K647:K649)</f>
        <v>0</v>
      </c>
      <c r="L650" s="321">
        <f>SUM(L647:L649)</f>
        <v>0</v>
      </c>
      <c r="M650" s="322">
        <f>SUM(M647:M649)</f>
        <v>0</v>
      </c>
      <c r="N650" s="339">
        <f t="shared" si="788"/>
        <v>0</v>
      </c>
      <c r="O650" s="345" t="str">
        <f t="shared" si="784"/>
        <v>-</v>
      </c>
    </row>
    <row r="651" spans="1:15" ht="23.4" x14ac:dyDescent="0.3">
      <c r="A651" s="274" t="s">
        <v>101</v>
      </c>
      <c r="B651" s="1051"/>
      <c r="C651" s="297" t="s">
        <v>434</v>
      </c>
      <c r="D651" s="297" t="s">
        <v>92</v>
      </c>
      <c r="E651" s="270"/>
      <c r="F651" s="271"/>
      <c r="G651" s="332">
        <f t="shared" ref="G651:G652" si="789">+H651+I651</f>
        <v>0</v>
      </c>
      <c r="H651" s="272"/>
      <c r="I651" s="272"/>
      <c r="J651" s="351" t="str">
        <f>IFERROR(G651/#REF!,"-")</f>
        <v>-</v>
      </c>
      <c r="K651" s="332">
        <f t="shared" ref="K651:K656" si="790">+L651+M651</f>
        <v>0</v>
      </c>
      <c r="L651" s="272">
        <f t="shared" ref="L651:M656" si="791">+H651+L536</f>
        <v>0</v>
      </c>
      <c r="M651" s="273">
        <f t="shared" si="791"/>
        <v>0</v>
      </c>
      <c r="N651" s="336" t="str">
        <f t="shared" si="788"/>
        <v>-</v>
      </c>
      <c r="O651" s="346" t="str">
        <f t="shared" si="784"/>
        <v>-</v>
      </c>
    </row>
    <row r="652" spans="1:15" ht="23.4" x14ac:dyDescent="0.3">
      <c r="A652" s="274"/>
      <c r="B652" s="1051"/>
      <c r="C652" s="303" t="s">
        <v>449</v>
      </c>
      <c r="D652" s="299" t="s">
        <v>334</v>
      </c>
      <c r="E652" s="270"/>
      <c r="F652" s="271"/>
      <c r="G652" s="332">
        <f t="shared" si="789"/>
        <v>0</v>
      </c>
      <c r="H652" s="272"/>
      <c r="I652" s="272"/>
      <c r="J652" s="351" t="str">
        <f>IFERROR(G652/#REF!,"-")</f>
        <v>-</v>
      </c>
      <c r="K652" s="332">
        <f t="shared" si="790"/>
        <v>0</v>
      </c>
      <c r="L652" s="272">
        <f t="shared" si="791"/>
        <v>0</v>
      </c>
      <c r="M652" s="273">
        <f t="shared" si="791"/>
        <v>0</v>
      </c>
      <c r="N652" s="337" t="str">
        <f t="shared" si="788"/>
        <v>-</v>
      </c>
      <c r="O652" s="346" t="str">
        <f t="shared" si="784"/>
        <v>-</v>
      </c>
    </row>
    <row r="653" spans="1:15" ht="23.4" x14ac:dyDescent="0.3">
      <c r="A653" s="274"/>
      <c r="B653" s="1051"/>
      <c r="C653" s="303" t="s">
        <v>452</v>
      </c>
      <c r="D653" s="299" t="s">
        <v>334</v>
      </c>
      <c r="E653" s="270"/>
      <c r="F653" s="271"/>
      <c r="G653" s="332"/>
      <c r="H653" s="272"/>
      <c r="I653" s="272"/>
      <c r="J653" s="351" t="str">
        <f>IFERROR(G653/#REF!,"-")</f>
        <v>-</v>
      </c>
      <c r="K653" s="332">
        <f t="shared" si="790"/>
        <v>0</v>
      </c>
      <c r="L653" s="272">
        <f t="shared" si="791"/>
        <v>0</v>
      </c>
      <c r="M653" s="273">
        <f t="shared" si="791"/>
        <v>0</v>
      </c>
      <c r="N653" s="337" t="str">
        <f t="shared" si="788"/>
        <v>-</v>
      </c>
      <c r="O653" s="346" t="str">
        <f t="shared" si="784"/>
        <v>-</v>
      </c>
    </row>
    <row r="654" spans="1:15" ht="23.4" x14ac:dyDescent="0.3">
      <c r="A654" s="274" t="s">
        <v>101</v>
      </c>
      <c r="B654" s="1051"/>
      <c r="C654" s="303" t="s">
        <v>501</v>
      </c>
      <c r="D654" s="300" t="s">
        <v>423</v>
      </c>
      <c r="E654" s="276">
        <v>125000</v>
      </c>
      <c r="F654" s="277"/>
      <c r="G654" s="333">
        <f t="shared" ref="G654" si="792">+H654+I654</f>
        <v>0</v>
      </c>
      <c r="H654" s="278"/>
      <c r="I654" s="278"/>
      <c r="J654" s="351" t="str">
        <f>IFERROR(G654/#REF!,"-")</f>
        <v>-</v>
      </c>
      <c r="K654" s="333">
        <f t="shared" si="790"/>
        <v>8116</v>
      </c>
      <c r="L654" s="272">
        <f t="shared" si="791"/>
        <v>7488</v>
      </c>
      <c r="M654" s="273">
        <f t="shared" si="791"/>
        <v>628</v>
      </c>
      <c r="N654" s="337">
        <f t="shared" si="788"/>
        <v>6.4928E-2</v>
      </c>
      <c r="O654" s="263">
        <f t="shared" si="784"/>
        <v>7.737801872843765E-2</v>
      </c>
    </row>
    <row r="655" spans="1:15" ht="23.4" x14ac:dyDescent="0.3">
      <c r="A655" s="274"/>
      <c r="B655" s="1051"/>
      <c r="C655" s="300" t="s">
        <v>459</v>
      </c>
      <c r="D655" s="300" t="s">
        <v>366</v>
      </c>
      <c r="E655" s="280"/>
      <c r="F655" s="281"/>
      <c r="G655" s="334"/>
      <c r="H655" s="282"/>
      <c r="I655" s="282"/>
      <c r="J655" s="351" t="str">
        <f>IFERROR(G655/#REF!,"-")</f>
        <v>-</v>
      </c>
      <c r="K655" s="333">
        <f t="shared" si="790"/>
        <v>0</v>
      </c>
      <c r="L655" s="272">
        <f t="shared" si="791"/>
        <v>0</v>
      </c>
      <c r="M655" s="272">
        <f t="shared" si="791"/>
        <v>0</v>
      </c>
      <c r="N655" s="337" t="str">
        <f t="shared" si="788"/>
        <v>-</v>
      </c>
      <c r="O655" s="263" t="str">
        <f t="shared" si="784"/>
        <v>-</v>
      </c>
    </row>
    <row r="656" spans="1:15" ht="24" thickBot="1" x14ac:dyDescent="0.35">
      <c r="A656" s="274" t="s">
        <v>101</v>
      </c>
      <c r="B656" s="1051"/>
      <c r="C656" s="300" t="s">
        <v>435</v>
      </c>
      <c r="D656" s="300" t="s">
        <v>423</v>
      </c>
      <c r="E656" s="280"/>
      <c r="F656" s="281"/>
      <c r="G656" s="334">
        <f t="shared" ref="G656" si="793">+H656+I656</f>
        <v>0</v>
      </c>
      <c r="H656" s="282"/>
      <c r="I656" s="282"/>
      <c r="J656" s="353" t="str">
        <f>IFERROR(G656/#REF!,"-")</f>
        <v>-</v>
      </c>
      <c r="K656" s="334">
        <f t="shared" si="790"/>
        <v>0</v>
      </c>
      <c r="L656" s="272">
        <f t="shared" si="791"/>
        <v>0</v>
      </c>
      <c r="M656" s="273">
        <f t="shared" si="791"/>
        <v>0</v>
      </c>
      <c r="N656" s="338" t="str">
        <f t="shared" si="788"/>
        <v>-</v>
      </c>
      <c r="O656" s="347" t="str">
        <f t="shared" si="784"/>
        <v>-</v>
      </c>
    </row>
    <row r="657" spans="1:15" ht="24" thickBot="1" x14ac:dyDescent="0.35">
      <c r="A657" s="274" t="s">
        <v>101</v>
      </c>
      <c r="B657" s="1051"/>
      <c r="C657" s="304"/>
      <c r="D657" s="305" t="s">
        <v>51</v>
      </c>
      <c r="E657" s="306">
        <f>SUM(E651:E656)</f>
        <v>125000</v>
      </c>
      <c r="F657" s="307">
        <v>50000</v>
      </c>
      <c r="G657" s="366">
        <f>SUM(G651:G656)</f>
        <v>0</v>
      </c>
      <c r="H657" s="365">
        <f t="shared" ref="H657:I657" si="794">SUM(H651:H656)</f>
        <v>0</v>
      </c>
      <c r="I657" s="365">
        <f t="shared" si="794"/>
        <v>0</v>
      </c>
      <c r="J657" s="356">
        <f>+G657/F657</f>
        <v>0</v>
      </c>
      <c r="K657" s="366">
        <f t="shared" ref="K657:M657" si="795">SUM(K651:K656)</f>
        <v>8116</v>
      </c>
      <c r="L657" s="365">
        <f t="shared" si="795"/>
        <v>7488</v>
      </c>
      <c r="M657" s="367">
        <f t="shared" si="795"/>
        <v>628</v>
      </c>
      <c r="N657" s="355">
        <f t="shared" si="788"/>
        <v>6.4928E-2</v>
      </c>
      <c r="O657" s="356">
        <f t="shared" si="784"/>
        <v>7.737801872843765E-2</v>
      </c>
    </row>
    <row r="658" spans="1:15" ht="24" thickBot="1" x14ac:dyDescent="0.35">
      <c r="A658" s="274" t="s">
        <v>101</v>
      </c>
      <c r="B658" s="1054" t="s">
        <v>163</v>
      </c>
      <c r="C658" s="1055"/>
      <c r="D658" s="1056"/>
      <c r="E658" s="308">
        <f>+E657+E650</f>
        <v>350000</v>
      </c>
      <c r="F658" s="309">
        <v>50000</v>
      </c>
      <c r="G658" s="369">
        <f>+G650+G657</f>
        <v>0</v>
      </c>
      <c r="H658" s="368">
        <f t="shared" ref="H658:I658" si="796">+H650+H657</f>
        <v>0</v>
      </c>
      <c r="I658" s="368">
        <f t="shared" si="796"/>
        <v>0</v>
      </c>
      <c r="J658" s="358">
        <f>+G658/F658</f>
        <v>0</v>
      </c>
      <c r="K658" s="369">
        <f t="shared" ref="K658:M658" si="797">+K650+K657</f>
        <v>8116</v>
      </c>
      <c r="L658" s="368">
        <f t="shared" si="797"/>
        <v>7488</v>
      </c>
      <c r="M658" s="370">
        <f t="shared" si="797"/>
        <v>628</v>
      </c>
      <c r="N658" s="357">
        <f t="shared" si="788"/>
        <v>2.318857142857143E-2</v>
      </c>
      <c r="O658" s="358">
        <f t="shared" si="784"/>
        <v>7.737801872843765E-2</v>
      </c>
    </row>
    <row r="659" spans="1:15" ht="24" thickBot="1" x14ac:dyDescent="0.35">
      <c r="A659" s="274" t="s">
        <v>101</v>
      </c>
      <c r="B659" s="598" t="s">
        <v>32</v>
      </c>
      <c r="C659" s="798"/>
      <c r="D659" s="310" t="s">
        <v>32</v>
      </c>
      <c r="E659" s="287">
        <v>0</v>
      </c>
      <c r="F659" s="288">
        <v>110000</v>
      </c>
      <c r="G659" s="335">
        <f t="shared" ref="G659" si="798">+H659+I659</f>
        <v>0</v>
      </c>
      <c r="H659" s="289"/>
      <c r="I659" s="289"/>
      <c r="J659" s="354" t="str">
        <f>IFERROR(G659/#REF!,"-")</f>
        <v>-</v>
      </c>
      <c r="K659" s="335">
        <f>+L659+M659</f>
        <v>0</v>
      </c>
      <c r="L659" s="289">
        <f>+H659+L544</f>
        <v>0</v>
      </c>
      <c r="M659" s="290">
        <f>+I659+M544</f>
        <v>0</v>
      </c>
      <c r="N659" s="340" t="str">
        <f t="shared" si="788"/>
        <v>-</v>
      </c>
      <c r="O659" s="348" t="str">
        <f t="shared" si="784"/>
        <v>-</v>
      </c>
    </row>
    <row r="660" spans="1:15" ht="24" thickBot="1" x14ac:dyDescent="0.35">
      <c r="A660" s="274" t="s">
        <v>101</v>
      </c>
      <c r="B660" s="1047" t="s">
        <v>21</v>
      </c>
      <c r="C660" s="1048"/>
      <c r="D660" s="1049"/>
      <c r="E660" s="326">
        <f>+E646+E658+E659</f>
        <v>2215664</v>
      </c>
      <c r="F660" s="327">
        <f>+F646+F658+F659</f>
        <v>320000</v>
      </c>
      <c r="G660" s="326">
        <f>+G646+G658+G659</f>
        <v>73208</v>
      </c>
      <c r="H660" s="324">
        <f>+H646+H658+H659</f>
        <v>71604</v>
      </c>
      <c r="I660" s="324">
        <f>+I646+I658+I659</f>
        <v>1604</v>
      </c>
      <c r="J660" s="349">
        <f>+G660/F660</f>
        <v>0.22877500000000001</v>
      </c>
      <c r="K660" s="326">
        <f>+K646+K658+K659</f>
        <v>778847</v>
      </c>
      <c r="L660" s="324">
        <f>+L646+L658+L659</f>
        <v>767286</v>
      </c>
      <c r="M660" s="325">
        <f>+M646+M658+M659</f>
        <v>11561</v>
      </c>
      <c r="N660" s="341">
        <f t="shared" si="788"/>
        <v>0.35151855154933237</v>
      </c>
      <c r="O660" s="349">
        <f t="shared" si="784"/>
        <v>1.484373695989071E-2</v>
      </c>
    </row>
    <row r="661" spans="1:15" ht="24" thickBot="1" x14ac:dyDescent="0.35">
      <c r="A661" s="274" t="s">
        <v>101</v>
      </c>
      <c r="B661" s="1019" t="s">
        <v>171</v>
      </c>
      <c r="C661" s="1020"/>
      <c r="D661" s="1021"/>
      <c r="E661" s="330">
        <f>+E660</f>
        <v>2215664</v>
      </c>
      <c r="F661" s="331">
        <f t="shared" ref="F661:I661" si="799">+F660</f>
        <v>320000</v>
      </c>
      <c r="G661" s="330">
        <f t="shared" si="799"/>
        <v>73208</v>
      </c>
      <c r="H661" s="328">
        <f t="shared" si="799"/>
        <v>71604</v>
      </c>
      <c r="I661" s="328">
        <f t="shared" si="799"/>
        <v>1604</v>
      </c>
      <c r="J661" s="350">
        <f>+J660</f>
        <v>0.22877500000000001</v>
      </c>
      <c r="K661" s="330">
        <f>+K660</f>
        <v>778847</v>
      </c>
      <c r="L661" s="328">
        <f t="shared" ref="L661" si="800">+L660</f>
        <v>767286</v>
      </c>
      <c r="M661" s="329">
        <f>+M660</f>
        <v>11561</v>
      </c>
      <c r="N661" s="342">
        <f t="shared" ref="N661:O661" si="801">+N660</f>
        <v>0.35151855154933237</v>
      </c>
      <c r="O661" s="350">
        <f t="shared" si="801"/>
        <v>1.484373695989071E-2</v>
      </c>
    </row>
    <row r="662" spans="1:15" ht="23.4" x14ac:dyDescent="0.3">
      <c r="A662" s="268" t="s">
        <v>102</v>
      </c>
      <c r="B662" s="1022" t="s">
        <v>401</v>
      </c>
      <c r="C662" s="311" t="s">
        <v>113</v>
      </c>
      <c r="D662" s="311"/>
      <c r="E662" s="270"/>
      <c r="F662" s="271"/>
      <c r="G662" s="332">
        <f t="shared" ref="G662:G664" si="802">+H662+I662</f>
        <v>0</v>
      </c>
      <c r="H662" s="272"/>
      <c r="I662" s="272"/>
      <c r="J662" s="351" t="str">
        <f>IFERROR(G662/#REF!,"-")</f>
        <v>-</v>
      </c>
      <c r="K662" s="332">
        <f t="shared" ref="K662:K664" si="803">+L662+M662</f>
        <v>0</v>
      </c>
      <c r="L662" s="272">
        <f t="shared" ref="L662:M664" si="804">+H662+L547</f>
        <v>0</v>
      </c>
      <c r="M662" s="273">
        <f t="shared" si="804"/>
        <v>0</v>
      </c>
      <c r="N662" s="336" t="str">
        <f t="shared" ref="N662:N669" si="805">IFERROR(K662/E662,"-")</f>
        <v>-</v>
      </c>
      <c r="O662" s="346" t="str">
        <f t="shared" ref="O662:O687" si="806">IFERROR(M662/K662,"-")</f>
        <v>-</v>
      </c>
    </row>
    <row r="663" spans="1:15" ht="23.4" x14ac:dyDescent="0.3">
      <c r="A663" s="274" t="s">
        <v>102</v>
      </c>
      <c r="B663" s="1023"/>
      <c r="C663" s="312" t="s">
        <v>247</v>
      </c>
      <c r="D663" s="312"/>
      <c r="E663" s="276">
        <v>2000</v>
      </c>
      <c r="F663" s="277"/>
      <c r="G663" s="333">
        <f t="shared" si="802"/>
        <v>1950</v>
      </c>
      <c r="H663" s="278">
        <v>1900</v>
      </c>
      <c r="I663" s="278">
        <v>50</v>
      </c>
      <c r="J663" s="352" t="str">
        <f>IFERROR(G663/#REF!,"-")</f>
        <v>-</v>
      </c>
      <c r="K663" s="333">
        <f t="shared" si="803"/>
        <v>8087</v>
      </c>
      <c r="L663" s="272">
        <f t="shared" si="804"/>
        <v>7700</v>
      </c>
      <c r="M663" s="273">
        <f t="shared" si="804"/>
        <v>387</v>
      </c>
      <c r="N663" s="337">
        <f t="shared" si="805"/>
        <v>4.0434999999999999</v>
      </c>
      <c r="O663" s="263">
        <f t="shared" si="806"/>
        <v>4.7854581426981575E-2</v>
      </c>
    </row>
    <row r="664" spans="1:15" ht="24" thickBot="1" x14ac:dyDescent="0.35">
      <c r="A664" s="274" t="s">
        <v>102</v>
      </c>
      <c r="B664" s="1024"/>
      <c r="C664" s="313" t="s">
        <v>33</v>
      </c>
      <c r="D664" s="313"/>
      <c r="E664" s="280"/>
      <c r="F664" s="281"/>
      <c r="G664" s="334">
        <f t="shared" si="802"/>
        <v>0</v>
      </c>
      <c r="H664" s="282"/>
      <c r="I664" s="282"/>
      <c r="J664" s="353" t="str">
        <f>IFERROR(G664/#REF!,"-")</f>
        <v>-</v>
      </c>
      <c r="K664" s="334">
        <f t="shared" si="803"/>
        <v>0</v>
      </c>
      <c r="L664" s="272">
        <f t="shared" si="804"/>
        <v>0</v>
      </c>
      <c r="M664" s="273">
        <f t="shared" si="804"/>
        <v>0</v>
      </c>
      <c r="N664" s="338" t="str">
        <f t="shared" si="805"/>
        <v>-</v>
      </c>
      <c r="O664" s="347" t="str">
        <f t="shared" si="806"/>
        <v>-</v>
      </c>
    </row>
    <row r="665" spans="1:15" ht="24" thickBot="1" x14ac:dyDescent="0.35">
      <c r="A665" s="274" t="s">
        <v>102</v>
      </c>
      <c r="B665" s="1025" t="s">
        <v>34</v>
      </c>
      <c r="C665" s="1026"/>
      <c r="D665" s="1027"/>
      <c r="E665" s="284">
        <f>SUM(E662:E664)</f>
        <v>2000</v>
      </c>
      <c r="F665" s="285">
        <v>6500</v>
      </c>
      <c r="G665" s="320">
        <f>SUM(G662:G664)</f>
        <v>1950</v>
      </c>
      <c r="H665" s="321">
        <f t="shared" ref="H665:I665" si="807">SUM(H662:H664)</f>
        <v>1900</v>
      </c>
      <c r="I665" s="321">
        <f t="shared" si="807"/>
        <v>50</v>
      </c>
      <c r="J665" s="345" t="str">
        <f>IFERROR(G665/#REF!,"-")</f>
        <v>-</v>
      </c>
      <c r="K665" s="320">
        <f t="shared" ref="K665:M665" si="808">SUM(K662:K664)</f>
        <v>8087</v>
      </c>
      <c r="L665" s="321">
        <f t="shared" si="808"/>
        <v>7700</v>
      </c>
      <c r="M665" s="322">
        <f t="shared" si="808"/>
        <v>387</v>
      </c>
      <c r="N665" s="339">
        <f t="shared" si="805"/>
        <v>4.0434999999999999</v>
      </c>
      <c r="O665" s="345">
        <f t="shared" si="806"/>
        <v>4.7854581426981575E-2</v>
      </c>
    </row>
    <row r="666" spans="1:15" ht="23.4" x14ac:dyDescent="0.3">
      <c r="A666" s="274" t="s">
        <v>102</v>
      </c>
      <c r="B666" s="1022" t="s">
        <v>35</v>
      </c>
      <c r="C666" s="311" t="s">
        <v>113</v>
      </c>
      <c r="D666" s="311"/>
      <c r="E666" s="270"/>
      <c r="F666" s="271"/>
      <c r="G666" s="332">
        <f t="shared" ref="G666:G669" si="809">+H666+I666</f>
        <v>0</v>
      </c>
      <c r="H666" s="272"/>
      <c r="I666" s="272"/>
      <c r="J666" s="351" t="str">
        <f>IFERROR(G666/#REF!,"-")</f>
        <v>-</v>
      </c>
      <c r="K666" s="332">
        <f t="shared" ref="K666:K669" si="810">+L666+M666</f>
        <v>0</v>
      </c>
      <c r="L666" s="272">
        <f t="shared" ref="L666:M669" si="811">+H666+L551</f>
        <v>0</v>
      </c>
      <c r="M666" s="273">
        <f t="shared" si="811"/>
        <v>0</v>
      </c>
      <c r="N666" s="336" t="str">
        <f t="shared" si="805"/>
        <v>-</v>
      </c>
      <c r="O666" s="346" t="str">
        <f t="shared" si="806"/>
        <v>-</v>
      </c>
    </row>
    <row r="667" spans="1:15" ht="23.4" x14ac:dyDescent="0.3">
      <c r="A667" s="274" t="s">
        <v>102</v>
      </c>
      <c r="B667" s="1023"/>
      <c r="C667" s="312" t="s">
        <v>247</v>
      </c>
      <c r="D667" s="312"/>
      <c r="E667" s="276"/>
      <c r="F667" s="277"/>
      <c r="G667" s="333">
        <f t="shared" si="809"/>
        <v>0</v>
      </c>
      <c r="H667" s="278"/>
      <c r="I667" s="278"/>
      <c r="J667" s="352" t="str">
        <f>IFERROR(G667/#REF!,"-")</f>
        <v>-</v>
      </c>
      <c r="K667" s="333">
        <f t="shared" si="810"/>
        <v>0</v>
      </c>
      <c r="L667" s="272">
        <f t="shared" si="811"/>
        <v>0</v>
      </c>
      <c r="M667" s="273">
        <f t="shared" si="811"/>
        <v>0</v>
      </c>
      <c r="N667" s="337" t="str">
        <f t="shared" si="805"/>
        <v>-</v>
      </c>
      <c r="O667" s="263" t="str">
        <f t="shared" si="806"/>
        <v>-</v>
      </c>
    </row>
    <row r="668" spans="1:15" ht="23.4" x14ac:dyDescent="0.3">
      <c r="A668" s="274" t="s">
        <v>102</v>
      </c>
      <c r="B668" s="1023"/>
      <c r="C668" s="312" t="s">
        <v>496</v>
      </c>
      <c r="D668" s="312"/>
      <c r="E668" s="276">
        <v>20000</v>
      </c>
      <c r="F668" s="277"/>
      <c r="G668" s="333">
        <f t="shared" si="809"/>
        <v>0</v>
      </c>
      <c r="H668" s="278"/>
      <c r="I668" s="278"/>
      <c r="J668" s="352" t="str">
        <f>IFERROR(G668/#REF!,"-")</f>
        <v>-</v>
      </c>
      <c r="K668" s="333">
        <f t="shared" si="810"/>
        <v>0</v>
      </c>
      <c r="L668" s="272">
        <f t="shared" si="811"/>
        <v>0</v>
      </c>
      <c r="M668" s="273">
        <f t="shared" si="811"/>
        <v>0</v>
      </c>
      <c r="N668" s="337">
        <f t="shared" si="805"/>
        <v>0</v>
      </c>
      <c r="O668" s="263" t="str">
        <f t="shared" si="806"/>
        <v>-</v>
      </c>
    </row>
    <row r="669" spans="1:15" ht="24" thickBot="1" x14ac:dyDescent="0.35">
      <c r="A669" s="274" t="s">
        <v>102</v>
      </c>
      <c r="B669" s="1024"/>
      <c r="C669" s="313" t="s">
        <v>36</v>
      </c>
      <c r="D669" s="313"/>
      <c r="E669" s="280"/>
      <c r="F669" s="281"/>
      <c r="G669" s="334">
        <f t="shared" si="809"/>
        <v>0</v>
      </c>
      <c r="H669" s="282"/>
      <c r="I669" s="282"/>
      <c r="J669" s="353" t="str">
        <f>IFERROR(G669/#REF!,"-")</f>
        <v>-</v>
      </c>
      <c r="K669" s="334">
        <f t="shared" si="810"/>
        <v>0</v>
      </c>
      <c r="L669" s="272">
        <f t="shared" si="811"/>
        <v>0</v>
      </c>
      <c r="M669" s="273">
        <f t="shared" si="811"/>
        <v>0</v>
      </c>
      <c r="N669" s="338" t="str">
        <f t="shared" si="805"/>
        <v>-</v>
      </c>
      <c r="O669" s="347" t="str">
        <f t="shared" si="806"/>
        <v>-</v>
      </c>
    </row>
    <row r="670" spans="1:15" ht="24" thickBot="1" x14ac:dyDescent="0.35">
      <c r="A670" s="274" t="s">
        <v>102</v>
      </c>
      <c r="B670" s="1025" t="s">
        <v>37</v>
      </c>
      <c r="C670" s="1026"/>
      <c r="D670" s="1027"/>
      <c r="E670" s="284">
        <f>SUM(E666:E669)</f>
        <v>20000</v>
      </c>
      <c r="F670" s="285">
        <v>6500</v>
      </c>
      <c r="G670" s="320">
        <f>SUM(G666:G669)</f>
        <v>0</v>
      </c>
      <c r="H670" s="321">
        <f t="shared" ref="H670:I670" si="812">SUM(H666:H669)</f>
        <v>0</v>
      </c>
      <c r="I670" s="321">
        <f t="shared" si="812"/>
        <v>0</v>
      </c>
      <c r="J670" s="345" t="str">
        <f>IFERROR(G670/#REF!,"-")</f>
        <v>-</v>
      </c>
      <c r="K670" s="320">
        <f t="shared" ref="K670:M670" si="813">SUM(K666:K669)</f>
        <v>0</v>
      </c>
      <c r="L670" s="321">
        <f t="shared" si="813"/>
        <v>0</v>
      </c>
      <c r="M670" s="322">
        <f t="shared" si="813"/>
        <v>0</v>
      </c>
      <c r="N670" s="339">
        <f>IFERROR(K670/E670,"-")</f>
        <v>0</v>
      </c>
      <c r="O670" s="345" t="str">
        <f t="shared" si="806"/>
        <v>-</v>
      </c>
    </row>
    <row r="671" spans="1:15" ht="23.4" x14ac:dyDescent="0.3">
      <c r="A671" s="274" t="s">
        <v>102</v>
      </c>
      <c r="B671" s="1022" t="s">
        <v>402</v>
      </c>
      <c r="C671" s="314" t="s">
        <v>116</v>
      </c>
      <c r="D671" s="314"/>
      <c r="E671" s="270">
        <v>14000</v>
      </c>
      <c r="F671" s="271"/>
      <c r="G671" s="332">
        <f t="shared" ref="G671:G672" si="814">+H671+I671</f>
        <v>0</v>
      </c>
      <c r="H671" s="272"/>
      <c r="I671" s="272"/>
      <c r="J671" s="351" t="str">
        <f>IFERROR(G671/#REF!,"-")</f>
        <v>-</v>
      </c>
      <c r="K671" s="332">
        <f t="shared" ref="K671:K672" si="815">+L671+M671</f>
        <v>0</v>
      </c>
      <c r="L671" s="272">
        <f>+H671+L556</f>
        <v>0</v>
      </c>
      <c r="M671" s="273">
        <f>+I671+M556</f>
        <v>0</v>
      </c>
      <c r="N671" s="336">
        <f t="shared" ref="N671:N687" si="816">IFERROR(K671/E671,"-")</f>
        <v>0</v>
      </c>
      <c r="O671" s="346" t="str">
        <f t="shared" si="806"/>
        <v>-</v>
      </c>
    </row>
    <row r="672" spans="1:15" ht="24" thickBot="1" x14ac:dyDescent="0.35">
      <c r="A672" s="274" t="s">
        <v>102</v>
      </c>
      <c r="B672" s="1024"/>
      <c r="C672" s="286" t="s">
        <v>132</v>
      </c>
      <c r="D672" s="286"/>
      <c r="E672" s="280"/>
      <c r="F672" s="281"/>
      <c r="G672" s="334">
        <f t="shared" si="814"/>
        <v>805</v>
      </c>
      <c r="H672" s="282">
        <v>800</v>
      </c>
      <c r="I672" s="282">
        <v>5</v>
      </c>
      <c r="J672" s="353" t="str">
        <f>IFERROR(G672/#REF!,"-")</f>
        <v>-</v>
      </c>
      <c r="K672" s="334">
        <f t="shared" si="815"/>
        <v>8932</v>
      </c>
      <c r="L672" s="272">
        <f>+H672+L557</f>
        <v>8490</v>
      </c>
      <c r="M672" s="273">
        <f>+I672+M557</f>
        <v>442</v>
      </c>
      <c r="N672" s="338" t="str">
        <f t="shared" si="816"/>
        <v>-</v>
      </c>
      <c r="O672" s="347">
        <f t="shared" si="806"/>
        <v>4.9484997760859829E-2</v>
      </c>
    </row>
    <row r="673" spans="1:15" ht="24" thickBot="1" x14ac:dyDescent="0.35">
      <c r="A673" s="802" t="s">
        <v>102</v>
      </c>
      <c r="B673" s="1025" t="s">
        <v>38</v>
      </c>
      <c r="C673" s="1026"/>
      <c r="D673" s="1027"/>
      <c r="E673" s="284">
        <f>SUM(E671:E672)</f>
        <v>14000</v>
      </c>
      <c r="F673" s="285">
        <v>2800</v>
      </c>
      <c r="G673" s="320">
        <f>SUM(G671:G672)</f>
        <v>805</v>
      </c>
      <c r="H673" s="321">
        <f t="shared" ref="H673:I673" si="817">SUM(H671:H672)</f>
        <v>800</v>
      </c>
      <c r="I673" s="321">
        <f t="shared" si="817"/>
        <v>5</v>
      </c>
      <c r="J673" s="345" t="str">
        <f>IFERROR(G673/#REF!,"-")</f>
        <v>-</v>
      </c>
      <c r="K673" s="320">
        <f t="shared" ref="K673:M673" si="818">SUM(K671:K672)</f>
        <v>8932</v>
      </c>
      <c r="L673" s="321">
        <f t="shared" si="818"/>
        <v>8490</v>
      </c>
      <c r="M673" s="322">
        <f t="shared" si="818"/>
        <v>442</v>
      </c>
      <c r="N673" s="339">
        <f t="shared" si="816"/>
        <v>0.63800000000000001</v>
      </c>
      <c r="O673" s="345">
        <f t="shared" si="806"/>
        <v>4.9484997760859829E-2</v>
      </c>
    </row>
    <row r="674" spans="1:15" ht="23.4" x14ac:dyDescent="0.3">
      <c r="A674" s="274" t="s">
        <v>102</v>
      </c>
      <c r="B674" s="1022" t="s">
        <v>403</v>
      </c>
      <c r="C674" s="269" t="s">
        <v>306</v>
      </c>
      <c r="D674" s="269"/>
      <c r="E674" s="270">
        <f>176000+39000+35000+36000+19000</f>
        <v>305000</v>
      </c>
      <c r="F674" s="315"/>
      <c r="G674" s="332">
        <f t="shared" ref="G674:G678" si="819">+H674+I674</f>
        <v>21870</v>
      </c>
      <c r="H674" s="272">
        <v>21840</v>
      </c>
      <c r="I674" s="272">
        <v>30</v>
      </c>
      <c r="J674" s="371" t="str">
        <f>IFERROR(G674/#REF!,"-")</f>
        <v>-</v>
      </c>
      <c r="K674" s="332">
        <f t="shared" ref="K674:K678" si="820">+L674+M674</f>
        <v>100584</v>
      </c>
      <c r="L674" s="272">
        <f t="shared" ref="L674:M678" si="821">+H674+L559</f>
        <v>99996</v>
      </c>
      <c r="M674" s="272">
        <f t="shared" si="821"/>
        <v>588</v>
      </c>
      <c r="N674" s="359">
        <f t="shared" si="816"/>
        <v>0.32978360655737704</v>
      </c>
      <c r="O674" s="360">
        <f t="shared" si="806"/>
        <v>5.8458601765688381E-3</v>
      </c>
    </row>
    <row r="675" spans="1:15" ht="23.4" x14ac:dyDescent="0.3">
      <c r="A675" s="274" t="s">
        <v>102</v>
      </c>
      <c r="B675" s="1023"/>
      <c r="C675" s="269" t="s">
        <v>307</v>
      </c>
      <c r="D675" s="275"/>
      <c r="E675" s="276"/>
      <c r="F675" s="316"/>
      <c r="G675" s="333">
        <f t="shared" si="819"/>
        <v>0</v>
      </c>
      <c r="H675" s="278"/>
      <c r="I675" s="278"/>
      <c r="J675" s="372" t="str">
        <f>IFERROR(G675/#REF!,"-")</f>
        <v>-</v>
      </c>
      <c r="K675" s="333">
        <f t="shared" si="820"/>
        <v>0</v>
      </c>
      <c r="L675" s="272">
        <f t="shared" si="821"/>
        <v>0</v>
      </c>
      <c r="M675" s="273">
        <f t="shared" si="821"/>
        <v>0</v>
      </c>
      <c r="N675" s="361" t="str">
        <f t="shared" si="816"/>
        <v>-</v>
      </c>
      <c r="O675" s="362" t="str">
        <f t="shared" si="806"/>
        <v>-</v>
      </c>
    </row>
    <row r="676" spans="1:15" ht="23.4" x14ac:dyDescent="0.3">
      <c r="A676" s="274" t="s">
        <v>102</v>
      </c>
      <c r="B676" s="1023"/>
      <c r="C676" s="275" t="s">
        <v>499</v>
      </c>
      <c r="D676" s="275"/>
      <c r="E676" s="276">
        <f>70000+15000</f>
        <v>85000</v>
      </c>
      <c r="F676" s="316"/>
      <c r="G676" s="333">
        <f t="shared" si="819"/>
        <v>3870</v>
      </c>
      <c r="H676" s="278">
        <v>3660</v>
      </c>
      <c r="I676" s="278">
        <v>210</v>
      </c>
      <c r="J676" s="372" t="str">
        <f>IFERROR(G676/#REF!,"-")</f>
        <v>-</v>
      </c>
      <c r="K676" s="333">
        <f t="shared" si="820"/>
        <v>33000</v>
      </c>
      <c r="L676" s="272">
        <f t="shared" si="821"/>
        <v>32460</v>
      </c>
      <c r="M676" s="273">
        <f t="shared" si="821"/>
        <v>540</v>
      </c>
      <c r="N676" s="361">
        <f t="shared" si="816"/>
        <v>0.38823529411764707</v>
      </c>
      <c r="O676" s="362">
        <f t="shared" si="806"/>
        <v>1.6363636363636365E-2</v>
      </c>
    </row>
    <row r="677" spans="1:15" ht="23.4" x14ac:dyDescent="0.3">
      <c r="A677" s="274" t="s">
        <v>102</v>
      </c>
      <c r="B677" s="1023"/>
      <c r="C677" s="275" t="s">
        <v>157</v>
      </c>
      <c r="D677" s="275"/>
      <c r="E677" s="276"/>
      <c r="F677" s="316"/>
      <c r="G677" s="333">
        <f t="shared" si="819"/>
        <v>0</v>
      </c>
      <c r="H677" s="278"/>
      <c r="I677" s="278"/>
      <c r="J677" s="372" t="str">
        <f>IFERROR(G677/#REF!,"-")</f>
        <v>-</v>
      </c>
      <c r="K677" s="333">
        <f t="shared" si="820"/>
        <v>0</v>
      </c>
      <c r="L677" s="272">
        <f t="shared" si="821"/>
        <v>0</v>
      </c>
      <c r="M677" s="273">
        <f t="shared" si="821"/>
        <v>0</v>
      </c>
      <c r="N677" s="361" t="str">
        <f t="shared" si="816"/>
        <v>-</v>
      </c>
      <c r="O677" s="362" t="str">
        <f t="shared" si="806"/>
        <v>-</v>
      </c>
    </row>
    <row r="678" spans="1:15" ht="24" thickBot="1" x14ac:dyDescent="0.35">
      <c r="A678" s="274" t="s">
        <v>102</v>
      </c>
      <c r="B678" s="1024"/>
      <c r="C678" s="279" t="s">
        <v>158</v>
      </c>
      <c r="D678" s="279"/>
      <c r="E678" s="280"/>
      <c r="F678" s="317"/>
      <c r="G678" s="334">
        <f t="shared" si="819"/>
        <v>0</v>
      </c>
      <c r="H678" s="282"/>
      <c r="I678" s="282"/>
      <c r="J678" s="373" t="str">
        <f>IFERROR(G678/#REF!,"-")</f>
        <v>-</v>
      </c>
      <c r="K678" s="334">
        <f t="shared" si="820"/>
        <v>0</v>
      </c>
      <c r="L678" s="272">
        <f t="shared" si="821"/>
        <v>0</v>
      </c>
      <c r="M678" s="273">
        <f t="shared" si="821"/>
        <v>0</v>
      </c>
      <c r="N678" s="363" t="str">
        <f t="shared" si="816"/>
        <v>-</v>
      </c>
      <c r="O678" s="364" t="str">
        <f t="shared" si="806"/>
        <v>-</v>
      </c>
    </row>
    <row r="679" spans="1:15" ht="24" thickBot="1" x14ac:dyDescent="0.35">
      <c r="A679" s="274" t="s">
        <v>102</v>
      </c>
      <c r="B679" s="1025" t="s">
        <v>39</v>
      </c>
      <c r="C679" s="1026"/>
      <c r="D679" s="1027"/>
      <c r="E679" s="320">
        <f>SUM(E674:E678)</f>
        <v>390000</v>
      </c>
      <c r="F679" s="285">
        <v>25000</v>
      </c>
      <c r="G679" s="320">
        <f>SUM(G674:G678)</f>
        <v>25740</v>
      </c>
      <c r="H679" s="321">
        <f>SUM(H674:H678)</f>
        <v>25500</v>
      </c>
      <c r="I679" s="321">
        <f>SUM(I674:I678)</f>
        <v>240</v>
      </c>
      <c r="J679" s="345" t="str">
        <f>IFERROR(G679/#REF!,"-")</f>
        <v>-</v>
      </c>
      <c r="K679" s="320">
        <f>SUM(K674:K678)</f>
        <v>133584</v>
      </c>
      <c r="L679" s="321">
        <f>SUM(L674:L678)</f>
        <v>132456</v>
      </c>
      <c r="M679" s="322">
        <f>SUM(M674:M678)</f>
        <v>1128</v>
      </c>
      <c r="N679" s="339">
        <f t="shared" si="816"/>
        <v>0.34252307692307693</v>
      </c>
      <c r="O679" s="345">
        <f t="shared" si="806"/>
        <v>8.4441250449155594E-3</v>
      </c>
    </row>
    <row r="680" spans="1:15" ht="23.4" x14ac:dyDescent="0.3">
      <c r="A680" s="274" t="s">
        <v>102</v>
      </c>
      <c r="B680" s="1022" t="s">
        <v>404</v>
      </c>
      <c r="C680" s="269" t="s">
        <v>186</v>
      </c>
      <c r="D680" s="269"/>
      <c r="E680" s="270"/>
      <c r="F680" s="271"/>
      <c r="G680" s="332">
        <f t="shared" ref="G680:G682" si="822">+H680+I680</f>
        <v>0</v>
      </c>
      <c r="H680" s="272"/>
      <c r="I680" s="272"/>
      <c r="J680" s="351" t="str">
        <f>IFERROR(G680/#REF!,"-")</f>
        <v>-</v>
      </c>
      <c r="K680" s="332">
        <f t="shared" ref="K680:K682" si="823">+L680+M680</f>
        <v>0</v>
      </c>
      <c r="L680" s="272">
        <f t="shared" ref="L680:M682" si="824">+H680+L565</f>
        <v>0</v>
      </c>
      <c r="M680" s="273">
        <f t="shared" si="824"/>
        <v>0</v>
      </c>
      <c r="N680" s="336" t="str">
        <f t="shared" si="816"/>
        <v>-</v>
      </c>
      <c r="O680" s="346" t="str">
        <f t="shared" si="806"/>
        <v>-</v>
      </c>
    </row>
    <row r="681" spans="1:15" ht="23.4" x14ac:dyDescent="0.3">
      <c r="A681" s="274" t="s">
        <v>102</v>
      </c>
      <c r="B681" s="1023"/>
      <c r="C681" s="275" t="s">
        <v>497</v>
      </c>
      <c r="D681" s="275"/>
      <c r="E681" s="276">
        <f>33000+15000</f>
        <v>48000</v>
      </c>
      <c r="F681" s="277"/>
      <c r="G681" s="333">
        <f t="shared" si="822"/>
        <v>0</v>
      </c>
      <c r="H681" s="278"/>
      <c r="I681" s="278"/>
      <c r="J681" s="372" t="str">
        <f>IFERROR(G681/#REF!,"-")</f>
        <v>-</v>
      </c>
      <c r="K681" s="333">
        <f t="shared" si="823"/>
        <v>11826</v>
      </c>
      <c r="L681" s="714">
        <f t="shared" si="824"/>
        <v>11400</v>
      </c>
      <c r="M681" s="273">
        <f t="shared" si="824"/>
        <v>426</v>
      </c>
      <c r="N681" s="361">
        <f t="shared" si="816"/>
        <v>0.24637500000000001</v>
      </c>
      <c r="O681" s="362">
        <f t="shared" si="806"/>
        <v>3.6022323693556568E-2</v>
      </c>
    </row>
    <row r="682" spans="1:15" ht="24" thickBot="1" x14ac:dyDescent="0.35">
      <c r="A682" s="274" t="s">
        <v>102</v>
      </c>
      <c r="B682" s="1024"/>
      <c r="C682" s="279" t="s">
        <v>498</v>
      </c>
      <c r="D682" s="279"/>
      <c r="E682" s="280">
        <f>50000+10000</f>
        <v>60000</v>
      </c>
      <c r="F682" s="281"/>
      <c r="G682" s="334">
        <f t="shared" si="822"/>
        <v>0</v>
      </c>
      <c r="H682" s="282"/>
      <c r="I682" s="282"/>
      <c r="J682" s="373" t="str">
        <f>IFERROR(G682/#REF!,"-")</f>
        <v>-</v>
      </c>
      <c r="K682" s="334">
        <f t="shared" si="823"/>
        <v>0</v>
      </c>
      <c r="L682" s="272">
        <f t="shared" si="824"/>
        <v>0</v>
      </c>
      <c r="M682" s="273">
        <f t="shared" si="824"/>
        <v>0</v>
      </c>
      <c r="N682" s="363">
        <f t="shared" si="816"/>
        <v>0</v>
      </c>
      <c r="O682" s="364" t="str">
        <f t="shared" si="806"/>
        <v>-</v>
      </c>
    </row>
    <row r="683" spans="1:15" ht="24" thickBot="1" x14ac:dyDescent="0.35">
      <c r="A683" s="274" t="s">
        <v>102</v>
      </c>
      <c r="B683" s="1034" t="s">
        <v>41</v>
      </c>
      <c r="C683" s="1035"/>
      <c r="D683" s="1036"/>
      <c r="E683" s="320">
        <f>SUM(E680:E682)</f>
        <v>108000</v>
      </c>
      <c r="F683" s="285"/>
      <c r="G683" s="320">
        <f>SUM(G680:G682)</f>
        <v>0</v>
      </c>
      <c r="H683" s="321">
        <f t="shared" ref="H683:I683" si="825">SUM(H680:H682)</f>
        <v>0</v>
      </c>
      <c r="I683" s="321">
        <f t="shared" si="825"/>
        <v>0</v>
      </c>
      <c r="J683" s="345" t="str">
        <f>IFERROR(G683/#REF!,"-")</f>
        <v>-</v>
      </c>
      <c r="K683" s="320">
        <f t="shared" ref="K683:M683" si="826">SUM(K680:K682)</f>
        <v>11826</v>
      </c>
      <c r="L683" s="365">
        <f t="shared" si="826"/>
        <v>11400</v>
      </c>
      <c r="M683" s="367">
        <f t="shared" si="826"/>
        <v>426</v>
      </c>
      <c r="N683" s="339">
        <f t="shared" si="816"/>
        <v>0.1095</v>
      </c>
      <c r="O683" s="345">
        <f t="shared" si="806"/>
        <v>3.6022323693556568E-2</v>
      </c>
    </row>
    <row r="684" spans="1:15" ht="24" thickBot="1" x14ac:dyDescent="0.35">
      <c r="A684" s="274" t="s">
        <v>102</v>
      </c>
      <c r="B684" s="1022" t="s">
        <v>42</v>
      </c>
      <c r="C684" s="269" t="s">
        <v>160</v>
      </c>
      <c r="D684" s="269"/>
      <c r="E684" s="270">
        <v>11076</v>
      </c>
      <c r="F684" s="271"/>
      <c r="G684" s="332">
        <f t="shared" ref="G684:G685" si="827">+H684+I684</f>
        <v>0</v>
      </c>
      <c r="H684" s="272"/>
      <c r="I684" s="272"/>
      <c r="J684" s="371" t="str">
        <f>IFERROR(G684/#REF!,"-")</f>
        <v>-</v>
      </c>
      <c r="K684" s="695">
        <f t="shared" ref="K684:K685" si="828">+L684+M684</f>
        <v>0</v>
      </c>
      <c r="L684" s="688">
        <f>+H684+L569</f>
        <v>0</v>
      </c>
      <c r="M684" s="688">
        <f>+I684+M569</f>
        <v>0</v>
      </c>
      <c r="N684" s="359">
        <f t="shared" si="816"/>
        <v>0</v>
      </c>
      <c r="O684" s="360" t="str">
        <f t="shared" si="806"/>
        <v>-</v>
      </c>
    </row>
    <row r="685" spans="1:15" ht="24" thickBot="1" x14ac:dyDescent="0.35">
      <c r="A685" s="274" t="s">
        <v>102</v>
      </c>
      <c r="B685" s="1024"/>
      <c r="C685" s="279" t="s">
        <v>161</v>
      </c>
      <c r="D685" s="279"/>
      <c r="E685" s="280">
        <v>0</v>
      </c>
      <c r="F685" s="281"/>
      <c r="G685" s="334">
        <f t="shared" si="827"/>
        <v>0</v>
      </c>
      <c r="H685" s="282"/>
      <c r="I685" s="282"/>
      <c r="J685" s="373" t="str">
        <f>IFERROR(G685/#REF!,"-")</f>
        <v>-</v>
      </c>
      <c r="K685" s="696">
        <f t="shared" si="828"/>
        <v>0</v>
      </c>
      <c r="L685" s="688">
        <f>+H685+L570</f>
        <v>0</v>
      </c>
      <c r="M685" s="688">
        <f>+I685+M570</f>
        <v>0</v>
      </c>
      <c r="N685" s="363" t="str">
        <f t="shared" si="816"/>
        <v>-</v>
      </c>
      <c r="O685" s="364" t="str">
        <f t="shared" si="806"/>
        <v>-</v>
      </c>
    </row>
    <row r="686" spans="1:15" ht="24" thickBot="1" x14ac:dyDescent="0.35">
      <c r="A686" s="274" t="s">
        <v>102</v>
      </c>
      <c r="B686" s="1034" t="s">
        <v>43</v>
      </c>
      <c r="C686" s="1035"/>
      <c r="D686" s="1036"/>
      <c r="E686" s="284">
        <f>SUM(E684:E685)</f>
        <v>11076</v>
      </c>
      <c r="F686" s="285">
        <v>25000</v>
      </c>
      <c r="G686" s="320">
        <f>SUM(G684:G685)</f>
        <v>0</v>
      </c>
      <c r="H686" s="321">
        <f t="shared" ref="H686:I686" si="829">SUM(H684:H685)</f>
        <v>0</v>
      </c>
      <c r="I686" s="321">
        <f t="shared" si="829"/>
        <v>0</v>
      </c>
      <c r="J686" s="345" t="str">
        <f>IFERROR(G686/#REF!,"-")</f>
        <v>-</v>
      </c>
      <c r="K686" s="760">
        <f t="shared" ref="K686:M686" si="830">SUM(K684:K685)</f>
        <v>0</v>
      </c>
      <c r="L686" s="761">
        <f t="shared" si="830"/>
        <v>0</v>
      </c>
      <c r="M686" s="761">
        <f t="shared" si="830"/>
        <v>0</v>
      </c>
      <c r="N686" s="339">
        <f t="shared" si="816"/>
        <v>0</v>
      </c>
      <c r="O686" s="345" t="str">
        <f t="shared" si="806"/>
        <v>-</v>
      </c>
    </row>
    <row r="687" spans="1:15" ht="24" thickBot="1" x14ac:dyDescent="0.35">
      <c r="A687" s="274" t="s">
        <v>102</v>
      </c>
      <c r="B687" s="1028" t="s">
        <v>25</v>
      </c>
      <c r="C687" s="1029"/>
      <c r="D687" s="1030"/>
      <c r="E687" s="326">
        <f t="shared" ref="E687:F687" si="831">+E665+E670+E673+E679+E683+E686</f>
        <v>545076</v>
      </c>
      <c r="F687" s="327">
        <f t="shared" si="831"/>
        <v>65800</v>
      </c>
      <c r="G687" s="326">
        <f>+G665+G670+G673+G679+G683+G686</f>
        <v>28495</v>
      </c>
      <c r="H687" s="324">
        <f>+H665+H670+H673+H679+H683+H686</f>
        <v>28200</v>
      </c>
      <c r="I687" s="324">
        <f t="shared" ref="I687" si="832">+I665+I670+I673+I679+I683+I686</f>
        <v>295</v>
      </c>
      <c r="J687" s="349" t="str">
        <f>IFERROR(G687/#REF!,"-")</f>
        <v>-</v>
      </c>
      <c r="K687" s="326">
        <f>+K665+K670+K673+K679+K683+K686</f>
        <v>162429</v>
      </c>
      <c r="L687" s="759">
        <f t="shared" ref="L687:M687" si="833">+L665+L670+L673+L679+L683+L686</f>
        <v>160046</v>
      </c>
      <c r="M687" s="325">
        <f t="shared" si="833"/>
        <v>2383</v>
      </c>
      <c r="N687" s="341">
        <f t="shared" si="816"/>
        <v>0.2979933073553046</v>
      </c>
      <c r="O687" s="349">
        <f t="shared" si="806"/>
        <v>1.4671025494215935E-2</v>
      </c>
    </row>
    <row r="688" spans="1:15" ht="24" thickBot="1" x14ac:dyDescent="0.35">
      <c r="A688" s="318" t="s">
        <v>102</v>
      </c>
      <c r="B688" s="1020" t="s">
        <v>173</v>
      </c>
      <c r="C688" s="1020"/>
      <c r="D688" s="1021"/>
      <c r="E688" s="330">
        <f>+E687</f>
        <v>545076</v>
      </c>
      <c r="F688" s="331">
        <f t="shared" ref="F688:O688" si="834">+F687</f>
        <v>65800</v>
      </c>
      <c r="G688" s="330">
        <f t="shared" si="834"/>
        <v>28495</v>
      </c>
      <c r="H688" s="328">
        <f t="shared" si="834"/>
        <v>28200</v>
      </c>
      <c r="I688" s="328">
        <f t="shared" si="834"/>
        <v>295</v>
      </c>
      <c r="J688" s="350" t="str">
        <f t="shared" si="834"/>
        <v>-</v>
      </c>
      <c r="K688" s="330">
        <f t="shared" si="834"/>
        <v>162429</v>
      </c>
      <c r="L688" s="328">
        <f t="shared" si="834"/>
        <v>160046</v>
      </c>
      <c r="M688" s="329">
        <f t="shared" si="834"/>
        <v>2383</v>
      </c>
      <c r="N688" s="342">
        <f t="shared" si="834"/>
        <v>0.2979933073553046</v>
      </c>
      <c r="O688" s="350">
        <f t="shared" si="834"/>
        <v>1.4671025494215935E-2</v>
      </c>
    </row>
    <row r="689" spans="1:15" ht="24.6" thickBot="1" x14ac:dyDescent="0.35">
      <c r="A689" s="319"/>
      <c r="B689" s="1031" t="s">
        <v>174</v>
      </c>
      <c r="C689" s="1032"/>
      <c r="D689" s="1033"/>
      <c r="E689" s="374">
        <f>+E626+E661+E688</f>
        <v>6540740</v>
      </c>
      <c r="F689" s="374">
        <f>+F626+F661+F688</f>
        <v>944800</v>
      </c>
      <c r="G689" s="374">
        <f>+G626+G661+G688</f>
        <v>403068</v>
      </c>
      <c r="H689" s="374">
        <f>+H626+H661+H688</f>
        <v>400076</v>
      </c>
      <c r="I689" s="374">
        <f>+I626+I661+I688</f>
        <v>2992</v>
      </c>
      <c r="J689" s="375" t="str">
        <f>IFERROR(G689/#REF!,"-")</f>
        <v>-</v>
      </c>
      <c r="K689" s="374">
        <f>+K626+K661+K688</f>
        <v>2178781</v>
      </c>
      <c r="L689" s="374">
        <f>+L626+L661+L688</f>
        <v>2160408</v>
      </c>
      <c r="M689" s="374">
        <f>+M626+M661+M688</f>
        <v>18373</v>
      </c>
      <c r="N689" s="375">
        <f>IFERROR(K689/E689,"-")</f>
        <v>0.33310925063524921</v>
      </c>
      <c r="O689" s="375">
        <f>IFERROR(M689/K689,"-")</f>
        <v>8.4326969989182016E-3</v>
      </c>
    </row>
    <row r="690" spans="1:15" ht="23.4" x14ac:dyDescent="0.3">
      <c r="A690" s="1057" t="s">
        <v>1</v>
      </c>
      <c r="B690" s="1060" t="s">
        <v>2</v>
      </c>
      <c r="C690" s="1063" t="s">
        <v>396</v>
      </c>
      <c r="D690" s="1063" t="s">
        <v>397</v>
      </c>
      <c r="E690" s="1066" t="s">
        <v>4</v>
      </c>
      <c r="F690" s="1067"/>
      <c r="G690" s="1067"/>
      <c r="H690" s="1067"/>
      <c r="I690" s="1067"/>
      <c r="J690" s="1067"/>
      <c r="K690" s="1067"/>
      <c r="L690" s="1067"/>
      <c r="M690" s="1067"/>
      <c r="N690" s="1067"/>
      <c r="O690" s="1068"/>
    </row>
    <row r="691" spans="1:15" ht="23.4" x14ac:dyDescent="0.3">
      <c r="A691" s="1058"/>
      <c r="B691" s="1061"/>
      <c r="C691" s="1064"/>
      <c r="D691" s="1064"/>
      <c r="E691" s="1069" t="s">
        <v>7</v>
      </c>
      <c r="F691" s="1071" t="s">
        <v>108</v>
      </c>
      <c r="G691" s="1073" t="s">
        <v>515</v>
      </c>
      <c r="H691" s="1074"/>
      <c r="I691" s="1074"/>
      <c r="J691" s="1075"/>
      <c r="K691" s="1076" t="s">
        <v>398</v>
      </c>
      <c r="L691" s="1077"/>
      <c r="M691" s="1078"/>
      <c r="N691" s="1079" t="s">
        <v>399</v>
      </c>
      <c r="O691" s="1081" t="s">
        <v>164</v>
      </c>
    </row>
    <row r="692" spans="1:15" ht="41.4" thickBot="1" x14ac:dyDescent="0.35">
      <c r="A692" s="1059"/>
      <c r="B692" s="1062"/>
      <c r="C692" s="1065"/>
      <c r="D692" s="1065"/>
      <c r="E692" s="1070"/>
      <c r="F692" s="1072"/>
      <c r="G692" s="452" t="s">
        <v>13</v>
      </c>
      <c r="H692" s="453" t="s">
        <v>14</v>
      </c>
      <c r="I692" s="453" t="s">
        <v>15</v>
      </c>
      <c r="J692" s="454" t="s">
        <v>166</v>
      </c>
      <c r="K692" s="680" t="s">
        <v>13</v>
      </c>
      <c r="L692" s="678" t="s">
        <v>14</v>
      </c>
      <c r="M692" s="679" t="s">
        <v>15</v>
      </c>
      <c r="N692" s="1080"/>
      <c r="O692" s="1082"/>
    </row>
    <row r="693" spans="1:15" ht="24" thickBot="1" x14ac:dyDescent="0.35">
      <c r="A693" s="268" t="s">
        <v>103</v>
      </c>
      <c r="B693" s="1043" t="s">
        <v>16</v>
      </c>
      <c r="C693" s="269" t="s">
        <v>368</v>
      </c>
      <c r="D693" s="269" t="s">
        <v>369</v>
      </c>
      <c r="E693" s="270">
        <v>20000</v>
      </c>
      <c r="F693" s="271"/>
      <c r="G693" s="332">
        <f>+H693+I693</f>
        <v>270</v>
      </c>
      <c r="H693" s="272"/>
      <c r="I693" s="272">
        <v>270</v>
      </c>
      <c r="J693" s="351"/>
      <c r="K693" s="457">
        <f>+L693+M693</f>
        <v>270</v>
      </c>
      <c r="L693" s="688">
        <f t="shared" ref="L693:M696" si="835">+H693+L578</f>
        <v>0</v>
      </c>
      <c r="M693" s="688">
        <f t="shared" si="835"/>
        <v>270</v>
      </c>
      <c r="N693" s="336">
        <f>IFERROR(K693/E693,"-")</f>
        <v>1.35E-2</v>
      </c>
      <c r="O693" s="343">
        <f t="shared" ref="O693:O694" si="836">IFERROR(M693/K693,"-")</f>
        <v>1</v>
      </c>
    </row>
    <row r="694" spans="1:15" ht="23.4" x14ac:dyDescent="0.3">
      <c r="A694" s="274" t="s">
        <v>103</v>
      </c>
      <c r="B694" s="1044"/>
      <c r="C694" s="275" t="s">
        <v>376</v>
      </c>
      <c r="D694" s="275" t="s">
        <v>375</v>
      </c>
      <c r="E694" s="276"/>
      <c r="F694" s="277"/>
      <c r="G694" s="333">
        <f t="shared" ref="G694:G696" si="837">+H694+I694</f>
        <v>0</v>
      </c>
      <c r="H694" s="278"/>
      <c r="I694" s="278"/>
      <c r="J694" s="352" t="str">
        <f>IFERROR(G694/#REF!,"-")</f>
        <v>-</v>
      </c>
      <c r="K694" s="690">
        <f t="shared" ref="K694:K696" si="838">+L694+M694</f>
        <v>0</v>
      </c>
      <c r="L694" s="527">
        <f t="shared" si="835"/>
        <v>0</v>
      </c>
      <c r="M694" s="459">
        <f t="shared" si="835"/>
        <v>0</v>
      </c>
      <c r="N694" s="337" t="str">
        <f t="shared" ref="N694:N696" si="839">IFERROR(K694/E694,"-")</f>
        <v>-</v>
      </c>
      <c r="O694" s="265" t="str">
        <f t="shared" si="836"/>
        <v>-</v>
      </c>
    </row>
    <row r="695" spans="1:15" s="723" customFormat="1" ht="23.4" x14ac:dyDescent="0.3">
      <c r="A695" s="274" t="s">
        <v>103</v>
      </c>
      <c r="B695" s="1044"/>
      <c r="C695" s="573" t="s">
        <v>431</v>
      </c>
      <c r="D695" s="573" t="s">
        <v>366</v>
      </c>
      <c r="E695" s="720"/>
      <c r="F695" s="721"/>
      <c r="G695" s="333">
        <f t="shared" si="837"/>
        <v>2240</v>
      </c>
      <c r="H695" s="722">
        <v>2240</v>
      </c>
      <c r="I695" s="722"/>
      <c r="J695" s="352" t="str">
        <f>IFERROR(G695/#REF!,"-")</f>
        <v>-</v>
      </c>
      <c r="K695" s="690">
        <f t="shared" si="838"/>
        <v>8000</v>
      </c>
      <c r="L695" s="720">
        <f t="shared" si="835"/>
        <v>8000</v>
      </c>
      <c r="M695" s="529">
        <f t="shared" si="835"/>
        <v>0</v>
      </c>
      <c r="N695" s="337" t="str">
        <f t="shared" si="839"/>
        <v>-</v>
      </c>
      <c r="O695" s="265">
        <f>IFERROR(M695/K695,"-")</f>
        <v>0</v>
      </c>
    </row>
    <row r="696" spans="1:15" ht="24" thickBot="1" x14ac:dyDescent="0.35">
      <c r="A696" s="274" t="s">
        <v>103</v>
      </c>
      <c r="B696" s="1045"/>
      <c r="C696" s="279" t="s">
        <v>428</v>
      </c>
      <c r="D696" s="279" t="s">
        <v>374</v>
      </c>
      <c r="E696" s="280"/>
      <c r="F696" s="281"/>
      <c r="G696" s="334">
        <f t="shared" si="837"/>
        <v>0</v>
      </c>
      <c r="H696" s="272"/>
      <c r="I696" s="272"/>
      <c r="J696" s="353" t="str">
        <f>IFERROR(G696/#REF!,"-")</f>
        <v>-</v>
      </c>
      <c r="K696" s="691">
        <f t="shared" si="838"/>
        <v>0</v>
      </c>
      <c r="L696" s="530">
        <f t="shared" si="835"/>
        <v>0</v>
      </c>
      <c r="M696" s="462">
        <f t="shared" si="835"/>
        <v>0</v>
      </c>
      <c r="N696" s="338" t="str">
        <f t="shared" si="839"/>
        <v>-</v>
      </c>
      <c r="O696" s="344" t="str">
        <f t="shared" ref="O696:O714" si="840">IFERROR(M696/K696,"-")</f>
        <v>-</v>
      </c>
    </row>
    <row r="697" spans="1:15" ht="24" thickBot="1" x14ac:dyDescent="0.35">
      <c r="A697" s="274" t="s">
        <v>103</v>
      </c>
      <c r="B697" s="1025" t="s">
        <v>44</v>
      </c>
      <c r="C697" s="1026"/>
      <c r="D697" s="1027"/>
      <c r="E697" s="320">
        <f>SUM(E693:E696)</f>
        <v>20000</v>
      </c>
      <c r="F697" s="285">
        <v>15000</v>
      </c>
      <c r="G697" s="320">
        <f>SUM(G693:G696)</f>
        <v>2510</v>
      </c>
      <c r="H697" s="321">
        <f t="shared" ref="H697:I697" si="841">SUM(H693:H696)</f>
        <v>2240</v>
      </c>
      <c r="I697" s="321">
        <f t="shared" si="841"/>
        <v>270</v>
      </c>
      <c r="J697" s="345">
        <f>+G697/F697</f>
        <v>0.16733333333333333</v>
      </c>
      <c r="K697" s="320">
        <f t="shared" ref="K697" si="842">SUM(K693:K696)</f>
        <v>8270</v>
      </c>
      <c r="L697" s="692">
        <f>SUM(L693:L696)</f>
        <v>8000</v>
      </c>
      <c r="M697" s="693">
        <f>SUM(M693:M696)</f>
        <v>270</v>
      </c>
      <c r="N697" s="339">
        <f>IFERROR(K697/E697,"-")</f>
        <v>0.41349999999999998</v>
      </c>
      <c r="O697" s="345">
        <f t="shared" si="840"/>
        <v>3.2648125755743655E-2</v>
      </c>
    </row>
    <row r="698" spans="1:15" ht="23.4" x14ac:dyDescent="0.3">
      <c r="A698" s="274" t="s">
        <v>103</v>
      </c>
      <c r="B698" s="1043" t="s">
        <v>17</v>
      </c>
      <c r="C698" s="269" t="s">
        <v>294</v>
      </c>
      <c r="D698" s="269"/>
      <c r="E698" s="270"/>
      <c r="F698" s="271"/>
      <c r="G698" s="332">
        <f t="shared" ref="G698:G704" si="843">+H698+I698</f>
        <v>0</v>
      </c>
      <c r="H698" s="272"/>
      <c r="I698" s="272"/>
      <c r="J698" s="351" t="str">
        <f>IFERROR(G698/#REF!,"-")</f>
        <v>-</v>
      </c>
      <c r="K698" s="694">
        <f t="shared" ref="K698:K704" si="844">+L698+M698</f>
        <v>0</v>
      </c>
      <c r="L698" s="527">
        <f t="shared" ref="L698:M704" si="845">+H698+L583</f>
        <v>0</v>
      </c>
      <c r="M698" s="459">
        <f t="shared" si="845"/>
        <v>0</v>
      </c>
      <c r="N698" s="336" t="str">
        <f t="shared" ref="N698:N704" si="846">IFERROR(K698/E698,"-")</f>
        <v>-</v>
      </c>
      <c r="O698" s="346" t="str">
        <f t="shared" si="840"/>
        <v>-</v>
      </c>
    </row>
    <row r="699" spans="1:15" ht="23.4" x14ac:dyDescent="0.3">
      <c r="A699" s="274" t="s">
        <v>103</v>
      </c>
      <c r="B699" s="1044"/>
      <c r="C699" s="275" t="s">
        <v>344</v>
      </c>
      <c r="D699" s="275" t="s">
        <v>232</v>
      </c>
      <c r="E699" s="276">
        <v>1600000</v>
      </c>
      <c r="F699" s="277"/>
      <c r="G699" s="333">
        <f t="shared" si="843"/>
        <v>0</v>
      </c>
      <c r="H699" s="278"/>
      <c r="I699" s="278"/>
      <c r="J699" s="352" t="str">
        <f>IFERROR(G699/#REF!,"-")</f>
        <v>-</v>
      </c>
      <c r="K699" s="690">
        <f t="shared" si="844"/>
        <v>6120</v>
      </c>
      <c r="L699" s="276">
        <f t="shared" si="845"/>
        <v>5980</v>
      </c>
      <c r="M699" s="436">
        <f t="shared" si="845"/>
        <v>140</v>
      </c>
      <c r="N699" s="337">
        <f t="shared" si="846"/>
        <v>3.8249999999999998E-3</v>
      </c>
      <c r="O699" s="263">
        <f t="shared" si="840"/>
        <v>2.2875816993464051E-2</v>
      </c>
    </row>
    <row r="700" spans="1:15" ht="23.4" x14ac:dyDescent="0.3">
      <c r="A700" s="274" t="s">
        <v>103</v>
      </c>
      <c r="B700" s="1044"/>
      <c r="C700" s="275" t="s">
        <v>367</v>
      </c>
      <c r="D700" s="275" t="s">
        <v>187</v>
      </c>
      <c r="E700" s="276">
        <v>1000000</v>
      </c>
      <c r="F700" s="277"/>
      <c r="G700" s="333">
        <f t="shared" si="843"/>
        <v>91926</v>
      </c>
      <c r="H700" s="278">
        <v>91800</v>
      </c>
      <c r="I700" s="278">
        <v>126</v>
      </c>
      <c r="J700" s="352" t="str">
        <f>IFERROR(G700/#REF!,"-")</f>
        <v>-</v>
      </c>
      <c r="K700" s="690">
        <f t="shared" si="844"/>
        <v>540696</v>
      </c>
      <c r="L700" s="276">
        <f t="shared" si="845"/>
        <v>538560</v>
      </c>
      <c r="M700" s="436">
        <f t="shared" si="845"/>
        <v>2136</v>
      </c>
      <c r="N700" s="337">
        <f t="shared" si="846"/>
        <v>0.54069599999999995</v>
      </c>
      <c r="O700" s="263">
        <f t="shared" si="840"/>
        <v>3.9504638465977186E-3</v>
      </c>
    </row>
    <row r="701" spans="1:15" ht="23.4" x14ac:dyDescent="0.3">
      <c r="A701" s="274" t="s">
        <v>103</v>
      </c>
      <c r="B701" s="1044"/>
      <c r="C701" s="275" t="s">
        <v>293</v>
      </c>
      <c r="D701" s="275" t="s">
        <v>188</v>
      </c>
      <c r="E701" s="276"/>
      <c r="F701" s="277"/>
      <c r="G701" s="333">
        <f t="shared" si="843"/>
        <v>0</v>
      </c>
      <c r="H701" s="278"/>
      <c r="I701" s="278"/>
      <c r="J701" s="352" t="str">
        <f>IFERROR(G701/#REF!,"-")</f>
        <v>-</v>
      </c>
      <c r="K701" s="690">
        <f t="shared" si="844"/>
        <v>0</v>
      </c>
      <c r="L701" s="276">
        <f t="shared" si="845"/>
        <v>0</v>
      </c>
      <c r="M701" s="436">
        <f t="shared" si="845"/>
        <v>0</v>
      </c>
      <c r="N701" s="337" t="str">
        <f t="shared" si="846"/>
        <v>-</v>
      </c>
      <c r="O701" s="263" t="str">
        <f t="shared" si="840"/>
        <v>-</v>
      </c>
    </row>
    <row r="702" spans="1:15" ht="23.4" x14ac:dyDescent="0.3">
      <c r="A702" s="274" t="s">
        <v>103</v>
      </c>
      <c r="B702" s="1044"/>
      <c r="C702" s="275" t="s">
        <v>323</v>
      </c>
      <c r="D702" s="275" t="s">
        <v>318</v>
      </c>
      <c r="E702" s="276"/>
      <c r="F702" s="277"/>
      <c r="G702" s="333">
        <f t="shared" si="843"/>
        <v>0</v>
      </c>
      <c r="H702" s="278"/>
      <c r="I702" s="278"/>
      <c r="J702" s="352" t="str">
        <f>IFERROR(G702/#REF!,"-")</f>
        <v>-</v>
      </c>
      <c r="K702" s="690">
        <f t="shared" si="844"/>
        <v>0</v>
      </c>
      <c r="L702" s="276">
        <f t="shared" si="845"/>
        <v>0</v>
      </c>
      <c r="M702" s="436">
        <f t="shared" si="845"/>
        <v>0</v>
      </c>
      <c r="N702" s="337" t="str">
        <f t="shared" si="846"/>
        <v>-</v>
      </c>
      <c r="O702" s="263" t="str">
        <f t="shared" si="840"/>
        <v>-</v>
      </c>
    </row>
    <row r="703" spans="1:15" ht="23.4" x14ac:dyDescent="0.3">
      <c r="A703" s="274" t="s">
        <v>103</v>
      </c>
      <c r="B703" s="1044"/>
      <c r="C703" s="275" t="s">
        <v>352</v>
      </c>
      <c r="D703" s="275" t="s">
        <v>189</v>
      </c>
      <c r="E703" s="276"/>
      <c r="F703" s="277"/>
      <c r="G703" s="333">
        <f t="shared" si="843"/>
        <v>0</v>
      </c>
      <c r="H703" s="278"/>
      <c r="I703" s="278"/>
      <c r="J703" s="352" t="str">
        <f>IFERROR(G703/#REF!,"-")</f>
        <v>-</v>
      </c>
      <c r="K703" s="690">
        <f t="shared" si="844"/>
        <v>0</v>
      </c>
      <c r="L703" s="276">
        <f t="shared" si="845"/>
        <v>0</v>
      </c>
      <c r="M703" s="436">
        <f t="shared" si="845"/>
        <v>0</v>
      </c>
      <c r="N703" s="337" t="str">
        <f t="shared" si="846"/>
        <v>-</v>
      </c>
      <c r="O703" s="263" t="str">
        <f t="shared" si="840"/>
        <v>-</v>
      </c>
    </row>
    <row r="704" spans="1:15" ht="24" thickBot="1" x14ac:dyDescent="0.35">
      <c r="A704" s="274" t="s">
        <v>103</v>
      </c>
      <c r="B704" s="1045"/>
      <c r="C704" s="279" t="s">
        <v>341</v>
      </c>
      <c r="D704" s="279" t="s">
        <v>232</v>
      </c>
      <c r="E704" s="280"/>
      <c r="F704" s="281"/>
      <c r="G704" s="334">
        <f t="shared" si="843"/>
        <v>0</v>
      </c>
      <c r="H704" s="282"/>
      <c r="I704" s="282"/>
      <c r="J704" s="353" t="str">
        <f>IFERROR(G704/#REF!,"-")</f>
        <v>-</v>
      </c>
      <c r="K704" s="691">
        <f t="shared" si="844"/>
        <v>0</v>
      </c>
      <c r="L704" s="530">
        <f t="shared" si="845"/>
        <v>0</v>
      </c>
      <c r="M704" s="462">
        <f t="shared" si="845"/>
        <v>0</v>
      </c>
      <c r="N704" s="338" t="str">
        <f t="shared" si="846"/>
        <v>-</v>
      </c>
      <c r="O704" s="347" t="str">
        <f t="shared" si="840"/>
        <v>-</v>
      </c>
    </row>
    <row r="705" spans="1:15" ht="24" thickBot="1" x14ac:dyDescent="0.35">
      <c r="A705" s="274" t="s">
        <v>103</v>
      </c>
      <c r="B705" s="1025" t="s">
        <v>45</v>
      </c>
      <c r="C705" s="1026"/>
      <c r="D705" s="1027"/>
      <c r="E705" s="320">
        <f>SUM(E698:E704)</f>
        <v>2600000</v>
      </c>
      <c r="F705" s="285">
        <v>100000</v>
      </c>
      <c r="G705" s="320">
        <f>SUM(G698:G704)</f>
        <v>91926</v>
      </c>
      <c r="H705" s="321">
        <f t="shared" ref="H705:I705" si="847">SUM(H698:H704)</f>
        <v>91800</v>
      </c>
      <c r="I705" s="321">
        <f t="shared" si="847"/>
        <v>126</v>
      </c>
      <c r="J705" s="345">
        <f>+G705/F705</f>
        <v>0.91925999999999997</v>
      </c>
      <c r="K705" s="320">
        <f>SUM(K698:K704)</f>
        <v>546816</v>
      </c>
      <c r="L705" s="519">
        <f>SUM(L698:L704)</f>
        <v>544540</v>
      </c>
      <c r="M705" s="689">
        <f t="shared" ref="M705" si="848">SUM(M698:M704)</f>
        <v>2276</v>
      </c>
      <c r="N705" s="339">
        <f>IFERROR(K705/E705,"-")</f>
        <v>0.21031384615384616</v>
      </c>
      <c r="O705" s="345">
        <f t="shared" si="840"/>
        <v>4.1622776217228466E-3</v>
      </c>
    </row>
    <row r="706" spans="1:15" ht="23.4" x14ac:dyDescent="0.3">
      <c r="A706" s="274" t="s">
        <v>103</v>
      </c>
      <c r="B706" s="1043" t="s">
        <v>18</v>
      </c>
      <c r="C706" s="269" t="s">
        <v>312</v>
      </c>
      <c r="D706" s="269" t="s">
        <v>92</v>
      </c>
      <c r="E706" s="270"/>
      <c r="F706" s="271"/>
      <c r="G706" s="332">
        <f t="shared" ref="G706:G712" si="849">+H706+I706</f>
        <v>0</v>
      </c>
      <c r="H706" s="272"/>
      <c r="I706" s="272"/>
      <c r="J706" s="351" t="str">
        <f>IFERROR(G706/#REF!,"-")</f>
        <v>-</v>
      </c>
      <c r="K706" s="332">
        <f t="shared" ref="K706:K712" si="850">+L706+M706</f>
        <v>0</v>
      </c>
      <c r="L706" s="272">
        <f t="shared" ref="L706:M712" si="851">+H706+L591</f>
        <v>0</v>
      </c>
      <c r="M706" s="273">
        <f t="shared" si="851"/>
        <v>0</v>
      </c>
      <c r="N706" s="336" t="str">
        <f t="shared" ref="N706:N713" si="852">IFERROR(K706/E706,"-")</f>
        <v>-</v>
      </c>
      <c r="O706" s="346" t="str">
        <f t="shared" si="840"/>
        <v>-</v>
      </c>
    </row>
    <row r="707" spans="1:15" ht="23.4" x14ac:dyDescent="0.3">
      <c r="A707" s="274" t="s">
        <v>103</v>
      </c>
      <c r="B707" s="1044"/>
      <c r="C707" s="275" t="s">
        <v>233</v>
      </c>
      <c r="D707" s="275" t="s">
        <v>234</v>
      </c>
      <c r="E707" s="276"/>
      <c r="F707" s="277"/>
      <c r="G707" s="333">
        <f t="shared" si="849"/>
        <v>0</v>
      </c>
      <c r="H707" s="278"/>
      <c r="I707" s="278"/>
      <c r="J707" s="352" t="str">
        <f>IFERROR(G707/#REF!,"-")</f>
        <v>-</v>
      </c>
      <c r="K707" s="333">
        <f t="shared" si="850"/>
        <v>0</v>
      </c>
      <c r="L707" s="272">
        <f t="shared" si="851"/>
        <v>0</v>
      </c>
      <c r="M707" s="273">
        <f t="shared" si="851"/>
        <v>0</v>
      </c>
      <c r="N707" s="337" t="str">
        <f t="shared" si="852"/>
        <v>-</v>
      </c>
      <c r="O707" s="263" t="str">
        <f t="shared" si="840"/>
        <v>-</v>
      </c>
    </row>
    <row r="708" spans="1:15" ht="23.4" x14ac:dyDescent="0.3">
      <c r="A708" s="274" t="s">
        <v>103</v>
      </c>
      <c r="B708" s="1044"/>
      <c r="C708" s="275" t="s">
        <v>115</v>
      </c>
      <c r="D708" s="275"/>
      <c r="E708" s="276"/>
      <c r="F708" s="277"/>
      <c r="G708" s="333">
        <f t="shared" si="849"/>
        <v>0</v>
      </c>
      <c r="H708" s="278"/>
      <c r="I708" s="278"/>
      <c r="J708" s="352" t="str">
        <f>IFERROR(G708/#REF!,"-")</f>
        <v>-</v>
      </c>
      <c r="K708" s="333">
        <f t="shared" si="850"/>
        <v>0</v>
      </c>
      <c r="L708" s="272">
        <f t="shared" si="851"/>
        <v>0</v>
      </c>
      <c r="M708" s="273">
        <f t="shared" si="851"/>
        <v>0</v>
      </c>
      <c r="N708" s="337" t="str">
        <f t="shared" si="852"/>
        <v>-</v>
      </c>
      <c r="O708" s="263" t="str">
        <f t="shared" si="840"/>
        <v>-</v>
      </c>
    </row>
    <row r="709" spans="1:15" ht="23.4" x14ac:dyDescent="0.3">
      <c r="A709" s="274" t="s">
        <v>103</v>
      </c>
      <c r="B709" s="1044"/>
      <c r="C709" s="275" t="s">
        <v>122</v>
      </c>
      <c r="D709" s="275"/>
      <c r="E709" s="276"/>
      <c r="F709" s="277"/>
      <c r="G709" s="333">
        <f t="shared" si="849"/>
        <v>0</v>
      </c>
      <c r="H709" s="278"/>
      <c r="I709" s="278"/>
      <c r="J709" s="352" t="str">
        <f>IFERROR(G709/#REF!,"-")</f>
        <v>-</v>
      </c>
      <c r="K709" s="333">
        <f t="shared" si="850"/>
        <v>0</v>
      </c>
      <c r="L709" s="272">
        <f t="shared" si="851"/>
        <v>0</v>
      </c>
      <c r="M709" s="273">
        <f t="shared" si="851"/>
        <v>0</v>
      </c>
      <c r="N709" s="337" t="str">
        <f t="shared" si="852"/>
        <v>-</v>
      </c>
      <c r="O709" s="263" t="str">
        <f t="shared" si="840"/>
        <v>-</v>
      </c>
    </row>
    <row r="710" spans="1:15" ht="23.4" x14ac:dyDescent="0.3">
      <c r="A710" s="274" t="s">
        <v>103</v>
      </c>
      <c r="B710" s="1044"/>
      <c r="C710" s="275" t="s">
        <v>176</v>
      </c>
      <c r="D710" s="275" t="s">
        <v>177</v>
      </c>
      <c r="E710" s="276"/>
      <c r="F710" s="277"/>
      <c r="G710" s="333">
        <f t="shared" si="849"/>
        <v>0</v>
      </c>
      <c r="H710" s="278"/>
      <c r="I710" s="278"/>
      <c r="J710" s="352" t="str">
        <f>IFERROR(G710/#REF!,"-")</f>
        <v>-</v>
      </c>
      <c r="K710" s="333">
        <f t="shared" si="850"/>
        <v>0</v>
      </c>
      <c r="L710" s="272">
        <f t="shared" si="851"/>
        <v>0</v>
      </c>
      <c r="M710" s="273">
        <f t="shared" si="851"/>
        <v>0</v>
      </c>
      <c r="N710" s="337" t="str">
        <f t="shared" si="852"/>
        <v>-</v>
      </c>
      <c r="O710" s="263" t="str">
        <f t="shared" si="840"/>
        <v>-</v>
      </c>
    </row>
    <row r="711" spans="1:15" ht="23.4" x14ac:dyDescent="0.3">
      <c r="A711" s="274" t="s">
        <v>103</v>
      </c>
      <c r="B711" s="1044"/>
      <c r="C711" s="275" t="s">
        <v>179</v>
      </c>
      <c r="D711" s="275" t="s">
        <v>178</v>
      </c>
      <c r="E711" s="276"/>
      <c r="F711" s="277"/>
      <c r="G711" s="333">
        <f t="shared" si="849"/>
        <v>0</v>
      </c>
      <c r="H711" s="278"/>
      <c r="I711" s="278"/>
      <c r="J711" s="352" t="str">
        <f>IFERROR(G711/#REF!,"-")</f>
        <v>-</v>
      </c>
      <c r="K711" s="333">
        <f t="shared" si="850"/>
        <v>0</v>
      </c>
      <c r="L711" s="272">
        <f t="shared" si="851"/>
        <v>0</v>
      </c>
      <c r="M711" s="273">
        <f t="shared" si="851"/>
        <v>0</v>
      </c>
      <c r="N711" s="337" t="str">
        <f t="shared" si="852"/>
        <v>-</v>
      </c>
      <c r="O711" s="263" t="str">
        <f t="shared" si="840"/>
        <v>-</v>
      </c>
    </row>
    <row r="712" spans="1:15" ht="24" thickBot="1" x14ac:dyDescent="0.35">
      <c r="A712" s="274" t="s">
        <v>103</v>
      </c>
      <c r="B712" s="1045"/>
      <c r="C712" s="286" t="s">
        <v>180</v>
      </c>
      <c r="D712" s="286" t="s">
        <v>107</v>
      </c>
      <c r="E712" s="280"/>
      <c r="F712" s="281"/>
      <c r="G712" s="334">
        <f t="shared" si="849"/>
        <v>0</v>
      </c>
      <c r="H712" s="282"/>
      <c r="I712" s="282"/>
      <c r="J712" s="353" t="str">
        <f>IFERROR(G712/#REF!,"-")</f>
        <v>-</v>
      </c>
      <c r="K712" s="334">
        <f t="shared" si="850"/>
        <v>0</v>
      </c>
      <c r="L712" s="272">
        <f t="shared" si="851"/>
        <v>0</v>
      </c>
      <c r="M712" s="273">
        <f t="shared" si="851"/>
        <v>0</v>
      </c>
      <c r="N712" s="338" t="str">
        <f t="shared" si="852"/>
        <v>-</v>
      </c>
      <c r="O712" s="347" t="str">
        <f t="shared" si="840"/>
        <v>-</v>
      </c>
    </row>
    <row r="713" spans="1:15" ht="24" thickBot="1" x14ac:dyDescent="0.35">
      <c r="A713" s="274" t="s">
        <v>103</v>
      </c>
      <c r="B713" s="1025" t="s">
        <v>29</v>
      </c>
      <c r="C713" s="1026"/>
      <c r="D713" s="1027"/>
      <c r="E713" s="366">
        <f t="shared" ref="E713" si="853">SUM(E706:E712)</f>
        <v>0</v>
      </c>
      <c r="F713" s="307">
        <v>80000</v>
      </c>
      <c r="G713" s="366">
        <f>SUM(G706:G712)</f>
        <v>0</v>
      </c>
      <c r="H713" s="365">
        <f t="shared" ref="H713:I713" si="854">SUM(H706:H712)</f>
        <v>0</v>
      </c>
      <c r="I713" s="365">
        <f t="shared" si="854"/>
        <v>0</v>
      </c>
      <c r="J713" s="356">
        <f>+G713/F713</f>
        <v>0</v>
      </c>
      <c r="K713" s="366">
        <f t="shared" ref="K713" si="855">SUM(K706:K712)</f>
        <v>0</v>
      </c>
      <c r="L713" s="365">
        <f>SUM(L706:L712)</f>
        <v>0</v>
      </c>
      <c r="M713" s="367">
        <f t="shared" ref="M713" si="856">SUM(M706:M712)</f>
        <v>0</v>
      </c>
      <c r="N713" s="355" t="str">
        <f t="shared" si="852"/>
        <v>-</v>
      </c>
      <c r="O713" s="356" t="str">
        <f t="shared" si="840"/>
        <v>-</v>
      </c>
    </row>
    <row r="714" spans="1:15" ht="23.4" x14ac:dyDescent="0.3">
      <c r="A714" s="252" t="s">
        <v>103</v>
      </c>
      <c r="B714" s="1085" t="s">
        <v>19</v>
      </c>
      <c r="C714" s="641" t="s">
        <v>235</v>
      </c>
      <c r="D714" s="669" t="s">
        <v>177</v>
      </c>
      <c r="E714" s="527"/>
      <c r="F714" s="838">
        <v>220000</v>
      </c>
      <c r="G714" s="457">
        <f t="shared" ref="G714:G718" si="857">+H714+I714</f>
        <v>0</v>
      </c>
      <c r="H714" s="458"/>
      <c r="I714" s="458"/>
      <c r="J714" s="831" t="str">
        <f>IFERROR(G714/#REF!,"-")</f>
        <v>-</v>
      </c>
      <c r="K714" s="694">
        <f>+L714+M714</f>
        <v>0</v>
      </c>
      <c r="L714" s="527">
        <f>+H714+L599</f>
        <v>0</v>
      </c>
      <c r="M714" s="838">
        <f>+I714+M599</f>
        <v>0</v>
      </c>
      <c r="N714" s="646" t="str">
        <f>IFERROR(K714/E714,"-")</f>
        <v>-</v>
      </c>
      <c r="O714" s="647" t="str">
        <f t="shared" si="840"/>
        <v>-</v>
      </c>
    </row>
    <row r="715" spans="1:15" ht="24" thickBot="1" x14ac:dyDescent="0.35">
      <c r="A715" s="252"/>
      <c r="B715" s="1086"/>
      <c r="C715" s="296" t="s">
        <v>377</v>
      </c>
      <c r="D715" s="645" t="s">
        <v>423</v>
      </c>
      <c r="E715" s="276">
        <v>1000000</v>
      </c>
      <c r="F715" s="277"/>
      <c r="G715" s="333">
        <f t="shared" si="857"/>
        <v>0</v>
      </c>
      <c r="H715" s="278"/>
      <c r="I715" s="278"/>
      <c r="J715" s="833" t="str">
        <f>IFERROR(G715/#REF!,"-")</f>
        <v>-</v>
      </c>
      <c r="K715" s="690">
        <f>+L715+M715</f>
        <v>576188</v>
      </c>
      <c r="L715" s="276">
        <f>+H715+L600</f>
        <v>574464</v>
      </c>
      <c r="M715" s="277">
        <f>+I715+M600</f>
        <v>1724</v>
      </c>
      <c r="N715" s="836">
        <f t="shared" ref="N715:N718" si="858">IFERROR(K715/E715,"-")</f>
        <v>0.57618800000000003</v>
      </c>
      <c r="O715" s="263">
        <f>IFERROR(M715/K715,"-")</f>
        <v>2.9920789742236909E-3</v>
      </c>
    </row>
    <row r="716" spans="1:15" ht="23.4" x14ac:dyDescent="0.3">
      <c r="A716" s="252"/>
      <c r="B716" s="1086"/>
      <c r="C716" s="826" t="s">
        <v>235</v>
      </c>
      <c r="D716" s="651" t="s">
        <v>522</v>
      </c>
      <c r="E716" s="276"/>
      <c r="F716" s="277"/>
      <c r="G716" s="333">
        <f t="shared" si="857"/>
        <v>0</v>
      </c>
      <c r="H716" s="278"/>
      <c r="I716" s="278"/>
      <c r="J716" s="833" t="str">
        <f>IFERROR(G716/#REF!,"-")</f>
        <v>-</v>
      </c>
      <c r="K716" s="690">
        <f t="shared" ref="K716:K717" si="859">+L716+M716</f>
        <v>175193</v>
      </c>
      <c r="L716" s="276">
        <f t="shared" ref="L716:L717" si="860">+H716+L601</f>
        <v>174768</v>
      </c>
      <c r="M716" s="277">
        <f t="shared" ref="M716:M717" si="861">+I716+M601</f>
        <v>425</v>
      </c>
      <c r="N716" s="836" t="str">
        <f t="shared" si="858"/>
        <v>-</v>
      </c>
      <c r="O716" s="263">
        <f t="shared" ref="O716:O717" si="862">IFERROR(M716/K716,"-")</f>
        <v>2.4258960118269564E-3</v>
      </c>
    </row>
    <row r="717" spans="1:15" ht="23.4" x14ac:dyDescent="0.3">
      <c r="A717" s="252"/>
      <c r="B717" s="1086"/>
      <c r="C717" s="296" t="s">
        <v>377</v>
      </c>
      <c r="D717" s="824" t="s">
        <v>522</v>
      </c>
      <c r="E717" s="276"/>
      <c r="F717" s="277"/>
      <c r="G717" s="333">
        <f t="shared" si="857"/>
        <v>76187</v>
      </c>
      <c r="H717" s="278">
        <v>76032</v>
      </c>
      <c r="I717" s="278">
        <v>155</v>
      </c>
      <c r="J717" s="833" t="str">
        <f>IFERROR(G717/#REF!,"-")</f>
        <v>-</v>
      </c>
      <c r="K717" s="690">
        <f t="shared" si="859"/>
        <v>101661</v>
      </c>
      <c r="L717" s="276">
        <f t="shared" si="860"/>
        <v>101376</v>
      </c>
      <c r="M717" s="277">
        <f t="shared" si="861"/>
        <v>285</v>
      </c>
      <c r="N717" s="836" t="str">
        <f t="shared" si="858"/>
        <v>-</v>
      </c>
      <c r="O717" s="263">
        <f t="shared" si="862"/>
        <v>2.8034349455543423E-3</v>
      </c>
    </row>
    <row r="718" spans="1:15" ht="24" thickBot="1" x14ac:dyDescent="0.35">
      <c r="A718" s="252"/>
      <c r="B718" s="1087"/>
      <c r="C718" s="635" t="s">
        <v>342</v>
      </c>
      <c r="D718" s="670"/>
      <c r="E718" s="530">
        <v>150000</v>
      </c>
      <c r="F718" s="839"/>
      <c r="G718" s="460">
        <f t="shared" si="857"/>
        <v>0</v>
      </c>
      <c r="H718" s="461"/>
      <c r="I718" s="461"/>
      <c r="J718" s="834" t="str">
        <f>IFERROR(G718/#REF!,"-")</f>
        <v>-</v>
      </c>
      <c r="K718" s="691">
        <f>+L718+M718</f>
        <v>0</v>
      </c>
      <c r="L718" s="530">
        <f t="shared" ref="L718" si="863">+H718+L603</f>
        <v>0</v>
      </c>
      <c r="M718" s="839">
        <f t="shared" ref="M718" si="864">+I718+M603</f>
        <v>0</v>
      </c>
      <c r="N718" s="837">
        <f t="shared" si="858"/>
        <v>0</v>
      </c>
      <c r="O718" s="264" t="str">
        <f t="shared" ref="O718:O736" si="865">IFERROR(M718/K718,"-")</f>
        <v>-</v>
      </c>
    </row>
    <row r="719" spans="1:15" ht="24" thickBot="1" x14ac:dyDescent="0.35">
      <c r="A719" s="274" t="s">
        <v>103</v>
      </c>
      <c r="B719" s="1040" t="s">
        <v>46</v>
      </c>
      <c r="C719" s="1026"/>
      <c r="D719" s="1027"/>
      <c r="E719" s="513">
        <f>SUM(E714:E718)</f>
        <v>1150000</v>
      </c>
      <c r="F719" s="859">
        <f t="shared" ref="F719" si="866">SUM(F714)</f>
        <v>220000</v>
      </c>
      <c r="G719" s="513">
        <f>SUM(G714:G718)</f>
        <v>76187</v>
      </c>
      <c r="H719" s="519">
        <f>SUM(H714:H718)</f>
        <v>76032</v>
      </c>
      <c r="I719" s="519">
        <f>SUM(I714:I718)</f>
        <v>155</v>
      </c>
      <c r="J719" s="520">
        <f>+G719/F719</f>
        <v>0.34630454545454548</v>
      </c>
      <c r="K719" s="835">
        <f>SUM(K714:K718)</f>
        <v>853042</v>
      </c>
      <c r="L719" s="519">
        <f>SUM(L714:L718)</f>
        <v>850608</v>
      </c>
      <c r="M719" s="689">
        <f>SUM(M714:M718)</f>
        <v>2434</v>
      </c>
      <c r="N719" s="521">
        <f>IFERROR(K719/E719,"-")</f>
        <v>0.74177565217391306</v>
      </c>
      <c r="O719" s="520">
        <f t="shared" si="865"/>
        <v>2.8533178905610743E-3</v>
      </c>
    </row>
    <row r="720" spans="1:15" ht="23.4" x14ac:dyDescent="0.3">
      <c r="A720" s="274" t="s">
        <v>103</v>
      </c>
      <c r="B720" s="1043" t="s">
        <v>20</v>
      </c>
      <c r="C720" s="291" t="s">
        <v>317</v>
      </c>
      <c r="D720" s="291" t="s">
        <v>289</v>
      </c>
      <c r="E720" s="270"/>
      <c r="F720" s="271"/>
      <c r="G720" s="332">
        <f t="shared" ref="G720:G722" si="867">+H720+I720</f>
        <v>0</v>
      </c>
      <c r="H720" s="272"/>
      <c r="I720" s="272"/>
      <c r="J720" s="351" t="str">
        <f>IFERROR(G720/#REF!,"-")</f>
        <v>-</v>
      </c>
      <c r="K720" s="332">
        <f t="shared" ref="K720:K722" si="868">+L720+M720</f>
        <v>0</v>
      </c>
      <c r="L720" s="272">
        <f t="shared" ref="L720:M722" si="869">+H720+L605</f>
        <v>0</v>
      </c>
      <c r="M720" s="273">
        <f t="shared" si="869"/>
        <v>0</v>
      </c>
      <c r="N720" s="336" t="str">
        <f t="shared" ref="N720:N723" si="870">IFERROR(K720/E720,"-")</f>
        <v>-</v>
      </c>
      <c r="O720" s="346" t="str">
        <f t="shared" si="865"/>
        <v>-</v>
      </c>
    </row>
    <row r="721" spans="1:15" ht="23.4" x14ac:dyDescent="0.3">
      <c r="A721" s="274" t="s">
        <v>103</v>
      </c>
      <c r="B721" s="1044"/>
      <c r="C721" s="292" t="s">
        <v>114</v>
      </c>
      <c r="D721" s="292"/>
      <c r="E721" s="276"/>
      <c r="F721" s="277"/>
      <c r="G721" s="333">
        <f t="shared" si="867"/>
        <v>0</v>
      </c>
      <c r="H721" s="278"/>
      <c r="I721" s="278"/>
      <c r="J721" s="352" t="str">
        <f>IFERROR(G721/#REF!,"-")</f>
        <v>-</v>
      </c>
      <c r="K721" s="333">
        <f t="shared" si="868"/>
        <v>0</v>
      </c>
      <c r="L721" s="272">
        <f t="shared" si="869"/>
        <v>0</v>
      </c>
      <c r="M721" s="273">
        <f t="shared" si="869"/>
        <v>0</v>
      </c>
      <c r="N721" s="337" t="str">
        <f t="shared" si="870"/>
        <v>-</v>
      </c>
      <c r="O721" s="263" t="str">
        <f t="shared" si="865"/>
        <v>-</v>
      </c>
    </row>
    <row r="722" spans="1:15" ht="24" thickBot="1" x14ac:dyDescent="0.35">
      <c r="A722" s="274" t="s">
        <v>103</v>
      </c>
      <c r="B722" s="1045"/>
      <c r="C722" s="293" t="s">
        <v>120</v>
      </c>
      <c r="D722" s="293"/>
      <c r="E722" s="280"/>
      <c r="F722" s="281"/>
      <c r="G722" s="334">
        <f t="shared" si="867"/>
        <v>0</v>
      </c>
      <c r="H722" s="282"/>
      <c r="I722" s="282"/>
      <c r="J722" s="353" t="str">
        <f>IFERROR(G722/#REF!,"-")</f>
        <v>-</v>
      </c>
      <c r="K722" s="334">
        <f t="shared" si="868"/>
        <v>0</v>
      </c>
      <c r="L722" s="272">
        <f t="shared" si="869"/>
        <v>0</v>
      </c>
      <c r="M722" s="273">
        <f t="shared" si="869"/>
        <v>0</v>
      </c>
      <c r="N722" s="338" t="str">
        <f t="shared" si="870"/>
        <v>-</v>
      </c>
      <c r="O722" s="347" t="str">
        <f t="shared" si="865"/>
        <v>-</v>
      </c>
    </row>
    <row r="723" spans="1:15" ht="24" thickBot="1" x14ac:dyDescent="0.35">
      <c r="A723" s="274" t="s">
        <v>103</v>
      </c>
      <c r="B723" s="1026" t="s">
        <v>47</v>
      </c>
      <c r="C723" s="1026"/>
      <c r="D723" s="1046"/>
      <c r="E723" s="320">
        <f t="shared" ref="E723" si="871">SUM(E720:E722)</f>
        <v>0</v>
      </c>
      <c r="F723" s="285">
        <v>50000</v>
      </c>
      <c r="G723" s="320">
        <f>SUM(G720:G722)</f>
        <v>0</v>
      </c>
      <c r="H723" s="321">
        <f t="shared" ref="H723:I723" si="872">SUM(H720:H722)</f>
        <v>0</v>
      </c>
      <c r="I723" s="321">
        <f t="shared" si="872"/>
        <v>0</v>
      </c>
      <c r="J723" s="345">
        <f>+G723/F723</f>
        <v>0</v>
      </c>
      <c r="K723" s="320">
        <f t="shared" ref="K723:M723" si="873">SUM(K720:K722)</f>
        <v>0</v>
      </c>
      <c r="L723" s="321">
        <f t="shared" si="873"/>
        <v>0</v>
      </c>
      <c r="M723" s="322">
        <f t="shared" si="873"/>
        <v>0</v>
      </c>
      <c r="N723" s="339" t="str">
        <f t="shared" si="870"/>
        <v>-</v>
      </c>
      <c r="O723" s="345" t="str">
        <f t="shared" si="865"/>
        <v>-</v>
      </c>
    </row>
    <row r="724" spans="1:15" ht="24" thickBot="1" x14ac:dyDescent="0.35">
      <c r="A724" s="274" t="s">
        <v>103</v>
      </c>
      <c r="B724" s="1047" t="s">
        <v>21</v>
      </c>
      <c r="C724" s="1048"/>
      <c r="D724" s="1049"/>
      <c r="E724" s="326">
        <f>+E697+E705+E713+E719+E723</f>
        <v>3770000</v>
      </c>
      <c r="F724" s="327">
        <f>+F697+F705+F713+F719+F723</f>
        <v>465000</v>
      </c>
      <c r="G724" s="326">
        <f>+G697+G705+G713+G719+G723</f>
        <v>170623</v>
      </c>
      <c r="H724" s="324">
        <f>+H697+H705+H713+H719+H723</f>
        <v>170072</v>
      </c>
      <c r="I724" s="324">
        <f>+I697+I705+I713+I719+I723</f>
        <v>551</v>
      </c>
      <c r="J724" s="349">
        <f>+G724/F724</f>
        <v>0.36693118279569892</v>
      </c>
      <c r="K724" s="326">
        <f>+K697+K705+K713+K719+K723</f>
        <v>1408128</v>
      </c>
      <c r="L724" s="324">
        <f>+L697+L705+L713+L719+L723</f>
        <v>1403148</v>
      </c>
      <c r="M724" s="325">
        <f>+M697+M705+M713+M719+M723</f>
        <v>4980</v>
      </c>
      <c r="N724" s="341">
        <f>IFERROR(K724/E724,"-")</f>
        <v>0.37350875331564987</v>
      </c>
      <c r="O724" s="349">
        <f t="shared" si="865"/>
        <v>3.5366103081538041E-3</v>
      </c>
    </row>
    <row r="725" spans="1:15" ht="23.4" x14ac:dyDescent="0.3">
      <c r="A725" s="274" t="s">
        <v>103</v>
      </c>
      <c r="B725" s="1043" t="s">
        <v>400</v>
      </c>
      <c r="C725" s="269" t="s">
        <v>125</v>
      </c>
      <c r="D725" s="269"/>
      <c r="E725" s="270"/>
      <c r="F725" s="271"/>
      <c r="G725" s="332">
        <f t="shared" ref="G725:G728" si="874">+H725+I725</f>
        <v>0</v>
      </c>
      <c r="H725" s="272"/>
      <c r="I725" s="272"/>
      <c r="J725" s="351" t="str">
        <f>IFERROR(G725/#REF!,"-")</f>
        <v>-</v>
      </c>
      <c r="K725" s="332">
        <f t="shared" ref="K725:K728" si="875">+L725+M725</f>
        <v>0</v>
      </c>
      <c r="L725" s="272">
        <f t="shared" ref="L725:M728" si="876">+H725+L610</f>
        <v>0</v>
      </c>
      <c r="M725" s="273">
        <f t="shared" si="876"/>
        <v>0</v>
      </c>
      <c r="N725" s="336" t="str">
        <f t="shared" ref="N725:N736" si="877">IFERROR(K725/E725,"-")</f>
        <v>-</v>
      </c>
      <c r="O725" s="346" t="str">
        <f t="shared" si="865"/>
        <v>-</v>
      </c>
    </row>
    <row r="726" spans="1:15" ht="23.4" x14ac:dyDescent="0.3">
      <c r="A726" s="274" t="s">
        <v>103</v>
      </c>
      <c r="B726" s="1044"/>
      <c r="C726" s="295" t="s">
        <v>263</v>
      </c>
      <c r="D726" s="295" t="s">
        <v>181</v>
      </c>
      <c r="E726" s="276"/>
      <c r="F726" s="277"/>
      <c r="G726" s="333">
        <f t="shared" si="874"/>
        <v>0</v>
      </c>
      <c r="H726" s="278"/>
      <c r="I726" s="278"/>
      <c r="J726" s="352" t="str">
        <f>IFERROR(G726/#REF!,"-")</f>
        <v>-</v>
      </c>
      <c r="K726" s="333">
        <f t="shared" si="875"/>
        <v>0</v>
      </c>
      <c r="L726" s="272">
        <f t="shared" si="876"/>
        <v>0</v>
      </c>
      <c r="M726" s="273">
        <f t="shared" si="876"/>
        <v>0</v>
      </c>
      <c r="N726" s="337" t="str">
        <f t="shared" si="877"/>
        <v>-</v>
      </c>
      <c r="O726" s="263" t="str">
        <f t="shared" si="865"/>
        <v>-</v>
      </c>
    </row>
    <row r="727" spans="1:15" ht="23.4" x14ac:dyDescent="0.3">
      <c r="A727" s="274" t="s">
        <v>103</v>
      </c>
      <c r="B727" s="1044"/>
      <c r="C727" s="295" t="s">
        <v>362</v>
      </c>
      <c r="D727" s="295" t="s">
        <v>181</v>
      </c>
      <c r="E727" s="276"/>
      <c r="F727" s="277"/>
      <c r="G727" s="333">
        <f t="shared" si="874"/>
        <v>0</v>
      </c>
      <c r="H727" s="278"/>
      <c r="I727" s="278"/>
      <c r="J727" s="352" t="str">
        <f>IFERROR(G727/#REF!,"-")</f>
        <v>-</v>
      </c>
      <c r="K727" s="333">
        <f t="shared" si="875"/>
        <v>0</v>
      </c>
      <c r="L727" s="272">
        <f t="shared" si="876"/>
        <v>0</v>
      </c>
      <c r="M727" s="273">
        <f t="shared" si="876"/>
        <v>0</v>
      </c>
      <c r="N727" s="337" t="str">
        <f t="shared" si="877"/>
        <v>-</v>
      </c>
      <c r="O727" s="263" t="str">
        <f t="shared" si="865"/>
        <v>-</v>
      </c>
    </row>
    <row r="728" spans="1:15" ht="24" thickBot="1" x14ac:dyDescent="0.35">
      <c r="A728" s="274" t="s">
        <v>103</v>
      </c>
      <c r="B728" s="1045"/>
      <c r="C728" s="279" t="s">
        <v>182</v>
      </c>
      <c r="D728" s="279" t="s">
        <v>93</v>
      </c>
      <c r="E728" s="280"/>
      <c r="F728" s="281"/>
      <c r="G728" s="334">
        <f t="shared" si="874"/>
        <v>0</v>
      </c>
      <c r="H728" s="282"/>
      <c r="I728" s="282"/>
      <c r="J728" s="353" t="str">
        <f>IFERROR(G728/#REF!,"-")</f>
        <v>-</v>
      </c>
      <c r="K728" s="334">
        <f t="shared" si="875"/>
        <v>0</v>
      </c>
      <c r="L728" s="272">
        <f t="shared" si="876"/>
        <v>0</v>
      </c>
      <c r="M728" s="273">
        <f t="shared" si="876"/>
        <v>0</v>
      </c>
      <c r="N728" s="338" t="str">
        <f t="shared" si="877"/>
        <v>-</v>
      </c>
      <c r="O728" s="347" t="str">
        <f t="shared" si="865"/>
        <v>-</v>
      </c>
    </row>
    <row r="729" spans="1:15" ht="24" thickBot="1" x14ac:dyDescent="0.35">
      <c r="A729" s="274" t="s">
        <v>103</v>
      </c>
      <c r="B729" s="1025" t="s">
        <v>48</v>
      </c>
      <c r="C729" s="1026"/>
      <c r="D729" s="1027"/>
      <c r="E729" s="284">
        <f>SUM(E725:E728)</f>
        <v>0</v>
      </c>
      <c r="F729" s="285">
        <v>80000</v>
      </c>
      <c r="G729" s="320">
        <f>SUM(G725:G728)</f>
        <v>0</v>
      </c>
      <c r="H729" s="321">
        <f t="shared" ref="H729:I729" si="878">SUM(H725:H728)</f>
        <v>0</v>
      </c>
      <c r="I729" s="321">
        <f t="shared" si="878"/>
        <v>0</v>
      </c>
      <c r="J729" s="345">
        <f>+G729/F729</f>
        <v>0</v>
      </c>
      <c r="K729" s="320">
        <f t="shared" ref="K729" si="879">SUM(K725:K728)</f>
        <v>0</v>
      </c>
      <c r="L729" s="321">
        <f>SUM(L725:L728)</f>
        <v>0</v>
      </c>
      <c r="M729" s="322">
        <f t="shared" ref="M729" si="880">SUM(M725:M728)</f>
        <v>0</v>
      </c>
      <c r="N729" s="339" t="str">
        <f t="shared" si="877"/>
        <v>-</v>
      </c>
      <c r="O729" s="345" t="str">
        <f t="shared" si="865"/>
        <v>-</v>
      </c>
    </row>
    <row r="730" spans="1:15" ht="23.4" x14ac:dyDescent="0.3">
      <c r="A730" s="274" t="s">
        <v>103</v>
      </c>
      <c r="B730" s="1043" t="s">
        <v>23</v>
      </c>
      <c r="C730" s="275" t="s">
        <v>500</v>
      </c>
      <c r="D730" s="296" t="s">
        <v>238</v>
      </c>
      <c r="E730" s="270">
        <v>10000</v>
      </c>
      <c r="F730" s="271"/>
      <c r="G730" s="332">
        <f t="shared" ref="G730:G738" si="881">+H730+I730</f>
        <v>0</v>
      </c>
      <c r="H730" s="272"/>
      <c r="I730" s="272"/>
      <c r="J730" s="351" t="str">
        <f>IFERROR(G730/#REF!,"-")</f>
        <v>-</v>
      </c>
      <c r="K730" s="332">
        <f t="shared" ref="K730:K738" si="882">+L730+M730</f>
        <v>0</v>
      </c>
      <c r="L730" s="272">
        <f t="shared" ref="L730:L738" si="883">+H730+L615</f>
        <v>0</v>
      </c>
      <c r="M730" s="273">
        <f t="shared" ref="M730:M738" si="884">+I730+M615</f>
        <v>0</v>
      </c>
      <c r="N730" s="336">
        <f t="shared" si="877"/>
        <v>0</v>
      </c>
      <c r="O730" s="346" t="str">
        <f t="shared" si="865"/>
        <v>-</v>
      </c>
    </row>
    <row r="731" spans="1:15" ht="23.4" x14ac:dyDescent="0.3">
      <c r="A731" s="274" t="s">
        <v>103</v>
      </c>
      <c r="B731" s="1044"/>
      <c r="C731" s="275" t="s">
        <v>24</v>
      </c>
      <c r="D731" s="275" t="s">
        <v>238</v>
      </c>
      <c r="E731" s="276"/>
      <c r="F731" s="277"/>
      <c r="G731" s="333">
        <f t="shared" si="881"/>
        <v>0</v>
      </c>
      <c r="H731" s="278"/>
      <c r="I731" s="278"/>
      <c r="J731" s="352" t="str">
        <f>IFERROR(G731/#REF!,"-")</f>
        <v>-</v>
      </c>
      <c r="K731" s="333">
        <f t="shared" si="882"/>
        <v>0</v>
      </c>
      <c r="L731" s="272">
        <f t="shared" si="883"/>
        <v>0</v>
      </c>
      <c r="M731" s="273">
        <f t="shared" si="884"/>
        <v>0</v>
      </c>
      <c r="N731" s="337" t="str">
        <f t="shared" si="877"/>
        <v>-</v>
      </c>
      <c r="O731" s="263" t="str">
        <f t="shared" si="865"/>
        <v>-</v>
      </c>
    </row>
    <row r="732" spans="1:15" ht="23.4" x14ac:dyDescent="0.3">
      <c r="A732" s="274" t="s">
        <v>103</v>
      </c>
      <c r="B732" s="1044"/>
      <c r="C732" s="275" t="s">
        <v>236</v>
      </c>
      <c r="D732" s="275" t="s">
        <v>238</v>
      </c>
      <c r="E732" s="276"/>
      <c r="F732" s="277"/>
      <c r="G732" s="333">
        <f t="shared" si="881"/>
        <v>0</v>
      </c>
      <c r="H732" s="278"/>
      <c r="I732" s="278"/>
      <c r="J732" s="352" t="str">
        <f>IFERROR(G732/#REF!,"-")</f>
        <v>-</v>
      </c>
      <c r="K732" s="333">
        <f t="shared" si="882"/>
        <v>0</v>
      </c>
      <c r="L732" s="272">
        <f t="shared" si="883"/>
        <v>0</v>
      </c>
      <c r="M732" s="273">
        <f t="shared" si="884"/>
        <v>0</v>
      </c>
      <c r="N732" s="337" t="str">
        <f t="shared" si="877"/>
        <v>-</v>
      </c>
      <c r="O732" s="263" t="str">
        <f t="shared" si="865"/>
        <v>-</v>
      </c>
    </row>
    <row r="733" spans="1:15" ht="23.4" x14ac:dyDescent="0.3">
      <c r="A733" s="274" t="s">
        <v>103</v>
      </c>
      <c r="B733" s="1044"/>
      <c r="C733" s="275" t="s">
        <v>237</v>
      </c>
      <c r="D733" s="275" t="s">
        <v>238</v>
      </c>
      <c r="E733" s="276"/>
      <c r="F733" s="277"/>
      <c r="G733" s="333">
        <f t="shared" si="881"/>
        <v>0</v>
      </c>
      <c r="H733" s="278"/>
      <c r="I733" s="278"/>
      <c r="J733" s="352" t="str">
        <f>IFERROR(G733/#REF!,"-")</f>
        <v>-</v>
      </c>
      <c r="K733" s="333">
        <f t="shared" si="882"/>
        <v>0</v>
      </c>
      <c r="L733" s="272">
        <f t="shared" si="883"/>
        <v>0</v>
      </c>
      <c r="M733" s="273">
        <f t="shared" si="884"/>
        <v>0</v>
      </c>
      <c r="N733" s="337" t="str">
        <f t="shared" si="877"/>
        <v>-</v>
      </c>
      <c r="O733" s="263" t="str">
        <f t="shared" si="865"/>
        <v>-</v>
      </c>
    </row>
    <row r="734" spans="1:15" ht="23.4" x14ac:dyDescent="0.3">
      <c r="A734" s="274" t="s">
        <v>103</v>
      </c>
      <c r="B734" s="1044"/>
      <c r="C734" s="295" t="s">
        <v>394</v>
      </c>
      <c r="D734" s="275" t="s">
        <v>238</v>
      </c>
      <c r="E734" s="276"/>
      <c r="F734" s="277"/>
      <c r="G734" s="333">
        <f t="shared" si="881"/>
        <v>0</v>
      </c>
      <c r="H734" s="278"/>
      <c r="I734" s="278"/>
      <c r="J734" s="352" t="str">
        <f>IFERROR(G734/#REF!,"-")</f>
        <v>-</v>
      </c>
      <c r="K734" s="333">
        <f t="shared" si="882"/>
        <v>0</v>
      </c>
      <c r="L734" s="272">
        <f t="shared" si="883"/>
        <v>0</v>
      </c>
      <c r="M734" s="273">
        <f t="shared" si="884"/>
        <v>0</v>
      </c>
      <c r="N734" s="337" t="str">
        <f t="shared" si="877"/>
        <v>-</v>
      </c>
      <c r="O734" s="263" t="str">
        <f t="shared" si="865"/>
        <v>-</v>
      </c>
    </row>
    <row r="735" spans="1:15" ht="23.4" x14ac:dyDescent="0.3">
      <c r="A735" s="274" t="s">
        <v>103</v>
      </c>
      <c r="B735" s="1044"/>
      <c r="C735" s="295" t="s">
        <v>422</v>
      </c>
      <c r="D735" s="275" t="s">
        <v>238</v>
      </c>
      <c r="E735" s="276"/>
      <c r="F735" s="277"/>
      <c r="G735" s="333">
        <f t="shared" si="881"/>
        <v>0</v>
      </c>
      <c r="H735" s="278"/>
      <c r="I735" s="278"/>
      <c r="J735" s="352" t="str">
        <f>IFERROR(G735/#REF!,"-")</f>
        <v>-</v>
      </c>
      <c r="K735" s="333">
        <f t="shared" si="882"/>
        <v>0</v>
      </c>
      <c r="L735" s="272">
        <f t="shared" si="883"/>
        <v>0</v>
      </c>
      <c r="M735" s="273">
        <f t="shared" si="884"/>
        <v>0</v>
      </c>
      <c r="N735" s="337" t="str">
        <f t="shared" si="877"/>
        <v>-</v>
      </c>
      <c r="O735" s="263" t="str">
        <f t="shared" si="865"/>
        <v>-</v>
      </c>
    </row>
    <row r="736" spans="1:15" ht="23.4" x14ac:dyDescent="0.3">
      <c r="A736" s="274" t="s">
        <v>103</v>
      </c>
      <c r="B736" s="1044"/>
      <c r="C736" s="295" t="s">
        <v>241</v>
      </c>
      <c r="D736" s="275" t="s">
        <v>243</v>
      </c>
      <c r="E736" s="276"/>
      <c r="F736" s="277"/>
      <c r="G736" s="333">
        <f t="shared" si="881"/>
        <v>0</v>
      </c>
      <c r="H736" s="278"/>
      <c r="I736" s="278"/>
      <c r="J736" s="352" t="str">
        <f>IFERROR(G736/#REF!,"-")</f>
        <v>-</v>
      </c>
      <c r="K736" s="333">
        <f t="shared" si="882"/>
        <v>0</v>
      </c>
      <c r="L736" s="272">
        <f t="shared" si="883"/>
        <v>0</v>
      </c>
      <c r="M736" s="273">
        <f t="shared" si="884"/>
        <v>0</v>
      </c>
      <c r="N736" s="337" t="str">
        <f t="shared" si="877"/>
        <v>-</v>
      </c>
      <c r="O736" s="263" t="str">
        <f t="shared" si="865"/>
        <v>-</v>
      </c>
    </row>
    <row r="737" spans="1:15" ht="23.4" x14ac:dyDescent="0.3">
      <c r="A737" s="274"/>
      <c r="B737" s="1045"/>
      <c r="C737" s="295" t="s">
        <v>456</v>
      </c>
      <c r="D737" s="275" t="s">
        <v>238</v>
      </c>
      <c r="E737" s="280"/>
      <c r="F737" s="281"/>
      <c r="G737" s="333">
        <f t="shared" si="881"/>
        <v>0</v>
      </c>
      <c r="H737" s="282"/>
      <c r="I737" s="282"/>
      <c r="J737" s="352" t="str">
        <f>IFERROR(G737/#REF!,"-")</f>
        <v>-</v>
      </c>
      <c r="K737" s="333">
        <f t="shared" si="882"/>
        <v>0</v>
      </c>
      <c r="L737" s="272">
        <f t="shared" si="883"/>
        <v>0</v>
      </c>
      <c r="M737" s="273">
        <f t="shared" si="884"/>
        <v>0</v>
      </c>
      <c r="N737" s="338"/>
      <c r="O737" s="347"/>
    </row>
    <row r="738" spans="1:15" ht="24" thickBot="1" x14ac:dyDescent="0.35">
      <c r="A738" s="274" t="s">
        <v>103</v>
      </c>
      <c r="B738" s="1045"/>
      <c r="C738" s="295" t="s">
        <v>242</v>
      </c>
      <c r="D738" s="275" t="s">
        <v>238</v>
      </c>
      <c r="E738" s="280"/>
      <c r="F738" s="281"/>
      <c r="G738" s="334">
        <f t="shared" si="881"/>
        <v>0</v>
      </c>
      <c r="H738" s="282"/>
      <c r="I738" s="282"/>
      <c r="J738" s="353" t="str">
        <f>IFERROR(G738/#REF!,"-")</f>
        <v>-</v>
      </c>
      <c r="K738" s="334">
        <f t="shared" si="882"/>
        <v>0</v>
      </c>
      <c r="L738" s="272">
        <f t="shared" si="883"/>
        <v>0</v>
      </c>
      <c r="M738" s="273">
        <f t="shared" si="884"/>
        <v>0</v>
      </c>
      <c r="N738" s="338" t="str">
        <f t="shared" ref="N738:N740" si="885">IFERROR(K738/E738,"-")</f>
        <v>-</v>
      </c>
      <c r="O738" s="347" t="str">
        <f t="shared" ref="O738:O755" si="886">IFERROR(M738/K738,"-")</f>
        <v>-</v>
      </c>
    </row>
    <row r="739" spans="1:15" ht="24" thickBot="1" x14ac:dyDescent="0.35">
      <c r="A739" s="274" t="s">
        <v>103</v>
      </c>
      <c r="B739" s="1025" t="s">
        <v>49</v>
      </c>
      <c r="C739" s="1026"/>
      <c r="D739" s="1027"/>
      <c r="E739" s="284">
        <f>SUM(E730:E738)</f>
        <v>10000</v>
      </c>
      <c r="F739" s="285">
        <v>14000</v>
      </c>
      <c r="G739" s="320">
        <f>SUM(G730:G738)</f>
        <v>0</v>
      </c>
      <c r="H739" s="321">
        <f t="shared" ref="H739:I739" si="887">SUM(H730:H738)</f>
        <v>0</v>
      </c>
      <c r="I739" s="321">
        <f t="shared" si="887"/>
        <v>0</v>
      </c>
      <c r="J739" s="345">
        <f>+G740/F740</f>
        <v>0</v>
      </c>
      <c r="K739" s="320">
        <f>SUM(K730:K738)</f>
        <v>0</v>
      </c>
      <c r="L739" s="321">
        <f>+H739</f>
        <v>0</v>
      </c>
      <c r="M739" s="322">
        <f>+I739</f>
        <v>0</v>
      </c>
      <c r="N739" s="339">
        <f t="shared" si="885"/>
        <v>0</v>
      </c>
      <c r="O739" s="345" t="str">
        <f t="shared" si="886"/>
        <v>-</v>
      </c>
    </row>
    <row r="740" spans="1:15" ht="24" thickBot="1" x14ac:dyDescent="0.35">
      <c r="A740" s="274" t="s">
        <v>103</v>
      </c>
      <c r="B740" s="1047" t="s">
        <v>25</v>
      </c>
      <c r="C740" s="1048"/>
      <c r="D740" s="1049"/>
      <c r="E740" s="326">
        <f t="shared" ref="E740:F740" si="888">+E729+E739</f>
        <v>10000</v>
      </c>
      <c r="F740" s="327">
        <f t="shared" si="888"/>
        <v>94000</v>
      </c>
      <c r="G740" s="326">
        <f>+G729+G739</f>
        <v>0</v>
      </c>
      <c r="H740" s="324">
        <f t="shared" ref="H740:I740" si="889">+H729+H739</f>
        <v>0</v>
      </c>
      <c r="I740" s="324">
        <f t="shared" si="889"/>
        <v>0</v>
      </c>
      <c r="J740" s="349" t="str">
        <f>IFERROR(G740/#REF!,"-")</f>
        <v>-</v>
      </c>
      <c r="K740" s="326">
        <f t="shared" ref="K740" si="890">+K729+K739</f>
        <v>0</v>
      </c>
      <c r="L740" s="324">
        <f>+L729+L739</f>
        <v>0</v>
      </c>
      <c r="M740" s="325">
        <f t="shared" ref="M740" si="891">+M729+M739</f>
        <v>0</v>
      </c>
      <c r="N740" s="341">
        <f t="shared" si="885"/>
        <v>0</v>
      </c>
      <c r="O740" s="349" t="str">
        <f t="shared" si="886"/>
        <v>-</v>
      </c>
    </row>
    <row r="741" spans="1:15" ht="24" thickBot="1" x14ac:dyDescent="0.35">
      <c r="A741" s="274" t="s">
        <v>103</v>
      </c>
      <c r="B741" s="1019" t="s">
        <v>172</v>
      </c>
      <c r="C741" s="1020"/>
      <c r="D741" s="1021"/>
      <c r="E741" s="330">
        <f>+E724+E740</f>
        <v>3780000</v>
      </c>
      <c r="F741" s="331">
        <f t="shared" ref="F741:I741" si="892">+F724+F740</f>
        <v>559000</v>
      </c>
      <c r="G741" s="330">
        <f t="shared" si="892"/>
        <v>170623</v>
      </c>
      <c r="H741" s="328">
        <f t="shared" si="892"/>
        <v>170072</v>
      </c>
      <c r="I741" s="328">
        <f t="shared" si="892"/>
        <v>551</v>
      </c>
      <c r="J741" s="350">
        <f>+G741/F741</f>
        <v>0.30522898032200357</v>
      </c>
      <c r="K741" s="330">
        <f>+K724+K740</f>
        <v>1408128</v>
      </c>
      <c r="L741" s="328">
        <f t="shared" ref="L741:M741" si="893">+L724+L740</f>
        <v>1403148</v>
      </c>
      <c r="M741" s="329">
        <f t="shared" si="893"/>
        <v>4980</v>
      </c>
      <c r="N741" s="342">
        <f>IFERROR(K741/E741,"-")</f>
        <v>0.37252063492063492</v>
      </c>
      <c r="O741" s="350">
        <f t="shared" si="886"/>
        <v>3.5366103081538041E-3</v>
      </c>
    </row>
    <row r="742" spans="1:15" ht="23.4" x14ac:dyDescent="0.3">
      <c r="A742" s="268" t="s">
        <v>101</v>
      </c>
      <c r="B742" s="1051" t="s">
        <v>26</v>
      </c>
      <c r="C742" s="297" t="s">
        <v>297</v>
      </c>
      <c r="D742" s="297" t="s">
        <v>177</v>
      </c>
      <c r="E742" s="270"/>
      <c r="F742" s="271"/>
      <c r="G742" s="332">
        <f t="shared" ref="G742:G751" si="894">+H742+I742</f>
        <v>0</v>
      </c>
      <c r="H742" s="272"/>
      <c r="I742" s="272"/>
      <c r="J742" s="351" t="str">
        <f>IFERROR(G742/#REF!,"-")</f>
        <v>-</v>
      </c>
      <c r="K742" s="332">
        <f t="shared" ref="K742:K751" si="895">+L742+M742</f>
        <v>0</v>
      </c>
      <c r="L742" s="272">
        <f t="shared" ref="L742:L751" si="896">+H742+L627</f>
        <v>0</v>
      </c>
      <c r="M742" s="273">
        <f t="shared" ref="M742:M751" si="897">+I742+M627</f>
        <v>0</v>
      </c>
      <c r="N742" s="336" t="str">
        <f t="shared" ref="N742:N755" si="898">IFERROR(K742/E742,"-")</f>
        <v>-</v>
      </c>
      <c r="O742" s="346" t="str">
        <f t="shared" si="886"/>
        <v>-</v>
      </c>
    </row>
    <row r="743" spans="1:15" ht="23.4" x14ac:dyDescent="0.3">
      <c r="A743" s="274" t="s">
        <v>101</v>
      </c>
      <c r="B743" s="1051"/>
      <c r="C743" s="298" t="s">
        <v>424</v>
      </c>
      <c r="D743" s="298" t="s">
        <v>423</v>
      </c>
      <c r="E743" s="276">
        <v>564432</v>
      </c>
      <c r="F743" s="277"/>
      <c r="G743" s="333">
        <f t="shared" si="894"/>
        <v>0</v>
      </c>
      <c r="H743" s="278"/>
      <c r="I743" s="278"/>
      <c r="J743" s="352" t="str">
        <f>IFERROR(G743/#REF!,"-")</f>
        <v>-</v>
      </c>
      <c r="K743" s="333">
        <f t="shared" si="895"/>
        <v>265434</v>
      </c>
      <c r="L743" s="272">
        <f t="shared" si="896"/>
        <v>262548</v>
      </c>
      <c r="M743" s="273">
        <f t="shared" si="897"/>
        <v>2886</v>
      </c>
      <c r="N743" s="337">
        <f t="shared" si="898"/>
        <v>0.47026745471553705</v>
      </c>
      <c r="O743" s="263">
        <f t="shared" si="886"/>
        <v>1.0872759330002939E-2</v>
      </c>
    </row>
    <row r="744" spans="1:15" ht="23.4" x14ac:dyDescent="0.3">
      <c r="A744" s="274" t="s">
        <v>101</v>
      </c>
      <c r="B744" s="1051"/>
      <c r="C744" s="299" t="s">
        <v>27</v>
      </c>
      <c r="D744" s="299" t="s">
        <v>334</v>
      </c>
      <c r="E744" s="280">
        <v>1301232</v>
      </c>
      <c r="F744" s="281"/>
      <c r="G744" s="333">
        <f t="shared" si="894"/>
        <v>20956</v>
      </c>
      <c r="H744" s="282">
        <v>19890</v>
      </c>
      <c r="I744" s="282">
        <v>1066</v>
      </c>
      <c r="J744" s="353" t="str">
        <f>IFERROR(G744/#REF!,"-")</f>
        <v>-</v>
      </c>
      <c r="K744" s="333">
        <f t="shared" si="895"/>
        <v>29523</v>
      </c>
      <c r="L744" s="272">
        <f t="shared" si="896"/>
        <v>27846</v>
      </c>
      <c r="M744" s="273">
        <f t="shared" si="897"/>
        <v>1677</v>
      </c>
      <c r="N744" s="337">
        <f t="shared" si="898"/>
        <v>2.2688498284702496E-2</v>
      </c>
      <c r="O744" s="263">
        <f t="shared" si="886"/>
        <v>5.6803170409511231E-2</v>
      </c>
    </row>
    <row r="745" spans="1:15" ht="23.4" x14ac:dyDescent="0.3">
      <c r="A745" s="274" t="s">
        <v>101</v>
      </c>
      <c r="B745" s="1051"/>
      <c r="C745" s="299" t="s">
        <v>27</v>
      </c>
      <c r="D745" s="297" t="s">
        <v>492</v>
      </c>
      <c r="E745" s="280"/>
      <c r="F745" s="281"/>
      <c r="G745" s="333">
        <f t="shared" si="894"/>
        <v>4239</v>
      </c>
      <c r="H745" s="282">
        <v>3978</v>
      </c>
      <c r="I745" s="282">
        <v>261</v>
      </c>
      <c r="J745" s="353" t="str">
        <f>IFERROR(G745/#REF!,"-")</f>
        <v>-</v>
      </c>
      <c r="K745" s="333">
        <f t="shared" si="895"/>
        <v>274869</v>
      </c>
      <c r="L745" s="272">
        <f t="shared" si="896"/>
        <v>270504</v>
      </c>
      <c r="M745" s="273">
        <f t="shared" si="897"/>
        <v>4365</v>
      </c>
      <c r="N745" s="337" t="str">
        <f t="shared" si="898"/>
        <v>-</v>
      </c>
      <c r="O745" s="263">
        <f t="shared" si="886"/>
        <v>1.588029206640254E-2</v>
      </c>
    </row>
    <row r="746" spans="1:15" ht="23.4" x14ac:dyDescent="0.3">
      <c r="A746" s="274" t="s">
        <v>101</v>
      </c>
      <c r="B746" s="1051"/>
      <c r="C746" s="297" t="s">
        <v>521</v>
      </c>
      <c r="D746" s="299" t="s">
        <v>234</v>
      </c>
      <c r="E746" s="280"/>
      <c r="F746" s="281"/>
      <c r="G746" s="333">
        <f t="shared" si="894"/>
        <v>20431</v>
      </c>
      <c r="H746" s="282">
        <v>19890</v>
      </c>
      <c r="I746" s="282">
        <v>541</v>
      </c>
      <c r="J746" s="353" t="str">
        <f>IFERROR(G746/#REF!,"-")</f>
        <v>-</v>
      </c>
      <c r="K746" s="333">
        <f t="shared" si="895"/>
        <v>20431</v>
      </c>
      <c r="L746" s="272">
        <f t="shared" si="896"/>
        <v>19890</v>
      </c>
      <c r="M746" s="273">
        <f t="shared" si="897"/>
        <v>541</v>
      </c>
      <c r="N746" s="337" t="str">
        <f t="shared" si="898"/>
        <v>-</v>
      </c>
      <c r="O746" s="263">
        <f t="shared" si="886"/>
        <v>2.6479369585433898E-2</v>
      </c>
    </row>
    <row r="747" spans="1:15" ht="22.5" customHeight="1" x14ac:dyDescent="0.3">
      <c r="A747" s="274"/>
      <c r="B747" s="1051"/>
      <c r="C747" s="299" t="s">
        <v>432</v>
      </c>
      <c r="D747" s="299" t="s">
        <v>178</v>
      </c>
      <c r="E747" s="280"/>
      <c r="F747" s="281"/>
      <c r="G747" s="334">
        <f t="shared" si="894"/>
        <v>0</v>
      </c>
      <c r="H747" s="282"/>
      <c r="I747" s="282"/>
      <c r="J747" s="353" t="str">
        <f>IFERROR(G747/#REF!,"-")</f>
        <v>-</v>
      </c>
      <c r="K747" s="334">
        <f t="shared" si="895"/>
        <v>0</v>
      </c>
      <c r="L747" s="272">
        <f t="shared" si="896"/>
        <v>0</v>
      </c>
      <c r="M747" s="273">
        <f t="shared" si="897"/>
        <v>0</v>
      </c>
      <c r="N747" s="337" t="str">
        <f t="shared" si="898"/>
        <v>-</v>
      </c>
      <c r="O747" s="263" t="str">
        <f t="shared" si="886"/>
        <v>-</v>
      </c>
    </row>
    <row r="748" spans="1:15" ht="23.4" x14ac:dyDescent="0.3">
      <c r="A748" s="274"/>
      <c r="B748" s="1051"/>
      <c r="C748" s="299" t="s">
        <v>333</v>
      </c>
      <c r="D748" s="299" t="s">
        <v>94</v>
      </c>
      <c r="E748" s="280"/>
      <c r="F748" s="281"/>
      <c r="G748" s="334">
        <f t="shared" si="894"/>
        <v>0</v>
      </c>
      <c r="H748" s="282"/>
      <c r="I748" s="282"/>
      <c r="J748" s="353" t="str">
        <f>IFERROR(G748/#REF!,"-")</f>
        <v>-</v>
      </c>
      <c r="K748" s="334">
        <f t="shared" si="895"/>
        <v>0</v>
      </c>
      <c r="L748" s="272">
        <f t="shared" si="896"/>
        <v>0</v>
      </c>
      <c r="M748" s="273">
        <f t="shared" si="897"/>
        <v>0</v>
      </c>
      <c r="N748" s="337" t="str">
        <f t="shared" si="898"/>
        <v>-</v>
      </c>
      <c r="O748" s="263" t="str">
        <f t="shared" si="886"/>
        <v>-</v>
      </c>
    </row>
    <row r="749" spans="1:15" ht="23.4" x14ac:dyDescent="0.3">
      <c r="A749" s="274"/>
      <c r="B749" s="1051"/>
      <c r="C749" s="299" t="s">
        <v>433</v>
      </c>
      <c r="D749" s="299" t="s">
        <v>178</v>
      </c>
      <c r="E749" s="280"/>
      <c r="F749" s="281"/>
      <c r="G749" s="334">
        <f t="shared" si="894"/>
        <v>0</v>
      </c>
      <c r="H749" s="282"/>
      <c r="I749" s="282"/>
      <c r="J749" s="353" t="str">
        <f>IFERROR(G749/#REF!,"-")</f>
        <v>-</v>
      </c>
      <c r="K749" s="334">
        <f t="shared" si="895"/>
        <v>0</v>
      </c>
      <c r="L749" s="272">
        <f t="shared" si="896"/>
        <v>0</v>
      </c>
      <c r="M749" s="272">
        <f t="shared" si="897"/>
        <v>0</v>
      </c>
      <c r="N749" s="337" t="str">
        <f t="shared" si="898"/>
        <v>-</v>
      </c>
      <c r="O749" s="263" t="str">
        <f t="shared" si="886"/>
        <v>-</v>
      </c>
    </row>
    <row r="750" spans="1:15" ht="23.4" x14ac:dyDescent="0.3">
      <c r="A750" s="274"/>
      <c r="B750" s="1051"/>
      <c r="C750" s="299" t="s">
        <v>382</v>
      </c>
      <c r="D750" s="299" t="s">
        <v>366</v>
      </c>
      <c r="E750" s="280"/>
      <c r="F750" s="281"/>
      <c r="G750" s="334">
        <f t="shared" si="894"/>
        <v>0</v>
      </c>
      <c r="H750" s="282"/>
      <c r="I750" s="282"/>
      <c r="J750" s="353" t="str">
        <f>IFERROR(G750/#REF!,"-")</f>
        <v>-</v>
      </c>
      <c r="K750" s="334">
        <f t="shared" si="895"/>
        <v>0</v>
      </c>
      <c r="L750" s="272">
        <f t="shared" si="896"/>
        <v>0</v>
      </c>
      <c r="M750" s="273">
        <f t="shared" si="897"/>
        <v>0</v>
      </c>
      <c r="N750" s="337" t="str">
        <f t="shared" si="898"/>
        <v>-</v>
      </c>
      <c r="O750" s="263" t="str">
        <f t="shared" si="886"/>
        <v>-</v>
      </c>
    </row>
    <row r="751" spans="1:15" ht="24" thickBot="1" x14ac:dyDescent="0.35">
      <c r="A751" s="274" t="s">
        <v>101</v>
      </c>
      <c r="B751" s="1051"/>
      <c r="C751" s="300" t="s">
        <v>290</v>
      </c>
      <c r="D751" s="299" t="s">
        <v>289</v>
      </c>
      <c r="E751" s="280"/>
      <c r="F751" s="281"/>
      <c r="G751" s="334">
        <f t="shared" si="894"/>
        <v>0</v>
      </c>
      <c r="H751" s="282"/>
      <c r="I751" s="282"/>
      <c r="J751" s="353" t="str">
        <f>IFERROR(G751/#REF!,"-")</f>
        <v>-</v>
      </c>
      <c r="K751" s="334">
        <f t="shared" si="895"/>
        <v>0</v>
      </c>
      <c r="L751" s="272">
        <f t="shared" si="896"/>
        <v>0</v>
      </c>
      <c r="M751" s="273">
        <f t="shared" si="897"/>
        <v>0</v>
      </c>
      <c r="N751" s="337" t="str">
        <f t="shared" si="898"/>
        <v>-</v>
      </c>
      <c r="O751" s="347" t="str">
        <f t="shared" si="886"/>
        <v>-</v>
      </c>
    </row>
    <row r="752" spans="1:15" ht="24" thickBot="1" x14ac:dyDescent="0.35">
      <c r="A752" s="274" t="s">
        <v>101</v>
      </c>
      <c r="B752" s="1052"/>
      <c r="C752" s="301"/>
      <c r="D752" s="302" t="s">
        <v>52</v>
      </c>
      <c r="E752" s="284">
        <f>SUM(E742:E751)</f>
        <v>1865664</v>
      </c>
      <c r="F752" s="285">
        <v>160000</v>
      </c>
      <c r="G752" s="320">
        <f>SUM(G742:G751)</f>
        <v>45626</v>
      </c>
      <c r="H752" s="321">
        <f>SUM(H742:H751)</f>
        <v>43758</v>
      </c>
      <c r="I752" s="321">
        <f>SUM(I742:I751)</f>
        <v>1868</v>
      </c>
      <c r="J752" s="345">
        <f>+G752/F752</f>
        <v>0.28516249999999999</v>
      </c>
      <c r="K752" s="320">
        <f>SUM(K742:K751)</f>
        <v>590257</v>
      </c>
      <c r="L752" s="321">
        <f>SUM(L742:L751)</f>
        <v>580788</v>
      </c>
      <c r="M752" s="322">
        <f>SUM(M742:M751)</f>
        <v>9469</v>
      </c>
      <c r="N752" s="339">
        <f t="shared" si="898"/>
        <v>0.31637904788858018</v>
      </c>
      <c r="O752" s="345">
        <f t="shared" si="886"/>
        <v>1.6042164684196884E-2</v>
      </c>
    </row>
    <row r="753" spans="1:15" ht="23.4" x14ac:dyDescent="0.3">
      <c r="A753" s="274" t="s">
        <v>101</v>
      </c>
      <c r="B753" s="1053" t="s">
        <v>28</v>
      </c>
      <c r="C753" s="299" t="s">
        <v>27</v>
      </c>
      <c r="D753" s="297" t="s">
        <v>492</v>
      </c>
      <c r="E753" s="270"/>
      <c r="F753" s="271"/>
      <c r="G753" s="332">
        <f t="shared" ref="G753:G757" si="899">+H753+I753</f>
        <v>32374</v>
      </c>
      <c r="H753" s="272">
        <v>31824</v>
      </c>
      <c r="I753" s="272">
        <v>550</v>
      </c>
      <c r="J753" s="351" t="str">
        <f>IFERROR(G753/#REF!,"-")</f>
        <v>-</v>
      </c>
      <c r="K753" s="332">
        <f t="shared" ref="K753:K759" si="900">+L753+M753</f>
        <v>161499</v>
      </c>
      <c r="L753" s="272">
        <f t="shared" ref="L753:M759" si="901">+H753+L638</f>
        <v>159120</v>
      </c>
      <c r="M753" s="273">
        <f t="shared" si="901"/>
        <v>2379</v>
      </c>
      <c r="N753" s="336" t="str">
        <f t="shared" si="898"/>
        <v>-</v>
      </c>
      <c r="O753" s="346">
        <f t="shared" si="886"/>
        <v>1.4730741366819608E-2</v>
      </c>
    </row>
    <row r="754" spans="1:15" ht="23.4" x14ac:dyDescent="0.3">
      <c r="A754" s="274" t="s">
        <v>101</v>
      </c>
      <c r="B754" s="1051"/>
      <c r="C754" s="299" t="s">
        <v>385</v>
      </c>
      <c r="D754" s="299" t="s">
        <v>334</v>
      </c>
      <c r="E754" s="276"/>
      <c r="F754" s="277"/>
      <c r="G754" s="333">
        <f t="shared" si="899"/>
        <v>0</v>
      </c>
      <c r="H754" s="278"/>
      <c r="I754" s="278"/>
      <c r="J754" s="352" t="str">
        <f>IFERROR(G754/#REF!,"-")</f>
        <v>-</v>
      </c>
      <c r="K754" s="333">
        <f t="shared" si="900"/>
        <v>96975</v>
      </c>
      <c r="L754" s="272">
        <f t="shared" si="901"/>
        <v>95472</v>
      </c>
      <c r="M754" s="273">
        <f t="shared" si="901"/>
        <v>1503</v>
      </c>
      <c r="N754" s="337" t="str">
        <f t="shared" si="898"/>
        <v>-</v>
      </c>
      <c r="O754" s="263">
        <f t="shared" si="886"/>
        <v>1.5498839907192575E-2</v>
      </c>
    </row>
    <row r="755" spans="1:15" ht="23.4" x14ac:dyDescent="0.3">
      <c r="A755" s="274" t="s">
        <v>101</v>
      </c>
      <c r="B755" s="1051"/>
      <c r="C755" s="299" t="s">
        <v>27</v>
      </c>
      <c r="D755" s="299" t="s">
        <v>334</v>
      </c>
      <c r="E755" s="276"/>
      <c r="F755" s="277"/>
      <c r="G755" s="333">
        <f t="shared" si="899"/>
        <v>0</v>
      </c>
      <c r="H755" s="278"/>
      <c r="I755" s="278"/>
      <c r="J755" s="352" t="str">
        <f>IFERROR(G755/#REF!,"-")</f>
        <v>-</v>
      </c>
      <c r="K755" s="333">
        <f t="shared" si="900"/>
        <v>0</v>
      </c>
      <c r="L755" s="272">
        <f t="shared" si="901"/>
        <v>0</v>
      </c>
      <c r="M755" s="273">
        <f t="shared" si="901"/>
        <v>0</v>
      </c>
      <c r="N755" s="337" t="str">
        <f t="shared" si="898"/>
        <v>-</v>
      </c>
      <c r="O755" s="263" t="str">
        <f t="shared" si="886"/>
        <v>-</v>
      </c>
    </row>
    <row r="756" spans="1:15" ht="23.4" x14ac:dyDescent="0.3">
      <c r="A756" s="274"/>
      <c r="B756" s="1051"/>
      <c r="C756" s="299" t="s">
        <v>460</v>
      </c>
      <c r="D756" s="299" t="s">
        <v>334</v>
      </c>
      <c r="E756" s="280"/>
      <c r="F756" s="281"/>
      <c r="G756" s="333">
        <f t="shared" si="899"/>
        <v>0</v>
      </c>
      <c r="H756" s="282"/>
      <c r="I756" s="282"/>
      <c r="J756" s="352" t="str">
        <f>IFERROR(G756/#REF!,"-")</f>
        <v>-</v>
      </c>
      <c r="K756" s="333">
        <f t="shared" si="900"/>
        <v>0</v>
      </c>
      <c r="L756" s="272">
        <f t="shared" si="901"/>
        <v>0</v>
      </c>
      <c r="M756" s="273">
        <f t="shared" si="901"/>
        <v>0</v>
      </c>
      <c r="N756" s="338"/>
      <c r="O756" s="347"/>
    </row>
    <row r="757" spans="1:15" ht="23.4" x14ac:dyDescent="0.3">
      <c r="A757" s="274" t="s">
        <v>101</v>
      </c>
      <c r="B757" s="1051"/>
      <c r="C757" s="299" t="s">
        <v>382</v>
      </c>
      <c r="D757" s="300" t="s">
        <v>366</v>
      </c>
      <c r="E757" s="280"/>
      <c r="F757" s="281"/>
      <c r="G757" s="334">
        <f t="shared" si="899"/>
        <v>0</v>
      </c>
      <c r="H757" s="282"/>
      <c r="I757" s="282"/>
      <c r="J757" s="352" t="str">
        <f>IFERROR(G757/#REF!,"-")</f>
        <v>-</v>
      </c>
      <c r="K757" s="334">
        <f t="shared" si="900"/>
        <v>0</v>
      </c>
      <c r="L757" s="272">
        <f t="shared" si="901"/>
        <v>0</v>
      </c>
      <c r="M757" s="702">
        <f t="shared" si="901"/>
        <v>0</v>
      </c>
      <c r="N757" s="338" t="str">
        <f t="shared" ref="N757" si="902">IFERROR(K757/E757,"-")</f>
        <v>-</v>
      </c>
      <c r="O757" s="347" t="str">
        <f t="shared" ref="O757" si="903">IFERROR(M757/K757,"-")</f>
        <v>-</v>
      </c>
    </row>
    <row r="758" spans="1:15" ht="23.4" x14ac:dyDescent="0.3">
      <c r="A758" s="274"/>
      <c r="B758" s="1051"/>
      <c r="C758" s="299" t="s">
        <v>458</v>
      </c>
      <c r="D758" s="300" t="s">
        <v>280</v>
      </c>
      <c r="E758" s="280"/>
      <c r="F758" s="281"/>
      <c r="G758" s="334"/>
      <c r="H758" s="282"/>
      <c r="I758" s="282"/>
      <c r="J758" s="352" t="str">
        <f>IFERROR(G758/#REF!,"-")</f>
        <v>-</v>
      </c>
      <c r="K758" s="334">
        <f t="shared" si="900"/>
        <v>0</v>
      </c>
      <c r="L758" s="272">
        <f t="shared" si="901"/>
        <v>0</v>
      </c>
      <c r="M758" s="272">
        <f t="shared" si="901"/>
        <v>0</v>
      </c>
      <c r="N758" s="338"/>
      <c r="O758" s="347"/>
    </row>
    <row r="759" spans="1:15" ht="24" thickBot="1" x14ac:dyDescent="0.35">
      <c r="A759" s="274" t="s">
        <v>101</v>
      </c>
      <c r="B759" s="1051"/>
      <c r="C759" s="299" t="s">
        <v>27</v>
      </c>
      <c r="D759" s="300" t="s">
        <v>234</v>
      </c>
      <c r="E759" s="280"/>
      <c r="F759" s="281"/>
      <c r="G759" s="334">
        <f t="shared" ref="G759" si="904">+H759+I759</f>
        <v>0</v>
      </c>
      <c r="H759" s="282"/>
      <c r="I759" s="282"/>
      <c r="J759" s="353" t="str">
        <f>IFERROR(G759/#REF!,"-")</f>
        <v>-</v>
      </c>
      <c r="K759" s="334">
        <f t="shared" si="900"/>
        <v>0</v>
      </c>
      <c r="L759" s="272">
        <f t="shared" si="901"/>
        <v>0</v>
      </c>
      <c r="M759" s="702">
        <f t="shared" si="901"/>
        <v>0</v>
      </c>
      <c r="N759" s="338" t="str">
        <f t="shared" ref="N759:N760" si="905">IFERROR(K759/E759,"-")</f>
        <v>-</v>
      </c>
      <c r="O759" s="347" t="str">
        <f t="shared" ref="O759:O775" si="906">IFERROR(M759/K759,"-")</f>
        <v>-</v>
      </c>
    </row>
    <row r="760" spans="1:15" ht="24" thickBot="1" x14ac:dyDescent="0.35">
      <c r="A760" s="274" t="s">
        <v>101</v>
      </c>
      <c r="B760" s="1051"/>
      <c r="C760" s="304"/>
      <c r="D760" s="305" t="s">
        <v>52</v>
      </c>
      <c r="E760" s="306">
        <f>SUM(E753:E759)</f>
        <v>0</v>
      </c>
      <c r="F760" s="307">
        <v>80000</v>
      </c>
      <c r="G760" s="366">
        <f>SUM(G753:G759)</f>
        <v>32374</v>
      </c>
      <c r="H760" s="365">
        <f>SUM(H753:H759)</f>
        <v>31824</v>
      </c>
      <c r="I760" s="365">
        <f>SUM(I753:I759)</f>
        <v>550</v>
      </c>
      <c r="J760" s="356">
        <f>+G760/F760</f>
        <v>0.40467500000000001</v>
      </c>
      <c r="K760" s="366">
        <f>SUM(K753:K759)</f>
        <v>258474</v>
      </c>
      <c r="L760" s="365">
        <f>SUM(L753:L759)</f>
        <v>254592</v>
      </c>
      <c r="M760" s="367">
        <f>SUM(M753:M759)</f>
        <v>3882</v>
      </c>
      <c r="N760" s="355" t="str">
        <f t="shared" si="905"/>
        <v>-</v>
      </c>
      <c r="O760" s="356">
        <f t="shared" si="906"/>
        <v>1.5018918730704055E-2</v>
      </c>
    </row>
    <row r="761" spans="1:15" ht="24" thickBot="1" x14ac:dyDescent="0.35">
      <c r="A761" s="812" t="s">
        <v>101</v>
      </c>
      <c r="B761" s="1054" t="s">
        <v>162</v>
      </c>
      <c r="C761" s="1055"/>
      <c r="D761" s="1056"/>
      <c r="E761" s="308">
        <f>+E760+E752</f>
        <v>1865664</v>
      </c>
      <c r="F761" s="309">
        <v>240000</v>
      </c>
      <c r="G761" s="369">
        <f>+G752+G760</f>
        <v>78000</v>
      </c>
      <c r="H761" s="368">
        <f>+H752+H760</f>
        <v>75582</v>
      </c>
      <c r="I761" s="368">
        <f>+I752+I760</f>
        <v>2418</v>
      </c>
      <c r="J761" s="358">
        <f>+G761/F761</f>
        <v>0.32500000000000001</v>
      </c>
      <c r="K761" s="369">
        <f>+K752+K760</f>
        <v>848731</v>
      </c>
      <c r="L761" s="368">
        <f>+L752+L760</f>
        <v>835380</v>
      </c>
      <c r="M761" s="370">
        <f>+M752+M760</f>
        <v>13351</v>
      </c>
      <c r="N761" s="357">
        <f>IFERROR(K761/E761,"-")</f>
        <v>0.45492167935919864</v>
      </c>
      <c r="O761" s="358">
        <f t="shared" si="906"/>
        <v>1.5730543599797815E-2</v>
      </c>
    </row>
    <row r="762" spans="1:15" ht="23.4" x14ac:dyDescent="0.3">
      <c r="A762" s="274" t="s">
        <v>101</v>
      </c>
      <c r="B762" s="1051" t="s">
        <v>30</v>
      </c>
      <c r="C762" s="303" t="s">
        <v>446</v>
      </c>
      <c r="D762" s="299" t="s">
        <v>334</v>
      </c>
      <c r="E762" s="270">
        <v>225000</v>
      </c>
      <c r="F762" s="271"/>
      <c r="G762" s="332">
        <f t="shared" ref="G762:G764" si="907">+H762+I762</f>
        <v>0</v>
      </c>
      <c r="H762" s="272"/>
      <c r="I762" s="272"/>
      <c r="J762" s="351" t="str">
        <f>IFERROR(G762/#REF!,"-")</f>
        <v>-</v>
      </c>
      <c r="K762" s="332">
        <f t="shared" ref="K762:K764" si="908">+L762+M762</f>
        <v>0</v>
      </c>
      <c r="L762" s="272">
        <f t="shared" ref="L762:M764" si="909">+H762+L647</f>
        <v>0</v>
      </c>
      <c r="M762" s="273">
        <f t="shared" si="909"/>
        <v>0</v>
      </c>
      <c r="N762" s="336">
        <f t="shared" ref="N762:N775" si="910">IFERROR(K762/E762,"-")</f>
        <v>0</v>
      </c>
      <c r="O762" s="346" t="str">
        <f t="shared" si="906"/>
        <v>-</v>
      </c>
    </row>
    <row r="763" spans="1:15" ht="23.4" x14ac:dyDescent="0.3">
      <c r="A763" s="274" t="s">
        <v>101</v>
      </c>
      <c r="B763" s="1051"/>
      <c r="C763" s="300" t="s">
        <v>429</v>
      </c>
      <c r="D763" s="303" t="s">
        <v>366</v>
      </c>
      <c r="E763" s="276"/>
      <c r="F763" s="277"/>
      <c r="G763" s="333">
        <f t="shared" si="907"/>
        <v>0</v>
      </c>
      <c r="H763" s="278"/>
      <c r="I763" s="278"/>
      <c r="J763" s="352" t="str">
        <f>IFERROR(G763/#REF!,"-")</f>
        <v>-</v>
      </c>
      <c r="K763" s="333">
        <f t="shared" si="908"/>
        <v>0</v>
      </c>
      <c r="L763" s="272">
        <f t="shared" si="909"/>
        <v>0</v>
      </c>
      <c r="M763" s="273">
        <f t="shared" si="909"/>
        <v>0</v>
      </c>
      <c r="N763" s="337" t="str">
        <f t="shared" si="910"/>
        <v>-</v>
      </c>
      <c r="O763" s="263" t="str">
        <f t="shared" si="906"/>
        <v>-</v>
      </c>
    </row>
    <row r="764" spans="1:15" ht="24" thickBot="1" x14ac:dyDescent="0.35">
      <c r="A764" s="274" t="s">
        <v>101</v>
      </c>
      <c r="B764" s="1051"/>
      <c r="C764" s="300" t="s">
        <v>291</v>
      </c>
      <c r="D764" s="300" t="s">
        <v>366</v>
      </c>
      <c r="E764" s="280"/>
      <c r="F764" s="281"/>
      <c r="G764" s="334">
        <f t="shared" si="907"/>
        <v>0</v>
      </c>
      <c r="H764" s="282"/>
      <c r="I764" s="282"/>
      <c r="J764" s="353" t="str">
        <f>IFERROR(G764/#REF!,"-")</f>
        <v>-</v>
      </c>
      <c r="K764" s="334">
        <f t="shared" si="908"/>
        <v>0</v>
      </c>
      <c r="L764" s="272">
        <f t="shared" si="909"/>
        <v>0</v>
      </c>
      <c r="M764" s="273">
        <f t="shared" si="909"/>
        <v>0</v>
      </c>
      <c r="N764" s="338" t="str">
        <f t="shared" si="910"/>
        <v>-</v>
      </c>
      <c r="O764" s="347" t="str">
        <f t="shared" si="906"/>
        <v>-</v>
      </c>
    </row>
    <row r="765" spans="1:15" ht="24" thickBot="1" x14ac:dyDescent="0.35">
      <c r="A765" s="274" t="s">
        <v>101</v>
      </c>
      <c r="B765" s="1051"/>
      <c r="C765" s="301"/>
      <c r="D765" s="302" t="s">
        <v>50</v>
      </c>
      <c r="E765" s="284">
        <f>SUM(E762:E764)</f>
        <v>225000</v>
      </c>
      <c r="F765" s="285">
        <v>50000</v>
      </c>
      <c r="G765" s="320">
        <f>SUM(G762:G764)</f>
        <v>0</v>
      </c>
      <c r="H765" s="321">
        <f>SUM(H762:H764)</f>
        <v>0</v>
      </c>
      <c r="I765" s="321">
        <f>SUM(I762:I764)</f>
        <v>0</v>
      </c>
      <c r="J765" s="345" t="e">
        <f>+H765/G765</f>
        <v>#DIV/0!</v>
      </c>
      <c r="K765" s="320">
        <f>SUM(K762:K764)</f>
        <v>0</v>
      </c>
      <c r="L765" s="321">
        <f>SUM(L762:L764)</f>
        <v>0</v>
      </c>
      <c r="M765" s="322">
        <f>SUM(M762:M764)</f>
        <v>0</v>
      </c>
      <c r="N765" s="339">
        <f t="shared" si="910"/>
        <v>0</v>
      </c>
      <c r="O765" s="345" t="str">
        <f t="shared" si="906"/>
        <v>-</v>
      </c>
    </row>
    <row r="766" spans="1:15" ht="23.4" x14ac:dyDescent="0.3">
      <c r="A766" s="274" t="s">
        <v>101</v>
      </c>
      <c r="B766" s="1051"/>
      <c r="C766" s="297" t="s">
        <v>434</v>
      </c>
      <c r="D766" s="297" t="s">
        <v>92</v>
      </c>
      <c r="E766" s="270"/>
      <c r="F766" s="271"/>
      <c r="G766" s="332">
        <f t="shared" ref="G766:G767" si="911">+H766+I766</f>
        <v>0</v>
      </c>
      <c r="H766" s="272"/>
      <c r="I766" s="272"/>
      <c r="J766" s="351" t="str">
        <f>IFERROR(G766/#REF!,"-")</f>
        <v>-</v>
      </c>
      <c r="K766" s="332">
        <f t="shared" ref="K766:K771" si="912">+L766+M766</f>
        <v>0</v>
      </c>
      <c r="L766" s="272">
        <f t="shared" ref="L766:M771" si="913">+H766+L651</f>
        <v>0</v>
      </c>
      <c r="M766" s="273">
        <f t="shared" si="913"/>
        <v>0</v>
      </c>
      <c r="N766" s="336" t="str">
        <f t="shared" si="910"/>
        <v>-</v>
      </c>
      <c r="O766" s="346" t="str">
        <f t="shared" si="906"/>
        <v>-</v>
      </c>
    </row>
    <row r="767" spans="1:15" ht="23.4" x14ac:dyDescent="0.3">
      <c r="A767" s="274"/>
      <c r="B767" s="1051"/>
      <c r="C767" s="303" t="s">
        <v>449</v>
      </c>
      <c r="D767" s="299" t="s">
        <v>334</v>
      </c>
      <c r="E767" s="270"/>
      <c r="F767" s="271"/>
      <c r="G767" s="332">
        <f t="shared" si="911"/>
        <v>0</v>
      </c>
      <c r="H767" s="272"/>
      <c r="I767" s="272"/>
      <c r="J767" s="351" t="str">
        <f>IFERROR(G767/#REF!,"-")</f>
        <v>-</v>
      </c>
      <c r="K767" s="332">
        <f t="shared" si="912"/>
        <v>0</v>
      </c>
      <c r="L767" s="272">
        <f t="shared" si="913"/>
        <v>0</v>
      </c>
      <c r="M767" s="273">
        <f t="shared" si="913"/>
        <v>0</v>
      </c>
      <c r="N767" s="337" t="str">
        <f t="shared" si="910"/>
        <v>-</v>
      </c>
      <c r="O767" s="346" t="str">
        <f t="shared" si="906"/>
        <v>-</v>
      </c>
    </row>
    <row r="768" spans="1:15" ht="23.4" x14ac:dyDescent="0.3">
      <c r="A768" s="274"/>
      <c r="B768" s="1051"/>
      <c r="C768" s="303" t="s">
        <v>452</v>
      </c>
      <c r="D768" s="299" t="s">
        <v>334</v>
      </c>
      <c r="E768" s="270"/>
      <c r="F768" s="271"/>
      <c r="G768" s="332"/>
      <c r="H768" s="272"/>
      <c r="I768" s="272"/>
      <c r="J768" s="351" t="str">
        <f>IFERROR(G768/#REF!,"-")</f>
        <v>-</v>
      </c>
      <c r="K768" s="332">
        <f t="shared" si="912"/>
        <v>0</v>
      </c>
      <c r="L768" s="272">
        <f t="shared" si="913"/>
        <v>0</v>
      </c>
      <c r="M768" s="273">
        <f t="shared" si="913"/>
        <v>0</v>
      </c>
      <c r="N768" s="337" t="str">
        <f t="shared" si="910"/>
        <v>-</v>
      </c>
      <c r="O768" s="346" t="str">
        <f t="shared" si="906"/>
        <v>-</v>
      </c>
    </row>
    <row r="769" spans="1:15" ht="23.4" x14ac:dyDescent="0.3">
      <c r="A769" s="274" t="s">
        <v>101</v>
      </c>
      <c r="B769" s="1051"/>
      <c r="C769" s="303" t="s">
        <v>501</v>
      </c>
      <c r="D769" s="300" t="s">
        <v>423</v>
      </c>
      <c r="E769" s="276">
        <v>125000</v>
      </c>
      <c r="F769" s="277"/>
      <c r="G769" s="333">
        <f t="shared" ref="G769" si="914">+H769+I769</f>
        <v>0</v>
      </c>
      <c r="H769" s="278"/>
      <c r="I769" s="278"/>
      <c r="J769" s="351" t="str">
        <f>IFERROR(G769/#REF!,"-")</f>
        <v>-</v>
      </c>
      <c r="K769" s="333">
        <f t="shared" si="912"/>
        <v>8116</v>
      </c>
      <c r="L769" s="272">
        <f t="shared" si="913"/>
        <v>7488</v>
      </c>
      <c r="M769" s="273">
        <f t="shared" si="913"/>
        <v>628</v>
      </c>
      <c r="N769" s="337">
        <f t="shared" si="910"/>
        <v>6.4928E-2</v>
      </c>
      <c r="O769" s="263">
        <f t="shared" si="906"/>
        <v>7.737801872843765E-2</v>
      </c>
    </row>
    <row r="770" spans="1:15" ht="23.4" x14ac:dyDescent="0.3">
      <c r="A770" s="274"/>
      <c r="B770" s="1051"/>
      <c r="C770" s="300" t="s">
        <v>459</v>
      </c>
      <c r="D770" s="300" t="s">
        <v>366</v>
      </c>
      <c r="E770" s="280"/>
      <c r="F770" s="281"/>
      <c r="G770" s="334"/>
      <c r="H770" s="282"/>
      <c r="I770" s="282"/>
      <c r="J770" s="351" t="str">
        <f>IFERROR(G770/#REF!,"-")</f>
        <v>-</v>
      </c>
      <c r="K770" s="333">
        <f t="shared" si="912"/>
        <v>0</v>
      </c>
      <c r="L770" s="272">
        <f t="shared" si="913"/>
        <v>0</v>
      </c>
      <c r="M770" s="272">
        <f t="shared" si="913"/>
        <v>0</v>
      </c>
      <c r="N770" s="337" t="str">
        <f t="shared" si="910"/>
        <v>-</v>
      </c>
      <c r="O770" s="263" t="str">
        <f t="shared" si="906"/>
        <v>-</v>
      </c>
    </row>
    <row r="771" spans="1:15" ht="24" thickBot="1" x14ac:dyDescent="0.35">
      <c r="A771" s="274" t="s">
        <v>101</v>
      </c>
      <c r="B771" s="1051"/>
      <c r="C771" s="300" t="s">
        <v>435</v>
      </c>
      <c r="D771" s="300" t="s">
        <v>423</v>
      </c>
      <c r="E771" s="280"/>
      <c r="F771" s="281"/>
      <c r="G771" s="334">
        <f t="shared" ref="G771" si="915">+H771+I771</f>
        <v>0</v>
      </c>
      <c r="H771" s="282"/>
      <c r="I771" s="282"/>
      <c r="J771" s="353" t="str">
        <f>IFERROR(G771/#REF!,"-")</f>
        <v>-</v>
      </c>
      <c r="K771" s="334">
        <f t="shared" si="912"/>
        <v>0</v>
      </c>
      <c r="L771" s="272">
        <f t="shared" si="913"/>
        <v>0</v>
      </c>
      <c r="M771" s="273">
        <f t="shared" si="913"/>
        <v>0</v>
      </c>
      <c r="N771" s="338" t="str">
        <f t="shared" si="910"/>
        <v>-</v>
      </c>
      <c r="O771" s="347" t="str">
        <f t="shared" si="906"/>
        <v>-</v>
      </c>
    </row>
    <row r="772" spans="1:15" ht="24" thickBot="1" x14ac:dyDescent="0.35">
      <c r="A772" s="274" t="s">
        <v>101</v>
      </c>
      <c r="B772" s="1051"/>
      <c r="C772" s="304"/>
      <c r="D772" s="305" t="s">
        <v>51</v>
      </c>
      <c r="E772" s="306">
        <f>SUM(E766:E771)</f>
        <v>125000</v>
      </c>
      <c r="F772" s="307">
        <v>50000</v>
      </c>
      <c r="G772" s="366">
        <f>SUM(G766:G771)</f>
        <v>0</v>
      </c>
      <c r="H772" s="365">
        <f t="shared" ref="H772:I772" si="916">SUM(H766:H771)</f>
        <v>0</v>
      </c>
      <c r="I772" s="365">
        <f t="shared" si="916"/>
        <v>0</v>
      </c>
      <c r="J772" s="356">
        <f>+G772/F772</f>
        <v>0</v>
      </c>
      <c r="K772" s="366">
        <f t="shared" ref="K772:M772" si="917">SUM(K766:K771)</f>
        <v>8116</v>
      </c>
      <c r="L772" s="365">
        <f t="shared" si="917"/>
        <v>7488</v>
      </c>
      <c r="M772" s="367">
        <f t="shared" si="917"/>
        <v>628</v>
      </c>
      <c r="N772" s="355">
        <f t="shared" si="910"/>
        <v>6.4928E-2</v>
      </c>
      <c r="O772" s="356">
        <f t="shared" si="906"/>
        <v>7.737801872843765E-2</v>
      </c>
    </row>
    <row r="773" spans="1:15" ht="24" thickBot="1" x14ac:dyDescent="0.35">
      <c r="A773" s="274" t="s">
        <v>101</v>
      </c>
      <c r="B773" s="1054" t="s">
        <v>163</v>
      </c>
      <c r="C773" s="1055"/>
      <c r="D773" s="1056"/>
      <c r="E773" s="308">
        <f>+E772+E765</f>
        <v>350000</v>
      </c>
      <c r="F773" s="309">
        <v>50000</v>
      </c>
      <c r="G773" s="369">
        <f>+G765+G772</f>
        <v>0</v>
      </c>
      <c r="H773" s="368">
        <f t="shared" ref="H773:I773" si="918">+H765+H772</f>
        <v>0</v>
      </c>
      <c r="I773" s="368">
        <f t="shared" si="918"/>
        <v>0</v>
      </c>
      <c r="J773" s="358">
        <f>+G773/F773</f>
        <v>0</v>
      </c>
      <c r="K773" s="369">
        <f t="shared" ref="K773:M773" si="919">+K765+K772</f>
        <v>8116</v>
      </c>
      <c r="L773" s="368">
        <f t="shared" si="919"/>
        <v>7488</v>
      </c>
      <c r="M773" s="370">
        <f t="shared" si="919"/>
        <v>628</v>
      </c>
      <c r="N773" s="357">
        <f t="shared" si="910"/>
        <v>2.318857142857143E-2</v>
      </c>
      <c r="O773" s="358">
        <f t="shared" si="906"/>
        <v>7.737801872843765E-2</v>
      </c>
    </row>
    <row r="774" spans="1:15" ht="24" thickBot="1" x14ac:dyDescent="0.35">
      <c r="A774" s="274" t="s">
        <v>101</v>
      </c>
      <c r="B774" s="598" t="s">
        <v>32</v>
      </c>
      <c r="C774" s="808"/>
      <c r="D774" s="310" t="s">
        <v>32</v>
      </c>
      <c r="E774" s="287">
        <v>0</v>
      </c>
      <c r="F774" s="288">
        <v>110000</v>
      </c>
      <c r="G774" s="335">
        <f t="shared" ref="G774" si="920">+H774+I774</f>
        <v>0</v>
      </c>
      <c r="H774" s="289"/>
      <c r="I774" s="289"/>
      <c r="J774" s="354" t="str">
        <f>IFERROR(G774/#REF!,"-")</f>
        <v>-</v>
      </c>
      <c r="K774" s="335">
        <f>+L774+M774</f>
        <v>0</v>
      </c>
      <c r="L774" s="289">
        <f>+H774+L659</f>
        <v>0</v>
      </c>
      <c r="M774" s="290">
        <f>+I774+M659</f>
        <v>0</v>
      </c>
      <c r="N774" s="340" t="str">
        <f t="shared" si="910"/>
        <v>-</v>
      </c>
      <c r="O774" s="348" t="str">
        <f t="shared" si="906"/>
        <v>-</v>
      </c>
    </row>
    <row r="775" spans="1:15" ht="24" thickBot="1" x14ac:dyDescent="0.35">
      <c r="A775" s="274" t="s">
        <v>101</v>
      </c>
      <c r="B775" s="1047" t="s">
        <v>21</v>
      </c>
      <c r="C775" s="1048"/>
      <c r="D775" s="1049"/>
      <c r="E775" s="326">
        <f>+E761+E773+E774</f>
        <v>2215664</v>
      </c>
      <c r="F775" s="327">
        <f>+F761+F773+F774</f>
        <v>400000</v>
      </c>
      <c r="G775" s="326">
        <f>+G761+G773+G774</f>
        <v>78000</v>
      </c>
      <c r="H775" s="324">
        <f>+H761+H773+H774</f>
        <v>75582</v>
      </c>
      <c r="I775" s="324">
        <f>+I761+I773+I774</f>
        <v>2418</v>
      </c>
      <c r="J775" s="349">
        <f>+G775/F775</f>
        <v>0.19500000000000001</v>
      </c>
      <c r="K775" s="326">
        <f>+K761+K773+K774</f>
        <v>856847</v>
      </c>
      <c r="L775" s="324">
        <f>+L761+L773+L774</f>
        <v>842868</v>
      </c>
      <c r="M775" s="325">
        <f>+M761+M773+M774</f>
        <v>13979</v>
      </c>
      <c r="N775" s="341">
        <f t="shared" si="910"/>
        <v>0.38672244528051186</v>
      </c>
      <c r="O775" s="349">
        <f t="shared" si="906"/>
        <v>1.631446454267798E-2</v>
      </c>
    </row>
    <row r="776" spans="1:15" ht="24" thickBot="1" x14ac:dyDescent="0.35">
      <c r="A776" s="274" t="s">
        <v>101</v>
      </c>
      <c r="B776" s="1019" t="s">
        <v>171</v>
      </c>
      <c r="C776" s="1020"/>
      <c r="D776" s="1021"/>
      <c r="E776" s="330">
        <f>+E775</f>
        <v>2215664</v>
      </c>
      <c r="F776" s="331">
        <f t="shared" ref="F776:I776" si="921">+F775</f>
        <v>400000</v>
      </c>
      <c r="G776" s="330">
        <f t="shared" si="921"/>
        <v>78000</v>
      </c>
      <c r="H776" s="328">
        <f t="shared" si="921"/>
        <v>75582</v>
      </c>
      <c r="I776" s="328">
        <f t="shared" si="921"/>
        <v>2418</v>
      </c>
      <c r="J776" s="350">
        <f>+J775</f>
        <v>0.19500000000000001</v>
      </c>
      <c r="K776" s="330">
        <f>+K775</f>
        <v>856847</v>
      </c>
      <c r="L776" s="328">
        <f t="shared" ref="L776" si="922">+L775</f>
        <v>842868</v>
      </c>
      <c r="M776" s="329">
        <f>+M775</f>
        <v>13979</v>
      </c>
      <c r="N776" s="342">
        <f t="shared" ref="N776:O776" si="923">+N775</f>
        <v>0.38672244528051186</v>
      </c>
      <c r="O776" s="350">
        <f t="shared" si="923"/>
        <v>1.631446454267798E-2</v>
      </c>
    </row>
    <row r="777" spans="1:15" ht="23.4" x14ac:dyDescent="0.3">
      <c r="A777" s="268" t="s">
        <v>102</v>
      </c>
      <c r="B777" s="1022" t="s">
        <v>401</v>
      </c>
      <c r="C777" s="311" t="s">
        <v>113</v>
      </c>
      <c r="D777" s="311"/>
      <c r="E777" s="270"/>
      <c r="F777" s="271"/>
      <c r="G777" s="332">
        <f t="shared" ref="G777:G779" si="924">+H777+I777</f>
        <v>0</v>
      </c>
      <c r="H777" s="272"/>
      <c r="I777" s="272"/>
      <c r="J777" s="351" t="str">
        <f>IFERROR(G777/#REF!,"-")</f>
        <v>-</v>
      </c>
      <c r="K777" s="332">
        <f t="shared" ref="K777:K779" si="925">+L777+M777</f>
        <v>0</v>
      </c>
      <c r="L777" s="272">
        <f t="shared" ref="L777:M779" si="926">+H777+L662</f>
        <v>0</v>
      </c>
      <c r="M777" s="273">
        <f t="shared" si="926"/>
        <v>0</v>
      </c>
      <c r="N777" s="336" t="str">
        <f t="shared" ref="N777:N784" si="927">IFERROR(K777/E777,"-")</f>
        <v>-</v>
      </c>
      <c r="O777" s="346" t="str">
        <f t="shared" ref="O777:O802" si="928">IFERROR(M777/K777,"-")</f>
        <v>-</v>
      </c>
    </row>
    <row r="778" spans="1:15" ht="23.4" x14ac:dyDescent="0.3">
      <c r="A778" s="274" t="s">
        <v>102</v>
      </c>
      <c r="B778" s="1023"/>
      <c r="C778" s="312" t="s">
        <v>247</v>
      </c>
      <c r="D778" s="312"/>
      <c r="E778" s="276">
        <v>2000</v>
      </c>
      <c r="F778" s="277"/>
      <c r="G778" s="333">
        <f t="shared" si="924"/>
        <v>1151</v>
      </c>
      <c r="H778" s="278">
        <v>1100</v>
      </c>
      <c r="I778" s="278">
        <v>51</v>
      </c>
      <c r="J778" s="352" t="str">
        <f>IFERROR(G778/#REF!,"-")</f>
        <v>-</v>
      </c>
      <c r="K778" s="333">
        <f t="shared" si="925"/>
        <v>9238</v>
      </c>
      <c r="L778" s="272">
        <f t="shared" si="926"/>
        <v>8800</v>
      </c>
      <c r="M778" s="273">
        <f t="shared" si="926"/>
        <v>438</v>
      </c>
      <c r="N778" s="337">
        <f t="shared" si="927"/>
        <v>4.6189999999999998</v>
      </c>
      <c r="O778" s="263">
        <f t="shared" si="928"/>
        <v>4.7412859926390993E-2</v>
      </c>
    </row>
    <row r="779" spans="1:15" ht="24" thickBot="1" x14ac:dyDescent="0.35">
      <c r="A779" s="274" t="s">
        <v>102</v>
      </c>
      <c r="B779" s="1024"/>
      <c r="C779" s="313" t="s">
        <v>33</v>
      </c>
      <c r="D779" s="313"/>
      <c r="E779" s="280"/>
      <c r="F779" s="281"/>
      <c r="G779" s="334">
        <f t="shared" si="924"/>
        <v>0</v>
      </c>
      <c r="H779" s="282"/>
      <c r="I779" s="282"/>
      <c r="J779" s="353" t="str">
        <f>IFERROR(G779/#REF!,"-")</f>
        <v>-</v>
      </c>
      <c r="K779" s="334">
        <f t="shared" si="925"/>
        <v>0</v>
      </c>
      <c r="L779" s="272">
        <f t="shared" si="926"/>
        <v>0</v>
      </c>
      <c r="M779" s="273">
        <f t="shared" si="926"/>
        <v>0</v>
      </c>
      <c r="N779" s="338" t="str">
        <f t="shared" si="927"/>
        <v>-</v>
      </c>
      <c r="O779" s="347" t="str">
        <f t="shared" si="928"/>
        <v>-</v>
      </c>
    </row>
    <row r="780" spans="1:15" ht="24" thickBot="1" x14ac:dyDescent="0.35">
      <c r="A780" s="274" t="s">
        <v>102</v>
      </c>
      <c r="B780" s="1025" t="s">
        <v>34</v>
      </c>
      <c r="C780" s="1026"/>
      <c r="D780" s="1027"/>
      <c r="E780" s="284">
        <f>SUM(E777:E779)</f>
        <v>2000</v>
      </c>
      <c r="F780" s="285">
        <v>6500</v>
      </c>
      <c r="G780" s="320">
        <f>SUM(G777:G779)</f>
        <v>1151</v>
      </c>
      <c r="H780" s="321">
        <f t="shared" ref="H780:I780" si="929">SUM(H777:H779)</f>
        <v>1100</v>
      </c>
      <c r="I780" s="321">
        <f t="shared" si="929"/>
        <v>51</v>
      </c>
      <c r="J780" s="345" t="str">
        <f>IFERROR(G780/#REF!,"-")</f>
        <v>-</v>
      </c>
      <c r="K780" s="320">
        <f t="shared" ref="K780:M780" si="930">SUM(K777:K779)</f>
        <v>9238</v>
      </c>
      <c r="L780" s="321">
        <f t="shared" si="930"/>
        <v>8800</v>
      </c>
      <c r="M780" s="322">
        <f t="shared" si="930"/>
        <v>438</v>
      </c>
      <c r="N780" s="339">
        <f t="shared" si="927"/>
        <v>4.6189999999999998</v>
      </c>
      <c r="O780" s="345">
        <f t="shared" si="928"/>
        <v>4.7412859926390993E-2</v>
      </c>
    </row>
    <row r="781" spans="1:15" ht="23.4" x14ac:dyDescent="0.3">
      <c r="A781" s="274" t="s">
        <v>102</v>
      </c>
      <c r="B781" s="1022" t="s">
        <v>35</v>
      </c>
      <c r="C781" s="311" t="s">
        <v>113</v>
      </c>
      <c r="D781" s="311"/>
      <c r="E781" s="270"/>
      <c r="F781" s="271"/>
      <c r="G781" s="332">
        <f t="shared" ref="G781:G784" si="931">+H781+I781</f>
        <v>0</v>
      </c>
      <c r="H781" s="272"/>
      <c r="I781" s="272"/>
      <c r="J781" s="351" t="str">
        <f>IFERROR(G781/#REF!,"-")</f>
        <v>-</v>
      </c>
      <c r="K781" s="332">
        <f t="shared" ref="K781:K784" si="932">+L781+M781</f>
        <v>0</v>
      </c>
      <c r="L781" s="272">
        <f t="shared" ref="L781:M784" si="933">+H781+L666</f>
        <v>0</v>
      </c>
      <c r="M781" s="273">
        <f t="shared" si="933"/>
        <v>0</v>
      </c>
      <c r="N781" s="336" t="str">
        <f t="shared" si="927"/>
        <v>-</v>
      </c>
      <c r="O781" s="346" t="str">
        <f t="shared" si="928"/>
        <v>-</v>
      </c>
    </row>
    <row r="782" spans="1:15" ht="23.4" x14ac:dyDescent="0.3">
      <c r="A782" s="274" t="s">
        <v>102</v>
      </c>
      <c r="B782" s="1023"/>
      <c r="C782" s="312" t="s">
        <v>247</v>
      </c>
      <c r="D782" s="312"/>
      <c r="E782" s="276"/>
      <c r="F782" s="277"/>
      <c r="G782" s="333">
        <f t="shared" si="931"/>
        <v>0</v>
      </c>
      <c r="H782" s="278"/>
      <c r="I782" s="278"/>
      <c r="J782" s="352" t="str">
        <f>IFERROR(G782/#REF!,"-")</f>
        <v>-</v>
      </c>
      <c r="K782" s="333">
        <f t="shared" si="932"/>
        <v>0</v>
      </c>
      <c r="L782" s="272">
        <f t="shared" si="933"/>
        <v>0</v>
      </c>
      <c r="M782" s="273">
        <f t="shared" si="933"/>
        <v>0</v>
      </c>
      <c r="N782" s="337" t="str">
        <f t="shared" si="927"/>
        <v>-</v>
      </c>
      <c r="O782" s="263" t="str">
        <f t="shared" si="928"/>
        <v>-</v>
      </c>
    </row>
    <row r="783" spans="1:15" ht="23.4" x14ac:dyDescent="0.3">
      <c r="A783" s="274" t="s">
        <v>102</v>
      </c>
      <c r="B783" s="1023"/>
      <c r="C783" s="312" t="s">
        <v>496</v>
      </c>
      <c r="D783" s="312"/>
      <c r="E783" s="276">
        <v>20000</v>
      </c>
      <c r="F783" s="277"/>
      <c r="G783" s="333">
        <f t="shared" si="931"/>
        <v>0</v>
      </c>
      <c r="H783" s="278"/>
      <c r="I783" s="278"/>
      <c r="J783" s="352" t="str">
        <f>IFERROR(G783/#REF!,"-")</f>
        <v>-</v>
      </c>
      <c r="K783" s="333">
        <f t="shared" si="932"/>
        <v>0</v>
      </c>
      <c r="L783" s="272">
        <f t="shared" si="933"/>
        <v>0</v>
      </c>
      <c r="M783" s="273">
        <f t="shared" si="933"/>
        <v>0</v>
      </c>
      <c r="N783" s="337">
        <f t="shared" si="927"/>
        <v>0</v>
      </c>
      <c r="O783" s="263" t="str">
        <f t="shared" si="928"/>
        <v>-</v>
      </c>
    </row>
    <row r="784" spans="1:15" ht="24" thickBot="1" x14ac:dyDescent="0.35">
      <c r="A784" s="274" t="s">
        <v>102</v>
      </c>
      <c r="B784" s="1024"/>
      <c r="C784" s="313" t="s">
        <v>36</v>
      </c>
      <c r="D784" s="313"/>
      <c r="E784" s="280"/>
      <c r="F784" s="281"/>
      <c r="G784" s="334">
        <f t="shared" si="931"/>
        <v>0</v>
      </c>
      <c r="H784" s="282"/>
      <c r="I784" s="282"/>
      <c r="J784" s="353" t="str">
        <f>IFERROR(G784/#REF!,"-")</f>
        <v>-</v>
      </c>
      <c r="K784" s="334">
        <f t="shared" si="932"/>
        <v>0</v>
      </c>
      <c r="L784" s="272">
        <f t="shared" si="933"/>
        <v>0</v>
      </c>
      <c r="M784" s="273">
        <f t="shared" si="933"/>
        <v>0</v>
      </c>
      <c r="N784" s="338" t="str">
        <f t="shared" si="927"/>
        <v>-</v>
      </c>
      <c r="O784" s="347" t="str">
        <f t="shared" si="928"/>
        <v>-</v>
      </c>
    </row>
    <row r="785" spans="1:15" ht="24" thickBot="1" x14ac:dyDescent="0.35">
      <c r="A785" s="274" t="s">
        <v>102</v>
      </c>
      <c r="B785" s="1025" t="s">
        <v>37</v>
      </c>
      <c r="C785" s="1026"/>
      <c r="D785" s="1027"/>
      <c r="E785" s="284">
        <f>SUM(E781:E784)</f>
        <v>20000</v>
      </c>
      <c r="F785" s="285">
        <v>6500</v>
      </c>
      <c r="G785" s="320">
        <f>SUM(G781:G784)</f>
        <v>0</v>
      </c>
      <c r="H785" s="321">
        <f t="shared" ref="H785:I785" si="934">SUM(H781:H784)</f>
        <v>0</v>
      </c>
      <c r="I785" s="321">
        <f t="shared" si="934"/>
        <v>0</v>
      </c>
      <c r="J785" s="345" t="str">
        <f>IFERROR(G785/#REF!,"-")</f>
        <v>-</v>
      </c>
      <c r="K785" s="320">
        <f t="shared" ref="K785:M785" si="935">SUM(K781:K784)</f>
        <v>0</v>
      </c>
      <c r="L785" s="321">
        <f t="shared" si="935"/>
        <v>0</v>
      </c>
      <c r="M785" s="322">
        <f t="shared" si="935"/>
        <v>0</v>
      </c>
      <c r="N785" s="339">
        <f>IFERROR(K785/E785,"-")</f>
        <v>0</v>
      </c>
      <c r="O785" s="345" t="str">
        <f t="shared" si="928"/>
        <v>-</v>
      </c>
    </row>
    <row r="786" spans="1:15" ht="23.4" x14ac:dyDescent="0.3">
      <c r="A786" s="274" t="s">
        <v>102</v>
      </c>
      <c r="B786" s="1022" t="s">
        <v>402</v>
      </c>
      <c r="C786" s="314" t="s">
        <v>116</v>
      </c>
      <c r="D786" s="314"/>
      <c r="E786" s="270">
        <v>14000</v>
      </c>
      <c r="F786" s="271"/>
      <c r="G786" s="332">
        <f t="shared" ref="G786:G787" si="936">+H786+I786</f>
        <v>0</v>
      </c>
      <c r="H786" s="272"/>
      <c r="I786" s="272"/>
      <c r="J786" s="351" t="str">
        <f>IFERROR(G786/#REF!,"-")</f>
        <v>-</v>
      </c>
      <c r="K786" s="332">
        <f t="shared" ref="K786:K787" si="937">+L786+M786</f>
        <v>0</v>
      </c>
      <c r="L786" s="272">
        <f>+H786+L671</f>
        <v>0</v>
      </c>
      <c r="M786" s="273">
        <f>+I786+M671</f>
        <v>0</v>
      </c>
      <c r="N786" s="336">
        <f t="shared" ref="N786:N802" si="938">IFERROR(K786/E786,"-")</f>
        <v>0</v>
      </c>
      <c r="O786" s="346" t="str">
        <f t="shared" si="928"/>
        <v>-</v>
      </c>
    </row>
    <row r="787" spans="1:15" ht="24" thickBot="1" x14ac:dyDescent="0.35">
      <c r="A787" s="274" t="s">
        <v>102</v>
      </c>
      <c r="B787" s="1024"/>
      <c r="C787" s="286" t="s">
        <v>132</v>
      </c>
      <c r="D787" s="286"/>
      <c r="E787" s="280"/>
      <c r="F787" s="281"/>
      <c r="G787" s="334">
        <f t="shared" si="936"/>
        <v>3425</v>
      </c>
      <c r="H787" s="282">
        <v>3200</v>
      </c>
      <c r="I787" s="282">
        <v>225</v>
      </c>
      <c r="J787" s="353" t="str">
        <f>IFERROR(G787/#REF!,"-")</f>
        <v>-</v>
      </c>
      <c r="K787" s="334">
        <f t="shared" si="937"/>
        <v>12357</v>
      </c>
      <c r="L787" s="272">
        <f>+H787+L672</f>
        <v>11690</v>
      </c>
      <c r="M787" s="273">
        <f>+I787+M672</f>
        <v>667</v>
      </c>
      <c r="N787" s="338" t="str">
        <f t="shared" si="938"/>
        <v>-</v>
      </c>
      <c r="O787" s="347">
        <f t="shared" si="928"/>
        <v>5.3977502630088207E-2</v>
      </c>
    </row>
    <row r="788" spans="1:15" ht="24" thickBot="1" x14ac:dyDescent="0.35">
      <c r="A788" s="812" t="s">
        <v>102</v>
      </c>
      <c r="B788" s="1025" t="s">
        <v>38</v>
      </c>
      <c r="C788" s="1026"/>
      <c r="D788" s="1027"/>
      <c r="E788" s="284">
        <f>SUM(E786:E787)</f>
        <v>14000</v>
      </c>
      <c r="F788" s="285">
        <v>2800</v>
      </c>
      <c r="G788" s="320">
        <f>SUM(G786:G787)</f>
        <v>3425</v>
      </c>
      <c r="H788" s="321">
        <f t="shared" ref="H788:I788" si="939">SUM(H786:H787)</f>
        <v>3200</v>
      </c>
      <c r="I788" s="321">
        <f t="shared" si="939"/>
        <v>225</v>
      </c>
      <c r="J788" s="345" t="str">
        <f>IFERROR(G788/#REF!,"-")</f>
        <v>-</v>
      </c>
      <c r="K788" s="320">
        <f t="shared" ref="K788:M788" si="940">SUM(K786:K787)</f>
        <v>12357</v>
      </c>
      <c r="L788" s="321">
        <f t="shared" si="940"/>
        <v>11690</v>
      </c>
      <c r="M788" s="322">
        <f t="shared" si="940"/>
        <v>667</v>
      </c>
      <c r="N788" s="339">
        <f t="shared" si="938"/>
        <v>0.88264285714285717</v>
      </c>
      <c r="O788" s="345">
        <f t="shared" si="928"/>
        <v>5.3977502630088207E-2</v>
      </c>
    </row>
    <row r="789" spans="1:15" ht="23.4" x14ac:dyDescent="0.3">
      <c r="A789" s="274" t="s">
        <v>102</v>
      </c>
      <c r="B789" s="1022" t="s">
        <v>403</v>
      </c>
      <c r="C789" s="269" t="s">
        <v>306</v>
      </c>
      <c r="D789" s="269"/>
      <c r="E789" s="270">
        <f>176000+39000+35000+36000+19000</f>
        <v>305000</v>
      </c>
      <c r="F789" s="315"/>
      <c r="G789" s="332">
        <f t="shared" ref="G789:G793" si="941">+H789+I789</f>
        <v>28020</v>
      </c>
      <c r="H789" s="272">
        <v>27888</v>
      </c>
      <c r="I789" s="272">
        <v>132</v>
      </c>
      <c r="J789" s="371" t="str">
        <f>IFERROR(G789/#REF!,"-")</f>
        <v>-</v>
      </c>
      <c r="K789" s="332">
        <f t="shared" ref="K789:K793" si="942">+L789+M789</f>
        <v>128604</v>
      </c>
      <c r="L789" s="272">
        <f t="shared" ref="L789:M793" si="943">+H789+L674</f>
        <v>127884</v>
      </c>
      <c r="M789" s="272">
        <f t="shared" si="943"/>
        <v>720</v>
      </c>
      <c r="N789" s="359">
        <f t="shared" si="938"/>
        <v>0.42165245901639342</v>
      </c>
      <c r="O789" s="360">
        <f t="shared" si="928"/>
        <v>5.5985816926378646E-3</v>
      </c>
    </row>
    <row r="790" spans="1:15" ht="23.4" x14ac:dyDescent="0.3">
      <c r="A790" s="274" t="s">
        <v>102</v>
      </c>
      <c r="B790" s="1023"/>
      <c r="C790" s="269" t="s">
        <v>307</v>
      </c>
      <c r="D790" s="275"/>
      <c r="E790" s="276"/>
      <c r="F790" s="316"/>
      <c r="G790" s="333">
        <f t="shared" si="941"/>
        <v>0</v>
      </c>
      <c r="H790" s="278"/>
      <c r="I790" s="278"/>
      <c r="J790" s="372" t="str">
        <f>IFERROR(G790/#REF!,"-")</f>
        <v>-</v>
      </c>
      <c r="K790" s="333">
        <f t="shared" si="942"/>
        <v>0</v>
      </c>
      <c r="L790" s="272">
        <f t="shared" si="943"/>
        <v>0</v>
      </c>
      <c r="M790" s="273">
        <f t="shared" si="943"/>
        <v>0</v>
      </c>
      <c r="N790" s="361" t="str">
        <f t="shared" si="938"/>
        <v>-</v>
      </c>
      <c r="O790" s="362" t="str">
        <f t="shared" si="928"/>
        <v>-</v>
      </c>
    </row>
    <row r="791" spans="1:15" ht="23.4" x14ac:dyDescent="0.3">
      <c r="A791" s="274" t="s">
        <v>102</v>
      </c>
      <c r="B791" s="1023"/>
      <c r="C791" s="275" t="s">
        <v>499</v>
      </c>
      <c r="D791" s="275"/>
      <c r="E791" s="276">
        <f>70000+15000</f>
        <v>85000</v>
      </c>
      <c r="F791" s="316"/>
      <c r="G791" s="333">
        <f t="shared" si="941"/>
        <v>10160</v>
      </c>
      <c r="H791" s="278">
        <v>10080</v>
      </c>
      <c r="I791" s="278">
        <v>80</v>
      </c>
      <c r="J791" s="372" t="str">
        <f>IFERROR(G791/#REF!,"-")</f>
        <v>-</v>
      </c>
      <c r="K791" s="333">
        <f t="shared" si="942"/>
        <v>43160</v>
      </c>
      <c r="L791" s="272">
        <f t="shared" si="943"/>
        <v>42540</v>
      </c>
      <c r="M791" s="273">
        <f t="shared" si="943"/>
        <v>620</v>
      </c>
      <c r="N791" s="361">
        <f t="shared" si="938"/>
        <v>0.5077647058823529</v>
      </c>
      <c r="O791" s="362">
        <f t="shared" si="928"/>
        <v>1.4365152919369786E-2</v>
      </c>
    </row>
    <row r="792" spans="1:15" ht="23.4" x14ac:dyDescent="0.3">
      <c r="A792" s="274" t="s">
        <v>102</v>
      </c>
      <c r="B792" s="1023"/>
      <c r="C792" s="275" t="s">
        <v>157</v>
      </c>
      <c r="D792" s="275"/>
      <c r="E792" s="276"/>
      <c r="F792" s="316"/>
      <c r="G792" s="333">
        <f t="shared" si="941"/>
        <v>0</v>
      </c>
      <c r="H792" s="278"/>
      <c r="I792" s="278"/>
      <c r="J792" s="372" t="str">
        <f>IFERROR(G792/#REF!,"-")</f>
        <v>-</v>
      </c>
      <c r="K792" s="333">
        <f t="shared" si="942"/>
        <v>0</v>
      </c>
      <c r="L792" s="272">
        <f t="shared" si="943"/>
        <v>0</v>
      </c>
      <c r="M792" s="273">
        <f t="shared" si="943"/>
        <v>0</v>
      </c>
      <c r="N792" s="361" t="str">
        <f t="shared" si="938"/>
        <v>-</v>
      </c>
      <c r="O792" s="362" t="str">
        <f t="shared" si="928"/>
        <v>-</v>
      </c>
    </row>
    <row r="793" spans="1:15" ht="24" thickBot="1" x14ac:dyDescent="0.35">
      <c r="A793" s="274" t="s">
        <v>102</v>
      </c>
      <c r="B793" s="1024"/>
      <c r="C793" s="279" t="s">
        <v>158</v>
      </c>
      <c r="D793" s="279"/>
      <c r="E793" s="280"/>
      <c r="F793" s="317"/>
      <c r="G793" s="334">
        <f t="shared" si="941"/>
        <v>0</v>
      </c>
      <c r="H793" s="282"/>
      <c r="I793" s="282"/>
      <c r="J793" s="373" t="str">
        <f>IFERROR(G793/#REF!,"-")</f>
        <v>-</v>
      </c>
      <c r="K793" s="334">
        <f t="shared" si="942"/>
        <v>0</v>
      </c>
      <c r="L793" s="272">
        <f t="shared" si="943"/>
        <v>0</v>
      </c>
      <c r="M793" s="273">
        <f t="shared" si="943"/>
        <v>0</v>
      </c>
      <c r="N793" s="363" t="str">
        <f t="shared" si="938"/>
        <v>-</v>
      </c>
      <c r="O793" s="364" t="str">
        <f t="shared" si="928"/>
        <v>-</v>
      </c>
    </row>
    <row r="794" spans="1:15" ht="24" thickBot="1" x14ac:dyDescent="0.35">
      <c r="A794" s="274" t="s">
        <v>102</v>
      </c>
      <c r="B794" s="1025" t="s">
        <v>39</v>
      </c>
      <c r="C794" s="1026"/>
      <c r="D794" s="1027"/>
      <c r="E794" s="320">
        <f>SUM(E789:E793)</f>
        <v>390000</v>
      </c>
      <c r="F794" s="285">
        <v>25000</v>
      </c>
      <c r="G794" s="320">
        <f>SUM(G789:G793)</f>
        <v>38180</v>
      </c>
      <c r="H794" s="321">
        <f>SUM(H789:H793)</f>
        <v>37968</v>
      </c>
      <c r="I794" s="321">
        <f>SUM(I789:I793)</f>
        <v>212</v>
      </c>
      <c r="J794" s="345" t="str">
        <f>IFERROR(G794/#REF!,"-")</f>
        <v>-</v>
      </c>
      <c r="K794" s="320">
        <f>SUM(K789:K793)</f>
        <v>171764</v>
      </c>
      <c r="L794" s="321">
        <f>SUM(L789:L793)</f>
        <v>170424</v>
      </c>
      <c r="M794" s="322">
        <f>SUM(M789:M793)</f>
        <v>1340</v>
      </c>
      <c r="N794" s="339">
        <f t="shared" si="938"/>
        <v>0.44042051282051281</v>
      </c>
      <c r="O794" s="345">
        <f t="shared" si="928"/>
        <v>7.8014019235695493E-3</v>
      </c>
    </row>
    <row r="795" spans="1:15" ht="23.4" x14ac:dyDescent="0.3">
      <c r="A795" s="274" t="s">
        <v>102</v>
      </c>
      <c r="B795" s="1022" t="s">
        <v>404</v>
      </c>
      <c r="C795" s="269" t="s">
        <v>186</v>
      </c>
      <c r="D795" s="269"/>
      <c r="E795" s="270"/>
      <c r="F795" s="271"/>
      <c r="G795" s="332">
        <f t="shared" ref="G795:G797" si="944">+H795+I795</f>
        <v>0</v>
      </c>
      <c r="H795" s="272"/>
      <c r="I795" s="272"/>
      <c r="J795" s="351" t="str">
        <f>IFERROR(G795/#REF!,"-")</f>
        <v>-</v>
      </c>
      <c r="K795" s="332">
        <f t="shared" ref="K795:K797" si="945">+L795+M795</f>
        <v>0</v>
      </c>
      <c r="L795" s="272">
        <f t="shared" ref="L795:M797" si="946">+H795+L680</f>
        <v>0</v>
      </c>
      <c r="M795" s="273">
        <f t="shared" si="946"/>
        <v>0</v>
      </c>
      <c r="N795" s="336" t="str">
        <f t="shared" si="938"/>
        <v>-</v>
      </c>
      <c r="O795" s="346" t="str">
        <f t="shared" si="928"/>
        <v>-</v>
      </c>
    </row>
    <row r="796" spans="1:15" ht="23.4" x14ac:dyDescent="0.3">
      <c r="A796" s="274" t="s">
        <v>102</v>
      </c>
      <c r="B796" s="1023"/>
      <c r="C796" s="275" t="s">
        <v>497</v>
      </c>
      <c r="D796" s="275"/>
      <c r="E796" s="276">
        <f>33000+15000</f>
        <v>48000</v>
      </c>
      <c r="F796" s="277"/>
      <c r="G796" s="333">
        <f t="shared" si="944"/>
        <v>0</v>
      </c>
      <c r="H796" s="278"/>
      <c r="I796" s="278"/>
      <c r="J796" s="372" t="str">
        <f>IFERROR(G796/#REF!,"-")</f>
        <v>-</v>
      </c>
      <c r="K796" s="333">
        <f t="shared" si="945"/>
        <v>11826</v>
      </c>
      <c r="L796" s="714">
        <f t="shared" si="946"/>
        <v>11400</v>
      </c>
      <c r="M796" s="273">
        <f t="shared" si="946"/>
        <v>426</v>
      </c>
      <c r="N796" s="361">
        <f t="shared" si="938"/>
        <v>0.24637500000000001</v>
      </c>
      <c r="O796" s="362">
        <f t="shared" si="928"/>
        <v>3.6022323693556568E-2</v>
      </c>
    </row>
    <row r="797" spans="1:15" ht="24" thickBot="1" x14ac:dyDescent="0.35">
      <c r="A797" s="274" t="s">
        <v>102</v>
      </c>
      <c r="B797" s="1024"/>
      <c r="C797" s="279" t="s">
        <v>498</v>
      </c>
      <c r="D797" s="279"/>
      <c r="E797" s="280">
        <f>50000+10000</f>
        <v>60000</v>
      </c>
      <c r="F797" s="281"/>
      <c r="G797" s="334">
        <f t="shared" si="944"/>
        <v>0</v>
      </c>
      <c r="H797" s="282"/>
      <c r="I797" s="282"/>
      <c r="J797" s="373" t="str">
        <f>IFERROR(G797/#REF!,"-")</f>
        <v>-</v>
      </c>
      <c r="K797" s="334">
        <f t="shared" si="945"/>
        <v>0</v>
      </c>
      <c r="L797" s="272">
        <f t="shared" si="946"/>
        <v>0</v>
      </c>
      <c r="M797" s="273">
        <f t="shared" si="946"/>
        <v>0</v>
      </c>
      <c r="N797" s="363">
        <f t="shared" si="938"/>
        <v>0</v>
      </c>
      <c r="O797" s="364" t="str">
        <f t="shared" si="928"/>
        <v>-</v>
      </c>
    </row>
    <row r="798" spans="1:15" ht="24" thickBot="1" x14ac:dyDescent="0.35">
      <c r="A798" s="274" t="s">
        <v>102</v>
      </c>
      <c r="B798" s="1034" t="s">
        <v>41</v>
      </c>
      <c r="C798" s="1035"/>
      <c r="D798" s="1036"/>
      <c r="E798" s="320">
        <f>SUM(E795:E797)</f>
        <v>108000</v>
      </c>
      <c r="F798" s="285"/>
      <c r="G798" s="320">
        <f>SUM(G795:G797)</f>
        <v>0</v>
      </c>
      <c r="H798" s="321">
        <f t="shared" ref="H798:I798" si="947">SUM(H795:H797)</f>
        <v>0</v>
      </c>
      <c r="I798" s="321">
        <f t="shared" si="947"/>
        <v>0</v>
      </c>
      <c r="J798" s="345" t="str">
        <f>IFERROR(G798/#REF!,"-")</f>
        <v>-</v>
      </c>
      <c r="K798" s="320">
        <f t="shared" ref="K798:M798" si="948">SUM(K795:K797)</f>
        <v>11826</v>
      </c>
      <c r="L798" s="365">
        <f t="shared" si="948"/>
        <v>11400</v>
      </c>
      <c r="M798" s="367">
        <f t="shared" si="948"/>
        <v>426</v>
      </c>
      <c r="N798" s="339">
        <f t="shared" si="938"/>
        <v>0.1095</v>
      </c>
      <c r="O798" s="345">
        <f t="shared" si="928"/>
        <v>3.6022323693556568E-2</v>
      </c>
    </row>
    <row r="799" spans="1:15" ht="24" thickBot="1" x14ac:dyDescent="0.35">
      <c r="A799" s="274" t="s">
        <v>102</v>
      </c>
      <c r="B799" s="1022" t="s">
        <v>42</v>
      </c>
      <c r="C799" s="269" t="s">
        <v>160</v>
      </c>
      <c r="D799" s="269"/>
      <c r="E799" s="270">
        <v>11076</v>
      </c>
      <c r="F799" s="271"/>
      <c r="G799" s="332">
        <f t="shared" ref="G799:G800" si="949">+H799+I799</f>
        <v>0</v>
      </c>
      <c r="H799" s="272"/>
      <c r="I799" s="272"/>
      <c r="J799" s="371" t="str">
        <f>IFERROR(G799/#REF!,"-")</f>
        <v>-</v>
      </c>
      <c r="K799" s="695">
        <f t="shared" ref="K799:K800" si="950">+L799+M799</f>
        <v>0</v>
      </c>
      <c r="L799" s="688">
        <f>+H799+L684</f>
        <v>0</v>
      </c>
      <c r="M799" s="688">
        <f>+I799+M684</f>
        <v>0</v>
      </c>
      <c r="N799" s="359">
        <f t="shared" si="938"/>
        <v>0</v>
      </c>
      <c r="O799" s="360" t="str">
        <f t="shared" si="928"/>
        <v>-</v>
      </c>
    </row>
    <row r="800" spans="1:15" ht="24" thickBot="1" x14ac:dyDescent="0.35">
      <c r="A800" s="274" t="s">
        <v>102</v>
      </c>
      <c r="B800" s="1024"/>
      <c r="C800" s="279" t="s">
        <v>161</v>
      </c>
      <c r="D800" s="279"/>
      <c r="E800" s="280">
        <v>0</v>
      </c>
      <c r="F800" s="281"/>
      <c r="G800" s="334">
        <f t="shared" si="949"/>
        <v>0</v>
      </c>
      <c r="H800" s="282"/>
      <c r="I800" s="282"/>
      <c r="J800" s="373" t="str">
        <f>IFERROR(G800/#REF!,"-")</f>
        <v>-</v>
      </c>
      <c r="K800" s="696">
        <f t="shared" si="950"/>
        <v>0</v>
      </c>
      <c r="L800" s="688">
        <f>+H800+L685</f>
        <v>0</v>
      </c>
      <c r="M800" s="688">
        <f>+I800+M685</f>
        <v>0</v>
      </c>
      <c r="N800" s="363" t="str">
        <f t="shared" si="938"/>
        <v>-</v>
      </c>
      <c r="O800" s="364" t="str">
        <f t="shared" si="928"/>
        <v>-</v>
      </c>
    </row>
    <row r="801" spans="1:15" ht="24" thickBot="1" x14ac:dyDescent="0.35">
      <c r="A801" s="274" t="s">
        <v>102</v>
      </c>
      <c r="B801" s="1034" t="s">
        <v>43</v>
      </c>
      <c r="C801" s="1035"/>
      <c r="D801" s="1036"/>
      <c r="E801" s="284">
        <f>SUM(E799:E800)</f>
        <v>11076</v>
      </c>
      <c r="F801" s="285">
        <v>25000</v>
      </c>
      <c r="G801" s="320">
        <f>SUM(G799:G800)</f>
        <v>0</v>
      </c>
      <c r="H801" s="321">
        <f t="shared" ref="H801:I801" si="951">SUM(H799:H800)</f>
        <v>0</v>
      </c>
      <c r="I801" s="321">
        <f t="shared" si="951"/>
        <v>0</v>
      </c>
      <c r="J801" s="345" t="str">
        <f>IFERROR(G801/#REF!,"-")</f>
        <v>-</v>
      </c>
      <c r="K801" s="760">
        <f t="shared" ref="K801:M801" si="952">SUM(K799:K800)</f>
        <v>0</v>
      </c>
      <c r="L801" s="761">
        <f t="shared" si="952"/>
        <v>0</v>
      </c>
      <c r="M801" s="761">
        <f t="shared" si="952"/>
        <v>0</v>
      </c>
      <c r="N801" s="339">
        <f t="shared" si="938"/>
        <v>0</v>
      </c>
      <c r="O801" s="345" t="str">
        <f t="shared" si="928"/>
        <v>-</v>
      </c>
    </row>
    <row r="802" spans="1:15" ht="24" thickBot="1" x14ac:dyDescent="0.35">
      <c r="A802" s="274" t="s">
        <v>102</v>
      </c>
      <c r="B802" s="1028" t="s">
        <v>25</v>
      </c>
      <c r="C802" s="1029"/>
      <c r="D802" s="1030"/>
      <c r="E802" s="326">
        <f t="shared" ref="E802:F802" si="953">+E780+E785+E788+E794+E798+E801</f>
        <v>545076</v>
      </c>
      <c r="F802" s="327">
        <f t="shared" si="953"/>
        <v>65800</v>
      </c>
      <c r="G802" s="326">
        <f>+G780+G785+G788+G794+G798+G801</f>
        <v>42756</v>
      </c>
      <c r="H802" s="324">
        <f>+H780+H785+H788+H794+H798+H801</f>
        <v>42268</v>
      </c>
      <c r="I802" s="324">
        <f t="shared" ref="I802" si="954">+I780+I785+I788+I794+I798+I801</f>
        <v>488</v>
      </c>
      <c r="J802" s="349" t="str">
        <f>IFERROR(G802/#REF!,"-")</f>
        <v>-</v>
      </c>
      <c r="K802" s="326">
        <f>+K780+K785+K788+K794+K798+K801</f>
        <v>205185</v>
      </c>
      <c r="L802" s="759">
        <f t="shared" ref="L802:M802" si="955">+L780+L785+L788+L794+L798+L801</f>
        <v>202314</v>
      </c>
      <c r="M802" s="325">
        <f t="shared" si="955"/>
        <v>2871</v>
      </c>
      <c r="N802" s="341">
        <f t="shared" si="938"/>
        <v>0.3764337450190432</v>
      </c>
      <c r="O802" s="349">
        <f t="shared" si="928"/>
        <v>1.39922508955333E-2</v>
      </c>
    </row>
    <row r="803" spans="1:15" ht="24" thickBot="1" x14ac:dyDescent="0.35">
      <c r="A803" s="318" t="s">
        <v>102</v>
      </c>
      <c r="B803" s="1020" t="s">
        <v>173</v>
      </c>
      <c r="C803" s="1020"/>
      <c r="D803" s="1021"/>
      <c r="E803" s="330">
        <f>+E802</f>
        <v>545076</v>
      </c>
      <c r="F803" s="331">
        <f t="shared" ref="F803:O803" si="956">+F802</f>
        <v>65800</v>
      </c>
      <c r="G803" s="330">
        <f t="shared" si="956"/>
        <v>42756</v>
      </c>
      <c r="H803" s="328">
        <f t="shared" si="956"/>
        <v>42268</v>
      </c>
      <c r="I803" s="328">
        <f t="shared" si="956"/>
        <v>488</v>
      </c>
      <c r="J803" s="350" t="str">
        <f t="shared" si="956"/>
        <v>-</v>
      </c>
      <c r="K803" s="330">
        <f t="shared" si="956"/>
        <v>205185</v>
      </c>
      <c r="L803" s="328">
        <f t="shared" si="956"/>
        <v>202314</v>
      </c>
      <c r="M803" s="329">
        <f t="shared" si="956"/>
        <v>2871</v>
      </c>
      <c r="N803" s="342">
        <f t="shared" si="956"/>
        <v>0.3764337450190432</v>
      </c>
      <c r="O803" s="350">
        <f t="shared" si="956"/>
        <v>1.39922508955333E-2</v>
      </c>
    </row>
    <row r="804" spans="1:15" ht="24.6" thickBot="1" x14ac:dyDescent="0.35">
      <c r="A804" s="319"/>
      <c r="B804" s="1031" t="s">
        <v>174</v>
      </c>
      <c r="C804" s="1032"/>
      <c r="D804" s="1033"/>
      <c r="E804" s="374">
        <f>+E741+E776+E803</f>
        <v>6540740</v>
      </c>
      <c r="F804" s="374">
        <f>+F741+F776+F803</f>
        <v>1024800</v>
      </c>
      <c r="G804" s="374">
        <f>+G741+G776+G803</f>
        <v>291379</v>
      </c>
      <c r="H804" s="374">
        <f>+H741+H776+H803</f>
        <v>287922</v>
      </c>
      <c r="I804" s="374">
        <f>+I741+I776+I803</f>
        <v>3457</v>
      </c>
      <c r="J804" s="375" t="str">
        <f>IFERROR(G804/#REF!,"-")</f>
        <v>-</v>
      </c>
      <c r="K804" s="374">
        <f>+K741+K776+K803</f>
        <v>2470160</v>
      </c>
      <c r="L804" s="374">
        <f>+L741+L776+L803</f>
        <v>2448330</v>
      </c>
      <c r="M804" s="374">
        <f>+M741+M776+M803</f>
        <v>21830</v>
      </c>
      <c r="N804" s="375">
        <f>IFERROR(K804/E804,"-")</f>
        <v>0.37765757391365501</v>
      </c>
      <c r="O804" s="375">
        <f>IFERROR(M804/K804,"-")</f>
        <v>8.8374842115490487E-3</v>
      </c>
    </row>
    <row r="805" spans="1:15" ht="23.4" x14ac:dyDescent="0.3">
      <c r="A805" s="1057" t="s">
        <v>1</v>
      </c>
      <c r="B805" s="1060" t="s">
        <v>2</v>
      </c>
      <c r="C805" s="1063" t="s">
        <v>396</v>
      </c>
      <c r="D805" s="1063" t="s">
        <v>397</v>
      </c>
      <c r="E805" s="1066" t="s">
        <v>4</v>
      </c>
      <c r="F805" s="1067"/>
      <c r="G805" s="1067"/>
      <c r="H805" s="1067"/>
      <c r="I805" s="1067"/>
      <c r="J805" s="1067"/>
      <c r="K805" s="1067"/>
      <c r="L805" s="1067"/>
      <c r="M805" s="1067"/>
      <c r="N805" s="1067"/>
      <c r="O805" s="1068"/>
    </row>
    <row r="806" spans="1:15" ht="23.4" x14ac:dyDescent="0.3">
      <c r="A806" s="1058"/>
      <c r="B806" s="1061"/>
      <c r="C806" s="1064"/>
      <c r="D806" s="1064"/>
      <c r="E806" s="1069" t="s">
        <v>7</v>
      </c>
      <c r="F806" s="1071" t="s">
        <v>108</v>
      </c>
      <c r="G806" s="1073" t="s">
        <v>525</v>
      </c>
      <c r="H806" s="1074"/>
      <c r="I806" s="1074"/>
      <c r="J806" s="1075"/>
      <c r="K806" s="1076" t="s">
        <v>398</v>
      </c>
      <c r="L806" s="1077"/>
      <c r="M806" s="1078"/>
      <c r="N806" s="1079" t="s">
        <v>399</v>
      </c>
      <c r="O806" s="1081" t="s">
        <v>164</v>
      </c>
    </row>
    <row r="807" spans="1:15" ht="41.4" thickBot="1" x14ac:dyDescent="0.35">
      <c r="A807" s="1059"/>
      <c r="B807" s="1062"/>
      <c r="C807" s="1065"/>
      <c r="D807" s="1065"/>
      <c r="E807" s="1070"/>
      <c r="F807" s="1072"/>
      <c r="G807" s="452" t="s">
        <v>13</v>
      </c>
      <c r="H807" s="453" t="s">
        <v>14</v>
      </c>
      <c r="I807" s="453" t="s">
        <v>15</v>
      </c>
      <c r="J807" s="454" t="s">
        <v>166</v>
      </c>
      <c r="K807" s="680" t="s">
        <v>13</v>
      </c>
      <c r="L807" s="678" t="s">
        <v>14</v>
      </c>
      <c r="M807" s="679" t="s">
        <v>15</v>
      </c>
      <c r="N807" s="1080"/>
      <c r="O807" s="1082"/>
    </row>
    <row r="808" spans="1:15" ht="24" thickBot="1" x14ac:dyDescent="0.35">
      <c r="A808" s="268" t="s">
        <v>103</v>
      </c>
      <c r="B808" s="1043" t="s">
        <v>16</v>
      </c>
      <c r="C808" s="269" t="s">
        <v>368</v>
      </c>
      <c r="D808" s="269" t="s">
        <v>369</v>
      </c>
      <c r="E808" s="270">
        <v>20000</v>
      </c>
      <c r="F808" s="271"/>
      <c r="G808" s="332">
        <f>+H808+I808</f>
        <v>0</v>
      </c>
      <c r="H808" s="272"/>
      <c r="I808" s="272"/>
      <c r="J808" s="351"/>
      <c r="K808" s="457">
        <f>+L808+M808</f>
        <v>270</v>
      </c>
      <c r="L808" s="688">
        <f t="shared" ref="L808:L811" si="957">+H808+L693</f>
        <v>0</v>
      </c>
      <c r="M808" s="688">
        <f t="shared" ref="M808:M811" si="958">+I808+M693</f>
        <v>270</v>
      </c>
      <c r="N808" s="336">
        <f>IFERROR(K808/E808,"-")</f>
        <v>1.35E-2</v>
      </c>
      <c r="O808" s="343">
        <f t="shared" ref="O808:O809" si="959">IFERROR(M808/K808,"-")</f>
        <v>1</v>
      </c>
    </row>
    <row r="809" spans="1:15" ht="23.4" x14ac:dyDescent="0.3">
      <c r="A809" s="274" t="s">
        <v>103</v>
      </c>
      <c r="B809" s="1044"/>
      <c r="C809" s="275" t="s">
        <v>376</v>
      </c>
      <c r="D809" s="275" t="s">
        <v>375</v>
      </c>
      <c r="E809" s="276"/>
      <c r="F809" s="277"/>
      <c r="G809" s="333">
        <f t="shared" ref="G809:G811" si="960">+H809+I809</f>
        <v>0</v>
      </c>
      <c r="H809" s="278"/>
      <c r="I809" s="278"/>
      <c r="J809" s="352" t="str">
        <f>IFERROR(G809/#REF!,"-")</f>
        <v>-</v>
      </c>
      <c r="K809" s="690">
        <f t="shared" ref="K809:K811" si="961">+L809+M809</f>
        <v>0</v>
      </c>
      <c r="L809" s="527">
        <f t="shared" si="957"/>
        <v>0</v>
      </c>
      <c r="M809" s="459">
        <f t="shared" si="958"/>
        <v>0</v>
      </c>
      <c r="N809" s="337" t="str">
        <f t="shared" ref="N809:N811" si="962">IFERROR(K809/E809,"-")</f>
        <v>-</v>
      </c>
      <c r="O809" s="265" t="str">
        <f t="shared" si="959"/>
        <v>-</v>
      </c>
    </row>
    <row r="810" spans="1:15" s="723" customFormat="1" ht="23.4" x14ac:dyDescent="0.3">
      <c r="A810" s="274" t="s">
        <v>103</v>
      </c>
      <c r="B810" s="1044"/>
      <c r="C810" s="573" t="s">
        <v>431</v>
      </c>
      <c r="D810" s="573" t="s">
        <v>366</v>
      </c>
      <c r="E810" s="720"/>
      <c r="F810" s="721"/>
      <c r="G810" s="333">
        <f t="shared" si="960"/>
        <v>0</v>
      </c>
      <c r="H810" s="722"/>
      <c r="I810" s="722"/>
      <c r="J810" s="352" t="str">
        <f>IFERROR(G810/#REF!,"-")</f>
        <v>-</v>
      </c>
      <c r="K810" s="690">
        <f t="shared" si="961"/>
        <v>8000</v>
      </c>
      <c r="L810" s="720">
        <f t="shared" si="957"/>
        <v>8000</v>
      </c>
      <c r="M810" s="529">
        <f t="shared" si="958"/>
        <v>0</v>
      </c>
      <c r="N810" s="337" t="str">
        <f t="shared" si="962"/>
        <v>-</v>
      </c>
      <c r="O810" s="265">
        <f>IFERROR(M810/K810,"-")</f>
        <v>0</v>
      </c>
    </row>
    <row r="811" spans="1:15" ht="24" thickBot="1" x14ac:dyDescent="0.35">
      <c r="A811" s="274" t="s">
        <v>103</v>
      </c>
      <c r="B811" s="1045"/>
      <c r="C811" s="279" t="s">
        <v>428</v>
      </c>
      <c r="D811" s="279" t="s">
        <v>374</v>
      </c>
      <c r="E811" s="280"/>
      <c r="F811" s="281"/>
      <c r="G811" s="334">
        <f t="shared" si="960"/>
        <v>0</v>
      </c>
      <c r="H811" s="272"/>
      <c r="I811" s="272"/>
      <c r="J811" s="353" t="str">
        <f>IFERROR(G811/#REF!,"-")</f>
        <v>-</v>
      </c>
      <c r="K811" s="691">
        <f t="shared" si="961"/>
        <v>0</v>
      </c>
      <c r="L811" s="530">
        <f t="shared" si="957"/>
        <v>0</v>
      </c>
      <c r="M811" s="462">
        <f t="shared" si="958"/>
        <v>0</v>
      </c>
      <c r="N811" s="338" t="str">
        <f t="shared" si="962"/>
        <v>-</v>
      </c>
      <c r="O811" s="344" t="str">
        <f t="shared" ref="O811:O829" si="963">IFERROR(M811/K811,"-")</f>
        <v>-</v>
      </c>
    </row>
    <row r="812" spans="1:15" ht="24" thickBot="1" x14ac:dyDescent="0.35">
      <c r="A812" s="274" t="s">
        <v>103</v>
      </c>
      <c r="B812" s="1025" t="s">
        <v>44</v>
      </c>
      <c r="C812" s="1026"/>
      <c r="D812" s="1027"/>
      <c r="E812" s="320">
        <f>SUM(E808:E811)</f>
        <v>20000</v>
      </c>
      <c r="F812" s="285">
        <v>15000</v>
      </c>
      <c r="G812" s="320">
        <f>SUM(G808:G811)</f>
        <v>0</v>
      </c>
      <c r="H812" s="321">
        <f t="shared" ref="H812:I812" si="964">SUM(H808:H811)</f>
        <v>0</v>
      </c>
      <c r="I812" s="321">
        <f t="shared" si="964"/>
        <v>0</v>
      </c>
      <c r="J812" s="345">
        <f>+G812/F812</f>
        <v>0</v>
      </c>
      <c r="K812" s="320">
        <f t="shared" ref="K812" si="965">SUM(K808:K811)</f>
        <v>8270</v>
      </c>
      <c r="L812" s="692">
        <f>SUM(L808:L811)</f>
        <v>8000</v>
      </c>
      <c r="M812" s="693">
        <f>SUM(M808:M811)</f>
        <v>270</v>
      </c>
      <c r="N812" s="339">
        <f>IFERROR(K812/E812,"-")</f>
        <v>0.41349999999999998</v>
      </c>
      <c r="O812" s="345">
        <f t="shared" si="963"/>
        <v>3.2648125755743655E-2</v>
      </c>
    </row>
    <row r="813" spans="1:15" ht="23.4" x14ac:dyDescent="0.3">
      <c r="A813" s="274" t="s">
        <v>103</v>
      </c>
      <c r="B813" s="1043" t="s">
        <v>17</v>
      </c>
      <c r="C813" s="269" t="s">
        <v>294</v>
      </c>
      <c r="D813" s="269"/>
      <c r="E813" s="270"/>
      <c r="F813" s="271"/>
      <c r="G813" s="332">
        <f t="shared" ref="G813:G819" si="966">+H813+I813</f>
        <v>0</v>
      </c>
      <c r="H813" s="272"/>
      <c r="I813" s="272"/>
      <c r="J813" s="351" t="str">
        <f>IFERROR(G813/#REF!,"-")</f>
        <v>-</v>
      </c>
      <c r="K813" s="694">
        <f t="shared" ref="K813:K819" si="967">+L813+M813</f>
        <v>0</v>
      </c>
      <c r="L813" s="527">
        <f t="shared" ref="L813:L819" si="968">+H813+L698</f>
        <v>0</v>
      </c>
      <c r="M813" s="459">
        <f t="shared" ref="M813:M819" si="969">+I813+M698</f>
        <v>0</v>
      </c>
      <c r="N813" s="336" t="str">
        <f t="shared" ref="N813:N819" si="970">IFERROR(K813/E813,"-")</f>
        <v>-</v>
      </c>
      <c r="O813" s="346" t="str">
        <f t="shared" si="963"/>
        <v>-</v>
      </c>
    </row>
    <row r="814" spans="1:15" ht="23.4" x14ac:dyDescent="0.3">
      <c r="A814" s="274" t="s">
        <v>103</v>
      </c>
      <c r="B814" s="1044"/>
      <c r="C814" s="275" t="s">
        <v>344</v>
      </c>
      <c r="D814" s="275" t="s">
        <v>232</v>
      </c>
      <c r="E814" s="276">
        <v>1600000</v>
      </c>
      <c r="F814" s="277"/>
      <c r="G814" s="333">
        <f t="shared" si="966"/>
        <v>0</v>
      </c>
      <c r="H814" s="278"/>
      <c r="I814" s="278"/>
      <c r="J814" s="352" t="str">
        <f>IFERROR(G814/#REF!,"-")</f>
        <v>-</v>
      </c>
      <c r="K814" s="690">
        <f t="shared" si="967"/>
        <v>6120</v>
      </c>
      <c r="L814" s="276">
        <f t="shared" si="968"/>
        <v>5980</v>
      </c>
      <c r="M814" s="436">
        <f t="shared" si="969"/>
        <v>140</v>
      </c>
      <c r="N814" s="337">
        <f t="shared" si="970"/>
        <v>3.8249999999999998E-3</v>
      </c>
      <c r="O814" s="263">
        <f t="shared" si="963"/>
        <v>2.2875816993464051E-2</v>
      </c>
    </row>
    <row r="815" spans="1:15" ht="23.4" x14ac:dyDescent="0.3">
      <c r="A815" s="274" t="s">
        <v>103</v>
      </c>
      <c r="B815" s="1044"/>
      <c r="C815" s="275" t="s">
        <v>367</v>
      </c>
      <c r="D815" s="275" t="s">
        <v>187</v>
      </c>
      <c r="E815" s="276">
        <v>1000000</v>
      </c>
      <c r="F815" s="277"/>
      <c r="G815" s="333">
        <f t="shared" si="966"/>
        <v>12434</v>
      </c>
      <c r="H815" s="278">
        <v>12240</v>
      </c>
      <c r="I815" s="278">
        <v>194</v>
      </c>
      <c r="J815" s="352" t="str">
        <f>IFERROR(G815/#REF!,"-")</f>
        <v>-</v>
      </c>
      <c r="K815" s="690">
        <f t="shared" si="967"/>
        <v>553130</v>
      </c>
      <c r="L815" s="276">
        <f t="shared" si="968"/>
        <v>550800</v>
      </c>
      <c r="M815" s="436">
        <f t="shared" si="969"/>
        <v>2330</v>
      </c>
      <c r="N815" s="337">
        <f t="shared" si="970"/>
        <v>0.55313000000000001</v>
      </c>
      <c r="O815" s="263">
        <f t="shared" si="963"/>
        <v>4.2123913004176233E-3</v>
      </c>
    </row>
    <row r="816" spans="1:15" ht="23.4" x14ac:dyDescent="0.3">
      <c r="A816" s="274" t="s">
        <v>103</v>
      </c>
      <c r="B816" s="1044"/>
      <c r="C816" s="275" t="s">
        <v>530</v>
      </c>
      <c r="D816" s="275" t="s">
        <v>529</v>
      </c>
      <c r="E816" s="276"/>
      <c r="F816" s="277"/>
      <c r="G816" s="333">
        <f t="shared" si="966"/>
        <v>41558</v>
      </c>
      <c r="H816" s="278">
        <v>41350</v>
      </c>
      <c r="I816" s="278">
        <v>208</v>
      </c>
      <c r="J816" s="352" t="str">
        <f>IFERROR(G816/#REF!,"-")</f>
        <v>-</v>
      </c>
      <c r="K816" s="690">
        <f t="shared" si="967"/>
        <v>41558</v>
      </c>
      <c r="L816" s="276">
        <f t="shared" si="968"/>
        <v>41350</v>
      </c>
      <c r="M816" s="436">
        <f t="shared" si="969"/>
        <v>208</v>
      </c>
      <c r="N816" s="337" t="str">
        <f t="shared" si="970"/>
        <v>-</v>
      </c>
      <c r="O816" s="263">
        <f t="shared" si="963"/>
        <v>5.0050531786900235E-3</v>
      </c>
    </row>
    <row r="817" spans="1:15" ht="23.4" x14ac:dyDescent="0.3">
      <c r="A817" s="274" t="s">
        <v>103</v>
      </c>
      <c r="B817" s="1044"/>
      <c r="C817" s="275" t="s">
        <v>323</v>
      </c>
      <c r="D817" s="275" t="s">
        <v>318</v>
      </c>
      <c r="E817" s="276"/>
      <c r="F817" s="277"/>
      <c r="G817" s="333">
        <f t="shared" si="966"/>
        <v>0</v>
      </c>
      <c r="H817" s="278"/>
      <c r="I817" s="278"/>
      <c r="J817" s="352" t="str">
        <f>IFERROR(G817/#REF!,"-")</f>
        <v>-</v>
      </c>
      <c r="K817" s="690">
        <f t="shared" si="967"/>
        <v>0</v>
      </c>
      <c r="L817" s="276">
        <f t="shared" si="968"/>
        <v>0</v>
      </c>
      <c r="M817" s="436">
        <f t="shared" si="969"/>
        <v>0</v>
      </c>
      <c r="N817" s="337" t="str">
        <f t="shared" si="970"/>
        <v>-</v>
      </c>
      <c r="O817" s="263" t="str">
        <f t="shared" si="963"/>
        <v>-</v>
      </c>
    </row>
    <row r="818" spans="1:15" ht="23.4" x14ac:dyDescent="0.3">
      <c r="A818" s="274" t="s">
        <v>103</v>
      </c>
      <c r="B818" s="1044"/>
      <c r="C818" s="275" t="s">
        <v>528</v>
      </c>
      <c r="D818" s="275" t="s">
        <v>189</v>
      </c>
      <c r="E818" s="276"/>
      <c r="F818" s="277"/>
      <c r="G818" s="333">
        <f t="shared" si="966"/>
        <v>28598</v>
      </c>
      <c r="H818" s="278">
        <v>28458</v>
      </c>
      <c r="I818" s="278">
        <v>140</v>
      </c>
      <c r="J818" s="352" t="str">
        <f>IFERROR(G818/#REF!,"-")</f>
        <v>-</v>
      </c>
      <c r="K818" s="690">
        <f t="shared" si="967"/>
        <v>28598</v>
      </c>
      <c r="L818" s="276">
        <f t="shared" si="968"/>
        <v>28458</v>
      </c>
      <c r="M818" s="436">
        <f t="shared" si="969"/>
        <v>140</v>
      </c>
      <c r="N818" s="337" t="str">
        <f t="shared" si="970"/>
        <v>-</v>
      </c>
      <c r="O818" s="263">
        <f t="shared" si="963"/>
        <v>4.8954472340723126E-3</v>
      </c>
    </row>
    <row r="819" spans="1:15" ht="24" thickBot="1" x14ac:dyDescent="0.35">
      <c r="A819" s="274" t="s">
        <v>103</v>
      </c>
      <c r="B819" s="1045"/>
      <c r="C819" s="279" t="s">
        <v>341</v>
      </c>
      <c r="D819" s="279" t="s">
        <v>232</v>
      </c>
      <c r="E819" s="280"/>
      <c r="F819" s="281"/>
      <c r="G819" s="334">
        <f t="shared" si="966"/>
        <v>0</v>
      </c>
      <c r="H819" s="282"/>
      <c r="I819" s="282"/>
      <c r="J819" s="353" t="str">
        <f>IFERROR(G819/#REF!,"-")</f>
        <v>-</v>
      </c>
      <c r="K819" s="691">
        <f t="shared" si="967"/>
        <v>0</v>
      </c>
      <c r="L819" s="530">
        <f t="shared" si="968"/>
        <v>0</v>
      </c>
      <c r="M819" s="462">
        <f t="shared" si="969"/>
        <v>0</v>
      </c>
      <c r="N819" s="338" t="str">
        <f t="shared" si="970"/>
        <v>-</v>
      </c>
      <c r="O819" s="347" t="str">
        <f t="shared" si="963"/>
        <v>-</v>
      </c>
    </row>
    <row r="820" spans="1:15" ht="24" thickBot="1" x14ac:dyDescent="0.35">
      <c r="A820" s="274" t="s">
        <v>103</v>
      </c>
      <c r="B820" s="1025" t="s">
        <v>45</v>
      </c>
      <c r="C820" s="1026"/>
      <c r="D820" s="1027"/>
      <c r="E820" s="320">
        <f>SUM(E813:E819)</f>
        <v>2600000</v>
      </c>
      <c r="F820" s="285">
        <v>100000</v>
      </c>
      <c r="G820" s="320">
        <f>SUM(G813:G819)</f>
        <v>82590</v>
      </c>
      <c r="H820" s="321">
        <f t="shared" ref="H820:I820" si="971">SUM(H813:H819)</f>
        <v>82048</v>
      </c>
      <c r="I820" s="321">
        <f t="shared" si="971"/>
        <v>542</v>
      </c>
      <c r="J820" s="345">
        <f>+G820/F820</f>
        <v>0.82589999999999997</v>
      </c>
      <c r="K820" s="320">
        <f>SUM(K813:K819)</f>
        <v>629406</v>
      </c>
      <c r="L820" s="519">
        <f>SUM(L813:L819)</f>
        <v>626588</v>
      </c>
      <c r="M820" s="689">
        <f t="shared" ref="M820" si="972">SUM(M813:M819)</f>
        <v>2818</v>
      </c>
      <c r="N820" s="339">
        <f>IFERROR(K820/E820,"-")</f>
        <v>0.24207923076923077</v>
      </c>
      <c r="O820" s="345">
        <f t="shared" si="963"/>
        <v>4.477237268154419E-3</v>
      </c>
    </row>
    <row r="821" spans="1:15" ht="23.4" x14ac:dyDescent="0.3">
      <c r="A821" s="274" t="s">
        <v>103</v>
      </c>
      <c r="B821" s="1043" t="s">
        <v>18</v>
      </c>
      <c r="C821" s="269" t="s">
        <v>312</v>
      </c>
      <c r="D821" s="269" t="s">
        <v>92</v>
      </c>
      <c r="E821" s="270"/>
      <c r="F821" s="271"/>
      <c r="G821" s="332">
        <f t="shared" ref="G821:G827" si="973">+H821+I821</f>
        <v>0</v>
      </c>
      <c r="H821" s="272"/>
      <c r="I821" s="272"/>
      <c r="J821" s="351" t="str">
        <f>IFERROR(G821/#REF!,"-")</f>
        <v>-</v>
      </c>
      <c r="K821" s="332">
        <f t="shared" ref="K821:K827" si="974">+L821+M821</f>
        <v>0</v>
      </c>
      <c r="L821" s="272">
        <f t="shared" ref="L821:L827" si="975">+H821+L706</f>
        <v>0</v>
      </c>
      <c r="M821" s="273">
        <f t="shared" ref="M821:M827" si="976">+I821+M706</f>
        <v>0</v>
      </c>
      <c r="N821" s="336" t="str">
        <f t="shared" ref="N821:N828" si="977">IFERROR(K821/E821,"-")</f>
        <v>-</v>
      </c>
      <c r="O821" s="346" t="str">
        <f t="shared" si="963"/>
        <v>-</v>
      </c>
    </row>
    <row r="822" spans="1:15" ht="23.4" x14ac:dyDescent="0.3">
      <c r="A822" s="274" t="s">
        <v>103</v>
      </c>
      <c r="B822" s="1044"/>
      <c r="C822" s="275" t="s">
        <v>233</v>
      </c>
      <c r="D822" s="275" t="s">
        <v>234</v>
      </c>
      <c r="E822" s="276"/>
      <c r="F822" s="277"/>
      <c r="G822" s="333">
        <f t="shared" si="973"/>
        <v>0</v>
      </c>
      <c r="H822" s="278"/>
      <c r="I822" s="278"/>
      <c r="J822" s="352" t="str">
        <f>IFERROR(G822/#REF!,"-")</f>
        <v>-</v>
      </c>
      <c r="K822" s="333">
        <f t="shared" si="974"/>
        <v>0</v>
      </c>
      <c r="L822" s="272">
        <f t="shared" si="975"/>
        <v>0</v>
      </c>
      <c r="M822" s="273">
        <f t="shared" si="976"/>
        <v>0</v>
      </c>
      <c r="N822" s="337" t="str">
        <f t="shared" si="977"/>
        <v>-</v>
      </c>
      <c r="O822" s="263" t="str">
        <f t="shared" si="963"/>
        <v>-</v>
      </c>
    </row>
    <row r="823" spans="1:15" ht="23.4" x14ac:dyDescent="0.3">
      <c r="A823" s="274" t="s">
        <v>103</v>
      </c>
      <c r="B823" s="1044"/>
      <c r="C823" s="275" t="s">
        <v>115</v>
      </c>
      <c r="D823" s="275"/>
      <c r="E823" s="276"/>
      <c r="F823" s="277"/>
      <c r="G823" s="333">
        <f t="shared" si="973"/>
        <v>0</v>
      </c>
      <c r="H823" s="278"/>
      <c r="I823" s="278"/>
      <c r="J823" s="352" t="str">
        <f>IFERROR(G823/#REF!,"-")</f>
        <v>-</v>
      </c>
      <c r="K823" s="333">
        <f t="shared" si="974"/>
        <v>0</v>
      </c>
      <c r="L823" s="272">
        <f t="shared" si="975"/>
        <v>0</v>
      </c>
      <c r="M823" s="273">
        <f t="shared" si="976"/>
        <v>0</v>
      </c>
      <c r="N823" s="337" t="str">
        <f t="shared" si="977"/>
        <v>-</v>
      </c>
      <c r="O823" s="263" t="str">
        <f t="shared" si="963"/>
        <v>-</v>
      </c>
    </row>
    <row r="824" spans="1:15" ht="23.4" x14ac:dyDescent="0.3">
      <c r="A824" s="274" t="s">
        <v>103</v>
      </c>
      <c r="B824" s="1044"/>
      <c r="C824" s="275" t="s">
        <v>122</v>
      </c>
      <c r="D824" s="275"/>
      <c r="E824" s="276"/>
      <c r="F824" s="277"/>
      <c r="G824" s="333">
        <f t="shared" si="973"/>
        <v>0</v>
      </c>
      <c r="H824" s="278"/>
      <c r="I824" s="278"/>
      <c r="J824" s="352" t="str">
        <f>IFERROR(G824/#REF!,"-")</f>
        <v>-</v>
      </c>
      <c r="K824" s="333">
        <f t="shared" si="974"/>
        <v>0</v>
      </c>
      <c r="L824" s="272">
        <f t="shared" si="975"/>
        <v>0</v>
      </c>
      <c r="M824" s="273">
        <f t="shared" si="976"/>
        <v>0</v>
      </c>
      <c r="N824" s="337" t="str">
        <f t="shared" si="977"/>
        <v>-</v>
      </c>
      <c r="O824" s="263" t="str">
        <f t="shared" si="963"/>
        <v>-</v>
      </c>
    </row>
    <row r="825" spans="1:15" ht="23.4" x14ac:dyDescent="0.3">
      <c r="A825" s="274" t="s">
        <v>103</v>
      </c>
      <c r="B825" s="1044"/>
      <c r="C825" s="275" t="s">
        <v>176</v>
      </c>
      <c r="D825" s="275" t="s">
        <v>177</v>
      </c>
      <c r="E825" s="276"/>
      <c r="F825" s="277"/>
      <c r="G825" s="333">
        <f t="shared" si="973"/>
        <v>0</v>
      </c>
      <c r="H825" s="278"/>
      <c r="I825" s="278"/>
      <c r="J825" s="352" t="str">
        <f>IFERROR(G825/#REF!,"-")</f>
        <v>-</v>
      </c>
      <c r="K825" s="333">
        <f t="shared" si="974"/>
        <v>0</v>
      </c>
      <c r="L825" s="272">
        <f t="shared" si="975"/>
        <v>0</v>
      </c>
      <c r="M825" s="273">
        <f t="shared" si="976"/>
        <v>0</v>
      </c>
      <c r="N825" s="337" t="str">
        <f t="shared" si="977"/>
        <v>-</v>
      </c>
      <c r="O825" s="263" t="str">
        <f t="shared" si="963"/>
        <v>-</v>
      </c>
    </row>
    <row r="826" spans="1:15" ht="23.4" x14ac:dyDescent="0.3">
      <c r="A826" s="274" t="s">
        <v>103</v>
      </c>
      <c r="B826" s="1044"/>
      <c r="C826" s="275" t="s">
        <v>179</v>
      </c>
      <c r="D826" s="275" t="s">
        <v>178</v>
      </c>
      <c r="E826" s="276"/>
      <c r="F826" s="277"/>
      <c r="G826" s="333">
        <f t="shared" si="973"/>
        <v>0</v>
      </c>
      <c r="H826" s="278"/>
      <c r="I826" s="278"/>
      <c r="J826" s="352" t="str">
        <f>IFERROR(G826/#REF!,"-")</f>
        <v>-</v>
      </c>
      <c r="K826" s="333">
        <f t="shared" si="974"/>
        <v>0</v>
      </c>
      <c r="L826" s="272">
        <f t="shared" si="975"/>
        <v>0</v>
      </c>
      <c r="M826" s="273">
        <f t="shared" si="976"/>
        <v>0</v>
      </c>
      <c r="N826" s="337" t="str">
        <f t="shared" si="977"/>
        <v>-</v>
      </c>
      <c r="O826" s="263" t="str">
        <f t="shared" si="963"/>
        <v>-</v>
      </c>
    </row>
    <row r="827" spans="1:15" ht="24" thickBot="1" x14ac:dyDescent="0.35">
      <c r="A827" s="274" t="s">
        <v>103</v>
      </c>
      <c r="B827" s="1045"/>
      <c r="C827" s="286" t="s">
        <v>180</v>
      </c>
      <c r="D827" s="286" t="s">
        <v>107</v>
      </c>
      <c r="E827" s="280"/>
      <c r="F827" s="281"/>
      <c r="G827" s="334">
        <f t="shared" si="973"/>
        <v>0</v>
      </c>
      <c r="H827" s="282"/>
      <c r="I827" s="282"/>
      <c r="J827" s="353" t="str">
        <f>IFERROR(G827/#REF!,"-")</f>
        <v>-</v>
      </c>
      <c r="K827" s="334">
        <f t="shared" si="974"/>
        <v>0</v>
      </c>
      <c r="L827" s="272">
        <f t="shared" si="975"/>
        <v>0</v>
      </c>
      <c r="M827" s="273">
        <f t="shared" si="976"/>
        <v>0</v>
      </c>
      <c r="N827" s="338" t="str">
        <f t="shared" si="977"/>
        <v>-</v>
      </c>
      <c r="O827" s="347" t="str">
        <f t="shared" si="963"/>
        <v>-</v>
      </c>
    </row>
    <row r="828" spans="1:15" ht="24" thickBot="1" x14ac:dyDescent="0.35">
      <c r="A828" s="274" t="s">
        <v>103</v>
      </c>
      <c r="B828" s="1025" t="s">
        <v>29</v>
      </c>
      <c r="C828" s="1026"/>
      <c r="D828" s="1027"/>
      <c r="E828" s="366">
        <f t="shared" ref="E828" si="978">SUM(E821:E827)</f>
        <v>0</v>
      </c>
      <c r="F828" s="307">
        <v>80000</v>
      </c>
      <c r="G828" s="366">
        <f>SUM(G821:G827)</f>
        <v>0</v>
      </c>
      <c r="H828" s="365">
        <f t="shared" ref="H828:I828" si="979">SUM(H821:H827)</f>
        <v>0</v>
      </c>
      <c r="I828" s="365">
        <f t="shared" si="979"/>
        <v>0</v>
      </c>
      <c r="J828" s="356">
        <f>+G828/F828</f>
        <v>0</v>
      </c>
      <c r="K828" s="366">
        <f t="shared" ref="K828" si="980">SUM(K821:K827)</f>
        <v>0</v>
      </c>
      <c r="L828" s="365">
        <f>SUM(L821:L827)</f>
        <v>0</v>
      </c>
      <c r="M828" s="367">
        <f t="shared" ref="M828" si="981">SUM(M821:M827)</f>
        <v>0</v>
      </c>
      <c r="N828" s="355" t="str">
        <f t="shared" si="977"/>
        <v>-</v>
      </c>
      <c r="O828" s="356" t="str">
        <f t="shared" si="963"/>
        <v>-</v>
      </c>
    </row>
    <row r="829" spans="1:15" ht="23.4" x14ac:dyDescent="0.3">
      <c r="A829" s="252" t="s">
        <v>103</v>
      </c>
      <c r="B829" s="1085" t="s">
        <v>19</v>
      </c>
      <c r="C829" s="641" t="s">
        <v>235</v>
      </c>
      <c r="D829" s="669" t="s">
        <v>177</v>
      </c>
      <c r="E829" s="527"/>
      <c r="F829" s="838">
        <v>220000</v>
      </c>
      <c r="G829" s="457">
        <f t="shared" ref="G829:G833" si="982">+H829+I829</f>
        <v>0</v>
      </c>
      <c r="H829" s="458"/>
      <c r="I829" s="458"/>
      <c r="J829" s="831" t="str">
        <f>IFERROR(G829/#REF!,"-")</f>
        <v>-</v>
      </c>
      <c r="K829" s="694">
        <f>+L829+M829</f>
        <v>0</v>
      </c>
      <c r="L829" s="527">
        <f>+H829+L714</f>
        <v>0</v>
      </c>
      <c r="M829" s="838">
        <f>+I829+M714</f>
        <v>0</v>
      </c>
      <c r="N829" s="646" t="str">
        <f>IFERROR(K829/E829,"-")</f>
        <v>-</v>
      </c>
      <c r="O829" s="647" t="str">
        <f t="shared" si="963"/>
        <v>-</v>
      </c>
    </row>
    <row r="830" spans="1:15" ht="24" thickBot="1" x14ac:dyDescent="0.35">
      <c r="A830" s="252"/>
      <c r="B830" s="1086"/>
      <c r="C830" s="296" t="s">
        <v>377</v>
      </c>
      <c r="D830" s="645" t="s">
        <v>423</v>
      </c>
      <c r="E830" s="276">
        <v>1000000</v>
      </c>
      <c r="F830" s="277"/>
      <c r="G830" s="333">
        <f t="shared" si="982"/>
        <v>0</v>
      </c>
      <c r="H830" s="278"/>
      <c r="I830" s="278"/>
      <c r="J830" s="833" t="str">
        <f>IFERROR(G830/#REF!,"-")</f>
        <v>-</v>
      </c>
      <c r="K830" s="690">
        <f>+L830+M830</f>
        <v>576188</v>
      </c>
      <c r="L830" s="276">
        <f>+H830+L715</f>
        <v>574464</v>
      </c>
      <c r="M830" s="277">
        <f>+I830+M715</f>
        <v>1724</v>
      </c>
      <c r="N830" s="836">
        <f t="shared" ref="N830:N833" si="983">IFERROR(K830/E830,"-")</f>
        <v>0.57618800000000003</v>
      </c>
      <c r="O830" s="263">
        <f>IFERROR(M830/K830,"-")</f>
        <v>2.9920789742236909E-3</v>
      </c>
    </row>
    <row r="831" spans="1:15" ht="23.4" x14ac:dyDescent="0.3">
      <c r="A831" s="252"/>
      <c r="B831" s="1086"/>
      <c r="C831" s="826" t="s">
        <v>235</v>
      </c>
      <c r="D831" s="651" t="s">
        <v>522</v>
      </c>
      <c r="E831" s="276"/>
      <c r="F831" s="277"/>
      <c r="G831" s="333">
        <f t="shared" si="982"/>
        <v>0</v>
      </c>
      <c r="H831" s="278"/>
      <c r="I831" s="278"/>
      <c r="J831" s="833" t="str">
        <f>IFERROR(G831/#REF!,"-")</f>
        <v>-</v>
      </c>
      <c r="K831" s="690">
        <f t="shared" ref="K831:K832" si="984">+L831+M831</f>
        <v>175193</v>
      </c>
      <c r="L831" s="276">
        <f t="shared" ref="L831:L833" si="985">+H831+L716</f>
        <v>174768</v>
      </c>
      <c r="M831" s="277">
        <f t="shared" ref="M831:M833" si="986">+I831+M716</f>
        <v>425</v>
      </c>
      <c r="N831" s="836" t="str">
        <f t="shared" si="983"/>
        <v>-</v>
      </c>
      <c r="O831" s="263">
        <f t="shared" ref="O831:O851" si="987">IFERROR(M831/K831,"-")</f>
        <v>2.4258960118269564E-3</v>
      </c>
    </row>
    <row r="832" spans="1:15" ht="23.4" x14ac:dyDescent="0.3">
      <c r="A832" s="252"/>
      <c r="B832" s="1086"/>
      <c r="C832" s="296" t="s">
        <v>377</v>
      </c>
      <c r="D832" s="824" t="s">
        <v>522</v>
      </c>
      <c r="E832" s="276"/>
      <c r="F832" s="277"/>
      <c r="G832" s="333">
        <f t="shared" si="982"/>
        <v>152412</v>
      </c>
      <c r="H832" s="278">
        <v>152064</v>
      </c>
      <c r="I832" s="278">
        <v>348</v>
      </c>
      <c r="J832" s="833" t="str">
        <f>IFERROR(G832/#REF!,"-")</f>
        <v>-</v>
      </c>
      <c r="K832" s="690">
        <f t="shared" si="984"/>
        <v>254073</v>
      </c>
      <c r="L832" s="276">
        <f t="shared" si="985"/>
        <v>253440</v>
      </c>
      <c r="M832" s="277">
        <f t="shared" si="986"/>
        <v>633</v>
      </c>
      <c r="N832" s="836" t="str">
        <f t="shared" si="983"/>
        <v>-</v>
      </c>
      <c r="O832" s="263">
        <f t="shared" si="987"/>
        <v>2.4914099491091142E-3</v>
      </c>
    </row>
    <row r="833" spans="1:15" ht="24" thickBot="1" x14ac:dyDescent="0.35">
      <c r="A833" s="252"/>
      <c r="B833" s="1087"/>
      <c r="C833" s="635" t="s">
        <v>342</v>
      </c>
      <c r="D833" s="670"/>
      <c r="E833" s="530">
        <v>150000</v>
      </c>
      <c r="F833" s="839"/>
      <c r="G833" s="333">
        <f t="shared" si="982"/>
        <v>0</v>
      </c>
      <c r="H833" s="461"/>
      <c r="I833" s="461"/>
      <c r="J833" s="834" t="str">
        <f>IFERROR(G833/#REF!,"-")</f>
        <v>-</v>
      </c>
      <c r="K833" s="691">
        <f>+L833+M833</f>
        <v>0</v>
      </c>
      <c r="L833" s="530">
        <f t="shared" si="985"/>
        <v>0</v>
      </c>
      <c r="M833" s="839">
        <f t="shared" si="986"/>
        <v>0</v>
      </c>
      <c r="N833" s="837">
        <f t="shared" si="983"/>
        <v>0</v>
      </c>
      <c r="O833" s="264" t="str">
        <f t="shared" si="987"/>
        <v>-</v>
      </c>
    </row>
    <row r="834" spans="1:15" ht="24" thickBot="1" x14ac:dyDescent="0.35">
      <c r="A834" s="274" t="s">
        <v>103</v>
      </c>
      <c r="B834" s="1040" t="s">
        <v>46</v>
      </c>
      <c r="C834" s="1026"/>
      <c r="D834" s="1027"/>
      <c r="E834" s="513">
        <f>SUM(E829:E833)</f>
        <v>1150000</v>
      </c>
      <c r="F834" s="859">
        <f t="shared" ref="F834" si="988">SUM(F829)</f>
        <v>220000</v>
      </c>
      <c r="G834" s="513">
        <f>SUM(G829:G833)</f>
        <v>152412</v>
      </c>
      <c r="H834" s="519">
        <f>SUM(H829:H833)</f>
        <v>152064</v>
      </c>
      <c r="I834" s="519">
        <f>SUM(I829:I833)</f>
        <v>348</v>
      </c>
      <c r="J834" s="520">
        <f>+G834/F834</f>
        <v>0.69278181818181817</v>
      </c>
      <c r="K834" s="835">
        <f>SUM(K829:K833)</f>
        <v>1005454</v>
      </c>
      <c r="L834" s="519">
        <f>SUM(L829:L833)</f>
        <v>1002672</v>
      </c>
      <c r="M834" s="689">
        <f>SUM(M829:M833)</f>
        <v>2782</v>
      </c>
      <c r="N834" s="521">
        <f>IFERROR(K834/E834,"-")</f>
        <v>0.87430782608695656</v>
      </c>
      <c r="O834" s="520">
        <f t="shared" si="987"/>
        <v>2.7669092768043092E-3</v>
      </c>
    </row>
    <row r="835" spans="1:15" ht="23.4" x14ac:dyDescent="0.3">
      <c r="A835" s="274" t="s">
        <v>103</v>
      </c>
      <c r="B835" s="1043" t="s">
        <v>20</v>
      </c>
      <c r="C835" s="291" t="s">
        <v>317</v>
      </c>
      <c r="D835" s="291" t="s">
        <v>289</v>
      </c>
      <c r="E835" s="270"/>
      <c r="F835" s="271"/>
      <c r="G835" s="332">
        <f t="shared" ref="G835:G837" si="989">+H835+I835</f>
        <v>0</v>
      </c>
      <c r="H835" s="272"/>
      <c r="I835" s="272"/>
      <c r="J835" s="351" t="str">
        <f>IFERROR(G835/#REF!,"-")</f>
        <v>-</v>
      </c>
      <c r="K835" s="332">
        <f t="shared" ref="K835:K837" si="990">+L835+M835</f>
        <v>0</v>
      </c>
      <c r="L835" s="272">
        <f t="shared" ref="L835:L837" si="991">+H835+L720</f>
        <v>0</v>
      </c>
      <c r="M835" s="273">
        <f t="shared" ref="M835:M837" si="992">+I835+M720</f>
        <v>0</v>
      </c>
      <c r="N835" s="336" t="str">
        <f t="shared" ref="N835:N838" si="993">IFERROR(K835/E835,"-")</f>
        <v>-</v>
      </c>
      <c r="O835" s="346" t="str">
        <f t="shared" si="987"/>
        <v>-</v>
      </c>
    </row>
    <row r="836" spans="1:15" ht="23.4" x14ac:dyDescent="0.3">
      <c r="A836" s="274" t="s">
        <v>103</v>
      </c>
      <c r="B836" s="1044"/>
      <c r="C836" s="292" t="s">
        <v>114</v>
      </c>
      <c r="D836" s="292"/>
      <c r="E836" s="276"/>
      <c r="F836" s="277"/>
      <c r="G836" s="333">
        <f t="shared" si="989"/>
        <v>0</v>
      </c>
      <c r="H836" s="278"/>
      <c r="I836" s="278"/>
      <c r="J836" s="352" t="str">
        <f>IFERROR(G836/#REF!,"-")</f>
        <v>-</v>
      </c>
      <c r="K836" s="333">
        <f t="shared" si="990"/>
        <v>0</v>
      </c>
      <c r="L836" s="272">
        <f t="shared" si="991"/>
        <v>0</v>
      </c>
      <c r="M836" s="273">
        <f t="shared" si="992"/>
        <v>0</v>
      </c>
      <c r="N836" s="337" t="str">
        <f t="shared" si="993"/>
        <v>-</v>
      </c>
      <c r="O836" s="263" t="str">
        <f t="shared" si="987"/>
        <v>-</v>
      </c>
    </row>
    <row r="837" spans="1:15" ht="24" thickBot="1" x14ac:dyDescent="0.35">
      <c r="A837" s="274" t="s">
        <v>103</v>
      </c>
      <c r="B837" s="1045"/>
      <c r="C837" s="293" t="s">
        <v>120</v>
      </c>
      <c r="D837" s="293"/>
      <c r="E837" s="280"/>
      <c r="F837" s="281"/>
      <c r="G837" s="334">
        <f t="shared" si="989"/>
        <v>0</v>
      </c>
      <c r="H837" s="282"/>
      <c r="I837" s="282"/>
      <c r="J837" s="353" t="str">
        <f>IFERROR(G837/#REF!,"-")</f>
        <v>-</v>
      </c>
      <c r="K837" s="334">
        <f t="shared" si="990"/>
        <v>0</v>
      </c>
      <c r="L837" s="272">
        <f t="shared" si="991"/>
        <v>0</v>
      </c>
      <c r="M837" s="273">
        <f t="shared" si="992"/>
        <v>0</v>
      </c>
      <c r="N837" s="338" t="str">
        <f t="shared" si="993"/>
        <v>-</v>
      </c>
      <c r="O837" s="347" t="str">
        <f t="shared" si="987"/>
        <v>-</v>
      </c>
    </row>
    <row r="838" spans="1:15" ht="24" thickBot="1" x14ac:dyDescent="0.35">
      <c r="A838" s="274" t="s">
        <v>103</v>
      </c>
      <c r="B838" s="1026" t="s">
        <v>47</v>
      </c>
      <c r="C838" s="1026"/>
      <c r="D838" s="1046"/>
      <c r="E838" s="320">
        <f t="shared" ref="E838" si="994">SUM(E835:E837)</f>
        <v>0</v>
      </c>
      <c r="F838" s="285">
        <v>50000</v>
      </c>
      <c r="G838" s="320">
        <f>SUM(G835:G837)</f>
        <v>0</v>
      </c>
      <c r="H838" s="321">
        <f t="shared" ref="H838:I838" si="995">SUM(H835:H837)</f>
        <v>0</v>
      </c>
      <c r="I838" s="321">
        <f t="shared" si="995"/>
        <v>0</v>
      </c>
      <c r="J838" s="345">
        <f>+G838/F838</f>
        <v>0</v>
      </c>
      <c r="K838" s="320">
        <f t="shared" ref="K838:M838" si="996">SUM(K835:K837)</f>
        <v>0</v>
      </c>
      <c r="L838" s="321">
        <f t="shared" si="996"/>
        <v>0</v>
      </c>
      <c r="M838" s="322">
        <f t="shared" si="996"/>
        <v>0</v>
      </c>
      <c r="N838" s="339" t="str">
        <f t="shared" si="993"/>
        <v>-</v>
      </c>
      <c r="O838" s="345" t="str">
        <f t="shared" si="987"/>
        <v>-</v>
      </c>
    </row>
    <row r="839" spans="1:15" ht="24" thickBot="1" x14ac:dyDescent="0.35">
      <c r="A839" s="274" t="s">
        <v>103</v>
      </c>
      <c r="B839" s="1047" t="s">
        <v>21</v>
      </c>
      <c r="C839" s="1048"/>
      <c r="D839" s="1049"/>
      <c r="E839" s="326">
        <f>+E812+E820+E828+E834+E838</f>
        <v>3770000</v>
      </c>
      <c r="F839" s="327">
        <f>+F812+F820+F828+F834+F838</f>
        <v>465000</v>
      </c>
      <c r="G839" s="326">
        <f>+G812+G820+G828+G834+G838</f>
        <v>235002</v>
      </c>
      <c r="H839" s="324">
        <f>+H812+H820+H828+H834+H838</f>
        <v>234112</v>
      </c>
      <c r="I839" s="324">
        <f>+I812+I820+I828+I834+I838</f>
        <v>890</v>
      </c>
      <c r="J839" s="349">
        <f>+G839/F839</f>
        <v>0.50538064516129033</v>
      </c>
      <c r="K839" s="326">
        <f>+K812+K820+K828+K834+K838</f>
        <v>1643130</v>
      </c>
      <c r="L839" s="324">
        <f>+L812+L820+L828+L834+L838</f>
        <v>1637260</v>
      </c>
      <c r="M839" s="325">
        <f>+M812+M820+M828+M834+M838</f>
        <v>5870</v>
      </c>
      <c r="N839" s="341">
        <f>IFERROR(K839/E839,"-")</f>
        <v>0.43584350132625993</v>
      </c>
      <c r="O839" s="349">
        <f t="shared" si="987"/>
        <v>3.5724501408896437E-3</v>
      </c>
    </row>
    <row r="840" spans="1:15" ht="23.4" x14ac:dyDescent="0.3">
      <c r="A840" s="274" t="s">
        <v>103</v>
      </c>
      <c r="B840" s="1043" t="s">
        <v>400</v>
      </c>
      <c r="C840" s="269" t="s">
        <v>125</v>
      </c>
      <c r="D840" s="269"/>
      <c r="E840" s="270"/>
      <c r="F840" s="271"/>
      <c r="G840" s="332">
        <f t="shared" ref="G840:G843" si="997">+H840+I840</f>
        <v>0</v>
      </c>
      <c r="H840" s="272"/>
      <c r="I840" s="272"/>
      <c r="J840" s="351" t="str">
        <f>IFERROR(G840/#REF!,"-")</f>
        <v>-</v>
      </c>
      <c r="K840" s="332">
        <f t="shared" ref="K840:K843" si="998">+L840+M840</f>
        <v>0</v>
      </c>
      <c r="L840" s="272">
        <f t="shared" ref="L840:L843" si="999">+H840+L725</f>
        <v>0</v>
      </c>
      <c r="M840" s="273">
        <f t="shared" ref="M840:M843" si="1000">+I840+M725</f>
        <v>0</v>
      </c>
      <c r="N840" s="336" t="str">
        <f t="shared" ref="N840:N851" si="1001">IFERROR(K840/E840,"-")</f>
        <v>-</v>
      </c>
      <c r="O840" s="346" t="str">
        <f t="shared" si="987"/>
        <v>-</v>
      </c>
    </row>
    <row r="841" spans="1:15" ht="23.4" x14ac:dyDescent="0.3">
      <c r="A841" s="274" t="s">
        <v>103</v>
      </c>
      <c r="B841" s="1044"/>
      <c r="C841" s="295" t="s">
        <v>263</v>
      </c>
      <c r="D841" s="295" t="s">
        <v>181</v>
      </c>
      <c r="E841" s="276"/>
      <c r="F841" s="277"/>
      <c r="G841" s="333">
        <f t="shared" si="997"/>
        <v>0</v>
      </c>
      <c r="H841" s="278"/>
      <c r="I841" s="278"/>
      <c r="J841" s="352" t="str">
        <f>IFERROR(G841/#REF!,"-")</f>
        <v>-</v>
      </c>
      <c r="K841" s="333">
        <f t="shared" si="998"/>
        <v>0</v>
      </c>
      <c r="L841" s="272">
        <f t="shared" si="999"/>
        <v>0</v>
      </c>
      <c r="M841" s="273">
        <f t="shared" si="1000"/>
        <v>0</v>
      </c>
      <c r="N841" s="337" t="str">
        <f t="shared" si="1001"/>
        <v>-</v>
      </c>
      <c r="O841" s="263" t="str">
        <f t="shared" si="987"/>
        <v>-</v>
      </c>
    </row>
    <row r="842" spans="1:15" ht="23.4" x14ac:dyDescent="0.3">
      <c r="A842" s="274" t="s">
        <v>103</v>
      </c>
      <c r="B842" s="1044"/>
      <c r="C842" s="295" t="s">
        <v>362</v>
      </c>
      <c r="D842" s="295" t="s">
        <v>181</v>
      </c>
      <c r="E842" s="276"/>
      <c r="F842" s="277"/>
      <c r="G842" s="333">
        <f t="shared" si="997"/>
        <v>0</v>
      </c>
      <c r="H842" s="278"/>
      <c r="I842" s="278"/>
      <c r="J842" s="352" t="str">
        <f>IFERROR(G842/#REF!,"-")</f>
        <v>-</v>
      </c>
      <c r="K842" s="333">
        <f t="shared" si="998"/>
        <v>0</v>
      </c>
      <c r="L842" s="272">
        <f t="shared" si="999"/>
        <v>0</v>
      </c>
      <c r="M842" s="273">
        <f t="shared" si="1000"/>
        <v>0</v>
      </c>
      <c r="N842" s="337" t="str">
        <f t="shared" si="1001"/>
        <v>-</v>
      </c>
      <c r="O842" s="263" t="str">
        <f t="shared" si="987"/>
        <v>-</v>
      </c>
    </row>
    <row r="843" spans="1:15" ht="24" thickBot="1" x14ac:dyDescent="0.35">
      <c r="A843" s="274" t="s">
        <v>103</v>
      </c>
      <c r="B843" s="1045"/>
      <c r="C843" s="279" t="s">
        <v>182</v>
      </c>
      <c r="D843" s="279" t="s">
        <v>93</v>
      </c>
      <c r="E843" s="280"/>
      <c r="F843" s="281"/>
      <c r="G843" s="334">
        <f t="shared" si="997"/>
        <v>0</v>
      </c>
      <c r="H843" s="282"/>
      <c r="I843" s="282"/>
      <c r="J843" s="353" t="str">
        <f>IFERROR(G843/#REF!,"-")</f>
        <v>-</v>
      </c>
      <c r="K843" s="334">
        <f t="shared" si="998"/>
        <v>0</v>
      </c>
      <c r="L843" s="272">
        <f t="shared" si="999"/>
        <v>0</v>
      </c>
      <c r="M843" s="273">
        <f t="shared" si="1000"/>
        <v>0</v>
      </c>
      <c r="N843" s="338" t="str">
        <f t="shared" si="1001"/>
        <v>-</v>
      </c>
      <c r="O843" s="347" t="str">
        <f t="shared" si="987"/>
        <v>-</v>
      </c>
    </row>
    <row r="844" spans="1:15" ht="24" thickBot="1" x14ac:dyDescent="0.35">
      <c r="A844" s="274" t="s">
        <v>103</v>
      </c>
      <c r="B844" s="1025" t="s">
        <v>48</v>
      </c>
      <c r="C844" s="1026"/>
      <c r="D844" s="1027"/>
      <c r="E844" s="284">
        <f>SUM(E840:E843)</f>
        <v>0</v>
      </c>
      <c r="F844" s="285">
        <v>80000</v>
      </c>
      <c r="G844" s="320">
        <f>SUM(G840:G843)</f>
        <v>0</v>
      </c>
      <c r="H844" s="321">
        <f t="shared" ref="H844:I844" si="1002">SUM(H840:H843)</f>
        <v>0</v>
      </c>
      <c r="I844" s="321">
        <f t="shared" si="1002"/>
        <v>0</v>
      </c>
      <c r="J844" s="345">
        <f>+G844/F844</f>
        <v>0</v>
      </c>
      <c r="K844" s="320">
        <f t="shared" ref="K844" si="1003">SUM(K840:K843)</f>
        <v>0</v>
      </c>
      <c r="L844" s="321">
        <f>SUM(L840:L843)</f>
        <v>0</v>
      </c>
      <c r="M844" s="322">
        <f t="shared" ref="M844" si="1004">SUM(M840:M843)</f>
        <v>0</v>
      </c>
      <c r="N844" s="339" t="str">
        <f t="shared" si="1001"/>
        <v>-</v>
      </c>
      <c r="O844" s="345" t="str">
        <f t="shared" si="987"/>
        <v>-</v>
      </c>
    </row>
    <row r="845" spans="1:15" ht="23.4" x14ac:dyDescent="0.3">
      <c r="A845" s="274" t="s">
        <v>103</v>
      </c>
      <c r="B845" s="1043" t="s">
        <v>23</v>
      </c>
      <c r="C845" s="275" t="s">
        <v>500</v>
      </c>
      <c r="D845" s="296" t="s">
        <v>238</v>
      </c>
      <c r="E845" s="270">
        <v>10000</v>
      </c>
      <c r="F845" s="271"/>
      <c r="G845" s="332">
        <f t="shared" ref="G845:G853" si="1005">+H845+I845</f>
        <v>0</v>
      </c>
      <c r="H845" s="272"/>
      <c r="I845" s="272"/>
      <c r="J845" s="351" t="str">
        <f>IFERROR(G845/#REF!,"-")</f>
        <v>-</v>
      </c>
      <c r="K845" s="332">
        <f t="shared" ref="K845:K853" si="1006">+L845+M845</f>
        <v>0</v>
      </c>
      <c r="L845" s="272">
        <f t="shared" ref="L845:L853" si="1007">+H845+L730</f>
        <v>0</v>
      </c>
      <c r="M845" s="273">
        <f t="shared" ref="M845:M853" si="1008">+I845+M730</f>
        <v>0</v>
      </c>
      <c r="N845" s="336">
        <f t="shared" si="1001"/>
        <v>0</v>
      </c>
      <c r="O845" s="346" t="str">
        <f t="shared" si="987"/>
        <v>-</v>
      </c>
    </row>
    <row r="846" spans="1:15" ht="23.4" x14ac:dyDescent="0.3">
      <c r="A846" s="274" t="s">
        <v>103</v>
      </c>
      <c r="B846" s="1044"/>
      <c r="C846" s="275" t="s">
        <v>24</v>
      </c>
      <c r="D846" s="275" t="s">
        <v>238</v>
      </c>
      <c r="E846" s="276"/>
      <c r="F846" s="277"/>
      <c r="G846" s="333">
        <f t="shared" si="1005"/>
        <v>0</v>
      </c>
      <c r="H846" s="278"/>
      <c r="I846" s="278"/>
      <c r="J846" s="352" t="str">
        <f>IFERROR(G846/#REF!,"-")</f>
        <v>-</v>
      </c>
      <c r="K846" s="333">
        <f t="shared" si="1006"/>
        <v>0</v>
      </c>
      <c r="L846" s="272">
        <f t="shared" si="1007"/>
        <v>0</v>
      </c>
      <c r="M846" s="273">
        <f t="shared" si="1008"/>
        <v>0</v>
      </c>
      <c r="N846" s="337" t="str">
        <f t="shared" si="1001"/>
        <v>-</v>
      </c>
      <c r="O846" s="263" t="str">
        <f t="shared" si="987"/>
        <v>-</v>
      </c>
    </row>
    <row r="847" spans="1:15" ht="23.4" x14ac:dyDescent="0.3">
      <c r="A847" s="274" t="s">
        <v>103</v>
      </c>
      <c r="B847" s="1044"/>
      <c r="C847" s="275" t="s">
        <v>236</v>
      </c>
      <c r="D847" s="275" t="s">
        <v>238</v>
      </c>
      <c r="E847" s="276"/>
      <c r="F847" s="277"/>
      <c r="G847" s="333">
        <f t="shared" si="1005"/>
        <v>0</v>
      </c>
      <c r="H847" s="278"/>
      <c r="I847" s="278"/>
      <c r="J847" s="352" t="str">
        <f>IFERROR(G847/#REF!,"-")</f>
        <v>-</v>
      </c>
      <c r="K847" s="333">
        <f t="shared" si="1006"/>
        <v>0</v>
      </c>
      <c r="L847" s="272">
        <f t="shared" si="1007"/>
        <v>0</v>
      </c>
      <c r="M847" s="273">
        <f t="shared" si="1008"/>
        <v>0</v>
      </c>
      <c r="N847" s="337" t="str">
        <f t="shared" si="1001"/>
        <v>-</v>
      </c>
      <c r="O847" s="263" t="str">
        <f t="shared" si="987"/>
        <v>-</v>
      </c>
    </row>
    <row r="848" spans="1:15" ht="23.4" x14ac:dyDescent="0.3">
      <c r="A848" s="274" t="s">
        <v>103</v>
      </c>
      <c r="B848" s="1044"/>
      <c r="C848" s="275" t="s">
        <v>237</v>
      </c>
      <c r="D848" s="275" t="s">
        <v>238</v>
      </c>
      <c r="E848" s="276"/>
      <c r="F848" s="277"/>
      <c r="G848" s="333">
        <f t="shared" si="1005"/>
        <v>0</v>
      </c>
      <c r="H848" s="278"/>
      <c r="I848" s="278"/>
      <c r="J848" s="352" t="str">
        <f>IFERROR(G848/#REF!,"-")</f>
        <v>-</v>
      </c>
      <c r="K848" s="333">
        <f t="shared" si="1006"/>
        <v>0</v>
      </c>
      <c r="L848" s="272">
        <f t="shared" si="1007"/>
        <v>0</v>
      </c>
      <c r="M848" s="273">
        <f t="shared" si="1008"/>
        <v>0</v>
      </c>
      <c r="N848" s="337" t="str">
        <f t="shared" si="1001"/>
        <v>-</v>
      </c>
      <c r="O848" s="263" t="str">
        <f t="shared" si="987"/>
        <v>-</v>
      </c>
    </row>
    <row r="849" spans="1:15" ht="23.4" x14ac:dyDescent="0.3">
      <c r="A849" s="274" t="s">
        <v>103</v>
      </c>
      <c r="B849" s="1044"/>
      <c r="C849" s="295" t="s">
        <v>394</v>
      </c>
      <c r="D849" s="275" t="s">
        <v>238</v>
      </c>
      <c r="E849" s="276"/>
      <c r="F849" s="277"/>
      <c r="G849" s="333">
        <f t="shared" si="1005"/>
        <v>0</v>
      </c>
      <c r="H849" s="278"/>
      <c r="I849" s="278"/>
      <c r="J849" s="352" t="str">
        <f>IFERROR(G849/#REF!,"-")</f>
        <v>-</v>
      </c>
      <c r="K849" s="333">
        <f t="shared" si="1006"/>
        <v>0</v>
      </c>
      <c r="L849" s="272">
        <f t="shared" si="1007"/>
        <v>0</v>
      </c>
      <c r="M849" s="273">
        <f t="shared" si="1008"/>
        <v>0</v>
      </c>
      <c r="N849" s="337" t="str">
        <f t="shared" si="1001"/>
        <v>-</v>
      </c>
      <c r="O849" s="263" t="str">
        <f t="shared" si="987"/>
        <v>-</v>
      </c>
    </row>
    <row r="850" spans="1:15" ht="23.4" x14ac:dyDescent="0.3">
      <c r="A850" s="274" t="s">
        <v>103</v>
      </c>
      <c r="B850" s="1044"/>
      <c r="C850" s="295" t="s">
        <v>422</v>
      </c>
      <c r="D850" s="275" t="s">
        <v>238</v>
      </c>
      <c r="E850" s="276"/>
      <c r="F850" s="277"/>
      <c r="G850" s="333">
        <f t="shared" si="1005"/>
        <v>0</v>
      </c>
      <c r="H850" s="278"/>
      <c r="I850" s="278"/>
      <c r="J850" s="352" t="str">
        <f>IFERROR(G850/#REF!,"-")</f>
        <v>-</v>
      </c>
      <c r="K850" s="333">
        <f t="shared" si="1006"/>
        <v>0</v>
      </c>
      <c r="L850" s="272">
        <f t="shared" si="1007"/>
        <v>0</v>
      </c>
      <c r="M850" s="273">
        <f t="shared" si="1008"/>
        <v>0</v>
      </c>
      <c r="N850" s="337" t="str">
        <f t="shared" si="1001"/>
        <v>-</v>
      </c>
      <c r="O850" s="263" t="str">
        <f t="shared" si="987"/>
        <v>-</v>
      </c>
    </row>
    <row r="851" spans="1:15" ht="23.4" x14ac:dyDescent="0.3">
      <c r="A851" s="274" t="s">
        <v>103</v>
      </c>
      <c r="B851" s="1044"/>
      <c r="C851" s="295" t="s">
        <v>241</v>
      </c>
      <c r="D851" s="275" t="s">
        <v>243</v>
      </c>
      <c r="E851" s="276"/>
      <c r="F851" s="277"/>
      <c r="G851" s="333">
        <f t="shared" si="1005"/>
        <v>0</v>
      </c>
      <c r="H851" s="278"/>
      <c r="I851" s="278"/>
      <c r="J851" s="352" t="str">
        <f>IFERROR(G851/#REF!,"-")</f>
        <v>-</v>
      </c>
      <c r="K851" s="333">
        <f t="shared" si="1006"/>
        <v>0</v>
      </c>
      <c r="L851" s="272">
        <f t="shared" si="1007"/>
        <v>0</v>
      </c>
      <c r="M851" s="273">
        <f t="shared" si="1008"/>
        <v>0</v>
      </c>
      <c r="N851" s="337" t="str">
        <f t="shared" si="1001"/>
        <v>-</v>
      </c>
      <c r="O851" s="263" t="str">
        <f t="shared" si="987"/>
        <v>-</v>
      </c>
    </row>
    <row r="852" spans="1:15" ht="23.4" x14ac:dyDescent="0.3">
      <c r="A852" s="274"/>
      <c r="B852" s="1045"/>
      <c r="C852" s="295" t="s">
        <v>456</v>
      </c>
      <c r="D852" s="275" t="s">
        <v>238</v>
      </c>
      <c r="E852" s="280"/>
      <c r="F852" s="281"/>
      <c r="G852" s="333">
        <f t="shared" si="1005"/>
        <v>0</v>
      </c>
      <c r="H852" s="282"/>
      <c r="I852" s="282"/>
      <c r="J852" s="352" t="str">
        <f>IFERROR(G852/#REF!,"-")</f>
        <v>-</v>
      </c>
      <c r="K852" s="333">
        <f t="shared" si="1006"/>
        <v>0</v>
      </c>
      <c r="L852" s="272">
        <f t="shared" si="1007"/>
        <v>0</v>
      </c>
      <c r="M852" s="273">
        <f t="shared" si="1008"/>
        <v>0</v>
      </c>
      <c r="N852" s="338"/>
      <c r="O852" s="347"/>
    </row>
    <row r="853" spans="1:15" ht="24" thickBot="1" x14ac:dyDescent="0.35">
      <c r="A853" s="274" t="s">
        <v>103</v>
      </c>
      <c r="B853" s="1045"/>
      <c r="C853" s="295" t="s">
        <v>242</v>
      </c>
      <c r="D853" s="275" t="s">
        <v>238</v>
      </c>
      <c r="E853" s="280"/>
      <c r="F853" s="281"/>
      <c r="G853" s="334">
        <f t="shared" si="1005"/>
        <v>0</v>
      </c>
      <c r="H853" s="282"/>
      <c r="I853" s="282"/>
      <c r="J853" s="353" t="str">
        <f>IFERROR(G853/#REF!,"-")</f>
        <v>-</v>
      </c>
      <c r="K853" s="334">
        <f t="shared" si="1006"/>
        <v>0</v>
      </c>
      <c r="L853" s="272">
        <f t="shared" si="1007"/>
        <v>0</v>
      </c>
      <c r="M853" s="273">
        <f t="shared" si="1008"/>
        <v>0</v>
      </c>
      <c r="N853" s="338" t="str">
        <f t="shared" ref="N853:N855" si="1009">IFERROR(K853/E853,"-")</f>
        <v>-</v>
      </c>
      <c r="O853" s="347" t="str">
        <f t="shared" ref="O853:O870" si="1010">IFERROR(M853/K853,"-")</f>
        <v>-</v>
      </c>
    </row>
    <row r="854" spans="1:15" ht="24" thickBot="1" x14ac:dyDescent="0.35">
      <c r="A854" s="274" t="s">
        <v>103</v>
      </c>
      <c r="B854" s="1025" t="s">
        <v>49</v>
      </c>
      <c r="C854" s="1026"/>
      <c r="D854" s="1027"/>
      <c r="E854" s="284">
        <f>SUM(E845:E853)</f>
        <v>10000</v>
      </c>
      <c r="F854" s="285">
        <v>14000</v>
      </c>
      <c r="G854" s="320">
        <f>SUM(G845:G853)</f>
        <v>0</v>
      </c>
      <c r="H854" s="321">
        <f t="shared" ref="H854:I854" si="1011">SUM(H845:H853)</f>
        <v>0</v>
      </c>
      <c r="I854" s="321">
        <f t="shared" si="1011"/>
        <v>0</v>
      </c>
      <c r="J854" s="345">
        <f>+G855/F855</f>
        <v>0</v>
      </c>
      <c r="K854" s="320">
        <f>SUM(K845:K853)</f>
        <v>0</v>
      </c>
      <c r="L854" s="321">
        <f>+H854</f>
        <v>0</v>
      </c>
      <c r="M854" s="322">
        <f>+I854</f>
        <v>0</v>
      </c>
      <c r="N854" s="339">
        <f t="shared" si="1009"/>
        <v>0</v>
      </c>
      <c r="O854" s="345" t="str">
        <f t="shared" si="1010"/>
        <v>-</v>
      </c>
    </row>
    <row r="855" spans="1:15" ht="24" thickBot="1" x14ac:dyDescent="0.35">
      <c r="A855" s="274" t="s">
        <v>103</v>
      </c>
      <c r="B855" s="1047" t="s">
        <v>25</v>
      </c>
      <c r="C855" s="1048"/>
      <c r="D855" s="1049"/>
      <c r="E855" s="326">
        <f t="shared" ref="E855:F855" si="1012">+E844+E854</f>
        <v>10000</v>
      </c>
      <c r="F855" s="327">
        <f t="shared" si="1012"/>
        <v>94000</v>
      </c>
      <c r="G855" s="326">
        <f>+G844+G854</f>
        <v>0</v>
      </c>
      <c r="H855" s="324">
        <f t="shared" ref="H855:I855" si="1013">+H844+H854</f>
        <v>0</v>
      </c>
      <c r="I855" s="324">
        <f t="shared" si="1013"/>
        <v>0</v>
      </c>
      <c r="J855" s="349" t="str">
        <f>IFERROR(G855/#REF!,"-")</f>
        <v>-</v>
      </c>
      <c r="K855" s="326">
        <f t="shared" ref="K855" si="1014">+K844+K854</f>
        <v>0</v>
      </c>
      <c r="L855" s="324">
        <f>+L844+L854</f>
        <v>0</v>
      </c>
      <c r="M855" s="325">
        <f t="shared" ref="M855" si="1015">+M844+M854</f>
        <v>0</v>
      </c>
      <c r="N855" s="341">
        <f t="shared" si="1009"/>
        <v>0</v>
      </c>
      <c r="O855" s="349" t="str">
        <f t="shared" si="1010"/>
        <v>-</v>
      </c>
    </row>
    <row r="856" spans="1:15" ht="24" thickBot="1" x14ac:dyDescent="0.35">
      <c r="A856" s="274" t="s">
        <v>103</v>
      </c>
      <c r="B856" s="1019" t="s">
        <v>172</v>
      </c>
      <c r="C856" s="1020"/>
      <c r="D856" s="1021"/>
      <c r="E856" s="330">
        <f>+E839+E855</f>
        <v>3780000</v>
      </c>
      <c r="F856" s="331">
        <f t="shared" ref="F856:I856" si="1016">+F839+F855</f>
        <v>559000</v>
      </c>
      <c r="G856" s="330">
        <f t="shared" si="1016"/>
        <v>235002</v>
      </c>
      <c r="H856" s="328">
        <f t="shared" si="1016"/>
        <v>234112</v>
      </c>
      <c r="I856" s="328">
        <f t="shared" si="1016"/>
        <v>890</v>
      </c>
      <c r="J856" s="350">
        <f>+G856/F856</f>
        <v>0.42039713774597498</v>
      </c>
      <c r="K856" s="330">
        <f>+K839+K855</f>
        <v>1643130</v>
      </c>
      <c r="L856" s="328">
        <f t="shared" ref="L856:M856" si="1017">+L839+L855</f>
        <v>1637260</v>
      </c>
      <c r="M856" s="329">
        <f t="shared" si="1017"/>
        <v>5870</v>
      </c>
      <c r="N856" s="342">
        <f>IFERROR(K856/E856,"-")</f>
        <v>0.43469047619047618</v>
      </c>
      <c r="O856" s="350">
        <f t="shared" si="1010"/>
        <v>3.5724501408896437E-3</v>
      </c>
    </row>
    <row r="857" spans="1:15" ht="23.4" x14ac:dyDescent="0.3">
      <c r="A857" s="268" t="s">
        <v>101</v>
      </c>
      <c r="B857" s="1051" t="s">
        <v>26</v>
      </c>
      <c r="C857" s="297" t="s">
        <v>297</v>
      </c>
      <c r="D857" s="297" t="s">
        <v>177</v>
      </c>
      <c r="E857" s="270"/>
      <c r="F857" s="271"/>
      <c r="G857" s="332">
        <f t="shared" ref="G857:G866" si="1018">+H857+I857</f>
        <v>0</v>
      </c>
      <c r="H857" s="272"/>
      <c r="I857" s="272"/>
      <c r="J857" s="351" t="str">
        <f>IFERROR(G857/#REF!,"-")</f>
        <v>-</v>
      </c>
      <c r="K857" s="332">
        <f t="shared" ref="K857:K866" si="1019">+L857+M857</f>
        <v>0</v>
      </c>
      <c r="L857" s="272">
        <f t="shared" ref="L857:L866" si="1020">+H857+L742</f>
        <v>0</v>
      </c>
      <c r="M857" s="273">
        <f t="shared" ref="M857:M866" si="1021">+I857+M742</f>
        <v>0</v>
      </c>
      <c r="N857" s="336" t="str">
        <f t="shared" ref="N857:N870" si="1022">IFERROR(K857/E857,"-")</f>
        <v>-</v>
      </c>
      <c r="O857" s="346" t="str">
        <f t="shared" si="1010"/>
        <v>-</v>
      </c>
    </row>
    <row r="858" spans="1:15" ht="23.4" x14ac:dyDescent="0.3">
      <c r="A858" s="274" t="s">
        <v>101</v>
      </c>
      <c r="B858" s="1051"/>
      <c r="C858" s="298" t="s">
        <v>424</v>
      </c>
      <c r="D858" s="298" t="s">
        <v>423</v>
      </c>
      <c r="E858" s="276">
        <v>564432</v>
      </c>
      <c r="F858" s="277"/>
      <c r="G858" s="333">
        <f t="shared" si="1018"/>
        <v>0</v>
      </c>
      <c r="H858" s="278"/>
      <c r="I858" s="278"/>
      <c r="J858" s="352" t="str">
        <f>IFERROR(G858/#REF!,"-")</f>
        <v>-</v>
      </c>
      <c r="K858" s="333">
        <f t="shared" si="1019"/>
        <v>265434</v>
      </c>
      <c r="L858" s="272">
        <f t="shared" si="1020"/>
        <v>262548</v>
      </c>
      <c r="M858" s="273">
        <f t="shared" si="1021"/>
        <v>2886</v>
      </c>
      <c r="N858" s="337">
        <f t="shared" si="1022"/>
        <v>0.47026745471553705</v>
      </c>
      <c r="O858" s="263">
        <f t="shared" si="1010"/>
        <v>1.0872759330002939E-2</v>
      </c>
    </row>
    <row r="859" spans="1:15" ht="23.4" x14ac:dyDescent="0.3">
      <c r="A859" s="274" t="s">
        <v>101</v>
      </c>
      <c r="B859" s="1051"/>
      <c r="C859" s="299" t="s">
        <v>27</v>
      </c>
      <c r="D859" s="299" t="s">
        <v>334</v>
      </c>
      <c r="E859" s="280">
        <v>1301232</v>
      </c>
      <c r="F859" s="281"/>
      <c r="G859" s="333">
        <f t="shared" si="1018"/>
        <v>0</v>
      </c>
      <c r="H859" s="282"/>
      <c r="I859" s="282"/>
      <c r="J859" s="353" t="str">
        <f>IFERROR(G859/#REF!,"-")</f>
        <v>-</v>
      </c>
      <c r="K859" s="333">
        <f t="shared" si="1019"/>
        <v>29523</v>
      </c>
      <c r="L859" s="272">
        <f t="shared" si="1020"/>
        <v>27846</v>
      </c>
      <c r="M859" s="273">
        <f t="shared" si="1021"/>
        <v>1677</v>
      </c>
      <c r="N859" s="337">
        <f t="shared" si="1022"/>
        <v>2.2688498284702496E-2</v>
      </c>
      <c r="O859" s="263">
        <f t="shared" si="1010"/>
        <v>5.6803170409511231E-2</v>
      </c>
    </row>
    <row r="860" spans="1:15" ht="23.4" x14ac:dyDescent="0.3">
      <c r="A860" s="274" t="s">
        <v>101</v>
      </c>
      <c r="B860" s="1051"/>
      <c r="C860" s="299" t="s">
        <v>27</v>
      </c>
      <c r="D860" s="297" t="s">
        <v>492</v>
      </c>
      <c r="E860" s="280"/>
      <c r="F860" s="281"/>
      <c r="G860" s="333">
        <f t="shared" si="1018"/>
        <v>0</v>
      </c>
      <c r="H860" s="282"/>
      <c r="I860" s="282"/>
      <c r="J860" s="353" t="str">
        <f>IFERROR(G860/#REF!,"-")</f>
        <v>-</v>
      </c>
      <c r="K860" s="333">
        <f t="shared" si="1019"/>
        <v>274869</v>
      </c>
      <c r="L860" s="272">
        <f t="shared" si="1020"/>
        <v>270504</v>
      </c>
      <c r="M860" s="273">
        <f t="shared" si="1021"/>
        <v>4365</v>
      </c>
      <c r="N860" s="337" t="str">
        <f t="shared" si="1022"/>
        <v>-</v>
      </c>
      <c r="O860" s="263">
        <f t="shared" si="1010"/>
        <v>1.588029206640254E-2</v>
      </c>
    </row>
    <row r="861" spans="1:15" ht="23.4" x14ac:dyDescent="0.3">
      <c r="A861" s="274" t="s">
        <v>101</v>
      </c>
      <c r="B861" s="1051"/>
      <c r="C861" s="297" t="s">
        <v>521</v>
      </c>
      <c r="D861" s="299" t="s">
        <v>234</v>
      </c>
      <c r="E861" s="280"/>
      <c r="F861" s="281"/>
      <c r="G861" s="333">
        <f t="shared" si="1018"/>
        <v>36685</v>
      </c>
      <c r="H861" s="282">
        <v>35802</v>
      </c>
      <c r="I861" s="282">
        <v>883</v>
      </c>
      <c r="J861" s="353" t="str">
        <f>IFERROR(G861/#REF!,"-")</f>
        <v>-</v>
      </c>
      <c r="K861" s="333">
        <f t="shared" si="1019"/>
        <v>57116</v>
      </c>
      <c r="L861" s="272">
        <f t="shared" si="1020"/>
        <v>55692</v>
      </c>
      <c r="M861" s="273">
        <f t="shared" si="1021"/>
        <v>1424</v>
      </c>
      <c r="N861" s="337" t="str">
        <f t="shared" si="1022"/>
        <v>-</v>
      </c>
      <c r="O861" s="263">
        <f t="shared" si="1010"/>
        <v>2.4931717907416485E-2</v>
      </c>
    </row>
    <row r="862" spans="1:15" ht="22.5" customHeight="1" x14ac:dyDescent="0.3">
      <c r="A862" s="274"/>
      <c r="B862" s="1051"/>
      <c r="C862" s="299" t="s">
        <v>432</v>
      </c>
      <c r="D862" s="299" t="s">
        <v>178</v>
      </c>
      <c r="E862" s="280"/>
      <c r="F862" s="281"/>
      <c r="G862" s="334">
        <f t="shared" si="1018"/>
        <v>0</v>
      </c>
      <c r="H862" s="282"/>
      <c r="I862" s="282"/>
      <c r="J862" s="353" t="str">
        <f>IFERROR(G862/#REF!,"-")</f>
        <v>-</v>
      </c>
      <c r="K862" s="334">
        <f t="shared" si="1019"/>
        <v>0</v>
      </c>
      <c r="L862" s="272">
        <f t="shared" si="1020"/>
        <v>0</v>
      </c>
      <c r="M862" s="273">
        <f t="shared" si="1021"/>
        <v>0</v>
      </c>
      <c r="N862" s="337" t="str">
        <f t="shared" si="1022"/>
        <v>-</v>
      </c>
      <c r="O862" s="263" t="str">
        <f t="shared" si="1010"/>
        <v>-</v>
      </c>
    </row>
    <row r="863" spans="1:15" ht="23.4" x14ac:dyDescent="0.3">
      <c r="A863" s="274"/>
      <c r="B863" s="1051"/>
      <c r="C863" s="299" t="s">
        <v>333</v>
      </c>
      <c r="D863" s="299" t="s">
        <v>94</v>
      </c>
      <c r="E863" s="280"/>
      <c r="F863" s="281"/>
      <c r="G863" s="334">
        <f t="shared" si="1018"/>
        <v>0</v>
      </c>
      <c r="H863" s="282"/>
      <c r="I863" s="282"/>
      <c r="J863" s="353" t="str">
        <f>IFERROR(G863/#REF!,"-")</f>
        <v>-</v>
      </c>
      <c r="K863" s="334">
        <f t="shared" si="1019"/>
        <v>0</v>
      </c>
      <c r="L863" s="272">
        <f t="shared" si="1020"/>
        <v>0</v>
      </c>
      <c r="M863" s="273">
        <f t="shared" si="1021"/>
        <v>0</v>
      </c>
      <c r="N863" s="337" t="str">
        <f t="shared" si="1022"/>
        <v>-</v>
      </c>
      <c r="O863" s="263" t="str">
        <f t="shared" si="1010"/>
        <v>-</v>
      </c>
    </row>
    <row r="864" spans="1:15" ht="23.4" x14ac:dyDescent="0.3">
      <c r="A864" s="274"/>
      <c r="B864" s="1051"/>
      <c r="C864" s="299" t="s">
        <v>433</v>
      </c>
      <c r="D864" s="299" t="s">
        <v>178</v>
      </c>
      <c r="E864" s="280"/>
      <c r="F864" s="281"/>
      <c r="G864" s="334">
        <f t="shared" si="1018"/>
        <v>0</v>
      </c>
      <c r="H864" s="282"/>
      <c r="I864" s="282"/>
      <c r="J864" s="353" t="str">
        <f>IFERROR(G864/#REF!,"-")</f>
        <v>-</v>
      </c>
      <c r="K864" s="334">
        <f t="shared" si="1019"/>
        <v>0</v>
      </c>
      <c r="L864" s="272">
        <f t="shared" si="1020"/>
        <v>0</v>
      </c>
      <c r="M864" s="272">
        <f t="shared" si="1021"/>
        <v>0</v>
      </c>
      <c r="N864" s="337" t="str">
        <f t="shared" si="1022"/>
        <v>-</v>
      </c>
      <c r="O864" s="263" t="str">
        <f t="shared" si="1010"/>
        <v>-</v>
      </c>
    </row>
    <row r="865" spans="1:15" ht="23.4" x14ac:dyDescent="0.3">
      <c r="A865" s="274"/>
      <c r="B865" s="1051"/>
      <c r="C865" s="299" t="s">
        <v>382</v>
      </c>
      <c r="D865" s="299" t="s">
        <v>366</v>
      </c>
      <c r="E865" s="280"/>
      <c r="F865" s="281"/>
      <c r="G865" s="334">
        <f t="shared" si="1018"/>
        <v>0</v>
      </c>
      <c r="H865" s="282"/>
      <c r="I865" s="282"/>
      <c r="J865" s="353" t="str">
        <f>IFERROR(G865/#REF!,"-")</f>
        <v>-</v>
      </c>
      <c r="K865" s="334">
        <f t="shared" si="1019"/>
        <v>0</v>
      </c>
      <c r="L865" s="272">
        <f t="shared" si="1020"/>
        <v>0</v>
      </c>
      <c r="M865" s="273">
        <f t="shared" si="1021"/>
        <v>0</v>
      </c>
      <c r="N865" s="337" t="str">
        <f t="shared" si="1022"/>
        <v>-</v>
      </c>
      <c r="O865" s="263" t="str">
        <f t="shared" si="1010"/>
        <v>-</v>
      </c>
    </row>
    <row r="866" spans="1:15" ht="24" thickBot="1" x14ac:dyDescent="0.35">
      <c r="A866" s="274" t="s">
        <v>101</v>
      </c>
      <c r="B866" s="1051"/>
      <c r="C866" s="300" t="s">
        <v>290</v>
      </c>
      <c r="D866" s="299" t="s">
        <v>289</v>
      </c>
      <c r="E866" s="280"/>
      <c r="F866" s="281"/>
      <c r="G866" s="334">
        <f t="shared" si="1018"/>
        <v>0</v>
      </c>
      <c r="H866" s="282"/>
      <c r="I866" s="282"/>
      <c r="J866" s="353" t="str">
        <f>IFERROR(G866/#REF!,"-")</f>
        <v>-</v>
      </c>
      <c r="K866" s="334">
        <f t="shared" si="1019"/>
        <v>0</v>
      </c>
      <c r="L866" s="272">
        <f t="shared" si="1020"/>
        <v>0</v>
      </c>
      <c r="M866" s="273">
        <f t="shared" si="1021"/>
        <v>0</v>
      </c>
      <c r="N866" s="337" t="str">
        <f t="shared" si="1022"/>
        <v>-</v>
      </c>
      <c r="O866" s="347" t="str">
        <f t="shared" si="1010"/>
        <v>-</v>
      </c>
    </row>
    <row r="867" spans="1:15" ht="24" thickBot="1" x14ac:dyDescent="0.35">
      <c r="A867" s="274" t="s">
        <v>101</v>
      </c>
      <c r="B867" s="1052"/>
      <c r="C867" s="301"/>
      <c r="D867" s="302" t="s">
        <v>52</v>
      </c>
      <c r="E867" s="284">
        <f>SUM(E857:E866)</f>
        <v>1865664</v>
      </c>
      <c r="F867" s="285">
        <v>80000</v>
      </c>
      <c r="G867" s="320">
        <f>SUM(G857:G866)</f>
        <v>36685</v>
      </c>
      <c r="H867" s="321">
        <f>SUM(H857:H866)</f>
        <v>35802</v>
      </c>
      <c r="I867" s="321">
        <f>SUM(I857:I866)</f>
        <v>883</v>
      </c>
      <c r="J867" s="345">
        <f>+G867/F867</f>
        <v>0.45856249999999998</v>
      </c>
      <c r="K867" s="320">
        <f>SUM(K857:K866)</f>
        <v>626942</v>
      </c>
      <c r="L867" s="321">
        <f>SUM(L857:L866)</f>
        <v>616590</v>
      </c>
      <c r="M867" s="322">
        <f>SUM(M857:M866)</f>
        <v>10352</v>
      </c>
      <c r="N867" s="339">
        <f t="shared" si="1022"/>
        <v>0.33604228842921341</v>
      </c>
      <c r="O867" s="345">
        <f t="shared" si="1010"/>
        <v>1.6511894242210605E-2</v>
      </c>
    </row>
    <row r="868" spans="1:15" ht="23.4" x14ac:dyDescent="0.3">
      <c r="A868" s="274" t="s">
        <v>101</v>
      </c>
      <c r="B868" s="1053" t="s">
        <v>28</v>
      </c>
      <c r="C868" s="299" t="s">
        <v>27</v>
      </c>
      <c r="D868" s="297" t="s">
        <v>492</v>
      </c>
      <c r="E868" s="270"/>
      <c r="F868" s="271"/>
      <c r="G868" s="332">
        <f t="shared" ref="G868:G872" si="1023">+H868+I868</f>
        <v>8844</v>
      </c>
      <c r="H868" s="272">
        <v>7956</v>
      </c>
      <c r="I868" s="272">
        <v>888</v>
      </c>
      <c r="J868" s="351" t="str">
        <f>IFERROR(G868/#REF!,"-")</f>
        <v>-</v>
      </c>
      <c r="K868" s="332">
        <f t="shared" ref="K868:K874" si="1024">+L868+M868</f>
        <v>170343</v>
      </c>
      <c r="L868" s="272">
        <f t="shared" ref="L868:L874" si="1025">+H868+L753</f>
        <v>167076</v>
      </c>
      <c r="M868" s="273">
        <f t="shared" ref="M868:M874" si="1026">+I868+M753</f>
        <v>3267</v>
      </c>
      <c r="N868" s="336" t="str">
        <f t="shared" si="1022"/>
        <v>-</v>
      </c>
      <c r="O868" s="346">
        <f t="shared" si="1010"/>
        <v>1.9178950705341577E-2</v>
      </c>
    </row>
    <row r="869" spans="1:15" ht="23.4" x14ac:dyDescent="0.3">
      <c r="A869" s="274" t="s">
        <v>101</v>
      </c>
      <c r="B869" s="1051"/>
      <c r="C869" s="299" t="s">
        <v>385</v>
      </c>
      <c r="D869" s="299" t="s">
        <v>334</v>
      </c>
      <c r="E869" s="276"/>
      <c r="F869" s="277"/>
      <c r="G869" s="333">
        <f t="shared" si="1023"/>
        <v>0</v>
      </c>
      <c r="H869" s="278"/>
      <c r="I869" s="278"/>
      <c r="J869" s="352" t="str">
        <f>IFERROR(G869/#REF!,"-")</f>
        <v>-</v>
      </c>
      <c r="K869" s="333">
        <f t="shared" si="1024"/>
        <v>96975</v>
      </c>
      <c r="L869" s="272">
        <f t="shared" si="1025"/>
        <v>95472</v>
      </c>
      <c r="M869" s="273">
        <f t="shared" si="1026"/>
        <v>1503</v>
      </c>
      <c r="N869" s="337" t="str">
        <f t="shared" si="1022"/>
        <v>-</v>
      </c>
      <c r="O869" s="263">
        <f t="shared" si="1010"/>
        <v>1.5498839907192575E-2</v>
      </c>
    </row>
    <row r="870" spans="1:15" ht="23.4" x14ac:dyDescent="0.3">
      <c r="A870" s="274" t="s">
        <v>101</v>
      </c>
      <c r="B870" s="1051"/>
      <c r="C870" s="299" t="s">
        <v>27</v>
      </c>
      <c r="D870" s="299" t="s">
        <v>334</v>
      </c>
      <c r="E870" s="276"/>
      <c r="F870" s="277"/>
      <c r="G870" s="333">
        <f t="shared" si="1023"/>
        <v>0</v>
      </c>
      <c r="H870" s="278"/>
      <c r="I870" s="278"/>
      <c r="J870" s="352" t="str">
        <f>IFERROR(G870/#REF!,"-")</f>
        <v>-</v>
      </c>
      <c r="K870" s="333">
        <f t="shared" si="1024"/>
        <v>0</v>
      </c>
      <c r="L870" s="272">
        <f t="shared" si="1025"/>
        <v>0</v>
      </c>
      <c r="M870" s="273">
        <f t="shared" si="1026"/>
        <v>0</v>
      </c>
      <c r="N870" s="337" t="str">
        <f t="shared" si="1022"/>
        <v>-</v>
      </c>
      <c r="O870" s="263" t="str">
        <f t="shared" si="1010"/>
        <v>-</v>
      </c>
    </row>
    <row r="871" spans="1:15" ht="23.4" x14ac:dyDescent="0.3">
      <c r="A871" s="274"/>
      <c r="B871" s="1051"/>
      <c r="C871" s="299" t="s">
        <v>460</v>
      </c>
      <c r="D871" s="299" t="s">
        <v>334</v>
      </c>
      <c r="E871" s="280"/>
      <c r="F871" s="281"/>
      <c r="G871" s="333">
        <f t="shared" si="1023"/>
        <v>4348</v>
      </c>
      <c r="H871" s="282">
        <v>3978</v>
      </c>
      <c r="I871" s="282">
        <v>370</v>
      </c>
      <c r="J871" s="352" t="str">
        <f>IFERROR(G871/#REF!,"-")</f>
        <v>-</v>
      </c>
      <c r="K871" s="333">
        <f t="shared" si="1024"/>
        <v>4348</v>
      </c>
      <c r="L871" s="272">
        <f t="shared" si="1025"/>
        <v>3978</v>
      </c>
      <c r="M871" s="273">
        <f t="shared" si="1026"/>
        <v>370</v>
      </c>
      <c r="N871" s="338"/>
      <c r="O871" s="347"/>
    </row>
    <row r="872" spans="1:15" ht="23.4" x14ac:dyDescent="0.3">
      <c r="A872" s="274" t="s">
        <v>101</v>
      </c>
      <c r="B872" s="1051"/>
      <c r="C872" s="299" t="s">
        <v>382</v>
      </c>
      <c r="D872" s="300" t="s">
        <v>366</v>
      </c>
      <c r="E872" s="280"/>
      <c r="F872" s="281"/>
      <c r="G872" s="334">
        <f t="shared" si="1023"/>
        <v>0</v>
      </c>
      <c r="H872" s="282"/>
      <c r="I872" s="282"/>
      <c r="J872" s="352" t="str">
        <f>IFERROR(G872/#REF!,"-")</f>
        <v>-</v>
      </c>
      <c r="K872" s="334">
        <f t="shared" si="1024"/>
        <v>0</v>
      </c>
      <c r="L872" s="272">
        <f t="shared" si="1025"/>
        <v>0</v>
      </c>
      <c r="M872" s="702">
        <f t="shared" si="1026"/>
        <v>0</v>
      </c>
      <c r="N872" s="338" t="str">
        <f t="shared" ref="N872" si="1027">IFERROR(K872/E872,"-")</f>
        <v>-</v>
      </c>
      <c r="O872" s="347" t="str">
        <f t="shared" ref="O872" si="1028">IFERROR(M872/K872,"-")</f>
        <v>-</v>
      </c>
    </row>
    <row r="873" spans="1:15" ht="23.4" x14ac:dyDescent="0.3">
      <c r="A873" s="274"/>
      <c r="B873" s="1051"/>
      <c r="C873" s="299" t="s">
        <v>458</v>
      </c>
      <c r="D873" s="300" t="s">
        <v>280</v>
      </c>
      <c r="E873" s="280"/>
      <c r="F873" s="281"/>
      <c r="G873" s="334"/>
      <c r="H873" s="282"/>
      <c r="I873" s="282"/>
      <c r="J873" s="352" t="str">
        <f>IFERROR(G873/#REF!,"-")</f>
        <v>-</v>
      </c>
      <c r="K873" s="334">
        <f t="shared" si="1024"/>
        <v>0</v>
      </c>
      <c r="L873" s="272">
        <f t="shared" si="1025"/>
        <v>0</v>
      </c>
      <c r="M873" s="272">
        <f t="shared" si="1026"/>
        <v>0</v>
      </c>
      <c r="N873" s="338"/>
      <c r="O873" s="347"/>
    </row>
    <row r="874" spans="1:15" ht="24" thickBot="1" x14ac:dyDescent="0.35">
      <c r="A874" s="274" t="s">
        <v>101</v>
      </c>
      <c r="B874" s="1051"/>
      <c r="C874" s="299" t="s">
        <v>27</v>
      </c>
      <c r="D874" s="300" t="s">
        <v>234</v>
      </c>
      <c r="E874" s="280"/>
      <c r="F874" s="281"/>
      <c r="G874" s="334">
        <f t="shared" ref="G874" si="1029">+H874+I874</f>
        <v>0</v>
      </c>
      <c r="H874" s="282"/>
      <c r="I874" s="282"/>
      <c r="J874" s="353" t="str">
        <f>IFERROR(G874/#REF!,"-")</f>
        <v>-</v>
      </c>
      <c r="K874" s="334">
        <f t="shared" si="1024"/>
        <v>0</v>
      </c>
      <c r="L874" s="272">
        <f t="shared" si="1025"/>
        <v>0</v>
      </c>
      <c r="M874" s="702">
        <f t="shared" si="1026"/>
        <v>0</v>
      </c>
      <c r="N874" s="338" t="str">
        <f t="shared" ref="N874:N875" si="1030">IFERROR(K874/E874,"-")</f>
        <v>-</v>
      </c>
      <c r="O874" s="347" t="str">
        <f t="shared" ref="O874:O890" si="1031">IFERROR(M874/K874,"-")</f>
        <v>-</v>
      </c>
    </row>
    <row r="875" spans="1:15" ht="24" thickBot="1" x14ac:dyDescent="0.35">
      <c r="A875" s="274" t="s">
        <v>101</v>
      </c>
      <c r="B875" s="1051"/>
      <c r="C875" s="304"/>
      <c r="D875" s="305" t="s">
        <v>52</v>
      </c>
      <c r="E875" s="306">
        <f>SUM(E868:E874)</f>
        <v>0</v>
      </c>
      <c r="F875" s="307">
        <v>160000</v>
      </c>
      <c r="G875" s="366">
        <f>SUM(G868:G874)</f>
        <v>13192</v>
      </c>
      <c r="H875" s="365">
        <f>SUM(H868:H874)</f>
        <v>11934</v>
      </c>
      <c r="I875" s="365">
        <f>SUM(I868:I874)</f>
        <v>1258</v>
      </c>
      <c r="J875" s="356">
        <f>+G875/F875</f>
        <v>8.2449999999999996E-2</v>
      </c>
      <c r="K875" s="366">
        <f>SUM(K868:K874)</f>
        <v>271666</v>
      </c>
      <c r="L875" s="365">
        <f>SUM(L868:L874)</f>
        <v>266526</v>
      </c>
      <c r="M875" s="367">
        <f>SUM(M868:M874)</f>
        <v>5140</v>
      </c>
      <c r="N875" s="355" t="str">
        <f t="shared" si="1030"/>
        <v>-</v>
      </c>
      <c r="O875" s="356">
        <f t="shared" si="1031"/>
        <v>1.8920291828937005E-2</v>
      </c>
    </row>
    <row r="876" spans="1:15" ht="24" thickBot="1" x14ac:dyDescent="0.35">
      <c r="A876" s="823" t="s">
        <v>101</v>
      </c>
      <c r="B876" s="1054" t="s">
        <v>162</v>
      </c>
      <c r="C876" s="1055"/>
      <c r="D876" s="1056"/>
      <c r="E876" s="308">
        <f>+E875+E867</f>
        <v>1865664</v>
      </c>
      <c r="F876" s="309">
        <v>240000</v>
      </c>
      <c r="G876" s="369">
        <f>+G867+G875</f>
        <v>49877</v>
      </c>
      <c r="H876" s="368">
        <f>+H867+H875</f>
        <v>47736</v>
      </c>
      <c r="I876" s="368">
        <f>+I867+I875</f>
        <v>2141</v>
      </c>
      <c r="J876" s="358">
        <f>+G876/F876</f>
        <v>0.20782083333333334</v>
      </c>
      <c r="K876" s="369">
        <f>+K867+K875</f>
        <v>898608</v>
      </c>
      <c r="L876" s="368">
        <f>+L867+L875</f>
        <v>883116</v>
      </c>
      <c r="M876" s="370">
        <f>+M867+M875</f>
        <v>15492</v>
      </c>
      <c r="N876" s="357">
        <f>IFERROR(K876/E876,"-")</f>
        <v>0.48165586086240608</v>
      </c>
      <c r="O876" s="358">
        <f t="shared" si="1031"/>
        <v>1.7239997863362E-2</v>
      </c>
    </row>
    <row r="877" spans="1:15" ht="23.4" x14ac:dyDescent="0.3">
      <c r="A877" s="274" t="s">
        <v>101</v>
      </c>
      <c r="B877" s="1051" t="s">
        <v>30</v>
      </c>
      <c r="C877" s="303" t="s">
        <v>446</v>
      </c>
      <c r="D877" s="299" t="s">
        <v>334</v>
      </c>
      <c r="E877" s="270">
        <v>225000</v>
      </c>
      <c r="F877" s="271"/>
      <c r="G877" s="332">
        <f t="shared" ref="G877:G879" si="1032">+H877+I877</f>
        <v>0</v>
      </c>
      <c r="H877" s="272"/>
      <c r="I877" s="272"/>
      <c r="J877" s="351" t="str">
        <f>IFERROR(G877/#REF!,"-")</f>
        <v>-</v>
      </c>
      <c r="K877" s="332">
        <f t="shared" ref="K877:K879" si="1033">+L877+M877</f>
        <v>0</v>
      </c>
      <c r="L877" s="272">
        <f t="shared" ref="L877:L879" si="1034">+H877+L762</f>
        <v>0</v>
      </c>
      <c r="M877" s="273">
        <f t="shared" ref="M877:M879" si="1035">+I877+M762</f>
        <v>0</v>
      </c>
      <c r="N877" s="336">
        <f t="shared" ref="N877:N890" si="1036">IFERROR(K877/E877,"-")</f>
        <v>0</v>
      </c>
      <c r="O877" s="346" t="str">
        <f t="shared" si="1031"/>
        <v>-</v>
      </c>
    </row>
    <row r="878" spans="1:15" ht="23.4" x14ac:dyDescent="0.3">
      <c r="A878" s="274" t="s">
        <v>101</v>
      </c>
      <c r="B878" s="1051"/>
      <c r="C878" s="300" t="s">
        <v>429</v>
      </c>
      <c r="D878" s="303" t="s">
        <v>366</v>
      </c>
      <c r="E878" s="276"/>
      <c r="F878" s="277"/>
      <c r="G878" s="333">
        <f t="shared" si="1032"/>
        <v>0</v>
      </c>
      <c r="H878" s="278"/>
      <c r="I878" s="278"/>
      <c r="J878" s="352" t="str">
        <f>IFERROR(G878/#REF!,"-")</f>
        <v>-</v>
      </c>
      <c r="K878" s="333">
        <f t="shared" si="1033"/>
        <v>0</v>
      </c>
      <c r="L878" s="272">
        <f t="shared" si="1034"/>
        <v>0</v>
      </c>
      <c r="M878" s="273">
        <f t="shared" si="1035"/>
        <v>0</v>
      </c>
      <c r="N878" s="337" t="str">
        <f t="shared" si="1036"/>
        <v>-</v>
      </c>
      <c r="O878" s="263" t="str">
        <f t="shared" si="1031"/>
        <v>-</v>
      </c>
    </row>
    <row r="879" spans="1:15" ht="24" thickBot="1" x14ac:dyDescent="0.35">
      <c r="A879" s="274" t="s">
        <v>101</v>
      </c>
      <c r="B879" s="1051"/>
      <c r="C879" s="300" t="s">
        <v>291</v>
      </c>
      <c r="D879" s="300" t="s">
        <v>366</v>
      </c>
      <c r="E879" s="280"/>
      <c r="F879" s="281"/>
      <c r="G879" s="334">
        <f t="shared" si="1032"/>
        <v>0</v>
      </c>
      <c r="H879" s="282"/>
      <c r="I879" s="282"/>
      <c r="J879" s="353" t="str">
        <f>IFERROR(G879/#REF!,"-")</f>
        <v>-</v>
      </c>
      <c r="K879" s="334">
        <f t="shared" si="1033"/>
        <v>0</v>
      </c>
      <c r="L879" s="272">
        <f t="shared" si="1034"/>
        <v>0</v>
      </c>
      <c r="M879" s="273">
        <f t="shared" si="1035"/>
        <v>0</v>
      </c>
      <c r="N879" s="338" t="str">
        <f t="shared" si="1036"/>
        <v>-</v>
      </c>
      <c r="O879" s="347" t="str">
        <f t="shared" si="1031"/>
        <v>-</v>
      </c>
    </row>
    <row r="880" spans="1:15" ht="24" thickBot="1" x14ac:dyDescent="0.35">
      <c r="A880" s="274" t="s">
        <v>101</v>
      </c>
      <c r="B880" s="1051"/>
      <c r="C880" s="301"/>
      <c r="D880" s="302" t="s">
        <v>50</v>
      </c>
      <c r="E880" s="284">
        <f>SUM(E877:E879)</f>
        <v>225000</v>
      </c>
      <c r="F880" s="285">
        <v>50000</v>
      </c>
      <c r="G880" s="320">
        <f>SUM(G877:G879)</f>
        <v>0</v>
      </c>
      <c r="H880" s="321">
        <f>SUM(H877:H879)</f>
        <v>0</v>
      </c>
      <c r="I880" s="321">
        <f>SUM(I877:I879)</f>
        <v>0</v>
      </c>
      <c r="J880" s="345" t="e">
        <f>+H880/G880</f>
        <v>#DIV/0!</v>
      </c>
      <c r="K880" s="320">
        <f>SUM(K877:K879)</f>
        <v>0</v>
      </c>
      <c r="L880" s="321">
        <f>SUM(L877:L879)</f>
        <v>0</v>
      </c>
      <c r="M880" s="322">
        <f>SUM(M877:M879)</f>
        <v>0</v>
      </c>
      <c r="N880" s="339">
        <f t="shared" si="1036"/>
        <v>0</v>
      </c>
      <c r="O880" s="345" t="str">
        <f t="shared" si="1031"/>
        <v>-</v>
      </c>
    </row>
    <row r="881" spans="1:15" ht="23.4" x14ac:dyDescent="0.3">
      <c r="A881" s="274" t="s">
        <v>101</v>
      </c>
      <c r="B881" s="1051"/>
      <c r="C881" s="297" t="s">
        <v>434</v>
      </c>
      <c r="D881" s="297" t="s">
        <v>92</v>
      </c>
      <c r="E881" s="270"/>
      <c r="F881" s="271"/>
      <c r="G881" s="332">
        <f t="shared" ref="G881:G882" si="1037">+H881+I881</f>
        <v>0</v>
      </c>
      <c r="H881" s="272"/>
      <c r="I881" s="272"/>
      <c r="J881" s="351" t="str">
        <f>IFERROR(G881/#REF!,"-")</f>
        <v>-</v>
      </c>
      <c r="K881" s="332">
        <f t="shared" ref="K881:K886" si="1038">+L881+M881</f>
        <v>0</v>
      </c>
      <c r="L881" s="272">
        <f t="shared" ref="L881:L886" si="1039">+H881+L766</f>
        <v>0</v>
      </c>
      <c r="M881" s="273">
        <f t="shared" ref="M881:M886" si="1040">+I881+M766</f>
        <v>0</v>
      </c>
      <c r="N881" s="336" t="str">
        <f t="shared" si="1036"/>
        <v>-</v>
      </c>
      <c r="O881" s="346" t="str">
        <f t="shared" si="1031"/>
        <v>-</v>
      </c>
    </row>
    <row r="882" spans="1:15" ht="23.4" x14ac:dyDescent="0.3">
      <c r="A882" s="274"/>
      <c r="B882" s="1051"/>
      <c r="C882" s="303" t="s">
        <v>449</v>
      </c>
      <c r="D882" s="299" t="s">
        <v>334</v>
      </c>
      <c r="E882" s="270"/>
      <c r="F882" s="271"/>
      <c r="G882" s="332">
        <f t="shared" si="1037"/>
        <v>0</v>
      </c>
      <c r="H882" s="272"/>
      <c r="I882" s="272"/>
      <c r="J882" s="351" t="str">
        <f>IFERROR(G882/#REF!,"-")</f>
        <v>-</v>
      </c>
      <c r="K882" s="332">
        <f t="shared" si="1038"/>
        <v>0</v>
      </c>
      <c r="L882" s="272">
        <f t="shared" si="1039"/>
        <v>0</v>
      </c>
      <c r="M882" s="273">
        <f t="shared" si="1040"/>
        <v>0</v>
      </c>
      <c r="N882" s="337" t="str">
        <f t="shared" si="1036"/>
        <v>-</v>
      </c>
      <c r="O882" s="346" t="str">
        <f t="shared" si="1031"/>
        <v>-</v>
      </c>
    </row>
    <row r="883" spans="1:15" ht="23.4" x14ac:dyDescent="0.3">
      <c r="A883" s="274"/>
      <c r="B883" s="1051"/>
      <c r="C883" s="303" t="s">
        <v>452</v>
      </c>
      <c r="D883" s="299" t="s">
        <v>334</v>
      </c>
      <c r="E883" s="270"/>
      <c r="F883" s="271"/>
      <c r="G883" s="332"/>
      <c r="H883" s="272"/>
      <c r="I883" s="272"/>
      <c r="J883" s="351" t="str">
        <f>IFERROR(G883/#REF!,"-")</f>
        <v>-</v>
      </c>
      <c r="K883" s="332">
        <f t="shared" si="1038"/>
        <v>0</v>
      </c>
      <c r="L883" s="272">
        <f t="shared" si="1039"/>
        <v>0</v>
      </c>
      <c r="M883" s="273">
        <f t="shared" si="1040"/>
        <v>0</v>
      </c>
      <c r="N883" s="337" t="str">
        <f t="shared" si="1036"/>
        <v>-</v>
      </c>
      <c r="O883" s="346" t="str">
        <f t="shared" si="1031"/>
        <v>-</v>
      </c>
    </row>
    <row r="884" spans="1:15" ht="23.4" x14ac:dyDescent="0.3">
      <c r="A884" s="274" t="s">
        <v>101</v>
      </c>
      <c r="B884" s="1051"/>
      <c r="C884" s="303" t="s">
        <v>501</v>
      </c>
      <c r="D884" s="300" t="s">
        <v>423</v>
      </c>
      <c r="E884" s="276">
        <v>125000</v>
      </c>
      <c r="F884" s="277"/>
      <c r="G884" s="333">
        <f t="shared" ref="G884" si="1041">+H884+I884</f>
        <v>0</v>
      </c>
      <c r="H884" s="278"/>
      <c r="I884" s="278"/>
      <c r="J884" s="351" t="str">
        <f>IFERROR(G884/#REF!,"-")</f>
        <v>-</v>
      </c>
      <c r="K884" s="333">
        <f t="shared" si="1038"/>
        <v>8116</v>
      </c>
      <c r="L884" s="272">
        <f t="shared" si="1039"/>
        <v>7488</v>
      </c>
      <c r="M884" s="273">
        <f t="shared" si="1040"/>
        <v>628</v>
      </c>
      <c r="N884" s="337">
        <f t="shared" si="1036"/>
        <v>6.4928E-2</v>
      </c>
      <c r="O884" s="263">
        <f t="shared" si="1031"/>
        <v>7.737801872843765E-2</v>
      </c>
    </row>
    <row r="885" spans="1:15" ht="23.4" x14ac:dyDescent="0.3">
      <c r="A885" s="274"/>
      <c r="B885" s="1051"/>
      <c r="C885" s="300" t="s">
        <v>459</v>
      </c>
      <c r="D885" s="300" t="s">
        <v>366</v>
      </c>
      <c r="E885" s="280"/>
      <c r="F885" s="281"/>
      <c r="G885" s="334"/>
      <c r="H885" s="282"/>
      <c r="I885" s="282"/>
      <c r="J885" s="351" t="str">
        <f>IFERROR(G885/#REF!,"-")</f>
        <v>-</v>
      </c>
      <c r="K885" s="333">
        <f t="shared" si="1038"/>
        <v>0</v>
      </c>
      <c r="L885" s="272">
        <f t="shared" si="1039"/>
        <v>0</v>
      </c>
      <c r="M885" s="272">
        <f t="shared" si="1040"/>
        <v>0</v>
      </c>
      <c r="N885" s="337" t="str">
        <f t="shared" si="1036"/>
        <v>-</v>
      </c>
      <c r="O885" s="263" t="str">
        <f t="shared" si="1031"/>
        <v>-</v>
      </c>
    </row>
    <row r="886" spans="1:15" ht="24" thickBot="1" x14ac:dyDescent="0.35">
      <c r="A886" s="274" t="s">
        <v>101</v>
      </c>
      <c r="B886" s="1051"/>
      <c r="C886" s="300" t="s">
        <v>435</v>
      </c>
      <c r="D886" s="300" t="s">
        <v>423</v>
      </c>
      <c r="E886" s="280"/>
      <c r="F886" s="281"/>
      <c r="G886" s="334">
        <f t="shared" ref="G886" si="1042">+H886+I886</f>
        <v>0</v>
      </c>
      <c r="H886" s="282"/>
      <c r="I886" s="282"/>
      <c r="J886" s="353" t="str">
        <f>IFERROR(G886/#REF!,"-")</f>
        <v>-</v>
      </c>
      <c r="K886" s="334">
        <f t="shared" si="1038"/>
        <v>0</v>
      </c>
      <c r="L886" s="272">
        <f t="shared" si="1039"/>
        <v>0</v>
      </c>
      <c r="M886" s="273">
        <f t="shared" si="1040"/>
        <v>0</v>
      </c>
      <c r="N886" s="338" t="str">
        <f t="shared" si="1036"/>
        <v>-</v>
      </c>
      <c r="O886" s="347" t="str">
        <f t="shared" si="1031"/>
        <v>-</v>
      </c>
    </row>
    <row r="887" spans="1:15" ht="24" thickBot="1" x14ac:dyDescent="0.35">
      <c r="A887" s="274" t="s">
        <v>101</v>
      </c>
      <c r="B887" s="1051"/>
      <c r="C887" s="304"/>
      <c r="D887" s="305" t="s">
        <v>51</v>
      </c>
      <c r="E887" s="306">
        <f>SUM(E881:E886)</f>
        <v>125000</v>
      </c>
      <c r="F887" s="307">
        <v>50000</v>
      </c>
      <c r="G887" s="366">
        <f>SUM(G881:G886)</f>
        <v>0</v>
      </c>
      <c r="H887" s="365">
        <f t="shared" ref="H887:I887" si="1043">SUM(H881:H886)</f>
        <v>0</v>
      </c>
      <c r="I887" s="365">
        <f t="shared" si="1043"/>
        <v>0</v>
      </c>
      <c r="J887" s="356">
        <f>+G887/F887</f>
        <v>0</v>
      </c>
      <c r="K887" s="366">
        <f t="shared" ref="K887:M887" si="1044">SUM(K881:K886)</f>
        <v>8116</v>
      </c>
      <c r="L887" s="365">
        <f t="shared" si="1044"/>
        <v>7488</v>
      </c>
      <c r="M887" s="367">
        <f t="shared" si="1044"/>
        <v>628</v>
      </c>
      <c r="N887" s="355">
        <f t="shared" si="1036"/>
        <v>6.4928E-2</v>
      </c>
      <c r="O887" s="356">
        <f t="shared" si="1031"/>
        <v>7.737801872843765E-2</v>
      </c>
    </row>
    <row r="888" spans="1:15" ht="24" thickBot="1" x14ac:dyDescent="0.35">
      <c r="A888" s="274" t="s">
        <v>101</v>
      </c>
      <c r="B888" s="1054" t="s">
        <v>163</v>
      </c>
      <c r="C888" s="1055"/>
      <c r="D888" s="1056"/>
      <c r="E888" s="308">
        <f>+E887+E880</f>
        <v>350000</v>
      </c>
      <c r="F888" s="309">
        <v>50000</v>
      </c>
      <c r="G888" s="369">
        <f>+G880+G887</f>
        <v>0</v>
      </c>
      <c r="H888" s="368">
        <f t="shared" ref="H888:I888" si="1045">+H880+H887</f>
        <v>0</v>
      </c>
      <c r="I888" s="368">
        <f t="shared" si="1045"/>
        <v>0</v>
      </c>
      <c r="J888" s="358">
        <f>+G888/F888</f>
        <v>0</v>
      </c>
      <c r="K888" s="369">
        <f t="shared" ref="K888:M888" si="1046">+K880+K887</f>
        <v>8116</v>
      </c>
      <c r="L888" s="368">
        <f t="shared" si="1046"/>
        <v>7488</v>
      </c>
      <c r="M888" s="370">
        <f t="shared" si="1046"/>
        <v>628</v>
      </c>
      <c r="N888" s="357">
        <f t="shared" si="1036"/>
        <v>2.318857142857143E-2</v>
      </c>
      <c r="O888" s="358">
        <f t="shared" si="1031"/>
        <v>7.737801872843765E-2</v>
      </c>
    </row>
    <row r="889" spans="1:15" ht="24" thickBot="1" x14ac:dyDescent="0.35">
      <c r="A889" s="274" t="s">
        <v>101</v>
      </c>
      <c r="B889" s="598" t="s">
        <v>32</v>
      </c>
      <c r="C889" s="819"/>
      <c r="D889" s="310" t="s">
        <v>32</v>
      </c>
      <c r="E889" s="287">
        <v>0</v>
      </c>
      <c r="F889" s="288">
        <v>110000</v>
      </c>
      <c r="G889" s="335">
        <f t="shared" ref="G889" si="1047">+H889+I889</f>
        <v>0</v>
      </c>
      <c r="H889" s="289"/>
      <c r="I889" s="289"/>
      <c r="J889" s="354" t="str">
        <f>IFERROR(G889/#REF!,"-")</f>
        <v>-</v>
      </c>
      <c r="K889" s="335">
        <f>+L889+M889</f>
        <v>0</v>
      </c>
      <c r="L889" s="289">
        <f>+H889+L774</f>
        <v>0</v>
      </c>
      <c r="M889" s="290">
        <f>+I889+M774</f>
        <v>0</v>
      </c>
      <c r="N889" s="340" t="str">
        <f t="shared" si="1036"/>
        <v>-</v>
      </c>
      <c r="O889" s="348" t="str">
        <f t="shared" si="1031"/>
        <v>-</v>
      </c>
    </row>
    <row r="890" spans="1:15" ht="24" thickBot="1" x14ac:dyDescent="0.35">
      <c r="A890" s="274" t="s">
        <v>101</v>
      </c>
      <c r="B890" s="1047" t="s">
        <v>21</v>
      </c>
      <c r="C890" s="1048"/>
      <c r="D890" s="1049"/>
      <c r="E890" s="326">
        <f>+E876+E888+E889</f>
        <v>2215664</v>
      </c>
      <c r="F890" s="327">
        <f>+F876+F888+F889</f>
        <v>400000</v>
      </c>
      <c r="G890" s="326">
        <f>+G876+G888+G889</f>
        <v>49877</v>
      </c>
      <c r="H890" s="324">
        <f>+H876+H888+H889</f>
        <v>47736</v>
      </c>
      <c r="I890" s="324">
        <f>+I876+I888+I889</f>
        <v>2141</v>
      </c>
      <c r="J890" s="349">
        <f>+G890/F890</f>
        <v>0.1246925</v>
      </c>
      <c r="K890" s="326">
        <f>+K876+K888+K889</f>
        <v>906724</v>
      </c>
      <c r="L890" s="324">
        <f>+L876+L888+L889</f>
        <v>890604</v>
      </c>
      <c r="M890" s="325">
        <f>+M876+M888+M889</f>
        <v>16120</v>
      </c>
      <c r="N890" s="341">
        <f t="shared" si="1036"/>
        <v>0.40923352999371748</v>
      </c>
      <c r="O890" s="349">
        <f t="shared" si="1031"/>
        <v>1.7778287549463784E-2</v>
      </c>
    </row>
    <row r="891" spans="1:15" ht="24" thickBot="1" x14ac:dyDescent="0.35">
      <c r="A891" s="274" t="s">
        <v>101</v>
      </c>
      <c r="B891" s="1019" t="s">
        <v>171</v>
      </c>
      <c r="C891" s="1020"/>
      <c r="D891" s="1021"/>
      <c r="E891" s="330">
        <f>+E890</f>
        <v>2215664</v>
      </c>
      <c r="F891" s="331">
        <f t="shared" ref="F891:I891" si="1048">+F890</f>
        <v>400000</v>
      </c>
      <c r="G891" s="330">
        <f t="shared" si="1048"/>
        <v>49877</v>
      </c>
      <c r="H891" s="328">
        <f t="shared" si="1048"/>
        <v>47736</v>
      </c>
      <c r="I891" s="328">
        <f t="shared" si="1048"/>
        <v>2141</v>
      </c>
      <c r="J891" s="350">
        <f>+J890</f>
        <v>0.1246925</v>
      </c>
      <c r="K891" s="330">
        <f>+K890</f>
        <v>906724</v>
      </c>
      <c r="L891" s="328">
        <f t="shared" ref="L891" si="1049">+L890</f>
        <v>890604</v>
      </c>
      <c r="M891" s="329">
        <f>+M890</f>
        <v>16120</v>
      </c>
      <c r="N891" s="342">
        <f t="shared" ref="N891:O891" si="1050">+N890</f>
        <v>0.40923352999371748</v>
      </c>
      <c r="O891" s="350">
        <f t="shared" si="1050"/>
        <v>1.7778287549463784E-2</v>
      </c>
    </row>
    <row r="892" spans="1:15" ht="23.4" x14ac:dyDescent="0.3">
      <c r="A892" s="268" t="s">
        <v>102</v>
      </c>
      <c r="B892" s="1022" t="s">
        <v>401</v>
      </c>
      <c r="C892" s="311" t="s">
        <v>113</v>
      </c>
      <c r="D892" s="311"/>
      <c r="E892" s="270"/>
      <c r="F892" s="271"/>
      <c r="G892" s="332">
        <f t="shared" ref="G892:G894" si="1051">+H892+I892</f>
        <v>0</v>
      </c>
      <c r="H892" s="272"/>
      <c r="I892" s="272"/>
      <c r="J892" s="351" t="str">
        <f>IFERROR(G892/#REF!,"-")</f>
        <v>-</v>
      </c>
      <c r="K892" s="332">
        <f t="shared" ref="K892:K894" si="1052">+L892+M892</f>
        <v>0</v>
      </c>
      <c r="L892" s="272">
        <f t="shared" ref="L892:L894" si="1053">+H892+L777</f>
        <v>0</v>
      </c>
      <c r="M892" s="273">
        <f t="shared" ref="M892:M894" si="1054">+I892+M777</f>
        <v>0</v>
      </c>
      <c r="N892" s="336" t="str">
        <f t="shared" ref="N892:N899" si="1055">IFERROR(K892/E892,"-")</f>
        <v>-</v>
      </c>
      <c r="O892" s="346" t="str">
        <f t="shared" ref="O892:O917" si="1056">IFERROR(M892/K892,"-")</f>
        <v>-</v>
      </c>
    </row>
    <row r="893" spans="1:15" ht="23.4" x14ac:dyDescent="0.3">
      <c r="A893" s="274" t="s">
        <v>102</v>
      </c>
      <c r="B893" s="1023"/>
      <c r="C893" s="312" t="s">
        <v>247</v>
      </c>
      <c r="D893" s="312"/>
      <c r="E893" s="276">
        <v>2000</v>
      </c>
      <c r="F893" s="277"/>
      <c r="G893" s="333">
        <f t="shared" si="1051"/>
        <v>0</v>
      </c>
      <c r="H893" s="278"/>
      <c r="I893" s="278"/>
      <c r="J893" s="352" t="str">
        <f>IFERROR(G893/#REF!,"-")</f>
        <v>-</v>
      </c>
      <c r="K893" s="333">
        <f t="shared" si="1052"/>
        <v>9238</v>
      </c>
      <c r="L893" s="272">
        <f t="shared" si="1053"/>
        <v>8800</v>
      </c>
      <c r="M893" s="273">
        <f t="shared" si="1054"/>
        <v>438</v>
      </c>
      <c r="N893" s="337">
        <f t="shared" si="1055"/>
        <v>4.6189999999999998</v>
      </c>
      <c r="O893" s="263">
        <f t="shared" si="1056"/>
        <v>4.7412859926390993E-2</v>
      </c>
    </row>
    <row r="894" spans="1:15" ht="24" thickBot="1" x14ac:dyDescent="0.35">
      <c r="A894" s="274" t="s">
        <v>102</v>
      </c>
      <c r="B894" s="1024"/>
      <c r="C894" s="313" t="s">
        <v>33</v>
      </c>
      <c r="D894" s="313"/>
      <c r="E894" s="280"/>
      <c r="F894" s="281"/>
      <c r="G894" s="334">
        <f t="shared" si="1051"/>
        <v>0</v>
      </c>
      <c r="H894" s="282"/>
      <c r="I894" s="282"/>
      <c r="J894" s="353" t="str">
        <f>IFERROR(G894/#REF!,"-")</f>
        <v>-</v>
      </c>
      <c r="K894" s="334">
        <f t="shared" si="1052"/>
        <v>0</v>
      </c>
      <c r="L894" s="272">
        <f t="shared" si="1053"/>
        <v>0</v>
      </c>
      <c r="M894" s="273">
        <f t="shared" si="1054"/>
        <v>0</v>
      </c>
      <c r="N894" s="338" t="str">
        <f t="shared" si="1055"/>
        <v>-</v>
      </c>
      <c r="O894" s="347" t="str">
        <f t="shared" si="1056"/>
        <v>-</v>
      </c>
    </row>
    <row r="895" spans="1:15" ht="24" thickBot="1" x14ac:dyDescent="0.35">
      <c r="A895" s="274" t="s">
        <v>102</v>
      </c>
      <c r="B895" s="1025" t="s">
        <v>34</v>
      </c>
      <c r="C895" s="1026"/>
      <c r="D895" s="1027"/>
      <c r="E895" s="284">
        <f>SUM(E892:E894)</f>
        <v>2000</v>
      </c>
      <c r="F895" s="285">
        <v>6500</v>
      </c>
      <c r="G895" s="320">
        <f>SUM(G892:G894)</f>
        <v>0</v>
      </c>
      <c r="H895" s="321">
        <f t="shared" ref="H895:I895" si="1057">SUM(H892:H894)</f>
        <v>0</v>
      </c>
      <c r="I895" s="321">
        <f t="shared" si="1057"/>
        <v>0</v>
      </c>
      <c r="J895" s="345" t="str">
        <f>IFERROR(G895/#REF!,"-")</f>
        <v>-</v>
      </c>
      <c r="K895" s="320">
        <f t="shared" ref="K895:M895" si="1058">SUM(K892:K894)</f>
        <v>9238</v>
      </c>
      <c r="L895" s="321">
        <f t="shared" si="1058"/>
        <v>8800</v>
      </c>
      <c r="M895" s="322">
        <f t="shared" si="1058"/>
        <v>438</v>
      </c>
      <c r="N895" s="339">
        <f t="shared" si="1055"/>
        <v>4.6189999999999998</v>
      </c>
      <c r="O895" s="345">
        <f t="shared" si="1056"/>
        <v>4.7412859926390993E-2</v>
      </c>
    </row>
    <row r="896" spans="1:15" ht="23.4" x14ac:dyDescent="0.3">
      <c r="A896" s="274" t="s">
        <v>102</v>
      </c>
      <c r="B896" s="1022" t="s">
        <v>35</v>
      </c>
      <c r="C896" s="311" t="s">
        <v>113</v>
      </c>
      <c r="D896" s="311"/>
      <c r="E896" s="270"/>
      <c r="F896" s="271"/>
      <c r="G896" s="332">
        <f t="shared" ref="G896:G899" si="1059">+H896+I896</f>
        <v>0</v>
      </c>
      <c r="H896" s="272"/>
      <c r="I896" s="272"/>
      <c r="J896" s="351" t="str">
        <f>IFERROR(G896/#REF!,"-")</f>
        <v>-</v>
      </c>
      <c r="K896" s="332">
        <f t="shared" ref="K896:K899" si="1060">+L896+M896</f>
        <v>0</v>
      </c>
      <c r="L896" s="272">
        <f t="shared" ref="L896:L899" si="1061">+H896+L781</f>
        <v>0</v>
      </c>
      <c r="M896" s="273">
        <f t="shared" ref="M896:M899" si="1062">+I896+M781</f>
        <v>0</v>
      </c>
      <c r="N896" s="336" t="str">
        <f t="shared" si="1055"/>
        <v>-</v>
      </c>
      <c r="O896" s="346" t="str">
        <f t="shared" si="1056"/>
        <v>-</v>
      </c>
    </row>
    <row r="897" spans="1:15" ht="23.4" x14ac:dyDescent="0.3">
      <c r="A897" s="274" t="s">
        <v>102</v>
      </c>
      <c r="B897" s="1023"/>
      <c r="C897" s="312" t="s">
        <v>247</v>
      </c>
      <c r="D897" s="312"/>
      <c r="E897" s="276"/>
      <c r="F897" s="277"/>
      <c r="G897" s="333">
        <f t="shared" si="1059"/>
        <v>0</v>
      </c>
      <c r="H897" s="278"/>
      <c r="I897" s="278"/>
      <c r="J897" s="352" t="str">
        <f>IFERROR(G897/#REF!,"-")</f>
        <v>-</v>
      </c>
      <c r="K897" s="333">
        <f t="shared" si="1060"/>
        <v>0</v>
      </c>
      <c r="L897" s="272">
        <f t="shared" si="1061"/>
        <v>0</v>
      </c>
      <c r="M897" s="273">
        <f t="shared" si="1062"/>
        <v>0</v>
      </c>
      <c r="N897" s="337" t="str">
        <f t="shared" si="1055"/>
        <v>-</v>
      </c>
      <c r="O897" s="263" t="str">
        <f t="shared" si="1056"/>
        <v>-</v>
      </c>
    </row>
    <row r="898" spans="1:15" ht="23.4" x14ac:dyDescent="0.3">
      <c r="A898" s="274" t="s">
        <v>102</v>
      </c>
      <c r="B898" s="1023"/>
      <c r="C898" s="312" t="s">
        <v>496</v>
      </c>
      <c r="D898" s="312"/>
      <c r="E898" s="276">
        <v>20000</v>
      </c>
      <c r="F898" s="277"/>
      <c r="G898" s="333">
        <f t="shared" si="1059"/>
        <v>0</v>
      </c>
      <c r="H898" s="278"/>
      <c r="I898" s="278"/>
      <c r="J898" s="352" t="str">
        <f>IFERROR(G898/#REF!,"-")</f>
        <v>-</v>
      </c>
      <c r="K898" s="333">
        <f t="shared" si="1060"/>
        <v>0</v>
      </c>
      <c r="L898" s="272">
        <f t="shared" si="1061"/>
        <v>0</v>
      </c>
      <c r="M898" s="273">
        <f t="shared" si="1062"/>
        <v>0</v>
      </c>
      <c r="N898" s="337">
        <f t="shared" si="1055"/>
        <v>0</v>
      </c>
      <c r="O898" s="263" t="str">
        <f t="shared" si="1056"/>
        <v>-</v>
      </c>
    </row>
    <row r="899" spans="1:15" ht="24" thickBot="1" x14ac:dyDescent="0.35">
      <c r="A899" s="274" t="s">
        <v>102</v>
      </c>
      <c r="B899" s="1024"/>
      <c r="C899" s="313" t="s">
        <v>36</v>
      </c>
      <c r="D899" s="313"/>
      <c r="E899" s="280"/>
      <c r="F899" s="281"/>
      <c r="G899" s="334">
        <f t="shared" si="1059"/>
        <v>0</v>
      </c>
      <c r="H899" s="282"/>
      <c r="I899" s="282"/>
      <c r="J899" s="353" t="str">
        <f>IFERROR(G899/#REF!,"-")</f>
        <v>-</v>
      </c>
      <c r="K899" s="334">
        <f t="shared" si="1060"/>
        <v>0</v>
      </c>
      <c r="L899" s="272">
        <f t="shared" si="1061"/>
        <v>0</v>
      </c>
      <c r="M899" s="273">
        <f t="shared" si="1062"/>
        <v>0</v>
      </c>
      <c r="N899" s="338" t="str">
        <f t="shared" si="1055"/>
        <v>-</v>
      </c>
      <c r="O899" s="347" t="str">
        <f t="shared" si="1056"/>
        <v>-</v>
      </c>
    </row>
    <row r="900" spans="1:15" ht="24" thickBot="1" x14ac:dyDescent="0.35">
      <c r="A900" s="274" t="s">
        <v>102</v>
      </c>
      <c r="B900" s="1025" t="s">
        <v>37</v>
      </c>
      <c r="C900" s="1026"/>
      <c r="D900" s="1027"/>
      <c r="E900" s="284">
        <f>SUM(E896:E899)</f>
        <v>20000</v>
      </c>
      <c r="F900" s="285">
        <v>6500</v>
      </c>
      <c r="G900" s="320">
        <f>SUM(G896:G899)</f>
        <v>0</v>
      </c>
      <c r="H900" s="321">
        <f t="shared" ref="H900:I900" si="1063">SUM(H896:H899)</f>
        <v>0</v>
      </c>
      <c r="I900" s="321">
        <f t="shared" si="1063"/>
        <v>0</v>
      </c>
      <c r="J900" s="345" t="str">
        <f>IFERROR(G900/#REF!,"-")</f>
        <v>-</v>
      </c>
      <c r="K900" s="320">
        <f t="shared" ref="K900:M900" si="1064">SUM(K896:K899)</f>
        <v>0</v>
      </c>
      <c r="L900" s="321">
        <f t="shared" si="1064"/>
        <v>0</v>
      </c>
      <c r="M900" s="322">
        <f t="shared" si="1064"/>
        <v>0</v>
      </c>
      <c r="N900" s="339">
        <f>IFERROR(K900/E900,"-")</f>
        <v>0</v>
      </c>
      <c r="O900" s="345" t="str">
        <f t="shared" si="1056"/>
        <v>-</v>
      </c>
    </row>
    <row r="901" spans="1:15" ht="23.4" x14ac:dyDescent="0.3">
      <c r="A901" s="274" t="s">
        <v>102</v>
      </c>
      <c r="B901" s="1022" t="s">
        <v>402</v>
      </c>
      <c r="C901" s="314" t="s">
        <v>116</v>
      </c>
      <c r="D901" s="314"/>
      <c r="E901" s="270">
        <v>14000</v>
      </c>
      <c r="F901" s="271"/>
      <c r="G901" s="332">
        <f t="shared" ref="G901:G902" si="1065">+H901+I901</f>
        <v>0</v>
      </c>
      <c r="H901" s="272"/>
      <c r="I901" s="272"/>
      <c r="J901" s="351" t="str">
        <f>IFERROR(G901/#REF!,"-")</f>
        <v>-</v>
      </c>
      <c r="K901" s="332">
        <f t="shared" ref="K901:K902" si="1066">+L901+M901</f>
        <v>0</v>
      </c>
      <c r="L901" s="272">
        <f>+H901+L786</f>
        <v>0</v>
      </c>
      <c r="M901" s="273">
        <f>+I901+M786</f>
        <v>0</v>
      </c>
      <c r="N901" s="336">
        <f t="shared" ref="N901:N917" si="1067">IFERROR(K901/E901,"-")</f>
        <v>0</v>
      </c>
      <c r="O901" s="346" t="str">
        <f t="shared" si="1056"/>
        <v>-</v>
      </c>
    </row>
    <row r="902" spans="1:15" ht="24" thickBot="1" x14ac:dyDescent="0.35">
      <c r="A902" s="274" t="s">
        <v>102</v>
      </c>
      <c r="B902" s="1024"/>
      <c r="C902" s="286" t="s">
        <v>132</v>
      </c>
      <c r="D902" s="286"/>
      <c r="E902" s="280"/>
      <c r="F902" s="281"/>
      <c r="G902" s="334">
        <f t="shared" si="1065"/>
        <v>4730</v>
      </c>
      <c r="H902" s="282">
        <f>3200+1200</f>
        <v>4400</v>
      </c>
      <c r="I902" s="282">
        <f>230+100</f>
        <v>330</v>
      </c>
      <c r="J902" s="353" t="str">
        <f>IFERROR(G902/#REF!,"-")</f>
        <v>-</v>
      </c>
      <c r="K902" s="334">
        <f t="shared" si="1066"/>
        <v>17087</v>
      </c>
      <c r="L902" s="272">
        <f>+H902+L787</f>
        <v>16090</v>
      </c>
      <c r="M902" s="273">
        <f>+I902+M787</f>
        <v>997</v>
      </c>
      <c r="N902" s="338" t="str">
        <f t="shared" si="1067"/>
        <v>-</v>
      </c>
      <c r="O902" s="347">
        <f t="shared" si="1056"/>
        <v>5.8348452039562237E-2</v>
      </c>
    </row>
    <row r="903" spans="1:15" ht="24" thickBot="1" x14ac:dyDescent="0.35">
      <c r="A903" s="823" t="s">
        <v>102</v>
      </c>
      <c r="B903" s="1025" t="s">
        <v>38</v>
      </c>
      <c r="C903" s="1026"/>
      <c r="D903" s="1027"/>
      <c r="E903" s="284">
        <f>SUM(E901:E902)</f>
        <v>14000</v>
      </c>
      <c r="F903" s="285">
        <v>2800</v>
      </c>
      <c r="G903" s="320">
        <f>SUM(G901:G902)</f>
        <v>4730</v>
      </c>
      <c r="H903" s="321">
        <f t="shared" ref="H903:I903" si="1068">SUM(H901:H902)</f>
        <v>4400</v>
      </c>
      <c r="I903" s="321">
        <f t="shared" si="1068"/>
        <v>330</v>
      </c>
      <c r="J903" s="345" t="str">
        <f>IFERROR(G903/#REF!,"-")</f>
        <v>-</v>
      </c>
      <c r="K903" s="320">
        <f t="shared" ref="K903:M903" si="1069">SUM(K901:K902)</f>
        <v>17087</v>
      </c>
      <c r="L903" s="321">
        <f t="shared" si="1069"/>
        <v>16090</v>
      </c>
      <c r="M903" s="322">
        <f t="shared" si="1069"/>
        <v>997</v>
      </c>
      <c r="N903" s="339">
        <f t="shared" si="1067"/>
        <v>1.2204999999999999</v>
      </c>
      <c r="O903" s="345">
        <f t="shared" si="1056"/>
        <v>5.8348452039562237E-2</v>
      </c>
    </row>
    <row r="904" spans="1:15" ht="23.4" x14ac:dyDescent="0.3">
      <c r="A904" s="274" t="s">
        <v>102</v>
      </c>
      <c r="B904" s="1022" t="s">
        <v>403</v>
      </c>
      <c r="C904" s="269" t="s">
        <v>306</v>
      </c>
      <c r="D904" s="269"/>
      <c r="E904" s="270">
        <f>176000+39000+35000+36000+19000</f>
        <v>305000</v>
      </c>
      <c r="F904" s="315"/>
      <c r="G904" s="332">
        <f t="shared" ref="G904:G908" si="1070">+H904+I904</f>
        <v>33366</v>
      </c>
      <c r="H904" s="272">
        <v>33000</v>
      </c>
      <c r="I904" s="272">
        <v>366</v>
      </c>
      <c r="J904" s="371" t="str">
        <f>IFERROR(G904/#REF!,"-")</f>
        <v>-</v>
      </c>
      <c r="K904" s="332">
        <f t="shared" ref="K904:K908" si="1071">+L904+M904</f>
        <v>161970</v>
      </c>
      <c r="L904" s="272">
        <f t="shared" ref="L904:L908" si="1072">+H904+L789</f>
        <v>160884</v>
      </c>
      <c r="M904" s="272">
        <f t="shared" ref="M904:M908" si="1073">+I904+M789</f>
        <v>1086</v>
      </c>
      <c r="N904" s="359">
        <f t="shared" si="1067"/>
        <v>0.53104918032786885</v>
      </c>
      <c r="O904" s="360">
        <f t="shared" si="1056"/>
        <v>6.7049453602518981E-3</v>
      </c>
    </row>
    <row r="905" spans="1:15" ht="23.4" x14ac:dyDescent="0.3">
      <c r="A905" s="274" t="s">
        <v>102</v>
      </c>
      <c r="B905" s="1023"/>
      <c r="C905" s="269" t="s">
        <v>307</v>
      </c>
      <c r="D905" s="275"/>
      <c r="E905" s="276"/>
      <c r="F905" s="316"/>
      <c r="G905" s="333">
        <f t="shared" si="1070"/>
        <v>0</v>
      </c>
      <c r="H905" s="278"/>
      <c r="I905" s="278"/>
      <c r="J905" s="372" t="str">
        <f>IFERROR(G905/#REF!,"-")</f>
        <v>-</v>
      </c>
      <c r="K905" s="333">
        <f t="shared" si="1071"/>
        <v>0</v>
      </c>
      <c r="L905" s="272">
        <f t="shared" si="1072"/>
        <v>0</v>
      </c>
      <c r="M905" s="273">
        <f t="shared" si="1073"/>
        <v>0</v>
      </c>
      <c r="N905" s="361" t="str">
        <f t="shared" si="1067"/>
        <v>-</v>
      </c>
      <c r="O905" s="362" t="str">
        <f t="shared" si="1056"/>
        <v>-</v>
      </c>
    </row>
    <row r="906" spans="1:15" ht="23.4" x14ac:dyDescent="0.3">
      <c r="A906" s="274" t="s">
        <v>102</v>
      </c>
      <c r="B906" s="1023"/>
      <c r="C906" s="275" t="s">
        <v>499</v>
      </c>
      <c r="D906" s="275"/>
      <c r="E906" s="276">
        <f>70000+15000</f>
        <v>85000</v>
      </c>
      <c r="F906" s="316"/>
      <c r="G906" s="333">
        <f t="shared" si="1070"/>
        <v>6505</v>
      </c>
      <c r="H906" s="278">
        <v>6492</v>
      </c>
      <c r="I906" s="278">
        <v>13</v>
      </c>
      <c r="J906" s="372" t="str">
        <f>IFERROR(G906/#REF!,"-")</f>
        <v>-</v>
      </c>
      <c r="K906" s="333">
        <f t="shared" si="1071"/>
        <v>49665</v>
      </c>
      <c r="L906" s="272">
        <f t="shared" si="1072"/>
        <v>49032</v>
      </c>
      <c r="M906" s="273">
        <f t="shared" si="1073"/>
        <v>633</v>
      </c>
      <c r="N906" s="361">
        <f t="shared" si="1067"/>
        <v>0.58429411764705885</v>
      </c>
      <c r="O906" s="362">
        <f t="shared" si="1056"/>
        <v>1.2745394140742978E-2</v>
      </c>
    </row>
    <row r="907" spans="1:15" ht="23.4" x14ac:dyDescent="0.3">
      <c r="A907" s="274" t="s">
        <v>102</v>
      </c>
      <c r="B907" s="1023"/>
      <c r="C907" s="275" t="s">
        <v>157</v>
      </c>
      <c r="D907" s="275"/>
      <c r="E907" s="276"/>
      <c r="F907" s="316"/>
      <c r="G907" s="333">
        <f t="shared" si="1070"/>
        <v>0</v>
      </c>
      <c r="H907" s="278"/>
      <c r="I907" s="278"/>
      <c r="J907" s="372" t="str">
        <f>IFERROR(G907/#REF!,"-")</f>
        <v>-</v>
      </c>
      <c r="K907" s="333">
        <f t="shared" si="1071"/>
        <v>0</v>
      </c>
      <c r="L907" s="272">
        <f t="shared" si="1072"/>
        <v>0</v>
      </c>
      <c r="M907" s="273">
        <f t="shared" si="1073"/>
        <v>0</v>
      </c>
      <c r="N907" s="361" t="str">
        <f t="shared" si="1067"/>
        <v>-</v>
      </c>
      <c r="O907" s="362" t="str">
        <f t="shared" si="1056"/>
        <v>-</v>
      </c>
    </row>
    <row r="908" spans="1:15" ht="24" thickBot="1" x14ac:dyDescent="0.35">
      <c r="A908" s="274" t="s">
        <v>102</v>
      </c>
      <c r="B908" s="1024"/>
      <c r="C908" s="279" t="s">
        <v>158</v>
      </c>
      <c r="D908" s="279"/>
      <c r="E908" s="280"/>
      <c r="F908" s="317"/>
      <c r="G908" s="334">
        <f t="shared" si="1070"/>
        <v>0</v>
      </c>
      <c r="H908" s="282"/>
      <c r="I908" s="282"/>
      <c r="J908" s="373" t="str">
        <f>IFERROR(G908/#REF!,"-")</f>
        <v>-</v>
      </c>
      <c r="K908" s="334">
        <f t="shared" si="1071"/>
        <v>0</v>
      </c>
      <c r="L908" s="272">
        <f t="shared" si="1072"/>
        <v>0</v>
      </c>
      <c r="M908" s="273">
        <f t="shared" si="1073"/>
        <v>0</v>
      </c>
      <c r="N908" s="363" t="str">
        <f t="shared" si="1067"/>
        <v>-</v>
      </c>
      <c r="O908" s="364" t="str">
        <f t="shared" si="1056"/>
        <v>-</v>
      </c>
    </row>
    <row r="909" spans="1:15" ht="24" thickBot="1" x14ac:dyDescent="0.35">
      <c r="A909" s="274" t="s">
        <v>102</v>
      </c>
      <c r="B909" s="1025" t="s">
        <v>39</v>
      </c>
      <c r="C909" s="1026"/>
      <c r="D909" s="1027"/>
      <c r="E909" s="320">
        <f>SUM(E904:E908)</f>
        <v>390000</v>
      </c>
      <c r="F909" s="285">
        <v>25000</v>
      </c>
      <c r="G909" s="320">
        <f>SUM(G904:G908)</f>
        <v>39871</v>
      </c>
      <c r="H909" s="321">
        <f>SUM(H904:H908)</f>
        <v>39492</v>
      </c>
      <c r="I909" s="321">
        <f>SUM(I904:I908)</f>
        <v>379</v>
      </c>
      <c r="J909" s="345" t="str">
        <f>IFERROR(G909/#REF!,"-")</f>
        <v>-</v>
      </c>
      <c r="K909" s="320">
        <f>SUM(K904:K908)</f>
        <v>211635</v>
      </c>
      <c r="L909" s="321">
        <f>SUM(L904:L908)</f>
        <v>209916</v>
      </c>
      <c r="M909" s="322">
        <f>SUM(M904:M908)</f>
        <v>1719</v>
      </c>
      <c r="N909" s="339">
        <f t="shared" si="1067"/>
        <v>0.54265384615384615</v>
      </c>
      <c r="O909" s="345">
        <f t="shared" si="1056"/>
        <v>8.1224750159472683E-3</v>
      </c>
    </row>
    <row r="910" spans="1:15" ht="23.4" x14ac:dyDescent="0.3">
      <c r="A910" s="274" t="s">
        <v>102</v>
      </c>
      <c r="B910" s="1022" t="s">
        <v>404</v>
      </c>
      <c r="C910" s="269" t="s">
        <v>186</v>
      </c>
      <c r="D910" s="269"/>
      <c r="E910" s="270"/>
      <c r="F910" s="271"/>
      <c r="G910" s="332">
        <f t="shared" ref="G910:G912" si="1074">+H910+I910</f>
        <v>0</v>
      </c>
      <c r="H910" s="272"/>
      <c r="I910" s="272"/>
      <c r="J910" s="351" t="str">
        <f>IFERROR(G910/#REF!,"-")</f>
        <v>-</v>
      </c>
      <c r="K910" s="332">
        <f t="shared" ref="K910:K912" si="1075">+L910+M910</f>
        <v>0</v>
      </c>
      <c r="L910" s="272">
        <f t="shared" ref="L910:L912" si="1076">+H910+L795</f>
        <v>0</v>
      </c>
      <c r="M910" s="273">
        <f t="shared" ref="M910:M912" si="1077">+I910+M795</f>
        <v>0</v>
      </c>
      <c r="N910" s="336" t="str">
        <f t="shared" si="1067"/>
        <v>-</v>
      </c>
      <c r="O910" s="346" t="str">
        <f t="shared" si="1056"/>
        <v>-</v>
      </c>
    </row>
    <row r="911" spans="1:15" ht="23.4" x14ac:dyDescent="0.3">
      <c r="A911" s="274" t="s">
        <v>102</v>
      </c>
      <c r="B911" s="1023"/>
      <c r="C911" s="275" t="s">
        <v>497</v>
      </c>
      <c r="D911" s="275"/>
      <c r="E911" s="276">
        <f>33000+15000</f>
        <v>48000</v>
      </c>
      <c r="F911" s="277"/>
      <c r="G911" s="333">
        <f t="shared" si="1074"/>
        <v>0</v>
      </c>
      <c r="H911" s="278"/>
      <c r="I911" s="278"/>
      <c r="J911" s="372" t="str">
        <f>IFERROR(G911/#REF!,"-")</f>
        <v>-</v>
      </c>
      <c r="K911" s="333">
        <f t="shared" si="1075"/>
        <v>11826</v>
      </c>
      <c r="L911" s="714">
        <f t="shared" si="1076"/>
        <v>11400</v>
      </c>
      <c r="M911" s="273">
        <f t="shared" si="1077"/>
        <v>426</v>
      </c>
      <c r="N911" s="361">
        <f t="shared" si="1067"/>
        <v>0.24637500000000001</v>
      </c>
      <c r="O911" s="362">
        <f t="shared" si="1056"/>
        <v>3.6022323693556568E-2</v>
      </c>
    </row>
    <row r="912" spans="1:15" ht="24" thickBot="1" x14ac:dyDescent="0.35">
      <c r="A912" s="274" t="s">
        <v>102</v>
      </c>
      <c r="B912" s="1024"/>
      <c r="C912" s="279" t="s">
        <v>498</v>
      </c>
      <c r="D912" s="279"/>
      <c r="E912" s="280">
        <f>50000+10000</f>
        <v>60000</v>
      </c>
      <c r="F912" s="281"/>
      <c r="G912" s="334">
        <f t="shared" si="1074"/>
        <v>0</v>
      </c>
      <c r="H912" s="282"/>
      <c r="I912" s="282"/>
      <c r="J912" s="373" t="str">
        <f>IFERROR(G912/#REF!,"-")</f>
        <v>-</v>
      </c>
      <c r="K912" s="334">
        <f t="shared" si="1075"/>
        <v>0</v>
      </c>
      <c r="L912" s="272">
        <f t="shared" si="1076"/>
        <v>0</v>
      </c>
      <c r="M912" s="273">
        <f t="shared" si="1077"/>
        <v>0</v>
      </c>
      <c r="N912" s="363">
        <f t="shared" si="1067"/>
        <v>0</v>
      </c>
      <c r="O912" s="364" t="str">
        <f t="shared" si="1056"/>
        <v>-</v>
      </c>
    </row>
    <row r="913" spans="1:15" ht="24" thickBot="1" x14ac:dyDescent="0.35">
      <c r="A913" s="274" t="s">
        <v>102</v>
      </c>
      <c r="B913" s="1034" t="s">
        <v>41</v>
      </c>
      <c r="C913" s="1035"/>
      <c r="D913" s="1036"/>
      <c r="E913" s="320">
        <f>SUM(E910:E912)</f>
        <v>108000</v>
      </c>
      <c r="F913" s="285"/>
      <c r="G913" s="320">
        <f>SUM(G910:G912)</f>
        <v>0</v>
      </c>
      <c r="H913" s="321">
        <f t="shared" ref="H913:I913" si="1078">SUM(H910:H912)</f>
        <v>0</v>
      </c>
      <c r="I913" s="321">
        <f t="shared" si="1078"/>
        <v>0</v>
      </c>
      <c r="J913" s="345" t="str">
        <f>IFERROR(G913/#REF!,"-")</f>
        <v>-</v>
      </c>
      <c r="K913" s="320">
        <f t="shared" ref="K913:M913" si="1079">SUM(K910:K912)</f>
        <v>11826</v>
      </c>
      <c r="L913" s="365">
        <f t="shared" si="1079"/>
        <v>11400</v>
      </c>
      <c r="M913" s="367">
        <f t="shared" si="1079"/>
        <v>426</v>
      </c>
      <c r="N913" s="339">
        <f t="shared" si="1067"/>
        <v>0.1095</v>
      </c>
      <c r="O913" s="345">
        <f t="shared" si="1056"/>
        <v>3.6022323693556568E-2</v>
      </c>
    </row>
    <row r="914" spans="1:15" ht="24" thickBot="1" x14ac:dyDescent="0.35">
      <c r="A914" s="274" t="s">
        <v>102</v>
      </c>
      <c r="B914" s="1022" t="s">
        <v>42</v>
      </c>
      <c r="C914" s="269" t="s">
        <v>160</v>
      </c>
      <c r="D914" s="269"/>
      <c r="E914" s="270">
        <v>11076</v>
      </c>
      <c r="F914" s="271"/>
      <c r="G914" s="332">
        <f t="shared" ref="G914:G915" si="1080">+H914+I914</f>
        <v>0</v>
      </c>
      <c r="H914" s="272"/>
      <c r="I914" s="272"/>
      <c r="J914" s="371" t="str">
        <f>IFERROR(G914/#REF!,"-")</f>
        <v>-</v>
      </c>
      <c r="K914" s="695">
        <f t="shared" ref="K914:K915" si="1081">+L914+M914</f>
        <v>0</v>
      </c>
      <c r="L914" s="688">
        <f>+H914+L799</f>
        <v>0</v>
      </c>
      <c r="M914" s="688">
        <f>+I914+M799</f>
        <v>0</v>
      </c>
      <c r="N914" s="359">
        <f t="shared" si="1067"/>
        <v>0</v>
      </c>
      <c r="O914" s="360" t="str">
        <f t="shared" si="1056"/>
        <v>-</v>
      </c>
    </row>
    <row r="915" spans="1:15" ht="24" thickBot="1" x14ac:dyDescent="0.35">
      <c r="A915" s="274" t="s">
        <v>102</v>
      </c>
      <c r="B915" s="1024"/>
      <c r="C915" s="279" t="s">
        <v>161</v>
      </c>
      <c r="D915" s="279"/>
      <c r="E915" s="280">
        <v>0</v>
      </c>
      <c r="F915" s="281"/>
      <c r="G915" s="334">
        <f t="shared" si="1080"/>
        <v>0</v>
      </c>
      <c r="H915" s="282"/>
      <c r="I915" s="282"/>
      <c r="J915" s="373" t="str">
        <f>IFERROR(G915/#REF!,"-")</f>
        <v>-</v>
      </c>
      <c r="K915" s="696">
        <f t="shared" si="1081"/>
        <v>0</v>
      </c>
      <c r="L915" s="688">
        <f>+H915+L800</f>
        <v>0</v>
      </c>
      <c r="M915" s="688">
        <f>+I915+M800</f>
        <v>0</v>
      </c>
      <c r="N915" s="363" t="str">
        <f t="shared" si="1067"/>
        <v>-</v>
      </c>
      <c r="O915" s="364" t="str">
        <f t="shared" si="1056"/>
        <v>-</v>
      </c>
    </row>
    <row r="916" spans="1:15" ht="24" thickBot="1" x14ac:dyDescent="0.35">
      <c r="A916" s="274" t="s">
        <v>102</v>
      </c>
      <c r="B916" s="1034" t="s">
        <v>43</v>
      </c>
      <c r="C916" s="1035"/>
      <c r="D916" s="1036"/>
      <c r="E916" s="284">
        <f>SUM(E914:E915)</f>
        <v>11076</v>
      </c>
      <c r="F916" s="285">
        <v>25000</v>
      </c>
      <c r="G916" s="320">
        <f>SUM(G914:G915)</f>
        <v>0</v>
      </c>
      <c r="H916" s="321">
        <f t="shared" ref="H916:I916" si="1082">SUM(H914:H915)</f>
        <v>0</v>
      </c>
      <c r="I916" s="321">
        <f t="shared" si="1082"/>
        <v>0</v>
      </c>
      <c r="J916" s="345" t="str">
        <f>IFERROR(G916/#REF!,"-")</f>
        <v>-</v>
      </c>
      <c r="K916" s="760">
        <f t="shared" ref="K916:M916" si="1083">SUM(K914:K915)</f>
        <v>0</v>
      </c>
      <c r="L916" s="761">
        <f t="shared" si="1083"/>
        <v>0</v>
      </c>
      <c r="M916" s="761">
        <f t="shared" si="1083"/>
        <v>0</v>
      </c>
      <c r="N916" s="339">
        <f t="shared" si="1067"/>
        <v>0</v>
      </c>
      <c r="O916" s="345" t="str">
        <f t="shared" si="1056"/>
        <v>-</v>
      </c>
    </row>
    <row r="917" spans="1:15" ht="24" thickBot="1" x14ac:dyDescent="0.35">
      <c r="A917" s="274" t="s">
        <v>102</v>
      </c>
      <c r="B917" s="1028" t="s">
        <v>25</v>
      </c>
      <c r="C917" s="1029"/>
      <c r="D917" s="1030"/>
      <c r="E917" s="326">
        <f t="shared" ref="E917:F917" si="1084">+E895+E900+E903+E909+E913+E916</f>
        <v>545076</v>
      </c>
      <c r="F917" s="327">
        <f t="shared" si="1084"/>
        <v>65800</v>
      </c>
      <c r="G917" s="326">
        <f>+G895+G900+G903+G909+G913+G916</f>
        <v>44601</v>
      </c>
      <c r="H917" s="324">
        <f>+H895+H900+H903+H909+H913+H916</f>
        <v>43892</v>
      </c>
      <c r="I917" s="324">
        <f t="shared" ref="I917" si="1085">+I895+I900+I903+I909+I913+I916</f>
        <v>709</v>
      </c>
      <c r="J917" s="349" t="str">
        <f>IFERROR(G917/#REF!,"-")</f>
        <v>-</v>
      </c>
      <c r="K917" s="326">
        <f>+K895+K900+K903+K909+K913+K916</f>
        <v>249786</v>
      </c>
      <c r="L917" s="759">
        <f t="shared" ref="L917:M917" si="1086">+L895+L900+L903+L909+L913+L916</f>
        <v>246206</v>
      </c>
      <c r="M917" s="325">
        <f t="shared" si="1086"/>
        <v>3580</v>
      </c>
      <c r="N917" s="341">
        <f t="shared" si="1067"/>
        <v>0.458259031768047</v>
      </c>
      <c r="O917" s="349">
        <f t="shared" si="1056"/>
        <v>1.4332268421769035E-2</v>
      </c>
    </row>
    <row r="918" spans="1:15" ht="24" thickBot="1" x14ac:dyDescent="0.35">
      <c r="A918" s="318" t="s">
        <v>102</v>
      </c>
      <c r="B918" s="1020" t="s">
        <v>173</v>
      </c>
      <c r="C918" s="1020"/>
      <c r="D918" s="1021"/>
      <c r="E918" s="330">
        <f>+E917</f>
        <v>545076</v>
      </c>
      <c r="F918" s="331">
        <f t="shared" ref="F918:O918" si="1087">+F917</f>
        <v>65800</v>
      </c>
      <c r="G918" s="330">
        <f t="shared" si="1087"/>
        <v>44601</v>
      </c>
      <c r="H918" s="328">
        <f t="shared" si="1087"/>
        <v>43892</v>
      </c>
      <c r="I918" s="328">
        <f t="shared" si="1087"/>
        <v>709</v>
      </c>
      <c r="J918" s="350" t="str">
        <f t="shared" si="1087"/>
        <v>-</v>
      </c>
      <c r="K918" s="330">
        <f t="shared" si="1087"/>
        <v>249786</v>
      </c>
      <c r="L918" s="328">
        <f t="shared" si="1087"/>
        <v>246206</v>
      </c>
      <c r="M918" s="329">
        <f t="shared" si="1087"/>
        <v>3580</v>
      </c>
      <c r="N918" s="342">
        <f t="shared" si="1087"/>
        <v>0.458259031768047</v>
      </c>
      <c r="O918" s="350">
        <f t="shared" si="1087"/>
        <v>1.4332268421769035E-2</v>
      </c>
    </row>
    <row r="919" spans="1:15" ht="24.6" thickBot="1" x14ac:dyDescent="0.35">
      <c r="A919" s="319"/>
      <c r="B919" s="1031" t="s">
        <v>174</v>
      </c>
      <c r="C919" s="1032"/>
      <c r="D919" s="1033"/>
      <c r="E919" s="374">
        <f>+E856+E891+E918</f>
        <v>6540740</v>
      </c>
      <c r="F919" s="374">
        <f>+F856+F891+F918</f>
        <v>1024800</v>
      </c>
      <c r="G919" s="374">
        <f>+G856+G891+G918</f>
        <v>329480</v>
      </c>
      <c r="H919" s="374">
        <f>+H856+H891+H918</f>
        <v>325740</v>
      </c>
      <c r="I919" s="374">
        <f>+I856+I891+I918</f>
        <v>3740</v>
      </c>
      <c r="J919" s="375" t="str">
        <f>IFERROR(G919/#REF!,"-")</f>
        <v>-</v>
      </c>
      <c r="K919" s="374">
        <f>+K856+K891+K918</f>
        <v>2799640</v>
      </c>
      <c r="L919" s="374">
        <f>+L856+L891+L918</f>
        <v>2774070</v>
      </c>
      <c r="M919" s="374">
        <f>+M856+M891+M918</f>
        <v>25570</v>
      </c>
      <c r="N919" s="375">
        <f>IFERROR(K919/E919,"-")</f>
        <v>0.42803107905221732</v>
      </c>
      <c r="O919" s="375">
        <f>IFERROR(M919/K919,"-")</f>
        <v>9.1333171407752423E-3</v>
      </c>
    </row>
    <row r="920" spans="1:15" ht="23.4" x14ac:dyDescent="0.3">
      <c r="A920" s="1057" t="s">
        <v>1</v>
      </c>
      <c r="B920" s="1060" t="s">
        <v>2</v>
      </c>
      <c r="C920" s="1063" t="s">
        <v>396</v>
      </c>
      <c r="D920" s="1063" t="s">
        <v>397</v>
      </c>
      <c r="E920" s="1066" t="s">
        <v>4</v>
      </c>
      <c r="F920" s="1067"/>
      <c r="G920" s="1067"/>
      <c r="H920" s="1067"/>
      <c r="I920" s="1067"/>
      <c r="J920" s="1067"/>
      <c r="K920" s="1067"/>
      <c r="L920" s="1067"/>
      <c r="M920" s="1067"/>
      <c r="N920" s="1067"/>
      <c r="O920" s="1068"/>
    </row>
    <row r="921" spans="1:15" ht="23.4" x14ac:dyDescent="0.3">
      <c r="A921" s="1058"/>
      <c r="B921" s="1061"/>
      <c r="C921" s="1064"/>
      <c r="D921" s="1064"/>
      <c r="E921" s="1069" t="s">
        <v>7</v>
      </c>
      <c r="F921" s="1071" t="s">
        <v>108</v>
      </c>
      <c r="G921" s="1073" t="s">
        <v>532</v>
      </c>
      <c r="H921" s="1074"/>
      <c r="I921" s="1074"/>
      <c r="J921" s="1075"/>
      <c r="K921" s="1076" t="s">
        <v>398</v>
      </c>
      <c r="L921" s="1077"/>
      <c r="M921" s="1078"/>
      <c r="N921" s="1079" t="s">
        <v>399</v>
      </c>
      <c r="O921" s="1081" t="s">
        <v>164</v>
      </c>
    </row>
    <row r="922" spans="1:15" ht="41.4" thickBot="1" x14ac:dyDescent="0.35">
      <c r="A922" s="1059"/>
      <c r="B922" s="1062"/>
      <c r="C922" s="1065"/>
      <c r="D922" s="1065"/>
      <c r="E922" s="1070"/>
      <c r="F922" s="1072"/>
      <c r="G922" s="452" t="s">
        <v>13</v>
      </c>
      <c r="H922" s="453" t="s">
        <v>14</v>
      </c>
      <c r="I922" s="453" t="s">
        <v>15</v>
      </c>
      <c r="J922" s="454" t="s">
        <v>166</v>
      </c>
      <c r="K922" s="680" t="s">
        <v>13</v>
      </c>
      <c r="L922" s="678" t="s">
        <v>14</v>
      </c>
      <c r="M922" s="679" t="s">
        <v>15</v>
      </c>
      <c r="N922" s="1080"/>
      <c r="O922" s="1082"/>
    </row>
    <row r="923" spans="1:15" ht="24" thickBot="1" x14ac:dyDescent="0.35">
      <c r="A923" s="268" t="s">
        <v>103</v>
      </c>
      <c r="B923" s="1043" t="s">
        <v>16</v>
      </c>
      <c r="C923" s="269" t="s">
        <v>368</v>
      </c>
      <c r="D923" s="269" t="s">
        <v>369</v>
      </c>
      <c r="E923" s="270">
        <v>20000</v>
      </c>
      <c r="F923" s="271"/>
      <c r="G923" s="332">
        <f>+H923+I923</f>
        <v>0</v>
      </c>
      <c r="H923" s="272"/>
      <c r="I923" s="272"/>
      <c r="J923" s="352" t="str">
        <f>IFERROR(G923/F923,"-")</f>
        <v>-</v>
      </c>
      <c r="K923" s="457">
        <f>+L923+M923</f>
        <v>270</v>
      </c>
      <c r="L923" s="688">
        <f t="shared" ref="L923:L926" si="1088">+H923+L808</f>
        <v>0</v>
      </c>
      <c r="M923" s="688">
        <f t="shared" ref="M923:M926" si="1089">+I923+M808</f>
        <v>270</v>
      </c>
      <c r="N923" s="336">
        <f>IFERROR(K923/E923,"-")</f>
        <v>1.35E-2</v>
      </c>
      <c r="O923" s="343">
        <f t="shared" ref="O923:O924" si="1090">IFERROR(M923/K923,"-")</f>
        <v>1</v>
      </c>
    </row>
    <row r="924" spans="1:15" ht="23.4" x14ac:dyDescent="0.3">
      <c r="A924" s="274" t="s">
        <v>103</v>
      </c>
      <c r="B924" s="1044"/>
      <c r="C924" s="275" t="s">
        <v>376</v>
      </c>
      <c r="D924" s="275" t="s">
        <v>375</v>
      </c>
      <c r="E924" s="276"/>
      <c r="F924" s="277"/>
      <c r="G924" s="333">
        <f t="shared" ref="G924:G926" si="1091">+H924+I924</f>
        <v>0</v>
      </c>
      <c r="H924" s="278"/>
      <c r="I924" s="278"/>
      <c r="J924" s="352" t="str">
        <f t="shared" ref="J924:J926" si="1092">IFERROR(G924/F924,"-")</f>
        <v>-</v>
      </c>
      <c r="K924" s="690">
        <f t="shared" ref="K924:K926" si="1093">+L924+M924</f>
        <v>0</v>
      </c>
      <c r="L924" s="527">
        <f t="shared" si="1088"/>
        <v>0</v>
      </c>
      <c r="M924" s="459">
        <f t="shared" si="1089"/>
        <v>0</v>
      </c>
      <c r="N924" s="337" t="str">
        <f t="shared" ref="N924:N926" si="1094">IFERROR(K924/E924,"-")</f>
        <v>-</v>
      </c>
      <c r="O924" s="265" t="str">
        <f t="shared" si="1090"/>
        <v>-</v>
      </c>
    </row>
    <row r="925" spans="1:15" s="723" customFormat="1" ht="23.4" x14ac:dyDescent="0.3">
      <c r="A925" s="274" t="s">
        <v>103</v>
      </c>
      <c r="B925" s="1044"/>
      <c r="C925" s="573" t="s">
        <v>431</v>
      </c>
      <c r="D925" s="573" t="s">
        <v>366</v>
      </c>
      <c r="E925" s="720"/>
      <c r="F925" s="721"/>
      <c r="G925" s="333">
        <f t="shared" si="1091"/>
        <v>0</v>
      </c>
      <c r="H925" s="722"/>
      <c r="I925" s="722"/>
      <c r="J925" s="352" t="str">
        <f t="shared" si="1092"/>
        <v>-</v>
      </c>
      <c r="K925" s="690">
        <f t="shared" si="1093"/>
        <v>8000</v>
      </c>
      <c r="L925" s="720">
        <f t="shared" si="1088"/>
        <v>8000</v>
      </c>
      <c r="M925" s="529">
        <f t="shared" si="1089"/>
        <v>0</v>
      </c>
      <c r="N925" s="337" t="str">
        <f t="shared" si="1094"/>
        <v>-</v>
      </c>
      <c r="O925" s="265">
        <f>IFERROR(M925/K925,"-")</f>
        <v>0</v>
      </c>
    </row>
    <row r="926" spans="1:15" ht="24" thickBot="1" x14ac:dyDescent="0.35">
      <c r="A926" s="274" t="s">
        <v>103</v>
      </c>
      <c r="B926" s="1045"/>
      <c r="C926" s="279" t="s">
        <v>428</v>
      </c>
      <c r="D926" s="279" t="s">
        <v>374</v>
      </c>
      <c r="E926" s="280"/>
      <c r="F926" s="281"/>
      <c r="G926" s="334">
        <f t="shared" si="1091"/>
        <v>0</v>
      </c>
      <c r="H926" s="272"/>
      <c r="I926" s="272"/>
      <c r="J926" s="352" t="str">
        <f t="shared" si="1092"/>
        <v>-</v>
      </c>
      <c r="K926" s="691">
        <f t="shared" si="1093"/>
        <v>0</v>
      </c>
      <c r="L926" s="530">
        <f t="shared" si="1088"/>
        <v>0</v>
      </c>
      <c r="M926" s="462">
        <f t="shared" si="1089"/>
        <v>0</v>
      </c>
      <c r="N926" s="338" t="str">
        <f t="shared" si="1094"/>
        <v>-</v>
      </c>
      <c r="O926" s="344" t="str">
        <f t="shared" ref="O926:O944" si="1095">IFERROR(M926/K926,"-")</f>
        <v>-</v>
      </c>
    </row>
    <row r="927" spans="1:15" ht="24" thickBot="1" x14ac:dyDescent="0.35">
      <c r="A927" s="274" t="s">
        <v>103</v>
      </c>
      <c r="B927" s="1025" t="s">
        <v>44</v>
      </c>
      <c r="C927" s="1026"/>
      <c r="D927" s="1027"/>
      <c r="E927" s="320">
        <f>SUM(E923:E926)</f>
        <v>20000</v>
      </c>
      <c r="F927" s="285">
        <v>15000</v>
      </c>
      <c r="G927" s="320">
        <f>SUM(G923:G926)</f>
        <v>0</v>
      </c>
      <c r="H927" s="321">
        <f t="shared" ref="H927:I927" si="1096">SUM(H923:H926)</f>
        <v>0</v>
      </c>
      <c r="I927" s="321">
        <f t="shared" si="1096"/>
        <v>0</v>
      </c>
      <c r="J927" s="345">
        <f>+G927/F927</f>
        <v>0</v>
      </c>
      <c r="K927" s="320">
        <f t="shared" ref="K927" si="1097">SUM(K923:K926)</f>
        <v>8270</v>
      </c>
      <c r="L927" s="692">
        <f>SUM(L923:L926)</f>
        <v>8000</v>
      </c>
      <c r="M927" s="693">
        <f>SUM(M923:M926)</f>
        <v>270</v>
      </c>
      <c r="N927" s="339">
        <f>IFERROR(K927/E927,"-")</f>
        <v>0.41349999999999998</v>
      </c>
      <c r="O927" s="345">
        <f t="shared" si="1095"/>
        <v>3.2648125755743655E-2</v>
      </c>
    </row>
    <row r="928" spans="1:15" ht="23.4" x14ac:dyDescent="0.3">
      <c r="A928" s="274" t="s">
        <v>103</v>
      </c>
      <c r="B928" s="1043" t="s">
        <v>17</v>
      </c>
      <c r="C928" s="269" t="s">
        <v>294</v>
      </c>
      <c r="D928" s="269"/>
      <c r="E928" s="270"/>
      <c r="F928" s="271"/>
      <c r="G928" s="332">
        <f t="shared" ref="G928:G934" si="1098">+H928+I928</f>
        <v>0</v>
      </c>
      <c r="H928" s="272"/>
      <c r="I928" s="272"/>
      <c r="J928" s="351" t="str">
        <f>IFERROR(G928/F928,"-")</f>
        <v>-</v>
      </c>
      <c r="K928" s="694">
        <f t="shared" ref="K928:K934" si="1099">+L928+M928</f>
        <v>0</v>
      </c>
      <c r="L928" s="527">
        <f t="shared" ref="L928:L934" si="1100">+H928+L813</f>
        <v>0</v>
      </c>
      <c r="M928" s="459">
        <f t="shared" ref="M928:M934" si="1101">+I928+M813</f>
        <v>0</v>
      </c>
      <c r="N928" s="336" t="str">
        <f t="shared" ref="N928:N934" si="1102">IFERROR(K928/E928,"-")</f>
        <v>-</v>
      </c>
      <c r="O928" s="346" t="str">
        <f t="shared" si="1095"/>
        <v>-</v>
      </c>
    </row>
    <row r="929" spans="1:15" ht="23.4" x14ac:dyDescent="0.3">
      <c r="A929" s="274" t="s">
        <v>103</v>
      </c>
      <c r="B929" s="1044"/>
      <c r="C929" s="275" t="s">
        <v>344</v>
      </c>
      <c r="D929" s="275" t="s">
        <v>232</v>
      </c>
      <c r="E929" s="276">
        <v>1600000</v>
      </c>
      <c r="F929" s="277"/>
      <c r="G929" s="333">
        <f t="shared" si="1098"/>
        <v>0</v>
      </c>
      <c r="H929" s="278"/>
      <c r="I929" s="278"/>
      <c r="J929" s="351" t="str">
        <f t="shared" ref="J929:J934" si="1103">IFERROR(G929/F929,"-")</f>
        <v>-</v>
      </c>
      <c r="K929" s="690">
        <f t="shared" si="1099"/>
        <v>6120</v>
      </c>
      <c r="L929" s="276">
        <f t="shared" si="1100"/>
        <v>5980</v>
      </c>
      <c r="M929" s="436">
        <f t="shared" si="1101"/>
        <v>140</v>
      </c>
      <c r="N929" s="337">
        <f t="shared" si="1102"/>
        <v>3.8249999999999998E-3</v>
      </c>
      <c r="O929" s="263">
        <f t="shared" si="1095"/>
        <v>2.2875816993464051E-2</v>
      </c>
    </row>
    <row r="930" spans="1:15" ht="23.4" x14ac:dyDescent="0.3">
      <c r="A930" s="274" t="s">
        <v>103</v>
      </c>
      <c r="B930" s="1044"/>
      <c r="C930" s="275" t="s">
        <v>367</v>
      </c>
      <c r="D930" s="275" t="s">
        <v>187</v>
      </c>
      <c r="E930" s="276">
        <v>1000000</v>
      </c>
      <c r="F930" s="277"/>
      <c r="G930" s="333">
        <f t="shared" si="1098"/>
        <v>85884</v>
      </c>
      <c r="H930" s="278">
        <v>85680</v>
      </c>
      <c r="I930" s="278">
        <v>204</v>
      </c>
      <c r="J930" s="351" t="str">
        <f t="shared" si="1103"/>
        <v>-</v>
      </c>
      <c r="K930" s="690">
        <f t="shared" si="1099"/>
        <v>639014</v>
      </c>
      <c r="L930" s="276">
        <f t="shared" si="1100"/>
        <v>636480</v>
      </c>
      <c r="M930" s="436">
        <f t="shared" si="1101"/>
        <v>2534</v>
      </c>
      <c r="N930" s="337">
        <f t="shared" si="1102"/>
        <v>0.63901399999999997</v>
      </c>
      <c r="O930" s="263">
        <f t="shared" si="1095"/>
        <v>3.965484324287105E-3</v>
      </c>
    </row>
    <row r="931" spans="1:15" ht="23.4" x14ac:dyDescent="0.3">
      <c r="A931" s="274" t="s">
        <v>103</v>
      </c>
      <c r="B931" s="1044"/>
      <c r="C931" s="275" t="s">
        <v>530</v>
      </c>
      <c r="D931" s="275" t="s">
        <v>529</v>
      </c>
      <c r="E931" s="276"/>
      <c r="F931" s="277"/>
      <c r="G931" s="333">
        <f t="shared" si="1098"/>
        <v>0</v>
      </c>
      <c r="H931" s="278"/>
      <c r="I931" s="278"/>
      <c r="J931" s="351" t="str">
        <f t="shared" si="1103"/>
        <v>-</v>
      </c>
      <c r="K931" s="690">
        <f t="shared" si="1099"/>
        <v>41558</v>
      </c>
      <c r="L931" s="276">
        <f t="shared" si="1100"/>
        <v>41350</v>
      </c>
      <c r="M931" s="436">
        <f t="shared" si="1101"/>
        <v>208</v>
      </c>
      <c r="N931" s="337" t="str">
        <f t="shared" si="1102"/>
        <v>-</v>
      </c>
      <c r="O931" s="263">
        <f t="shared" si="1095"/>
        <v>5.0050531786900235E-3</v>
      </c>
    </row>
    <row r="932" spans="1:15" ht="23.4" x14ac:dyDescent="0.3">
      <c r="A932" s="274" t="s">
        <v>103</v>
      </c>
      <c r="B932" s="1044"/>
      <c r="C932" s="275" t="s">
        <v>323</v>
      </c>
      <c r="D932" s="275" t="s">
        <v>318</v>
      </c>
      <c r="E932" s="276"/>
      <c r="F932" s="277"/>
      <c r="G932" s="333">
        <f t="shared" si="1098"/>
        <v>0</v>
      </c>
      <c r="H932" s="278"/>
      <c r="I932" s="278"/>
      <c r="J932" s="351" t="str">
        <f t="shared" si="1103"/>
        <v>-</v>
      </c>
      <c r="K932" s="690">
        <f t="shared" si="1099"/>
        <v>0</v>
      </c>
      <c r="L932" s="276">
        <f t="shared" si="1100"/>
        <v>0</v>
      </c>
      <c r="M932" s="436">
        <f t="shared" si="1101"/>
        <v>0</v>
      </c>
      <c r="N932" s="337" t="str">
        <f t="shared" si="1102"/>
        <v>-</v>
      </c>
      <c r="O932" s="263" t="str">
        <f t="shared" si="1095"/>
        <v>-</v>
      </c>
    </row>
    <row r="933" spans="1:15" ht="23.4" x14ac:dyDescent="0.3">
      <c r="A933" s="274" t="s">
        <v>103</v>
      </c>
      <c r="B933" s="1044"/>
      <c r="C933" s="275" t="s">
        <v>528</v>
      </c>
      <c r="D933" s="275" t="s">
        <v>189</v>
      </c>
      <c r="E933" s="276"/>
      <c r="F933" s="277"/>
      <c r="G933" s="333">
        <f t="shared" si="1098"/>
        <v>0</v>
      </c>
      <c r="H933" s="278"/>
      <c r="I933" s="278"/>
      <c r="J933" s="351" t="str">
        <f t="shared" si="1103"/>
        <v>-</v>
      </c>
      <c r="K933" s="690">
        <f t="shared" si="1099"/>
        <v>28598</v>
      </c>
      <c r="L933" s="276">
        <f t="shared" si="1100"/>
        <v>28458</v>
      </c>
      <c r="M933" s="436">
        <f t="shared" si="1101"/>
        <v>140</v>
      </c>
      <c r="N933" s="337" t="str">
        <f t="shared" si="1102"/>
        <v>-</v>
      </c>
      <c r="O933" s="263">
        <f t="shared" si="1095"/>
        <v>4.8954472340723126E-3</v>
      </c>
    </row>
    <row r="934" spans="1:15" ht="24" thickBot="1" x14ac:dyDescent="0.35">
      <c r="A934" s="274" t="s">
        <v>103</v>
      </c>
      <c r="B934" s="1045"/>
      <c r="C934" s="279" t="s">
        <v>341</v>
      </c>
      <c r="D934" s="279" t="s">
        <v>232</v>
      </c>
      <c r="E934" s="280"/>
      <c r="F934" s="281"/>
      <c r="G934" s="334">
        <f t="shared" si="1098"/>
        <v>0</v>
      </c>
      <c r="H934" s="282"/>
      <c r="I934" s="282"/>
      <c r="J934" s="351" t="str">
        <f t="shared" si="1103"/>
        <v>-</v>
      </c>
      <c r="K934" s="691">
        <f t="shared" si="1099"/>
        <v>0</v>
      </c>
      <c r="L934" s="530">
        <f t="shared" si="1100"/>
        <v>0</v>
      </c>
      <c r="M934" s="462">
        <f t="shared" si="1101"/>
        <v>0</v>
      </c>
      <c r="N934" s="338" t="str">
        <f t="shared" si="1102"/>
        <v>-</v>
      </c>
      <c r="O934" s="347" t="str">
        <f t="shared" si="1095"/>
        <v>-</v>
      </c>
    </row>
    <row r="935" spans="1:15" ht="24" thickBot="1" x14ac:dyDescent="0.35">
      <c r="A935" s="274" t="s">
        <v>103</v>
      </c>
      <c r="B935" s="1025" t="s">
        <v>45</v>
      </c>
      <c r="C935" s="1026"/>
      <c r="D935" s="1027"/>
      <c r="E935" s="320">
        <f>SUM(E928:E934)</f>
        <v>2600000</v>
      </c>
      <c r="F935" s="285">
        <v>100000</v>
      </c>
      <c r="G935" s="320">
        <f>SUM(G928:G934)</f>
        <v>85884</v>
      </c>
      <c r="H935" s="321">
        <f t="shared" ref="H935:I935" si="1104">SUM(H928:H934)</f>
        <v>85680</v>
      </c>
      <c r="I935" s="321">
        <f t="shared" si="1104"/>
        <v>204</v>
      </c>
      <c r="J935" s="345">
        <f>+G935/F935</f>
        <v>0.85884000000000005</v>
      </c>
      <c r="K935" s="320">
        <f>SUM(K928:K934)</f>
        <v>715290</v>
      </c>
      <c r="L935" s="519">
        <f>SUM(L928:L934)</f>
        <v>712268</v>
      </c>
      <c r="M935" s="689">
        <f t="shared" ref="M935" si="1105">SUM(M928:M934)</f>
        <v>3022</v>
      </c>
      <c r="N935" s="339">
        <f>IFERROR(K935/E935,"-")</f>
        <v>0.27511153846153846</v>
      </c>
      <c r="O935" s="345">
        <f t="shared" si="1095"/>
        <v>4.2248598470550408E-3</v>
      </c>
    </row>
    <row r="936" spans="1:15" ht="23.4" x14ac:dyDescent="0.3">
      <c r="A936" s="274" t="s">
        <v>103</v>
      </c>
      <c r="B936" s="1043" t="s">
        <v>18</v>
      </c>
      <c r="C936" s="269" t="s">
        <v>312</v>
      </c>
      <c r="D936" s="269" t="s">
        <v>92</v>
      </c>
      <c r="E936" s="270"/>
      <c r="F936" s="271"/>
      <c r="G936" s="332">
        <f t="shared" ref="G936:G942" si="1106">+H936+I936</f>
        <v>0</v>
      </c>
      <c r="H936" s="272"/>
      <c r="I936" s="272"/>
      <c r="J936" s="351" t="str">
        <f>IFERROR(G936/F936,"-")</f>
        <v>-</v>
      </c>
      <c r="K936" s="332">
        <f t="shared" ref="K936:K942" si="1107">+L936+M936</f>
        <v>0</v>
      </c>
      <c r="L936" s="272">
        <f t="shared" ref="L936:L942" si="1108">+H936+L821</f>
        <v>0</v>
      </c>
      <c r="M936" s="273">
        <f t="shared" ref="M936:M942" si="1109">+I936+M821</f>
        <v>0</v>
      </c>
      <c r="N936" s="336" t="str">
        <f t="shared" ref="N936:N943" si="1110">IFERROR(K936/E936,"-")</f>
        <v>-</v>
      </c>
      <c r="O936" s="346" t="str">
        <f t="shared" si="1095"/>
        <v>-</v>
      </c>
    </row>
    <row r="937" spans="1:15" ht="23.4" x14ac:dyDescent="0.3">
      <c r="A937" s="274" t="s">
        <v>103</v>
      </c>
      <c r="B937" s="1044"/>
      <c r="C937" s="275" t="s">
        <v>233</v>
      </c>
      <c r="D937" s="275" t="s">
        <v>234</v>
      </c>
      <c r="E937" s="276"/>
      <c r="F937" s="277"/>
      <c r="G937" s="333">
        <f t="shared" si="1106"/>
        <v>0</v>
      </c>
      <c r="H937" s="278"/>
      <c r="I937" s="278"/>
      <c r="J937" s="351" t="str">
        <f t="shared" ref="J937:J942" si="1111">IFERROR(G937/F937,"-")</f>
        <v>-</v>
      </c>
      <c r="K937" s="333">
        <f t="shared" si="1107"/>
        <v>0</v>
      </c>
      <c r="L937" s="272">
        <f t="shared" si="1108"/>
        <v>0</v>
      </c>
      <c r="M937" s="273">
        <f t="shared" si="1109"/>
        <v>0</v>
      </c>
      <c r="N937" s="337" t="str">
        <f t="shared" si="1110"/>
        <v>-</v>
      </c>
      <c r="O937" s="263" t="str">
        <f t="shared" si="1095"/>
        <v>-</v>
      </c>
    </row>
    <row r="938" spans="1:15" ht="23.4" x14ac:dyDescent="0.3">
      <c r="A938" s="274" t="s">
        <v>103</v>
      </c>
      <c r="B938" s="1044"/>
      <c r="C938" s="275" t="s">
        <v>115</v>
      </c>
      <c r="D938" s="275"/>
      <c r="E938" s="276"/>
      <c r="F938" s="277"/>
      <c r="G938" s="333">
        <f t="shared" si="1106"/>
        <v>0</v>
      </c>
      <c r="H938" s="278"/>
      <c r="I938" s="278"/>
      <c r="J938" s="351" t="str">
        <f t="shared" si="1111"/>
        <v>-</v>
      </c>
      <c r="K938" s="333">
        <f t="shared" si="1107"/>
        <v>0</v>
      </c>
      <c r="L938" s="272">
        <f t="shared" si="1108"/>
        <v>0</v>
      </c>
      <c r="M938" s="273">
        <f t="shared" si="1109"/>
        <v>0</v>
      </c>
      <c r="N938" s="337" t="str">
        <f t="shared" si="1110"/>
        <v>-</v>
      </c>
      <c r="O938" s="263" t="str">
        <f t="shared" si="1095"/>
        <v>-</v>
      </c>
    </row>
    <row r="939" spans="1:15" ht="23.4" x14ac:dyDescent="0.3">
      <c r="A939" s="274" t="s">
        <v>103</v>
      </c>
      <c r="B939" s="1044"/>
      <c r="C939" s="275" t="s">
        <v>122</v>
      </c>
      <c r="D939" s="275"/>
      <c r="E939" s="276"/>
      <c r="F939" s="277"/>
      <c r="G939" s="333">
        <f t="shared" si="1106"/>
        <v>0</v>
      </c>
      <c r="H939" s="278"/>
      <c r="I939" s="278"/>
      <c r="J939" s="351" t="str">
        <f t="shared" si="1111"/>
        <v>-</v>
      </c>
      <c r="K939" s="333">
        <f t="shared" si="1107"/>
        <v>0</v>
      </c>
      <c r="L939" s="272">
        <f t="shared" si="1108"/>
        <v>0</v>
      </c>
      <c r="M939" s="273">
        <f t="shared" si="1109"/>
        <v>0</v>
      </c>
      <c r="N939" s="337" t="str">
        <f t="shared" si="1110"/>
        <v>-</v>
      </c>
      <c r="O939" s="263" t="str">
        <f t="shared" si="1095"/>
        <v>-</v>
      </c>
    </row>
    <row r="940" spans="1:15" ht="23.4" x14ac:dyDescent="0.3">
      <c r="A940" s="274" t="s">
        <v>103</v>
      </c>
      <c r="B940" s="1044"/>
      <c r="C940" s="275" t="s">
        <v>176</v>
      </c>
      <c r="D940" s="275" t="s">
        <v>177</v>
      </c>
      <c r="E940" s="276"/>
      <c r="F940" s="277"/>
      <c r="G940" s="333">
        <f t="shared" si="1106"/>
        <v>0</v>
      </c>
      <c r="H940" s="278"/>
      <c r="I940" s="278"/>
      <c r="J940" s="351" t="str">
        <f t="shared" si="1111"/>
        <v>-</v>
      </c>
      <c r="K940" s="333">
        <f t="shared" si="1107"/>
        <v>0</v>
      </c>
      <c r="L940" s="272">
        <f t="shared" si="1108"/>
        <v>0</v>
      </c>
      <c r="M940" s="273">
        <f t="shared" si="1109"/>
        <v>0</v>
      </c>
      <c r="N940" s="337" t="str">
        <f t="shared" si="1110"/>
        <v>-</v>
      </c>
      <c r="O940" s="263" t="str">
        <f t="shared" si="1095"/>
        <v>-</v>
      </c>
    </row>
    <row r="941" spans="1:15" ht="23.4" x14ac:dyDescent="0.3">
      <c r="A941" s="274" t="s">
        <v>103</v>
      </c>
      <c r="B941" s="1044"/>
      <c r="C941" s="275" t="s">
        <v>179</v>
      </c>
      <c r="D941" s="275" t="s">
        <v>178</v>
      </c>
      <c r="E941" s="276"/>
      <c r="F941" s="277"/>
      <c r="G941" s="333">
        <f t="shared" si="1106"/>
        <v>0</v>
      </c>
      <c r="H941" s="278"/>
      <c r="I941" s="278"/>
      <c r="J941" s="351" t="str">
        <f t="shared" si="1111"/>
        <v>-</v>
      </c>
      <c r="K941" s="333">
        <f t="shared" si="1107"/>
        <v>0</v>
      </c>
      <c r="L941" s="272">
        <f t="shared" si="1108"/>
        <v>0</v>
      </c>
      <c r="M941" s="273">
        <f t="shared" si="1109"/>
        <v>0</v>
      </c>
      <c r="N941" s="337" t="str">
        <f t="shared" si="1110"/>
        <v>-</v>
      </c>
      <c r="O941" s="263" t="str">
        <f t="shared" si="1095"/>
        <v>-</v>
      </c>
    </row>
    <row r="942" spans="1:15" ht="24" thickBot="1" x14ac:dyDescent="0.35">
      <c r="A942" s="274" t="s">
        <v>103</v>
      </c>
      <c r="B942" s="1045"/>
      <c r="C942" s="286" t="s">
        <v>180</v>
      </c>
      <c r="D942" s="286" t="s">
        <v>107</v>
      </c>
      <c r="E942" s="280"/>
      <c r="F942" s="281"/>
      <c r="G942" s="334">
        <f t="shared" si="1106"/>
        <v>0</v>
      </c>
      <c r="H942" s="282"/>
      <c r="I942" s="282"/>
      <c r="J942" s="351" t="str">
        <f t="shared" si="1111"/>
        <v>-</v>
      </c>
      <c r="K942" s="334">
        <f t="shared" si="1107"/>
        <v>0</v>
      </c>
      <c r="L942" s="272">
        <f t="shared" si="1108"/>
        <v>0</v>
      </c>
      <c r="M942" s="273">
        <f t="shared" si="1109"/>
        <v>0</v>
      </c>
      <c r="N942" s="338" t="str">
        <f t="shared" si="1110"/>
        <v>-</v>
      </c>
      <c r="O942" s="347" t="str">
        <f t="shared" si="1095"/>
        <v>-</v>
      </c>
    </row>
    <row r="943" spans="1:15" ht="24" thickBot="1" x14ac:dyDescent="0.35">
      <c r="A943" s="274" t="s">
        <v>103</v>
      </c>
      <c r="B943" s="1025" t="s">
        <v>29</v>
      </c>
      <c r="C943" s="1083"/>
      <c r="D943" s="1027"/>
      <c r="E943" s="366">
        <f t="shared" ref="E943" si="1112">SUM(E936:E942)</f>
        <v>0</v>
      </c>
      <c r="F943" s="307">
        <v>80000</v>
      </c>
      <c r="G943" s="366">
        <f>SUM(G936:G942)</f>
        <v>0</v>
      </c>
      <c r="H943" s="365">
        <f t="shared" ref="H943:I943" si="1113">SUM(H936:H942)</f>
        <v>0</v>
      </c>
      <c r="I943" s="365">
        <f t="shared" si="1113"/>
        <v>0</v>
      </c>
      <c r="J943" s="356">
        <f>+G943/F943</f>
        <v>0</v>
      </c>
      <c r="K943" s="366">
        <f t="shared" ref="K943" si="1114">SUM(K936:K942)</f>
        <v>0</v>
      </c>
      <c r="L943" s="365">
        <f>SUM(L936:L942)</f>
        <v>0</v>
      </c>
      <c r="M943" s="367">
        <f t="shared" ref="M943" si="1115">SUM(M936:M942)</f>
        <v>0</v>
      </c>
      <c r="N943" s="355" t="str">
        <f t="shared" si="1110"/>
        <v>-</v>
      </c>
      <c r="O943" s="356" t="str">
        <f t="shared" si="1095"/>
        <v>-</v>
      </c>
    </row>
    <row r="944" spans="1:15" ht="23.4" x14ac:dyDescent="0.3">
      <c r="A944" s="252" t="s">
        <v>103</v>
      </c>
      <c r="B944" s="1037" t="s">
        <v>19</v>
      </c>
      <c r="C944" s="883" t="s">
        <v>235</v>
      </c>
      <c r="D944" s="877" t="s">
        <v>177</v>
      </c>
      <c r="E944" s="527"/>
      <c r="F944" s="838">
        <v>220000</v>
      </c>
      <c r="G944" s="457">
        <f t="shared" ref="G944:G947" si="1116">+H944+I944</f>
        <v>0</v>
      </c>
      <c r="H944" s="458"/>
      <c r="I944" s="458"/>
      <c r="J944" s="531">
        <f>IFERROR(G944/F944,"-")</f>
        <v>0</v>
      </c>
      <c r="K944" s="869">
        <f>+L944+M944</f>
        <v>0</v>
      </c>
      <c r="L944" s="527">
        <f>+H944+L829</f>
        <v>0</v>
      </c>
      <c r="M944" s="838">
        <f>+I944+M829</f>
        <v>0</v>
      </c>
      <c r="N944" s="646" t="str">
        <f>IFERROR(K944/E944,"-")</f>
        <v>-</v>
      </c>
      <c r="O944" s="647" t="str">
        <f t="shared" si="1095"/>
        <v>-</v>
      </c>
    </row>
    <row r="945" spans="1:15" ht="23.4" x14ac:dyDescent="0.3">
      <c r="A945" s="252"/>
      <c r="B945" s="1038"/>
      <c r="C945" s="876" t="s">
        <v>377</v>
      </c>
      <c r="D945" s="878" t="s">
        <v>423</v>
      </c>
      <c r="E945" s="276">
        <v>1000000</v>
      </c>
      <c r="F945" s="277">
        <v>110000</v>
      </c>
      <c r="G945" s="333">
        <f t="shared" si="1116"/>
        <v>0</v>
      </c>
      <c r="H945" s="278"/>
      <c r="I945" s="278"/>
      <c r="J945" s="352">
        <f t="shared" ref="J945:J949" si="1117">IFERROR(G945/F945,"-")</f>
        <v>0</v>
      </c>
      <c r="K945" s="870">
        <f>+L945+M945</f>
        <v>576188</v>
      </c>
      <c r="L945" s="276">
        <f>+H945+L830</f>
        <v>574464</v>
      </c>
      <c r="M945" s="277">
        <f>+I945+M830</f>
        <v>1724</v>
      </c>
      <c r="N945" s="836">
        <f t="shared" ref="N945:N949" si="1118">IFERROR(K945/E945,"-")</f>
        <v>0.57618800000000003</v>
      </c>
      <c r="O945" s="263">
        <f>IFERROR(M945/K945,"-")</f>
        <v>2.9920789742236909E-3</v>
      </c>
    </row>
    <row r="946" spans="1:15" ht="23.4" x14ac:dyDescent="0.3">
      <c r="A946" s="252"/>
      <c r="B946" s="1038"/>
      <c r="C946" s="876" t="s">
        <v>235</v>
      </c>
      <c r="D946" s="879" t="s">
        <v>522</v>
      </c>
      <c r="E946" s="276"/>
      <c r="F946" s="277"/>
      <c r="G946" s="333">
        <f t="shared" si="1116"/>
        <v>0</v>
      </c>
      <c r="H946" s="278"/>
      <c r="I946" s="278"/>
      <c r="J946" s="352" t="str">
        <f t="shared" si="1117"/>
        <v>-</v>
      </c>
      <c r="K946" s="870">
        <f t="shared" ref="K946:K947" si="1119">+L946+M946</f>
        <v>175193</v>
      </c>
      <c r="L946" s="276">
        <f t="shared" ref="L946:L947" si="1120">+H946+L831</f>
        <v>174768</v>
      </c>
      <c r="M946" s="277">
        <f t="shared" ref="M946:M947" si="1121">+I946+M831</f>
        <v>425</v>
      </c>
      <c r="N946" s="836" t="str">
        <f t="shared" si="1118"/>
        <v>-</v>
      </c>
      <c r="O946" s="263">
        <f t="shared" ref="O946:O968" si="1122">IFERROR(M946/K946,"-")</f>
        <v>2.4258960118269564E-3</v>
      </c>
    </row>
    <row r="947" spans="1:15" ht="23.4" x14ac:dyDescent="0.3">
      <c r="A947" s="252"/>
      <c r="B947" s="1038"/>
      <c r="C947" s="876" t="s">
        <v>377</v>
      </c>
      <c r="D947" s="880" t="s">
        <v>522</v>
      </c>
      <c r="E947" s="276"/>
      <c r="F947" s="277"/>
      <c r="G947" s="333">
        <f t="shared" si="1116"/>
        <v>8678</v>
      </c>
      <c r="H947" s="278">
        <v>8448</v>
      </c>
      <c r="I947" s="278">
        <v>230</v>
      </c>
      <c r="J947" s="352" t="str">
        <f t="shared" si="1117"/>
        <v>-</v>
      </c>
      <c r="K947" s="870">
        <f t="shared" si="1119"/>
        <v>262751</v>
      </c>
      <c r="L947" s="276">
        <f t="shared" si="1120"/>
        <v>261888</v>
      </c>
      <c r="M947" s="277">
        <f t="shared" si="1121"/>
        <v>863</v>
      </c>
      <c r="N947" s="836" t="str">
        <f t="shared" si="1118"/>
        <v>-</v>
      </c>
      <c r="O947" s="263">
        <f t="shared" si="1122"/>
        <v>3.2844784605957733E-3</v>
      </c>
    </row>
    <row r="948" spans="1:15" ht="23.4" x14ac:dyDescent="0.3">
      <c r="A948" s="252"/>
      <c r="B948" s="1038"/>
      <c r="C948" s="876" t="s">
        <v>550</v>
      </c>
      <c r="D948" s="881" t="s">
        <v>522</v>
      </c>
      <c r="E948" s="276"/>
      <c r="F948" s="277"/>
      <c r="G948" s="333">
        <f t="shared" ref="G948" si="1123">+H948+I948</f>
        <v>8588</v>
      </c>
      <c r="H948" s="278">
        <v>8448</v>
      </c>
      <c r="I948" s="278">
        <v>140</v>
      </c>
      <c r="J948" s="352" t="str">
        <f t="shared" ref="J948" si="1124">IFERROR(G948/F948,"-")</f>
        <v>-</v>
      </c>
      <c r="K948" s="870">
        <f t="shared" ref="K948" si="1125">+L948+M948</f>
        <v>8588</v>
      </c>
      <c r="L948" s="276">
        <f>+H948</f>
        <v>8448</v>
      </c>
      <c r="M948" s="277">
        <f>+I948</f>
        <v>140</v>
      </c>
      <c r="N948" s="836" t="str">
        <f t="shared" ref="N948" si="1126">IFERROR(K948/E948,"-")</f>
        <v>-</v>
      </c>
      <c r="O948" s="263">
        <f t="shared" ref="O948" si="1127">IFERROR(M948/K948,"-")</f>
        <v>1.6301816488122962E-2</v>
      </c>
    </row>
    <row r="949" spans="1:15" ht="24" thickBot="1" x14ac:dyDescent="0.35">
      <c r="A949" s="252"/>
      <c r="B949" s="1039"/>
      <c r="C949" s="884" t="s">
        <v>342</v>
      </c>
      <c r="D949" s="882"/>
      <c r="E949" s="530">
        <v>150000</v>
      </c>
      <c r="F949" s="839"/>
      <c r="G949" s="460">
        <f t="shared" ref="G949" si="1128">+H949+I949</f>
        <v>0</v>
      </c>
      <c r="H949" s="461"/>
      <c r="I949" s="461"/>
      <c r="J949" s="532" t="str">
        <f t="shared" si="1117"/>
        <v>-</v>
      </c>
      <c r="K949" s="871">
        <f>+L949+M949</f>
        <v>0</v>
      </c>
      <c r="L949" s="530">
        <f>+H949+L833</f>
        <v>0</v>
      </c>
      <c r="M949" s="839">
        <f>+I949+M833</f>
        <v>0</v>
      </c>
      <c r="N949" s="837">
        <f t="shared" si="1118"/>
        <v>0</v>
      </c>
      <c r="O949" s="264" t="str">
        <f t="shared" si="1122"/>
        <v>-</v>
      </c>
    </row>
    <row r="950" spans="1:15" ht="24" thickBot="1" x14ac:dyDescent="0.35">
      <c r="A950" s="274" t="s">
        <v>103</v>
      </c>
      <c r="B950" s="1040" t="s">
        <v>46</v>
      </c>
      <c r="C950" s="1041"/>
      <c r="D950" s="1027"/>
      <c r="E950" s="513">
        <f>SUM(E944:E949)</f>
        <v>1150000</v>
      </c>
      <c r="F950" s="859">
        <f t="shared" ref="F950" si="1129">SUM(F944)</f>
        <v>220000</v>
      </c>
      <c r="G950" s="513">
        <f>SUM(G944:G949)</f>
        <v>17266</v>
      </c>
      <c r="H950" s="519">
        <f>SUM(H944:H949)</f>
        <v>16896</v>
      </c>
      <c r="I950" s="519">
        <f>SUM(I944:I949)</f>
        <v>370</v>
      </c>
      <c r="J950" s="520">
        <f>+G950/F950</f>
        <v>7.848181818181818E-2</v>
      </c>
      <c r="K950" s="835">
        <f>SUM(K944:K949)</f>
        <v>1022720</v>
      </c>
      <c r="L950" s="519">
        <f>SUM(L944:L949)</f>
        <v>1019568</v>
      </c>
      <c r="M950" s="689">
        <f>SUM(M944:M949)</f>
        <v>3152</v>
      </c>
      <c r="N950" s="521">
        <f>IFERROR(K950/E950,"-")</f>
        <v>0.88932173913043477</v>
      </c>
      <c r="O950" s="520">
        <f t="shared" si="1122"/>
        <v>3.0819774718397999E-3</v>
      </c>
    </row>
    <row r="951" spans="1:15" ht="23.4" x14ac:dyDescent="0.3">
      <c r="A951" s="274" t="s">
        <v>103</v>
      </c>
      <c r="B951" s="1043" t="s">
        <v>20</v>
      </c>
      <c r="C951" s="291" t="s">
        <v>317</v>
      </c>
      <c r="D951" s="291" t="s">
        <v>289</v>
      </c>
      <c r="E951" s="270"/>
      <c r="F951" s="271"/>
      <c r="G951" s="332">
        <f t="shared" ref="G951:G953" si="1130">+H951+I951</f>
        <v>0</v>
      </c>
      <c r="H951" s="272"/>
      <c r="I951" s="272"/>
      <c r="J951" s="351" t="str">
        <f>IFERROR(G951/F951,"-")</f>
        <v>-</v>
      </c>
      <c r="K951" s="332">
        <f t="shared" ref="K951:K953" si="1131">+L951+M951</f>
        <v>0</v>
      </c>
      <c r="L951" s="272">
        <f t="shared" ref="L951:M953" si="1132">+H951+L835</f>
        <v>0</v>
      </c>
      <c r="M951" s="273">
        <f t="shared" si="1132"/>
        <v>0</v>
      </c>
      <c r="N951" s="336" t="str">
        <f t="shared" ref="N951:N954" si="1133">IFERROR(K951/E951,"-")</f>
        <v>-</v>
      </c>
      <c r="O951" s="346" t="str">
        <f t="shared" si="1122"/>
        <v>-</v>
      </c>
    </row>
    <row r="952" spans="1:15" ht="23.4" x14ac:dyDescent="0.3">
      <c r="A952" s="274" t="s">
        <v>103</v>
      </c>
      <c r="B952" s="1044"/>
      <c r="C952" s="292" t="s">
        <v>114</v>
      </c>
      <c r="D952" s="292"/>
      <c r="E952" s="276"/>
      <c r="F952" s="277"/>
      <c r="G952" s="333">
        <f t="shared" si="1130"/>
        <v>0</v>
      </c>
      <c r="H952" s="278"/>
      <c r="I952" s="278"/>
      <c r="J952" s="351" t="str">
        <f t="shared" ref="J952:J953" si="1134">IFERROR(G952/F952,"-")</f>
        <v>-</v>
      </c>
      <c r="K952" s="333">
        <f t="shared" si="1131"/>
        <v>0</v>
      </c>
      <c r="L952" s="272">
        <f t="shared" si="1132"/>
        <v>0</v>
      </c>
      <c r="M952" s="273">
        <f t="shared" si="1132"/>
        <v>0</v>
      </c>
      <c r="N952" s="337" t="str">
        <f t="shared" si="1133"/>
        <v>-</v>
      </c>
      <c r="O952" s="263" t="str">
        <f t="shared" si="1122"/>
        <v>-</v>
      </c>
    </row>
    <row r="953" spans="1:15" ht="24" thickBot="1" x14ac:dyDescent="0.35">
      <c r="A953" s="274" t="s">
        <v>103</v>
      </c>
      <c r="B953" s="1045"/>
      <c r="C953" s="293" t="s">
        <v>120</v>
      </c>
      <c r="D953" s="293"/>
      <c r="E953" s="280"/>
      <c r="F953" s="281"/>
      <c r="G953" s="334">
        <f t="shared" si="1130"/>
        <v>0</v>
      </c>
      <c r="H953" s="282"/>
      <c r="I953" s="282"/>
      <c r="J953" s="351" t="str">
        <f t="shared" si="1134"/>
        <v>-</v>
      </c>
      <c r="K953" s="334">
        <f t="shared" si="1131"/>
        <v>0</v>
      </c>
      <c r="L953" s="272">
        <f t="shared" si="1132"/>
        <v>0</v>
      </c>
      <c r="M953" s="273">
        <f t="shared" si="1132"/>
        <v>0</v>
      </c>
      <c r="N953" s="338" t="str">
        <f t="shared" si="1133"/>
        <v>-</v>
      </c>
      <c r="O953" s="347" t="str">
        <f t="shared" si="1122"/>
        <v>-</v>
      </c>
    </row>
    <row r="954" spans="1:15" ht="24" thickBot="1" x14ac:dyDescent="0.35">
      <c r="A954" s="274" t="s">
        <v>103</v>
      </c>
      <c r="B954" s="1026" t="s">
        <v>47</v>
      </c>
      <c r="C954" s="1026"/>
      <c r="D954" s="1046"/>
      <c r="E954" s="320">
        <f t="shared" ref="E954" si="1135">SUM(E951:E953)</f>
        <v>0</v>
      </c>
      <c r="F954" s="285">
        <v>50000</v>
      </c>
      <c r="G954" s="320">
        <f>SUM(G951:G953)</f>
        <v>0</v>
      </c>
      <c r="H954" s="321">
        <f t="shared" ref="H954:I954" si="1136">SUM(H951:H953)</f>
        <v>0</v>
      </c>
      <c r="I954" s="321">
        <f t="shared" si="1136"/>
        <v>0</v>
      </c>
      <c r="J954" s="345">
        <f>+G954/F954</f>
        <v>0</v>
      </c>
      <c r="K954" s="320">
        <f t="shared" ref="K954:M954" si="1137">SUM(K951:K953)</f>
        <v>0</v>
      </c>
      <c r="L954" s="321">
        <f t="shared" si="1137"/>
        <v>0</v>
      </c>
      <c r="M954" s="322">
        <f t="shared" si="1137"/>
        <v>0</v>
      </c>
      <c r="N954" s="339" t="str">
        <f t="shared" si="1133"/>
        <v>-</v>
      </c>
      <c r="O954" s="345" t="str">
        <f t="shared" si="1122"/>
        <v>-</v>
      </c>
    </row>
    <row r="955" spans="1:15" ht="24" thickBot="1" x14ac:dyDescent="0.35">
      <c r="A955" s="274" t="s">
        <v>103</v>
      </c>
      <c r="B955" s="1047" t="s">
        <v>21</v>
      </c>
      <c r="C955" s="1048"/>
      <c r="D955" s="1049"/>
      <c r="E955" s="326">
        <f>+E927+E935+E943+E950+E954</f>
        <v>3770000</v>
      </c>
      <c r="F955" s="327">
        <f>+F927+F935+F943+F950+F954</f>
        <v>465000</v>
      </c>
      <c r="G955" s="326">
        <f>+G927+G935+G943+G950+G954</f>
        <v>103150</v>
      </c>
      <c r="H955" s="324">
        <f>+H927+H935+H943+H950+H954</f>
        <v>102576</v>
      </c>
      <c r="I955" s="324">
        <f>+I927+I935+I943+I950+I954</f>
        <v>574</v>
      </c>
      <c r="J955" s="349">
        <f>+G955/F955</f>
        <v>0.22182795698924732</v>
      </c>
      <c r="K955" s="326">
        <f>+K927+K935+K943+K950+K954</f>
        <v>1746280</v>
      </c>
      <c r="L955" s="324">
        <f>+L927+L935+L943+L950+L954</f>
        <v>1739836</v>
      </c>
      <c r="M955" s="325">
        <f>+M927+M935+M943+M950+M954</f>
        <v>6444</v>
      </c>
      <c r="N955" s="341">
        <f>IFERROR(K955/E955,"-")</f>
        <v>0.46320424403183025</v>
      </c>
      <c r="O955" s="349">
        <f t="shared" si="1122"/>
        <v>3.6901298760794376E-3</v>
      </c>
    </row>
    <row r="956" spans="1:15" ht="23.4" x14ac:dyDescent="0.3">
      <c r="A956" s="274" t="s">
        <v>103</v>
      </c>
      <c r="B956" s="1043" t="s">
        <v>400</v>
      </c>
      <c r="C956" s="269" t="s">
        <v>125</v>
      </c>
      <c r="D956" s="269"/>
      <c r="E956" s="270"/>
      <c r="F956" s="271"/>
      <c r="G956" s="332">
        <f t="shared" ref="G956:G959" si="1138">+H956+I956</f>
        <v>0</v>
      </c>
      <c r="H956" s="272"/>
      <c r="I956" s="272"/>
      <c r="J956" s="351" t="str">
        <f>IFERROR(G956/F956,"-")</f>
        <v>-</v>
      </c>
      <c r="K956" s="332">
        <f t="shared" ref="K956:K959" si="1139">+L956+M956</f>
        <v>0</v>
      </c>
      <c r="L956" s="272">
        <f t="shared" ref="L956:M959" si="1140">+H956+L840</f>
        <v>0</v>
      </c>
      <c r="M956" s="273">
        <f t="shared" si="1140"/>
        <v>0</v>
      </c>
      <c r="N956" s="336" t="str">
        <f t="shared" ref="N956:N968" si="1141">IFERROR(K956/E956,"-")</f>
        <v>-</v>
      </c>
      <c r="O956" s="346" t="str">
        <f t="shared" si="1122"/>
        <v>-</v>
      </c>
    </row>
    <row r="957" spans="1:15" ht="23.4" x14ac:dyDescent="0.3">
      <c r="A957" s="274" t="s">
        <v>103</v>
      </c>
      <c r="B957" s="1044"/>
      <c r="C957" s="295" t="s">
        <v>263</v>
      </c>
      <c r="D957" s="295" t="s">
        <v>181</v>
      </c>
      <c r="E957" s="276"/>
      <c r="F957" s="277"/>
      <c r="G957" s="333">
        <f t="shared" si="1138"/>
        <v>0</v>
      </c>
      <c r="H957" s="278"/>
      <c r="I957" s="278"/>
      <c r="J957" s="351" t="str">
        <f t="shared" ref="J957:J959" si="1142">IFERROR(G957/F957,"-")</f>
        <v>-</v>
      </c>
      <c r="K957" s="333">
        <f t="shared" si="1139"/>
        <v>0</v>
      </c>
      <c r="L957" s="272">
        <f t="shared" si="1140"/>
        <v>0</v>
      </c>
      <c r="M957" s="273">
        <f t="shared" si="1140"/>
        <v>0</v>
      </c>
      <c r="N957" s="337" t="str">
        <f t="shared" si="1141"/>
        <v>-</v>
      </c>
      <c r="O957" s="263" t="str">
        <f t="shared" si="1122"/>
        <v>-</v>
      </c>
    </row>
    <row r="958" spans="1:15" ht="23.4" x14ac:dyDescent="0.3">
      <c r="A958" s="274" t="s">
        <v>103</v>
      </c>
      <c r="B958" s="1044"/>
      <c r="C958" s="295" t="s">
        <v>362</v>
      </c>
      <c r="D958" s="295" t="s">
        <v>181</v>
      </c>
      <c r="E958" s="276"/>
      <c r="F958" s="277"/>
      <c r="G958" s="333">
        <f t="shared" si="1138"/>
        <v>0</v>
      </c>
      <c r="H958" s="278"/>
      <c r="I958" s="278"/>
      <c r="J958" s="351" t="str">
        <f t="shared" si="1142"/>
        <v>-</v>
      </c>
      <c r="K958" s="333">
        <f t="shared" si="1139"/>
        <v>0</v>
      </c>
      <c r="L958" s="272">
        <f t="shared" si="1140"/>
        <v>0</v>
      </c>
      <c r="M958" s="273">
        <f t="shared" si="1140"/>
        <v>0</v>
      </c>
      <c r="N958" s="337" t="str">
        <f t="shared" si="1141"/>
        <v>-</v>
      </c>
      <c r="O958" s="263" t="str">
        <f t="shared" si="1122"/>
        <v>-</v>
      </c>
    </row>
    <row r="959" spans="1:15" ht="24" thickBot="1" x14ac:dyDescent="0.35">
      <c r="A959" s="274" t="s">
        <v>103</v>
      </c>
      <c r="B959" s="1045"/>
      <c r="C959" s="279" t="s">
        <v>182</v>
      </c>
      <c r="D959" s="279" t="s">
        <v>93</v>
      </c>
      <c r="E959" s="280"/>
      <c r="F959" s="281"/>
      <c r="G959" s="334">
        <f t="shared" si="1138"/>
        <v>0</v>
      </c>
      <c r="H959" s="282"/>
      <c r="I959" s="282"/>
      <c r="J959" s="351" t="str">
        <f t="shared" si="1142"/>
        <v>-</v>
      </c>
      <c r="K959" s="334">
        <f t="shared" si="1139"/>
        <v>0</v>
      </c>
      <c r="L959" s="272">
        <f t="shared" si="1140"/>
        <v>0</v>
      </c>
      <c r="M959" s="273">
        <f t="shared" si="1140"/>
        <v>0</v>
      </c>
      <c r="N959" s="338" t="str">
        <f t="shared" si="1141"/>
        <v>-</v>
      </c>
      <c r="O959" s="347" t="str">
        <f t="shared" si="1122"/>
        <v>-</v>
      </c>
    </row>
    <row r="960" spans="1:15" ht="24" thickBot="1" x14ac:dyDescent="0.35">
      <c r="A960" s="274" t="s">
        <v>103</v>
      </c>
      <c r="B960" s="1025" t="s">
        <v>48</v>
      </c>
      <c r="C960" s="1026"/>
      <c r="D960" s="1027"/>
      <c r="E960" s="284">
        <f>SUM(E956:E959)</f>
        <v>0</v>
      </c>
      <c r="F960" s="285">
        <v>80000</v>
      </c>
      <c r="G960" s="320">
        <f>SUM(G956:G959)</f>
        <v>0</v>
      </c>
      <c r="H960" s="321">
        <f t="shared" ref="H960:I960" si="1143">SUM(H956:H959)</f>
        <v>0</v>
      </c>
      <c r="I960" s="321">
        <f t="shared" si="1143"/>
        <v>0</v>
      </c>
      <c r="J960" s="345">
        <f>+G960/F960</f>
        <v>0</v>
      </c>
      <c r="K960" s="320">
        <f t="shared" ref="K960" si="1144">SUM(K956:K959)</f>
        <v>0</v>
      </c>
      <c r="L960" s="321">
        <f>SUM(L956:L959)</f>
        <v>0</v>
      </c>
      <c r="M960" s="322">
        <f t="shared" ref="M960" si="1145">SUM(M956:M959)</f>
        <v>0</v>
      </c>
      <c r="N960" s="339" t="str">
        <f t="shared" si="1141"/>
        <v>-</v>
      </c>
      <c r="O960" s="345" t="str">
        <f t="shared" si="1122"/>
        <v>-</v>
      </c>
    </row>
    <row r="961" spans="1:15" ht="23.4" x14ac:dyDescent="0.3">
      <c r="A961" s="274" t="s">
        <v>103</v>
      </c>
      <c r="B961" s="1043" t="s">
        <v>23</v>
      </c>
      <c r="C961" s="275" t="s">
        <v>500</v>
      </c>
      <c r="D961" s="296" t="s">
        <v>238</v>
      </c>
      <c r="E961" s="270">
        <v>10000</v>
      </c>
      <c r="F961" s="271"/>
      <c r="G961" s="332">
        <f t="shared" ref="G961:G969" si="1146">+H961+I961</f>
        <v>0</v>
      </c>
      <c r="H961" s="272"/>
      <c r="I961" s="272"/>
      <c r="J961" s="351" t="str">
        <f>IFERROR(G961/F961,"-")</f>
        <v>-</v>
      </c>
      <c r="K961" s="332">
        <f t="shared" ref="K961:K969" si="1147">+L961+M961</f>
        <v>0</v>
      </c>
      <c r="L961" s="272">
        <f t="shared" ref="L961:L969" si="1148">+H961+L845</f>
        <v>0</v>
      </c>
      <c r="M961" s="273">
        <f t="shared" ref="M961:M969" si="1149">+I961+M845</f>
        <v>0</v>
      </c>
      <c r="N961" s="336">
        <f t="shared" si="1141"/>
        <v>0</v>
      </c>
      <c r="O961" s="346" t="str">
        <f t="shared" si="1122"/>
        <v>-</v>
      </c>
    </row>
    <row r="962" spans="1:15" ht="23.4" x14ac:dyDescent="0.3">
      <c r="A962" s="274" t="s">
        <v>103</v>
      </c>
      <c r="B962" s="1044"/>
      <c r="C962" s="275" t="s">
        <v>24</v>
      </c>
      <c r="D962" s="275" t="s">
        <v>238</v>
      </c>
      <c r="E962" s="276"/>
      <c r="F962" s="277"/>
      <c r="G962" s="333">
        <f t="shared" si="1146"/>
        <v>0</v>
      </c>
      <c r="H962" s="278"/>
      <c r="I962" s="278"/>
      <c r="J962" s="351" t="str">
        <f t="shared" ref="J962:J969" si="1150">IFERROR(G962/F962,"-")</f>
        <v>-</v>
      </c>
      <c r="K962" s="333">
        <f t="shared" si="1147"/>
        <v>0</v>
      </c>
      <c r="L962" s="272">
        <f t="shared" si="1148"/>
        <v>0</v>
      </c>
      <c r="M962" s="273">
        <f t="shared" si="1149"/>
        <v>0</v>
      </c>
      <c r="N962" s="337" t="str">
        <f t="shared" si="1141"/>
        <v>-</v>
      </c>
      <c r="O962" s="263" t="str">
        <f t="shared" si="1122"/>
        <v>-</v>
      </c>
    </row>
    <row r="963" spans="1:15" ht="23.4" x14ac:dyDescent="0.3">
      <c r="A963" s="274" t="s">
        <v>103</v>
      </c>
      <c r="B963" s="1044"/>
      <c r="C963" s="275" t="s">
        <v>236</v>
      </c>
      <c r="D963" s="275" t="s">
        <v>238</v>
      </c>
      <c r="E963" s="276"/>
      <c r="F963" s="277"/>
      <c r="G963" s="333">
        <f t="shared" si="1146"/>
        <v>0</v>
      </c>
      <c r="H963" s="278"/>
      <c r="I963" s="278"/>
      <c r="J963" s="351" t="str">
        <f t="shared" si="1150"/>
        <v>-</v>
      </c>
      <c r="K963" s="333">
        <f t="shared" si="1147"/>
        <v>0</v>
      </c>
      <c r="L963" s="272">
        <f t="shared" si="1148"/>
        <v>0</v>
      </c>
      <c r="M963" s="273">
        <f t="shared" si="1149"/>
        <v>0</v>
      </c>
      <c r="N963" s="337" t="str">
        <f t="shared" si="1141"/>
        <v>-</v>
      </c>
      <c r="O963" s="263" t="str">
        <f t="shared" si="1122"/>
        <v>-</v>
      </c>
    </row>
    <row r="964" spans="1:15" ht="23.4" x14ac:dyDescent="0.3">
      <c r="A964" s="274" t="s">
        <v>103</v>
      </c>
      <c r="B964" s="1044"/>
      <c r="C964" s="275" t="s">
        <v>237</v>
      </c>
      <c r="D964" s="275" t="s">
        <v>238</v>
      </c>
      <c r="E964" s="276"/>
      <c r="F964" s="277"/>
      <c r="G964" s="333">
        <f t="shared" si="1146"/>
        <v>0</v>
      </c>
      <c r="H964" s="278"/>
      <c r="I964" s="278"/>
      <c r="J964" s="351" t="str">
        <f t="shared" si="1150"/>
        <v>-</v>
      </c>
      <c r="K964" s="333">
        <f t="shared" si="1147"/>
        <v>0</v>
      </c>
      <c r="L964" s="272">
        <f t="shared" si="1148"/>
        <v>0</v>
      </c>
      <c r="M964" s="273">
        <f t="shared" si="1149"/>
        <v>0</v>
      </c>
      <c r="N964" s="337" t="str">
        <f t="shared" si="1141"/>
        <v>-</v>
      </c>
      <c r="O964" s="263" t="str">
        <f t="shared" si="1122"/>
        <v>-</v>
      </c>
    </row>
    <row r="965" spans="1:15" ht="23.4" x14ac:dyDescent="0.3">
      <c r="A965" s="274" t="s">
        <v>103</v>
      </c>
      <c r="B965" s="1044"/>
      <c r="C965" s="295" t="s">
        <v>394</v>
      </c>
      <c r="D965" s="275" t="s">
        <v>238</v>
      </c>
      <c r="E965" s="276"/>
      <c r="F965" s="277"/>
      <c r="G965" s="333">
        <f t="shared" si="1146"/>
        <v>0</v>
      </c>
      <c r="H965" s="278"/>
      <c r="I965" s="278"/>
      <c r="J965" s="351" t="str">
        <f t="shared" si="1150"/>
        <v>-</v>
      </c>
      <c r="K965" s="333">
        <f t="shared" si="1147"/>
        <v>0</v>
      </c>
      <c r="L965" s="272">
        <f t="shared" si="1148"/>
        <v>0</v>
      </c>
      <c r="M965" s="273">
        <f t="shared" si="1149"/>
        <v>0</v>
      </c>
      <c r="N965" s="337" t="str">
        <f t="shared" si="1141"/>
        <v>-</v>
      </c>
      <c r="O965" s="263" t="str">
        <f t="shared" si="1122"/>
        <v>-</v>
      </c>
    </row>
    <row r="966" spans="1:15" ht="23.4" x14ac:dyDescent="0.3">
      <c r="A966" s="274" t="s">
        <v>103</v>
      </c>
      <c r="B966" s="1044"/>
      <c r="C966" s="295" t="s">
        <v>422</v>
      </c>
      <c r="D966" s="275" t="s">
        <v>238</v>
      </c>
      <c r="E966" s="276"/>
      <c r="F966" s="277"/>
      <c r="G966" s="333">
        <f t="shared" si="1146"/>
        <v>0</v>
      </c>
      <c r="H966" s="278"/>
      <c r="I966" s="278"/>
      <c r="J966" s="351" t="str">
        <f t="shared" si="1150"/>
        <v>-</v>
      </c>
      <c r="K966" s="333">
        <f t="shared" si="1147"/>
        <v>0</v>
      </c>
      <c r="L966" s="272">
        <f t="shared" si="1148"/>
        <v>0</v>
      </c>
      <c r="M966" s="273">
        <f t="shared" si="1149"/>
        <v>0</v>
      </c>
      <c r="N966" s="337" t="str">
        <f t="shared" si="1141"/>
        <v>-</v>
      </c>
      <c r="O966" s="263" t="str">
        <f t="shared" si="1122"/>
        <v>-</v>
      </c>
    </row>
    <row r="967" spans="1:15" ht="23.4" x14ac:dyDescent="0.3">
      <c r="A967" s="274" t="s">
        <v>103</v>
      </c>
      <c r="B967" s="1044"/>
      <c r="C967" s="295" t="s">
        <v>241</v>
      </c>
      <c r="D967" s="275" t="s">
        <v>243</v>
      </c>
      <c r="E967" s="276"/>
      <c r="F967" s="277"/>
      <c r="G967" s="333">
        <f t="shared" si="1146"/>
        <v>0</v>
      </c>
      <c r="H967" s="278"/>
      <c r="I967" s="278"/>
      <c r="J967" s="351" t="str">
        <f t="shared" si="1150"/>
        <v>-</v>
      </c>
      <c r="K967" s="333">
        <f t="shared" si="1147"/>
        <v>0</v>
      </c>
      <c r="L967" s="272">
        <f t="shared" si="1148"/>
        <v>0</v>
      </c>
      <c r="M967" s="273">
        <f t="shared" si="1149"/>
        <v>0</v>
      </c>
      <c r="N967" s="337" t="str">
        <f t="shared" si="1141"/>
        <v>-</v>
      </c>
      <c r="O967" s="263" t="str">
        <f t="shared" si="1122"/>
        <v>-</v>
      </c>
    </row>
    <row r="968" spans="1:15" ht="23.4" x14ac:dyDescent="0.3">
      <c r="A968" s="274"/>
      <c r="B968" s="1045"/>
      <c r="C968" s="295" t="s">
        <v>456</v>
      </c>
      <c r="D968" s="275" t="s">
        <v>238</v>
      </c>
      <c r="E968" s="280"/>
      <c r="F968" s="281"/>
      <c r="G968" s="333">
        <f t="shared" si="1146"/>
        <v>0</v>
      </c>
      <c r="H968" s="282"/>
      <c r="I968" s="282"/>
      <c r="J968" s="351" t="str">
        <f t="shared" si="1150"/>
        <v>-</v>
      </c>
      <c r="K968" s="333">
        <f t="shared" si="1147"/>
        <v>0</v>
      </c>
      <c r="L968" s="272">
        <f t="shared" si="1148"/>
        <v>0</v>
      </c>
      <c r="M968" s="273">
        <f t="shared" si="1149"/>
        <v>0</v>
      </c>
      <c r="N968" s="337" t="str">
        <f t="shared" si="1141"/>
        <v>-</v>
      </c>
      <c r="O968" s="263" t="str">
        <f t="shared" si="1122"/>
        <v>-</v>
      </c>
    </row>
    <row r="969" spans="1:15" ht="24" thickBot="1" x14ac:dyDescent="0.35">
      <c r="A969" s="274" t="s">
        <v>103</v>
      </c>
      <c r="B969" s="1045"/>
      <c r="C969" s="295" t="s">
        <v>242</v>
      </c>
      <c r="D969" s="275" t="s">
        <v>238</v>
      </c>
      <c r="E969" s="280"/>
      <c r="F969" s="281"/>
      <c r="G969" s="334">
        <f t="shared" si="1146"/>
        <v>0</v>
      </c>
      <c r="H969" s="282"/>
      <c r="I969" s="282"/>
      <c r="J969" s="351" t="str">
        <f t="shared" si="1150"/>
        <v>-</v>
      </c>
      <c r="K969" s="334">
        <f t="shared" si="1147"/>
        <v>0</v>
      </c>
      <c r="L969" s="272">
        <f t="shared" si="1148"/>
        <v>0</v>
      </c>
      <c r="M969" s="273">
        <f t="shared" si="1149"/>
        <v>0</v>
      </c>
      <c r="N969" s="338" t="str">
        <f t="shared" ref="N969:N971" si="1151">IFERROR(K969/E969,"-")</f>
        <v>-</v>
      </c>
      <c r="O969" s="347" t="str">
        <f t="shared" ref="O969:O987" si="1152">IFERROR(M969/K969,"-")</f>
        <v>-</v>
      </c>
    </row>
    <row r="970" spans="1:15" ht="24" thickBot="1" x14ac:dyDescent="0.35">
      <c r="A970" s="274" t="s">
        <v>103</v>
      </c>
      <c r="B970" s="1025" t="s">
        <v>49</v>
      </c>
      <c r="C970" s="1026"/>
      <c r="D970" s="1027"/>
      <c r="E970" s="284">
        <f>SUM(E961:E969)</f>
        <v>10000</v>
      </c>
      <c r="F970" s="285">
        <v>14000</v>
      </c>
      <c r="G970" s="320">
        <f>SUM(G961:G969)</f>
        <v>0</v>
      </c>
      <c r="H970" s="321">
        <f t="shared" ref="H970:I970" si="1153">SUM(H961:H969)</f>
        <v>0</v>
      </c>
      <c r="I970" s="321">
        <f t="shared" si="1153"/>
        <v>0</v>
      </c>
      <c r="J970" s="345">
        <f>+G971/F971</f>
        <v>0</v>
      </c>
      <c r="K970" s="320">
        <f>SUM(K961:K969)</f>
        <v>0</v>
      </c>
      <c r="L970" s="321">
        <f>+H970</f>
        <v>0</v>
      </c>
      <c r="M970" s="322">
        <f>+I970</f>
        <v>0</v>
      </c>
      <c r="N970" s="339">
        <f t="shared" si="1151"/>
        <v>0</v>
      </c>
      <c r="O970" s="345" t="str">
        <f t="shared" si="1152"/>
        <v>-</v>
      </c>
    </row>
    <row r="971" spans="1:15" ht="24" thickBot="1" x14ac:dyDescent="0.35">
      <c r="A971" s="274" t="s">
        <v>103</v>
      </c>
      <c r="B971" s="1047" t="s">
        <v>25</v>
      </c>
      <c r="C971" s="1048"/>
      <c r="D971" s="1049"/>
      <c r="E971" s="326">
        <f t="shared" ref="E971:F971" si="1154">+E960+E970</f>
        <v>10000</v>
      </c>
      <c r="F971" s="327">
        <f t="shared" si="1154"/>
        <v>94000</v>
      </c>
      <c r="G971" s="326">
        <f>+G960+G970</f>
        <v>0</v>
      </c>
      <c r="H971" s="324">
        <f t="shared" ref="H971:I971" si="1155">+H960+H970</f>
        <v>0</v>
      </c>
      <c r="I971" s="324">
        <f t="shared" si="1155"/>
        <v>0</v>
      </c>
      <c r="J971" s="349" t="str">
        <f>IFERROR(G971/#REF!,"-")</f>
        <v>-</v>
      </c>
      <c r="K971" s="326">
        <f t="shared" ref="K971" si="1156">+K960+K970</f>
        <v>0</v>
      </c>
      <c r="L971" s="324">
        <f>+L960+L970</f>
        <v>0</v>
      </c>
      <c r="M971" s="325">
        <f t="shared" ref="M971" si="1157">+M960+M970</f>
        <v>0</v>
      </c>
      <c r="N971" s="341">
        <f t="shared" si="1151"/>
        <v>0</v>
      </c>
      <c r="O971" s="349" t="str">
        <f t="shared" si="1152"/>
        <v>-</v>
      </c>
    </row>
    <row r="972" spans="1:15" ht="24" thickBot="1" x14ac:dyDescent="0.35">
      <c r="A972" s="274" t="s">
        <v>103</v>
      </c>
      <c r="B972" s="1019" t="s">
        <v>172</v>
      </c>
      <c r="C972" s="1020"/>
      <c r="D972" s="1021"/>
      <c r="E972" s="330">
        <f>+E955+E971</f>
        <v>3780000</v>
      </c>
      <c r="F972" s="331">
        <f t="shared" ref="F972:I972" si="1158">+F955+F971</f>
        <v>559000</v>
      </c>
      <c r="G972" s="330">
        <f t="shared" si="1158"/>
        <v>103150</v>
      </c>
      <c r="H972" s="328">
        <f t="shared" si="1158"/>
        <v>102576</v>
      </c>
      <c r="I972" s="328">
        <f t="shared" si="1158"/>
        <v>574</v>
      </c>
      <c r="J972" s="350">
        <f>+G972/F972</f>
        <v>0.18452593917710197</v>
      </c>
      <c r="K972" s="330">
        <f>+K955+K971</f>
        <v>1746280</v>
      </c>
      <c r="L972" s="328">
        <f t="shared" ref="L972:M972" si="1159">+L955+L971</f>
        <v>1739836</v>
      </c>
      <c r="M972" s="329">
        <f t="shared" si="1159"/>
        <v>6444</v>
      </c>
      <c r="N972" s="342">
        <f>IFERROR(K972/E972,"-")</f>
        <v>0.46197883597883599</v>
      </c>
      <c r="O972" s="350">
        <f t="shared" si="1152"/>
        <v>3.6901298760794376E-3</v>
      </c>
    </row>
    <row r="973" spans="1:15" ht="23.4" x14ac:dyDescent="0.3">
      <c r="A973" s="268" t="s">
        <v>101</v>
      </c>
      <c r="B973" s="1051" t="s">
        <v>26</v>
      </c>
      <c r="C973" s="297" t="s">
        <v>297</v>
      </c>
      <c r="D973" s="297" t="s">
        <v>177</v>
      </c>
      <c r="E973" s="270"/>
      <c r="F973" s="271"/>
      <c r="G973" s="332">
        <f t="shared" ref="G973:G982" si="1160">+H973+I973</f>
        <v>0</v>
      </c>
      <c r="H973" s="272"/>
      <c r="I973" s="272"/>
      <c r="J973" s="351" t="str">
        <f>IFERROR(G973/F973,"-")</f>
        <v>-</v>
      </c>
      <c r="K973" s="332">
        <f t="shared" ref="K973:K982" si="1161">+L973+M973</f>
        <v>0</v>
      </c>
      <c r="L973" s="272">
        <f t="shared" ref="L973:L982" si="1162">+H973+L857</f>
        <v>0</v>
      </c>
      <c r="M973" s="273">
        <f t="shared" ref="M973:M982" si="1163">+I973+M857</f>
        <v>0</v>
      </c>
      <c r="N973" s="336" t="str">
        <f t="shared" ref="N973:N987" si="1164">IFERROR(K973/E973,"-")</f>
        <v>-</v>
      </c>
      <c r="O973" s="346" t="str">
        <f t="shared" si="1152"/>
        <v>-</v>
      </c>
    </row>
    <row r="974" spans="1:15" ht="23.4" x14ac:dyDescent="0.3">
      <c r="A974" s="274" t="s">
        <v>101</v>
      </c>
      <c r="B974" s="1051"/>
      <c r="C974" s="298" t="s">
        <v>424</v>
      </c>
      <c r="D974" s="298" t="s">
        <v>423</v>
      </c>
      <c r="E974" s="276">
        <v>564432</v>
      </c>
      <c r="F974" s="277"/>
      <c r="G974" s="333">
        <f t="shared" si="1160"/>
        <v>0</v>
      </c>
      <c r="H974" s="278"/>
      <c r="I974" s="278"/>
      <c r="J974" s="351" t="str">
        <f t="shared" ref="J974:J982" si="1165">IFERROR(G974/F974,"-")</f>
        <v>-</v>
      </c>
      <c r="K974" s="333">
        <f t="shared" si="1161"/>
        <v>265434</v>
      </c>
      <c r="L974" s="272">
        <f t="shared" si="1162"/>
        <v>262548</v>
      </c>
      <c r="M974" s="273">
        <f t="shared" si="1163"/>
        <v>2886</v>
      </c>
      <c r="N974" s="337">
        <f t="shared" si="1164"/>
        <v>0.47026745471553705</v>
      </c>
      <c r="O974" s="263">
        <f t="shared" si="1152"/>
        <v>1.0872759330002939E-2</v>
      </c>
    </row>
    <row r="975" spans="1:15" ht="23.4" x14ac:dyDescent="0.3">
      <c r="A975" s="274" t="s">
        <v>101</v>
      </c>
      <c r="B975" s="1051"/>
      <c r="C975" s="299" t="s">
        <v>27</v>
      </c>
      <c r="D975" s="299" t="s">
        <v>334</v>
      </c>
      <c r="E975" s="280">
        <v>1301232</v>
      </c>
      <c r="F975" s="281"/>
      <c r="G975" s="333">
        <f t="shared" si="1160"/>
        <v>0</v>
      </c>
      <c r="H975" s="282"/>
      <c r="I975" s="282"/>
      <c r="J975" s="351" t="str">
        <f t="shared" si="1165"/>
        <v>-</v>
      </c>
      <c r="K975" s="333">
        <f t="shared" si="1161"/>
        <v>29523</v>
      </c>
      <c r="L975" s="272">
        <f t="shared" si="1162"/>
        <v>27846</v>
      </c>
      <c r="M975" s="273">
        <f t="shared" si="1163"/>
        <v>1677</v>
      </c>
      <c r="N975" s="337">
        <f t="shared" si="1164"/>
        <v>2.2688498284702496E-2</v>
      </c>
      <c r="O975" s="263">
        <f t="shared" si="1152"/>
        <v>5.6803170409511231E-2</v>
      </c>
    </row>
    <row r="976" spans="1:15" ht="23.4" x14ac:dyDescent="0.3">
      <c r="A976" s="274" t="s">
        <v>101</v>
      </c>
      <c r="B976" s="1051"/>
      <c r="C976" s="299" t="s">
        <v>27</v>
      </c>
      <c r="D976" s="297" t="s">
        <v>492</v>
      </c>
      <c r="E976" s="280"/>
      <c r="F976" s="281"/>
      <c r="G976" s="333">
        <f t="shared" si="1160"/>
        <v>0</v>
      </c>
      <c r="H976" s="282"/>
      <c r="I976" s="282"/>
      <c r="J976" s="351" t="str">
        <f t="shared" si="1165"/>
        <v>-</v>
      </c>
      <c r="K976" s="333">
        <f t="shared" si="1161"/>
        <v>274869</v>
      </c>
      <c r="L976" s="272">
        <f t="shared" si="1162"/>
        <v>270504</v>
      </c>
      <c r="M976" s="273">
        <f t="shared" si="1163"/>
        <v>4365</v>
      </c>
      <c r="N976" s="337" t="str">
        <f t="shared" si="1164"/>
        <v>-</v>
      </c>
      <c r="O976" s="263">
        <f t="shared" si="1152"/>
        <v>1.588029206640254E-2</v>
      </c>
    </row>
    <row r="977" spans="1:15" ht="23.4" x14ac:dyDescent="0.3">
      <c r="A977" s="274" t="s">
        <v>101</v>
      </c>
      <c r="B977" s="1051"/>
      <c r="C977" s="297" t="s">
        <v>521</v>
      </c>
      <c r="D977" s="299" t="s">
        <v>234</v>
      </c>
      <c r="E977" s="280"/>
      <c r="F977" s="281"/>
      <c r="G977" s="333">
        <f t="shared" si="1160"/>
        <v>0</v>
      </c>
      <c r="H977" s="282"/>
      <c r="I977" s="282"/>
      <c r="J977" s="351" t="str">
        <f t="shared" si="1165"/>
        <v>-</v>
      </c>
      <c r="K977" s="333">
        <f t="shared" si="1161"/>
        <v>57116</v>
      </c>
      <c r="L977" s="272">
        <f t="shared" si="1162"/>
        <v>55692</v>
      </c>
      <c r="M977" s="273">
        <f t="shared" si="1163"/>
        <v>1424</v>
      </c>
      <c r="N977" s="337" t="str">
        <f t="shared" si="1164"/>
        <v>-</v>
      </c>
      <c r="O977" s="263">
        <f t="shared" si="1152"/>
        <v>2.4931717907416485E-2</v>
      </c>
    </row>
    <row r="978" spans="1:15" ht="22.5" customHeight="1" x14ac:dyDescent="0.3">
      <c r="A978" s="274"/>
      <c r="B978" s="1051"/>
      <c r="C978" s="299" t="s">
        <v>432</v>
      </c>
      <c r="D978" s="299" t="s">
        <v>178</v>
      </c>
      <c r="E978" s="280"/>
      <c r="F978" s="281"/>
      <c r="G978" s="334">
        <f t="shared" si="1160"/>
        <v>0</v>
      </c>
      <c r="H978" s="282"/>
      <c r="I978" s="282"/>
      <c r="J978" s="351" t="str">
        <f t="shared" si="1165"/>
        <v>-</v>
      </c>
      <c r="K978" s="334">
        <f t="shared" si="1161"/>
        <v>0</v>
      </c>
      <c r="L978" s="272">
        <f t="shared" si="1162"/>
        <v>0</v>
      </c>
      <c r="M978" s="273">
        <f t="shared" si="1163"/>
        <v>0</v>
      </c>
      <c r="N978" s="337" t="str">
        <f t="shared" si="1164"/>
        <v>-</v>
      </c>
      <c r="O978" s="263" t="str">
        <f t="shared" si="1152"/>
        <v>-</v>
      </c>
    </row>
    <row r="979" spans="1:15" ht="23.4" x14ac:dyDescent="0.3">
      <c r="A979" s="274"/>
      <c r="B979" s="1051"/>
      <c r="C979" s="299" t="s">
        <v>333</v>
      </c>
      <c r="D979" s="299" t="s">
        <v>94</v>
      </c>
      <c r="E979" s="280"/>
      <c r="F979" s="281"/>
      <c r="G979" s="334">
        <f t="shared" si="1160"/>
        <v>0</v>
      </c>
      <c r="H979" s="282"/>
      <c r="I979" s="282"/>
      <c r="J979" s="351" t="str">
        <f t="shared" si="1165"/>
        <v>-</v>
      </c>
      <c r="K979" s="334">
        <f t="shared" si="1161"/>
        <v>0</v>
      </c>
      <c r="L979" s="272">
        <f t="shared" si="1162"/>
        <v>0</v>
      </c>
      <c r="M979" s="273">
        <f t="shared" si="1163"/>
        <v>0</v>
      </c>
      <c r="N979" s="337" t="str">
        <f t="shared" si="1164"/>
        <v>-</v>
      </c>
      <c r="O979" s="263" t="str">
        <f t="shared" si="1152"/>
        <v>-</v>
      </c>
    </row>
    <row r="980" spans="1:15" ht="23.4" x14ac:dyDescent="0.3">
      <c r="A980" s="274"/>
      <c r="B980" s="1051"/>
      <c r="C980" s="299" t="s">
        <v>433</v>
      </c>
      <c r="D980" s="299" t="s">
        <v>540</v>
      </c>
      <c r="E980" s="280"/>
      <c r="F980" s="281"/>
      <c r="G980" s="334">
        <f t="shared" si="1160"/>
        <v>92538</v>
      </c>
      <c r="H980" s="282">
        <v>91494</v>
      </c>
      <c r="I980" s="282">
        <v>1044</v>
      </c>
      <c r="J980" s="351" t="str">
        <f t="shared" si="1165"/>
        <v>-</v>
      </c>
      <c r="K980" s="334">
        <f t="shared" si="1161"/>
        <v>92538</v>
      </c>
      <c r="L980" s="272">
        <f t="shared" si="1162"/>
        <v>91494</v>
      </c>
      <c r="M980" s="272">
        <f t="shared" si="1163"/>
        <v>1044</v>
      </c>
      <c r="N980" s="337" t="str">
        <f t="shared" si="1164"/>
        <v>-</v>
      </c>
      <c r="O980" s="263">
        <f t="shared" si="1152"/>
        <v>1.1281851779809376E-2</v>
      </c>
    </row>
    <row r="981" spans="1:15" ht="23.4" x14ac:dyDescent="0.3">
      <c r="A981" s="274"/>
      <c r="B981" s="1051"/>
      <c r="C981" s="299" t="s">
        <v>382</v>
      </c>
      <c r="D981" s="299" t="s">
        <v>366</v>
      </c>
      <c r="E981" s="280"/>
      <c r="F981" s="281"/>
      <c r="G981" s="334">
        <f t="shared" si="1160"/>
        <v>0</v>
      </c>
      <c r="H981" s="282"/>
      <c r="I981" s="282"/>
      <c r="J981" s="351" t="str">
        <f t="shared" si="1165"/>
        <v>-</v>
      </c>
      <c r="K981" s="334">
        <f t="shared" si="1161"/>
        <v>0</v>
      </c>
      <c r="L981" s="272">
        <f t="shared" si="1162"/>
        <v>0</v>
      </c>
      <c r="M981" s="273">
        <f t="shared" si="1163"/>
        <v>0</v>
      </c>
      <c r="N981" s="337" t="str">
        <f t="shared" si="1164"/>
        <v>-</v>
      </c>
      <c r="O981" s="263" t="str">
        <f t="shared" si="1152"/>
        <v>-</v>
      </c>
    </row>
    <row r="982" spans="1:15" ht="24" thickBot="1" x14ac:dyDescent="0.35">
      <c r="A982" s="274" t="s">
        <v>101</v>
      </c>
      <c r="B982" s="1051"/>
      <c r="C982" s="300" t="s">
        <v>290</v>
      </c>
      <c r="D982" s="299" t="s">
        <v>289</v>
      </c>
      <c r="E982" s="280"/>
      <c r="F982" s="281"/>
      <c r="G982" s="334">
        <f t="shared" si="1160"/>
        <v>0</v>
      </c>
      <c r="H982" s="282"/>
      <c r="I982" s="282"/>
      <c r="J982" s="351" t="str">
        <f t="shared" si="1165"/>
        <v>-</v>
      </c>
      <c r="K982" s="334">
        <f t="shared" si="1161"/>
        <v>0</v>
      </c>
      <c r="L982" s="272">
        <f t="shared" si="1162"/>
        <v>0</v>
      </c>
      <c r="M982" s="273">
        <f t="shared" si="1163"/>
        <v>0</v>
      </c>
      <c r="N982" s="337" t="str">
        <f t="shared" si="1164"/>
        <v>-</v>
      </c>
      <c r="O982" s="347" t="str">
        <f t="shared" si="1152"/>
        <v>-</v>
      </c>
    </row>
    <row r="983" spans="1:15" ht="24" thickBot="1" x14ac:dyDescent="0.35">
      <c r="A983" s="274" t="s">
        <v>101</v>
      </c>
      <c r="B983" s="1052"/>
      <c r="C983" s="301"/>
      <c r="D983" s="302" t="s">
        <v>52</v>
      </c>
      <c r="E983" s="284">
        <f>SUM(E973:E982)</f>
        <v>1865664</v>
      </c>
      <c r="F983" s="285">
        <v>80000</v>
      </c>
      <c r="G983" s="320">
        <f>SUM(G973:G982)</f>
        <v>92538</v>
      </c>
      <c r="H983" s="321">
        <f>SUM(H973:H982)</f>
        <v>91494</v>
      </c>
      <c r="I983" s="321">
        <f>SUM(I973:I982)</f>
        <v>1044</v>
      </c>
      <c r="J983" s="345">
        <f>+G983/F983</f>
        <v>1.156725</v>
      </c>
      <c r="K983" s="320">
        <f>SUM(K973:K982)</f>
        <v>719480</v>
      </c>
      <c r="L983" s="321">
        <f>SUM(L973:L982)</f>
        <v>708084</v>
      </c>
      <c r="M983" s="322">
        <f>SUM(M973:M982)</f>
        <v>11396</v>
      </c>
      <c r="N983" s="339">
        <f t="shared" si="1164"/>
        <v>0.38564285959315292</v>
      </c>
      <c r="O983" s="345">
        <f t="shared" si="1152"/>
        <v>1.58392172124312E-2</v>
      </c>
    </row>
    <row r="984" spans="1:15" ht="23.4" x14ac:dyDescent="0.3">
      <c r="A984" s="274" t="s">
        <v>101</v>
      </c>
      <c r="B984" s="1053" t="s">
        <v>28</v>
      </c>
      <c r="C984" s="299" t="s">
        <v>27</v>
      </c>
      <c r="D984" s="297" t="s">
        <v>492</v>
      </c>
      <c r="E984" s="270"/>
      <c r="F984" s="271"/>
      <c r="G984" s="332">
        <f t="shared" ref="G984:G988" si="1166">+H984+I984</f>
        <v>0</v>
      </c>
      <c r="H984" s="272"/>
      <c r="I984" s="272"/>
      <c r="J984" s="351" t="str">
        <f>IFERROR(G984/F984,"-")</f>
        <v>-</v>
      </c>
      <c r="K984" s="332">
        <f t="shared" ref="K984:K990" si="1167">+L984+M984</f>
        <v>170343</v>
      </c>
      <c r="L984" s="272">
        <f t="shared" ref="L984:M990" si="1168">+H984+L868</f>
        <v>167076</v>
      </c>
      <c r="M984" s="273">
        <f t="shared" si="1168"/>
        <v>3267</v>
      </c>
      <c r="N984" s="336" t="str">
        <f t="shared" si="1164"/>
        <v>-</v>
      </c>
      <c r="O984" s="346">
        <f t="shared" si="1152"/>
        <v>1.9178950705341577E-2</v>
      </c>
    </row>
    <row r="985" spans="1:15" ht="23.4" x14ac:dyDescent="0.3">
      <c r="A985" s="274" t="s">
        <v>101</v>
      </c>
      <c r="B985" s="1051"/>
      <c r="C985" s="299" t="s">
        <v>385</v>
      </c>
      <c r="D985" s="299" t="s">
        <v>334</v>
      </c>
      <c r="E985" s="276"/>
      <c r="F985" s="277"/>
      <c r="G985" s="333">
        <f t="shared" si="1166"/>
        <v>0</v>
      </c>
      <c r="H985" s="278"/>
      <c r="I985" s="278"/>
      <c r="J985" s="351" t="str">
        <f t="shared" ref="J985:J990" si="1169">IFERROR(G985/F985,"-")</f>
        <v>-</v>
      </c>
      <c r="K985" s="333">
        <f t="shared" si="1167"/>
        <v>96975</v>
      </c>
      <c r="L985" s="272">
        <f t="shared" si="1168"/>
        <v>95472</v>
      </c>
      <c r="M985" s="273">
        <f t="shared" si="1168"/>
        <v>1503</v>
      </c>
      <c r="N985" s="337" t="str">
        <f t="shared" si="1164"/>
        <v>-</v>
      </c>
      <c r="O985" s="263">
        <f t="shared" si="1152"/>
        <v>1.5498839907192575E-2</v>
      </c>
    </row>
    <row r="986" spans="1:15" ht="23.4" x14ac:dyDescent="0.3">
      <c r="A986" s="274" t="s">
        <v>101</v>
      </c>
      <c r="B986" s="1051"/>
      <c r="C986" s="299" t="s">
        <v>27</v>
      </c>
      <c r="D986" s="299" t="s">
        <v>334</v>
      </c>
      <c r="E986" s="276"/>
      <c r="F986" s="277"/>
      <c r="G986" s="333">
        <f t="shared" si="1166"/>
        <v>0</v>
      </c>
      <c r="H986" s="278"/>
      <c r="I986" s="278"/>
      <c r="J986" s="351" t="str">
        <f t="shared" si="1169"/>
        <v>-</v>
      </c>
      <c r="K986" s="333">
        <f t="shared" si="1167"/>
        <v>0</v>
      </c>
      <c r="L986" s="272">
        <f t="shared" si="1168"/>
        <v>0</v>
      </c>
      <c r="M986" s="273">
        <f t="shared" si="1168"/>
        <v>0</v>
      </c>
      <c r="N986" s="337" t="str">
        <f t="shared" si="1164"/>
        <v>-</v>
      </c>
      <c r="O986" s="263" t="str">
        <f t="shared" si="1152"/>
        <v>-</v>
      </c>
    </row>
    <row r="987" spans="1:15" ht="23.4" x14ac:dyDescent="0.3">
      <c r="A987" s="274"/>
      <c r="B987" s="1051"/>
      <c r="C987" s="299" t="s">
        <v>460</v>
      </c>
      <c r="D987" s="299" t="s">
        <v>334</v>
      </c>
      <c r="E987" s="280"/>
      <c r="F987" s="281"/>
      <c r="G987" s="333">
        <f t="shared" si="1166"/>
        <v>0</v>
      </c>
      <c r="H987" s="282"/>
      <c r="I987" s="282"/>
      <c r="J987" s="351" t="str">
        <f t="shared" si="1169"/>
        <v>-</v>
      </c>
      <c r="K987" s="333">
        <f t="shared" si="1167"/>
        <v>4348</v>
      </c>
      <c r="L987" s="272">
        <f t="shared" si="1168"/>
        <v>3978</v>
      </c>
      <c r="M987" s="273">
        <f t="shared" si="1168"/>
        <v>370</v>
      </c>
      <c r="N987" s="337" t="str">
        <f t="shared" si="1164"/>
        <v>-</v>
      </c>
      <c r="O987" s="263">
        <f t="shared" si="1152"/>
        <v>8.5096596136154556E-2</v>
      </c>
    </row>
    <row r="988" spans="1:15" ht="23.4" x14ac:dyDescent="0.3">
      <c r="A988" s="274" t="s">
        <v>101</v>
      </c>
      <c r="B988" s="1051"/>
      <c r="C988" s="299" t="s">
        <v>433</v>
      </c>
      <c r="D988" s="299" t="s">
        <v>540</v>
      </c>
      <c r="E988" s="280"/>
      <c r="F988" s="281"/>
      <c r="G988" s="334">
        <f t="shared" si="1166"/>
        <v>72049</v>
      </c>
      <c r="H988" s="282">
        <v>71604</v>
      </c>
      <c r="I988" s="282">
        <v>445</v>
      </c>
      <c r="J988" s="351" t="str">
        <f t="shared" si="1169"/>
        <v>-</v>
      </c>
      <c r="K988" s="334">
        <f t="shared" si="1167"/>
        <v>72049</v>
      </c>
      <c r="L988" s="272">
        <f t="shared" si="1168"/>
        <v>71604</v>
      </c>
      <c r="M988" s="702">
        <f t="shared" si="1168"/>
        <v>445</v>
      </c>
      <c r="N988" s="338" t="str">
        <f t="shared" ref="N988:N989" si="1170">IFERROR(K988/E988,"-")</f>
        <v>-</v>
      </c>
      <c r="O988" s="347">
        <f t="shared" ref="O988:O989" si="1171">IFERROR(M988/K988,"-")</f>
        <v>6.1763522047495458E-3</v>
      </c>
    </row>
    <row r="989" spans="1:15" ht="23.4" x14ac:dyDescent="0.3">
      <c r="A989" s="274"/>
      <c r="B989" s="1051"/>
      <c r="C989" s="299" t="s">
        <v>458</v>
      </c>
      <c r="D989" s="300" t="s">
        <v>280</v>
      </c>
      <c r="E989" s="280"/>
      <c r="F989" s="281"/>
      <c r="G989" s="334"/>
      <c r="H989" s="282"/>
      <c r="I989" s="282"/>
      <c r="J989" s="351" t="str">
        <f t="shared" si="1169"/>
        <v>-</v>
      </c>
      <c r="K989" s="334">
        <f t="shared" si="1167"/>
        <v>0</v>
      </c>
      <c r="L989" s="272">
        <f t="shared" si="1168"/>
        <v>0</v>
      </c>
      <c r="M989" s="272">
        <f t="shared" si="1168"/>
        <v>0</v>
      </c>
      <c r="N989" s="338" t="str">
        <f t="shared" si="1170"/>
        <v>-</v>
      </c>
      <c r="O989" s="347" t="str">
        <f t="shared" si="1171"/>
        <v>-</v>
      </c>
    </row>
    <row r="990" spans="1:15" ht="24" thickBot="1" x14ac:dyDescent="0.35">
      <c r="A990" s="274" t="s">
        <v>101</v>
      </c>
      <c r="B990" s="1051"/>
      <c r="C990" s="299" t="s">
        <v>27</v>
      </c>
      <c r="D990" s="300" t="s">
        <v>234</v>
      </c>
      <c r="E990" s="280"/>
      <c r="F990" s="281"/>
      <c r="G990" s="334">
        <f t="shared" ref="G990" si="1172">+H990+I990</f>
        <v>0</v>
      </c>
      <c r="H990" s="282"/>
      <c r="I990" s="282"/>
      <c r="J990" s="351" t="str">
        <f t="shared" si="1169"/>
        <v>-</v>
      </c>
      <c r="K990" s="334">
        <f t="shared" si="1167"/>
        <v>0</v>
      </c>
      <c r="L990" s="272">
        <f t="shared" si="1168"/>
        <v>0</v>
      </c>
      <c r="M990" s="702">
        <f t="shared" si="1168"/>
        <v>0</v>
      </c>
      <c r="N990" s="338" t="str">
        <f t="shared" ref="N990:N991" si="1173">IFERROR(K990/E990,"-")</f>
        <v>-</v>
      </c>
      <c r="O990" s="347" t="str">
        <f t="shared" ref="O990:O1006" si="1174">IFERROR(M990/K990,"-")</f>
        <v>-</v>
      </c>
    </row>
    <row r="991" spans="1:15" ht="24" thickBot="1" x14ac:dyDescent="0.35">
      <c r="A991" s="274" t="s">
        <v>101</v>
      </c>
      <c r="B991" s="1051"/>
      <c r="C991" s="304"/>
      <c r="D991" s="305" t="s">
        <v>52</v>
      </c>
      <c r="E991" s="306">
        <f>SUM(E984:E990)</f>
        <v>0</v>
      </c>
      <c r="F991" s="307">
        <v>160000</v>
      </c>
      <c r="G991" s="366">
        <f>SUM(G984:G990)</f>
        <v>72049</v>
      </c>
      <c r="H991" s="365">
        <f>SUM(H984:H990)</f>
        <v>71604</v>
      </c>
      <c r="I991" s="365">
        <f>SUM(I984:I990)</f>
        <v>445</v>
      </c>
      <c r="J991" s="356">
        <f>+G991/F991</f>
        <v>0.45030625000000002</v>
      </c>
      <c r="K991" s="366">
        <f>SUM(K984:K990)</f>
        <v>343715</v>
      </c>
      <c r="L991" s="365">
        <f>SUM(L984:L990)</f>
        <v>338130</v>
      </c>
      <c r="M991" s="367">
        <f>SUM(M984:M990)</f>
        <v>5585</v>
      </c>
      <c r="N991" s="355" t="str">
        <f t="shared" si="1173"/>
        <v>-</v>
      </c>
      <c r="O991" s="356">
        <f t="shared" si="1174"/>
        <v>1.6248927163493011E-2</v>
      </c>
    </row>
    <row r="992" spans="1:15" ht="24" thickBot="1" x14ac:dyDescent="0.35">
      <c r="A992" s="868" t="s">
        <v>101</v>
      </c>
      <c r="B992" s="1054" t="s">
        <v>162</v>
      </c>
      <c r="C992" s="1055"/>
      <c r="D992" s="1056"/>
      <c r="E992" s="308">
        <f>+E991+E983</f>
        <v>1865664</v>
      </c>
      <c r="F992" s="309">
        <v>240000</v>
      </c>
      <c r="G992" s="369">
        <f>+G983+G991</f>
        <v>164587</v>
      </c>
      <c r="H992" s="368">
        <f>+H983+H991</f>
        <v>163098</v>
      </c>
      <c r="I992" s="368">
        <f>+I983+I991</f>
        <v>1489</v>
      </c>
      <c r="J992" s="358">
        <f>+G992/F992</f>
        <v>0.68577916666666672</v>
      </c>
      <c r="K992" s="369">
        <f>+K983+K991</f>
        <v>1063195</v>
      </c>
      <c r="L992" s="368">
        <f>+L983+L991</f>
        <v>1046214</v>
      </c>
      <c r="M992" s="370">
        <f>+M983+M991</f>
        <v>16981</v>
      </c>
      <c r="N992" s="357">
        <f>IFERROR(K992/E992,"-")</f>
        <v>0.5698748542074028</v>
      </c>
      <c r="O992" s="358">
        <f t="shared" si="1174"/>
        <v>1.5971670295665423E-2</v>
      </c>
    </row>
    <row r="993" spans="1:15" ht="23.4" x14ac:dyDescent="0.3">
      <c r="A993" s="274" t="s">
        <v>101</v>
      </c>
      <c r="B993" s="1051" t="s">
        <v>30</v>
      </c>
      <c r="C993" s="303" t="s">
        <v>446</v>
      </c>
      <c r="D993" s="299" t="s">
        <v>334</v>
      </c>
      <c r="E993" s="270">
        <v>225000</v>
      </c>
      <c r="F993" s="271"/>
      <c r="G993" s="332">
        <f t="shared" ref="G993:G995" si="1175">+H993+I993</f>
        <v>0</v>
      </c>
      <c r="H993" s="272"/>
      <c r="I993" s="272"/>
      <c r="J993" s="351" t="str">
        <f>IFERROR(G993/F993,"-")</f>
        <v>-</v>
      </c>
      <c r="K993" s="332">
        <f t="shared" ref="K993:K995" si="1176">+L993+M993</f>
        <v>0</v>
      </c>
      <c r="L993" s="272">
        <f t="shared" ref="L993:M995" si="1177">+H993+L877</f>
        <v>0</v>
      </c>
      <c r="M993" s="273">
        <f t="shared" si="1177"/>
        <v>0</v>
      </c>
      <c r="N993" s="336">
        <f t="shared" ref="N993:N1006" si="1178">IFERROR(K993/E993,"-")</f>
        <v>0</v>
      </c>
      <c r="O993" s="346" t="str">
        <f t="shared" si="1174"/>
        <v>-</v>
      </c>
    </row>
    <row r="994" spans="1:15" ht="23.4" x14ac:dyDescent="0.3">
      <c r="A994" s="274" t="s">
        <v>101</v>
      </c>
      <c r="B994" s="1051"/>
      <c r="C994" s="300" t="s">
        <v>429</v>
      </c>
      <c r="D994" s="303" t="s">
        <v>366</v>
      </c>
      <c r="E994" s="276"/>
      <c r="F994" s="277"/>
      <c r="G994" s="333">
        <f t="shared" si="1175"/>
        <v>0</v>
      </c>
      <c r="H994" s="278"/>
      <c r="I994" s="278"/>
      <c r="J994" s="351" t="str">
        <f t="shared" ref="J994:J995" si="1179">IFERROR(G994/F994,"-")</f>
        <v>-</v>
      </c>
      <c r="K994" s="333">
        <f t="shared" si="1176"/>
        <v>0</v>
      </c>
      <c r="L994" s="272">
        <f t="shared" si="1177"/>
        <v>0</v>
      </c>
      <c r="M994" s="273">
        <f t="shared" si="1177"/>
        <v>0</v>
      </c>
      <c r="N994" s="337" t="str">
        <f t="shared" si="1178"/>
        <v>-</v>
      </c>
      <c r="O994" s="263" t="str">
        <f t="shared" si="1174"/>
        <v>-</v>
      </c>
    </row>
    <row r="995" spans="1:15" ht="24" thickBot="1" x14ac:dyDescent="0.35">
      <c r="A995" s="274" t="s">
        <v>101</v>
      </c>
      <c r="B995" s="1051"/>
      <c r="C995" s="300" t="s">
        <v>291</v>
      </c>
      <c r="D995" s="300" t="s">
        <v>366</v>
      </c>
      <c r="E995" s="280"/>
      <c r="F995" s="281"/>
      <c r="G995" s="334">
        <f t="shared" si="1175"/>
        <v>0</v>
      </c>
      <c r="H995" s="282"/>
      <c r="I995" s="282"/>
      <c r="J995" s="351" t="str">
        <f t="shared" si="1179"/>
        <v>-</v>
      </c>
      <c r="K995" s="334">
        <f t="shared" si="1176"/>
        <v>0</v>
      </c>
      <c r="L995" s="272">
        <f t="shared" si="1177"/>
        <v>0</v>
      </c>
      <c r="M995" s="273">
        <f t="shared" si="1177"/>
        <v>0</v>
      </c>
      <c r="N995" s="338" t="str">
        <f t="shared" si="1178"/>
        <v>-</v>
      </c>
      <c r="O995" s="347" t="str">
        <f t="shared" si="1174"/>
        <v>-</v>
      </c>
    </row>
    <row r="996" spans="1:15" ht="24" thickBot="1" x14ac:dyDescent="0.35">
      <c r="A996" s="274" t="s">
        <v>101</v>
      </c>
      <c r="B996" s="1051"/>
      <c r="C996" s="301"/>
      <c r="D996" s="302" t="s">
        <v>50</v>
      </c>
      <c r="E996" s="284">
        <f>SUM(E993:E995)</f>
        <v>225000</v>
      </c>
      <c r="F996" s="285">
        <v>50000</v>
      </c>
      <c r="G996" s="320">
        <f>SUM(G993:G995)</f>
        <v>0</v>
      </c>
      <c r="H996" s="321">
        <f>SUM(H993:H995)</f>
        <v>0</v>
      </c>
      <c r="I996" s="321">
        <f>SUM(I993:I995)</f>
        <v>0</v>
      </c>
      <c r="J996" s="345">
        <f>+G996/F996</f>
        <v>0</v>
      </c>
      <c r="K996" s="320">
        <f>SUM(K993:K995)</f>
        <v>0</v>
      </c>
      <c r="L996" s="321">
        <f>SUM(L993:L995)</f>
        <v>0</v>
      </c>
      <c r="M996" s="322">
        <f>SUM(M993:M995)</f>
        <v>0</v>
      </c>
      <c r="N996" s="339">
        <f t="shared" si="1178"/>
        <v>0</v>
      </c>
      <c r="O996" s="345" t="str">
        <f t="shared" si="1174"/>
        <v>-</v>
      </c>
    </row>
    <row r="997" spans="1:15" ht="23.4" x14ac:dyDescent="0.3">
      <c r="A997" s="274" t="s">
        <v>101</v>
      </c>
      <c r="B997" s="1051"/>
      <c r="C997" s="297" t="s">
        <v>434</v>
      </c>
      <c r="D997" s="297" t="s">
        <v>92</v>
      </c>
      <c r="E997" s="270"/>
      <c r="F997" s="271"/>
      <c r="G997" s="332">
        <f t="shared" ref="G997:G998" si="1180">+H997+I997</f>
        <v>0</v>
      </c>
      <c r="H997" s="272"/>
      <c r="I997" s="272"/>
      <c r="J997" s="351" t="str">
        <f>IFERROR(G997/F997,"-")</f>
        <v>-</v>
      </c>
      <c r="K997" s="332">
        <f t="shared" ref="K997:K1002" si="1181">+L997+M997</f>
        <v>0</v>
      </c>
      <c r="L997" s="272">
        <f t="shared" ref="L997:M1002" si="1182">+H997+L881</f>
        <v>0</v>
      </c>
      <c r="M997" s="273">
        <f t="shared" si="1182"/>
        <v>0</v>
      </c>
      <c r="N997" s="336" t="str">
        <f t="shared" si="1178"/>
        <v>-</v>
      </c>
      <c r="O997" s="346" t="str">
        <f t="shared" si="1174"/>
        <v>-</v>
      </c>
    </row>
    <row r="998" spans="1:15" ht="23.4" x14ac:dyDescent="0.3">
      <c r="A998" s="274"/>
      <c r="B998" s="1051"/>
      <c r="C998" s="303" t="s">
        <v>449</v>
      </c>
      <c r="D998" s="299" t="s">
        <v>334</v>
      </c>
      <c r="E998" s="270"/>
      <c r="F998" s="271"/>
      <c r="G998" s="332">
        <f t="shared" si="1180"/>
        <v>0</v>
      </c>
      <c r="H998" s="272"/>
      <c r="I998" s="272"/>
      <c r="J998" s="351" t="str">
        <f t="shared" ref="J998:J1002" si="1183">IFERROR(G998/F998,"-")</f>
        <v>-</v>
      </c>
      <c r="K998" s="332">
        <f t="shared" si="1181"/>
        <v>0</v>
      </c>
      <c r="L998" s="272">
        <f t="shared" si="1182"/>
        <v>0</v>
      </c>
      <c r="M998" s="273">
        <f t="shared" si="1182"/>
        <v>0</v>
      </c>
      <c r="N998" s="337" t="str">
        <f t="shared" si="1178"/>
        <v>-</v>
      </c>
      <c r="O998" s="346" t="str">
        <f t="shared" si="1174"/>
        <v>-</v>
      </c>
    </row>
    <row r="999" spans="1:15" ht="23.4" x14ac:dyDescent="0.3">
      <c r="A999" s="274"/>
      <c r="B999" s="1051"/>
      <c r="C999" s="303" t="s">
        <v>452</v>
      </c>
      <c r="D999" s="299" t="s">
        <v>334</v>
      </c>
      <c r="E999" s="270"/>
      <c r="F999" s="271"/>
      <c r="G999" s="332"/>
      <c r="H999" s="272"/>
      <c r="I999" s="272"/>
      <c r="J999" s="351" t="str">
        <f t="shared" si="1183"/>
        <v>-</v>
      </c>
      <c r="K999" s="332">
        <f t="shared" si="1181"/>
        <v>0</v>
      </c>
      <c r="L999" s="272">
        <f t="shared" si="1182"/>
        <v>0</v>
      </c>
      <c r="M999" s="273">
        <f t="shared" si="1182"/>
        <v>0</v>
      </c>
      <c r="N999" s="337" t="str">
        <f t="shared" si="1178"/>
        <v>-</v>
      </c>
      <c r="O999" s="346" t="str">
        <f t="shared" si="1174"/>
        <v>-</v>
      </c>
    </row>
    <row r="1000" spans="1:15" ht="23.4" x14ac:dyDescent="0.3">
      <c r="A1000" s="274" t="s">
        <v>101</v>
      </c>
      <c r="B1000" s="1051"/>
      <c r="C1000" s="303" t="s">
        <v>501</v>
      </c>
      <c r="D1000" s="300" t="s">
        <v>423</v>
      </c>
      <c r="E1000" s="276">
        <v>125000</v>
      </c>
      <c r="F1000" s="277"/>
      <c r="G1000" s="333">
        <f t="shared" ref="G1000" si="1184">+H1000+I1000</f>
        <v>0</v>
      </c>
      <c r="H1000" s="278"/>
      <c r="I1000" s="278"/>
      <c r="J1000" s="351" t="str">
        <f t="shared" si="1183"/>
        <v>-</v>
      </c>
      <c r="K1000" s="333">
        <f t="shared" si="1181"/>
        <v>8116</v>
      </c>
      <c r="L1000" s="272">
        <f t="shared" si="1182"/>
        <v>7488</v>
      </c>
      <c r="M1000" s="273">
        <f t="shared" si="1182"/>
        <v>628</v>
      </c>
      <c r="N1000" s="337">
        <f t="shared" si="1178"/>
        <v>6.4928E-2</v>
      </c>
      <c r="O1000" s="263">
        <f t="shared" si="1174"/>
        <v>7.737801872843765E-2</v>
      </c>
    </row>
    <row r="1001" spans="1:15" ht="23.4" x14ac:dyDescent="0.3">
      <c r="A1001" s="274"/>
      <c r="B1001" s="1051"/>
      <c r="C1001" s="300" t="s">
        <v>459</v>
      </c>
      <c r="D1001" s="300" t="s">
        <v>366</v>
      </c>
      <c r="E1001" s="280"/>
      <c r="F1001" s="281"/>
      <c r="G1001" s="334"/>
      <c r="H1001" s="282"/>
      <c r="I1001" s="282"/>
      <c r="J1001" s="351" t="str">
        <f t="shared" si="1183"/>
        <v>-</v>
      </c>
      <c r="K1001" s="333">
        <f t="shared" si="1181"/>
        <v>0</v>
      </c>
      <c r="L1001" s="272">
        <f t="shared" si="1182"/>
        <v>0</v>
      </c>
      <c r="M1001" s="272">
        <f t="shared" si="1182"/>
        <v>0</v>
      </c>
      <c r="N1001" s="337" t="str">
        <f t="shared" si="1178"/>
        <v>-</v>
      </c>
      <c r="O1001" s="263" t="str">
        <f t="shared" si="1174"/>
        <v>-</v>
      </c>
    </row>
    <row r="1002" spans="1:15" ht="24" thickBot="1" x14ac:dyDescent="0.35">
      <c r="A1002" s="274" t="s">
        <v>101</v>
      </c>
      <c r="B1002" s="1051"/>
      <c r="C1002" s="300" t="s">
        <v>435</v>
      </c>
      <c r="D1002" s="300" t="s">
        <v>423</v>
      </c>
      <c r="E1002" s="280"/>
      <c r="F1002" s="281"/>
      <c r="G1002" s="334">
        <f t="shared" ref="G1002" si="1185">+H1002+I1002</f>
        <v>0</v>
      </c>
      <c r="H1002" s="282"/>
      <c r="I1002" s="282"/>
      <c r="J1002" s="351" t="str">
        <f t="shared" si="1183"/>
        <v>-</v>
      </c>
      <c r="K1002" s="334">
        <f t="shared" si="1181"/>
        <v>0</v>
      </c>
      <c r="L1002" s="272">
        <f t="shared" si="1182"/>
        <v>0</v>
      </c>
      <c r="M1002" s="273">
        <f t="shared" si="1182"/>
        <v>0</v>
      </c>
      <c r="N1002" s="338" t="str">
        <f t="shared" si="1178"/>
        <v>-</v>
      </c>
      <c r="O1002" s="347" t="str">
        <f t="shared" si="1174"/>
        <v>-</v>
      </c>
    </row>
    <row r="1003" spans="1:15" ht="24" thickBot="1" x14ac:dyDescent="0.35">
      <c r="A1003" s="274" t="s">
        <v>101</v>
      </c>
      <c r="B1003" s="1051"/>
      <c r="C1003" s="304"/>
      <c r="D1003" s="305" t="s">
        <v>51</v>
      </c>
      <c r="E1003" s="306">
        <f>SUM(E997:E1002)</f>
        <v>125000</v>
      </c>
      <c r="F1003" s="307">
        <v>50000</v>
      </c>
      <c r="G1003" s="366">
        <f>SUM(G997:G1002)</f>
        <v>0</v>
      </c>
      <c r="H1003" s="365">
        <f t="shared" ref="H1003:I1003" si="1186">SUM(H997:H1002)</f>
        <v>0</v>
      </c>
      <c r="I1003" s="365">
        <f t="shared" si="1186"/>
        <v>0</v>
      </c>
      <c r="J1003" s="356">
        <f>+G1003/F1003</f>
        <v>0</v>
      </c>
      <c r="K1003" s="366">
        <f t="shared" ref="K1003:M1003" si="1187">SUM(K997:K1002)</f>
        <v>8116</v>
      </c>
      <c r="L1003" s="365">
        <f t="shared" si="1187"/>
        <v>7488</v>
      </c>
      <c r="M1003" s="367">
        <f t="shared" si="1187"/>
        <v>628</v>
      </c>
      <c r="N1003" s="355">
        <f t="shared" si="1178"/>
        <v>6.4928E-2</v>
      </c>
      <c r="O1003" s="356">
        <f t="shared" si="1174"/>
        <v>7.737801872843765E-2</v>
      </c>
    </row>
    <row r="1004" spans="1:15" ht="24" thickBot="1" x14ac:dyDescent="0.35">
      <c r="A1004" s="274" t="s">
        <v>101</v>
      </c>
      <c r="B1004" s="1054" t="s">
        <v>163</v>
      </c>
      <c r="C1004" s="1055"/>
      <c r="D1004" s="1056"/>
      <c r="E1004" s="308">
        <f>+E1003+E996</f>
        <v>350000</v>
      </c>
      <c r="F1004" s="309">
        <v>50000</v>
      </c>
      <c r="G1004" s="369">
        <f>+G996+G1003</f>
        <v>0</v>
      </c>
      <c r="H1004" s="368">
        <f t="shared" ref="H1004:I1004" si="1188">+H996+H1003</f>
        <v>0</v>
      </c>
      <c r="I1004" s="368">
        <f t="shared" si="1188"/>
        <v>0</v>
      </c>
      <c r="J1004" s="358">
        <f>+G1004/F1004</f>
        <v>0</v>
      </c>
      <c r="K1004" s="369">
        <f t="shared" ref="K1004:M1004" si="1189">+K996+K1003</f>
        <v>8116</v>
      </c>
      <c r="L1004" s="368">
        <f t="shared" si="1189"/>
        <v>7488</v>
      </c>
      <c r="M1004" s="370">
        <f t="shared" si="1189"/>
        <v>628</v>
      </c>
      <c r="N1004" s="357">
        <f t="shared" si="1178"/>
        <v>2.318857142857143E-2</v>
      </c>
      <c r="O1004" s="358">
        <f t="shared" si="1174"/>
        <v>7.737801872843765E-2</v>
      </c>
    </row>
    <row r="1005" spans="1:15" ht="24" thickBot="1" x14ac:dyDescent="0.35">
      <c r="A1005" s="274" t="s">
        <v>101</v>
      </c>
      <c r="B1005" s="598" t="s">
        <v>32</v>
      </c>
      <c r="C1005" s="864"/>
      <c r="D1005" s="310" t="s">
        <v>32</v>
      </c>
      <c r="E1005" s="287">
        <v>0</v>
      </c>
      <c r="F1005" s="288">
        <v>110000</v>
      </c>
      <c r="G1005" s="335">
        <f t="shared" ref="G1005" si="1190">+H1005+I1005</f>
        <v>0</v>
      </c>
      <c r="H1005" s="289"/>
      <c r="I1005" s="289"/>
      <c r="J1005" s="354">
        <f>IFERROR(G1005/F1005,"-")</f>
        <v>0</v>
      </c>
      <c r="K1005" s="335">
        <f>+L1005+M1005</f>
        <v>0</v>
      </c>
      <c r="L1005" s="289">
        <f>+H1005+L889</f>
        <v>0</v>
      </c>
      <c r="M1005" s="290">
        <f>+I1005+M889</f>
        <v>0</v>
      </c>
      <c r="N1005" s="340" t="str">
        <f t="shared" si="1178"/>
        <v>-</v>
      </c>
      <c r="O1005" s="348" t="str">
        <f t="shared" si="1174"/>
        <v>-</v>
      </c>
    </row>
    <row r="1006" spans="1:15" ht="24" thickBot="1" x14ac:dyDescent="0.35">
      <c r="A1006" s="274" t="s">
        <v>101</v>
      </c>
      <c r="B1006" s="1047" t="s">
        <v>21</v>
      </c>
      <c r="C1006" s="1048"/>
      <c r="D1006" s="1049"/>
      <c r="E1006" s="326">
        <f>+E992+E1004+E1005</f>
        <v>2215664</v>
      </c>
      <c r="F1006" s="327">
        <f>+F992+F1004+F1005</f>
        <v>400000</v>
      </c>
      <c r="G1006" s="326">
        <f>+G992+G1004+G1005</f>
        <v>164587</v>
      </c>
      <c r="H1006" s="324">
        <f>+H992+H1004+H1005</f>
        <v>163098</v>
      </c>
      <c r="I1006" s="324">
        <f>+I992+I1004+I1005</f>
        <v>1489</v>
      </c>
      <c r="J1006" s="349">
        <f>+G1006/F1006</f>
        <v>0.41146749999999999</v>
      </c>
      <c r="K1006" s="326">
        <f>+K992+K1004+K1005</f>
        <v>1071311</v>
      </c>
      <c r="L1006" s="324">
        <f>+L992+L1004+L1005</f>
        <v>1053702</v>
      </c>
      <c r="M1006" s="325">
        <f>+M992+M1004+M1005</f>
        <v>17609</v>
      </c>
      <c r="N1006" s="341">
        <f t="shared" si="1178"/>
        <v>0.48351690509030248</v>
      </c>
      <c r="O1006" s="349">
        <f t="shared" si="1174"/>
        <v>1.643687033923856E-2</v>
      </c>
    </row>
    <row r="1007" spans="1:15" ht="24" thickBot="1" x14ac:dyDescent="0.35">
      <c r="A1007" s="274" t="s">
        <v>101</v>
      </c>
      <c r="B1007" s="1019" t="s">
        <v>171</v>
      </c>
      <c r="C1007" s="1020"/>
      <c r="D1007" s="1021"/>
      <c r="E1007" s="330">
        <f>+E1006</f>
        <v>2215664</v>
      </c>
      <c r="F1007" s="331">
        <f t="shared" ref="F1007:I1007" si="1191">+F1006</f>
        <v>400000</v>
      </c>
      <c r="G1007" s="330">
        <f t="shared" si="1191"/>
        <v>164587</v>
      </c>
      <c r="H1007" s="328">
        <f t="shared" si="1191"/>
        <v>163098</v>
      </c>
      <c r="I1007" s="328">
        <f t="shared" si="1191"/>
        <v>1489</v>
      </c>
      <c r="J1007" s="872">
        <f>+G1007/F1007</f>
        <v>0.41146749999999999</v>
      </c>
      <c r="K1007" s="330">
        <f>+K1006</f>
        <v>1071311</v>
      </c>
      <c r="L1007" s="328">
        <f t="shared" ref="L1007" si="1192">+L1006</f>
        <v>1053702</v>
      </c>
      <c r="M1007" s="329">
        <f>+M1006</f>
        <v>17609</v>
      </c>
      <c r="N1007" s="342">
        <f t="shared" ref="N1007:O1007" si="1193">+N1006</f>
        <v>0.48351690509030248</v>
      </c>
      <c r="O1007" s="350">
        <f t="shared" si="1193"/>
        <v>1.643687033923856E-2</v>
      </c>
    </row>
    <row r="1008" spans="1:15" ht="23.4" x14ac:dyDescent="0.3">
      <c r="A1008" s="268" t="s">
        <v>102</v>
      </c>
      <c r="B1008" s="1022" t="s">
        <v>401</v>
      </c>
      <c r="C1008" s="311" t="s">
        <v>113</v>
      </c>
      <c r="D1008" s="311"/>
      <c r="E1008" s="270"/>
      <c r="F1008" s="271"/>
      <c r="G1008" s="332">
        <f t="shared" ref="G1008:G1010" si="1194">+H1008+I1008</f>
        <v>0</v>
      </c>
      <c r="H1008" s="272"/>
      <c r="I1008" s="272"/>
      <c r="J1008" s="351" t="str">
        <f>IFERROR(G1008/F1008,"-")</f>
        <v>-</v>
      </c>
      <c r="K1008" s="332">
        <f t="shared" ref="K1008:K1010" si="1195">+L1008+M1008</f>
        <v>0</v>
      </c>
      <c r="L1008" s="272">
        <f t="shared" ref="L1008:M1010" si="1196">+H1008+L892</f>
        <v>0</v>
      </c>
      <c r="M1008" s="273">
        <f t="shared" si="1196"/>
        <v>0</v>
      </c>
      <c r="N1008" s="336" t="str">
        <f t="shared" ref="N1008:N1015" si="1197">IFERROR(K1008/E1008,"-")</f>
        <v>-</v>
      </c>
      <c r="O1008" s="346" t="str">
        <f t="shared" ref="O1008:O1033" si="1198">IFERROR(M1008/K1008,"-")</f>
        <v>-</v>
      </c>
    </row>
    <row r="1009" spans="1:15" ht="23.4" x14ac:dyDescent="0.3">
      <c r="A1009" s="274" t="s">
        <v>102</v>
      </c>
      <c r="B1009" s="1023"/>
      <c r="C1009" s="312" t="s">
        <v>247</v>
      </c>
      <c r="D1009" s="312"/>
      <c r="E1009" s="276">
        <v>2000</v>
      </c>
      <c r="F1009" s="277"/>
      <c r="G1009" s="333">
        <f t="shared" si="1194"/>
        <v>400</v>
      </c>
      <c r="H1009" s="278">
        <v>349</v>
      </c>
      <c r="I1009" s="278">
        <v>51</v>
      </c>
      <c r="J1009" s="351" t="str">
        <f t="shared" ref="J1009:J1010" si="1199">IFERROR(G1009/F1009,"-")</f>
        <v>-</v>
      </c>
      <c r="K1009" s="333">
        <f t="shared" si="1195"/>
        <v>9638</v>
      </c>
      <c r="L1009" s="272">
        <f t="shared" si="1196"/>
        <v>9149</v>
      </c>
      <c r="M1009" s="273">
        <f t="shared" si="1196"/>
        <v>489</v>
      </c>
      <c r="N1009" s="337">
        <f t="shared" si="1197"/>
        <v>4.819</v>
      </c>
      <c r="O1009" s="263">
        <f t="shared" si="1198"/>
        <v>5.0736667358373108E-2</v>
      </c>
    </row>
    <row r="1010" spans="1:15" ht="24" thickBot="1" x14ac:dyDescent="0.35">
      <c r="A1010" s="274" t="s">
        <v>102</v>
      </c>
      <c r="B1010" s="1024"/>
      <c r="C1010" s="313" t="s">
        <v>33</v>
      </c>
      <c r="D1010" s="313"/>
      <c r="E1010" s="280"/>
      <c r="F1010" s="281"/>
      <c r="G1010" s="334">
        <f t="shared" si="1194"/>
        <v>0</v>
      </c>
      <c r="H1010" s="282"/>
      <c r="I1010" s="282"/>
      <c r="J1010" s="351" t="str">
        <f t="shared" si="1199"/>
        <v>-</v>
      </c>
      <c r="K1010" s="334">
        <f t="shared" si="1195"/>
        <v>0</v>
      </c>
      <c r="L1010" s="272">
        <f t="shared" si="1196"/>
        <v>0</v>
      </c>
      <c r="M1010" s="273">
        <f t="shared" si="1196"/>
        <v>0</v>
      </c>
      <c r="N1010" s="338" t="str">
        <f t="shared" si="1197"/>
        <v>-</v>
      </c>
      <c r="O1010" s="347" t="str">
        <f t="shared" si="1198"/>
        <v>-</v>
      </c>
    </row>
    <row r="1011" spans="1:15" ht="24" thickBot="1" x14ac:dyDescent="0.35">
      <c r="A1011" s="274" t="s">
        <v>102</v>
      </c>
      <c r="B1011" s="1025" t="s">
        <v>34</v>
      </c>
      <c r="C1011" s="1026"/>
      <c r="D1011" s="1027"/>
      <c r="E1011" s="284">
        <f>SUM(E1008:E1010)</f>
        <v>2000</v>
      </c>
      <c r="F1011" s="285">
        <v>6500</v>
      </c>
      <c r="G1011" s="320">
        <f>SUM(G1008:G1010)</f>
        <v>400</v>
      </c>
      <c r="H1011" s="321">
        <f t="shared" ref="H1011:I1011" si="1200">SUM(H1008:H1010)</f>
        <v>349</v>
      </c>
      <c r="I1011" s="321">
        <f t="shared" si="1200"/>
        <v>51</v>
      </c>
      <c r="J1011" s="345">
        <f>IFERROR(G1011/F1011,"-")</f>
        <v>6.1538461538461542E-2</v>
      </c>
      <c r="K1011" s="320">
        <f t="shared" ref="K1011:M1011" si="1201">SUM(K1008:K1010)</f>
        <v>9638</v>
      </c>
      <c r="L1011" s="321">
        <f t="shared" si="1201"/>
        <v>9149</v>
      </c>
      <c r="M1011" s="322">
        <f t="shared" si="1201"/>
        <v>489</v>
      </c>
      <c r="N1011" s="339">
        <f t="shared" si="1197"/>
        <v>4.819</v>
      </c>
      <c r="O1011" s="345">
        <f t="shared" si="1198"/>
        <v>5.0736667358373108E-2</v>
      </c>
    </row>
    <row r="1012" spans="1:15" ht="23.4" x14ac:dyDescent="0.3">
      <c r="A1012" s="274" t="s">
        <v>102</v>
      </c>
      <c r="B1012" s="1022" t="s">
        <v>35</v>
      </c>
      <c r="C1012" s="311" t="s">
        <v>113</v>
      </c>
      <c r="D1012" s="311"/>
      <c r="E1012" s="270"/>
      <c r="F1012" s="271"/>
      <c r="G1012" s="332">
        <f t="shared" ref="G1012:G1015" si="1202">+H1012+I1012</f>
        <v>0</v>
      </c>
      <c r="H1012" s="272"/>
      <c r="I1012" s="272"/>
      <c r="J1012" s="351" t="str">
        <f>IFERROR(G1012/F1012,"-")</f>
        <v>-</v>
      </c>
      <c r="K1012" s="332">
        <f t="shared" ref="K1012:K1015" si="1203">+L1012+M1012</f>
        <v>0</v>
      </c>
      <c r="L1012" s="272">
        <f t="shared" ref="L1012:M1015" si="1204">+H1012+L896</f>
        <v>0</v>
      </c>
      <c r="M1012" s="273">
        <f t="shared" si="1204"/>
        <v>0</v>
      </c>
      <c r="N1012" s="336" t="str">
        <f t="shared" si="1197"/>
        <v>-</v>
      </c>
      <c r="O1012" s="346" t="str">
        <f t="shared" si="1198"/>
        <v>-</v>
      </c>
    </row>
    <row r="1013" spans="1:15" ht="23.4" x14ac:dyDescent="0.3">
      <c r="A1013" s="274" t="s">
        <v>102</v>
      </c>
      <c r="B1013" s="1023"/>
      <c r="C1013" s="312" t="s">
        <v>247</v>
      </c>
      <c r="D1013" s="312"/>
      <c r="E1013" s="276"/>
      <c r="F1013" s="277"/>
      <c r="G1013" s="333">
        <f t="shared" si="1202"/>
        <v>0</v>
      </c>
      <c r="H1013" s="278"/>
      <c r="I1013" s="278"/>
      <c r="J1013" s="351" t="str">
        <f t="shared" ref="J1013:J1015" si="1205">IFERROR(G1013/F1013,"-")</f>
        <v>-</v>
      </c>
      <c r="K1013" s="333">
        <f t="shared" si="1203"/>
        <v>0</v>
      </c>
      <c r="L1013" s="272">
        <f t="shared" si="1204"/>
        <v>0</v>
      </c>
      <c r="M1013" s="273">
        <f t="shared" si="1204"/>
        <v>0</v>
      </c>
      <c r="N1013" s="337" t="str">
        <f t="shared" si="1197"/>
        <v>-</v>
      </c>
      <c r="O1013" s="263" t="str">
        <f t="shared" si="1198"/>
        <v>-</v>
      </c>
    </row>
    <row r="1014" spans="1:15" ht="23.4" x14ac:dyDescent="0.3">
      <c r="A1014" s="274" t="s">
        <v>102</v>
      </c>
      <c r="B1014" s="1023"/>
      <c r="C1014" s="312" t="s">
        <v>496</v>
      </c>
      <c r="D1014" s="312"/>
      <c r="E1014" s="276">
        <v>20000</v>
      </c>
      <c r="F1014" s="277"/>
      <c r="G1014" s="333">
        <f t="shared" si="1202"/>
        <v>0</v>
      </c>
      <c r="H1014" s="278"/>
      <c r="I1014" s="278"/>
      <c r="J1014" s="351" t="str">
        <f t="shared" si="1205"/>
        <v>-</v>
      </c>
      <c r="K1014" s="333">
        <f t="shared" si="1203"/>
        <v>0</v>
      </c>
      <c r="L1014" s="272">
        <f t="shared" si="1204"/>
        <v>0</v>
      </c>
      <c r="M1014" s="273">
        <f t="shared" si="1204"/>
        <v>0</v>
      </c>
      <c r="N1014" s="337">
        <f t="shared" si="1197"/>
        <v>0</v>
      </c>
      <c r="O1014" s="263" t="str">
        <f t="shared" si="1198"/>
        <v>-</v>
      </c>
    </row>
    <row r="1015" spans="1:15" ht="24" thickBot="1" x14ac:dyDescent="0.35">
      <c r="A1015" s="274" t="s">
        <v>102</v>
      </c>
      <c r="B1015" s="1024"/>
      <c r="C1015" s="313" t="s">
        <v>36</v>
      </c>
      <c r="D1015" s="313"/>
      <c r="E1015" s="280"/>
      <c r="F1015" s="281"/>
      <c r="G1015" s="334">
        <f t="shared" si="1202"/>
        <v>0</v>
      </c>
      <c r="H1015" s="282"/>
      <c r="I1015" s="282"/>
      <c r="J1015" s="351" t="str">
        <f t="shared" si="1205"/>
        <v>-</v>
      </c>
      <c r="K1015" s="334">
        <f t="shared" si="1203"/>
        <v>0</v>
      </c>
      <c r="L1015" s="272">
        <f t="shared" si="1204"/>
        <v>0</v>
      </c>
      <c r="M1015" s="273">
        <f t="shared" si="1204"/>
        <v>0</v>
      </c>
      <c r="N1015" s="338" t="str">
        <f t="shared" si="1197"/>
        <v>-</v>
      </c>
      <c r="O1015" s="347" t="str">
        <f t="shared" si="1198"/>
        <v>-</v>
      </c>
    </row>
    <row r="1016" spans="1:15" ht="24" thickBot="1" x14ac:dyDescent="0.35">
      <c r="A1016" s="274" t="s">
        <v>102</v>
      </c>
      <c r="B1016" s="1025" t="s">
        <v>37</v>
      </c>
      <c r="C1016" s="1026"/>
      <c r="D1016" s="1027"/>
      <c r="E1016" s="284">
        <f>SUM(E1012:E1015)</f>
        <v>20000</v>
      </c>
      <c r="F1016" s="285">
        <v>6500</v>
      </c>
      <c r="G1016" s="320">
        <f>SUM(G1012:G1015)</f>
        <v>0</v>
      </c>
      <c r="H1016" s="321">
        <f t="shared" ref="H1016:I1016" si="1206">SUM(H1012:H1015)</f>
        <v>0</v>
      </c>
      <c r="I1016" s="321">
        <f t="shared" si="1206"/>
        <v>0</v>
      </c>
      <c r="J1016" s="345">
        <f>IFERROR(G1016/F1016,"-")</f>
        <v>0</v>
      </c>
      <c r="K1016" s="320">
        <f t="shared" ref="K1016:M1016" si="1207">SUM(K1012:K1015)</f>
        <v>0</v>
      </c>
      <c r="L1016" s="321">
        <f t="shared" si="1207"/>
        <v>0</v>
      </c>
      <c r="M1016" s="322">
        <f t="shared" si="1207"/>
        <v>0</v>
      </c>
      <c r="N1016" s="339">
        <f>IFERROR(K1016/E1016,"-")</f>
        <v>0</v>
      </c>
      <c r="O1016" s="345" t="str">
        <f t="shared" si="1198"/>
        <v>-</v>
      </c>
    </row>
    <row r="1017" spans="1:15" ht="23.4" x14ac:dyDescent="0.3">
      <c r="A1017" s="274" t="s">
        <v>102</v>
      </c>
      <c r="B1017" s="1022" t="s">
        <v>402</v>
      </c>
      <c r="C1017" s="314" t="s">
        <v>116</v>
      </c>
      <c r="D1017" s="314"/>
      <c r="E1017" s="270">
        <v>14000</v>
      </c>
      <c r="F1017" s="271"/>
      <c r="G1017" s="332">
        <f t="shared" ref="G1017:G1018" si="1208">+H1017+I1017</f>
        <v>0</v>
      </c>
      <c r="H1017" s="272"/>
      <c r="I1017" s="272"/>
      <c r="J1017" s="351" t="str">
        <f>IFERROR(G1017/F1017,"-")</f>
        <v>-</v>
      </c>
      <c r="K1017" s="332">
        <f t="shared" ref="K1017:K1018" si="1209">+L1017+M1017</f>
        <v>0</v>
      </c>
      <c r="L1017" s="272">
        <f>+H1017+L901</f>
        <v>0</v>
      </c>
      <c r="M1017" s="273">
        <f>+I1017+M901</f>
        <v>0</v>
      </c>
      <c r="N1017" s="336">
        <f t="shared" ref="N1017:N1033" si="1210">IFERROR(K1017/E1017,"-")</f>
        <v>0</v>
      </c>
      <c r="O1017" s="346" t="str">
        <f t="shared" si="1198"/>
        <v>-</v>
      </c>
    </row>
    <row r="1018" spans="1:15" ht="24" thickBot="1" x14ac:dyDescent="0.35">
      <c r="A1018" s="274" t="s">
        <v>102</v>
      </c>
      <c r="B1018" s="1024"/>
      <c r="C1018" s="286" t="s">
        <v>132</v>
      </c>
      <c r="D1018" s="286"/>
      <c r="E1018" s="280"/>
      <c r="F1018" s="281"/>
      <c r="G1018" s="334">
        <f t="shared" si="1208"/>
        <v>3210</v>
      </c>
      <c r="H1018" s="282">
        <v>3200</v>
      </c>
      <c r="I1018" s="282">
        <v>10</v>
      </c>
      <c r="J1018" s="351" t="str">
        <f>IFERROR(G1018/F1018,"-")</f>
        <v>-</v>
      </c>
      <c r="K1018" s="334">
        <f t="shared" si="1209"/>
        <v>20297</v>
      </c>
      <c r="L1018" s="272">
        <f>+H1018+L902</f>
        <v>19290</v>
      </c>
      <c r="M1018" s="273">
        <f>+I1018+M902</f>
        <v>1007</v>
      </c>
      <c r="N1018" s="338" t="str">
        <f t="shared" si="1210"/>
        <v>-</v>
      </c>
      <c r="O1018" s="347">
        <f t="shared" si="1198"/>
        <v>4.9613243336453665E-2</v>
      </c>
    </row>
    <row r="1019" spans="1:15" ht="24" thickBot="1" x14ac:dyDescent="0.35">
      <c r="A1019" s="868" t="s">
        <v>102</v>
      </c>
      <c r="B1019" s="1025" t="s">
        <v>38</v>
      </c>
      <c r="C1019" s="1026"/>
      <c r="D1019" s="1027"/>
      <c r="E1019" s="284">
        <f>SUM(E1017:E1018)</f>
        <v>14000</v>
      </c>
      <c r="F1019" s="285">
        <v>2800</v>
      </c>
      <c r="G1019" s="320">
        <f>SUM(G1017:G1018)</f>
        <v>3210</v>
      </c>
      <c r="H1019" s="321">
        <f t="shared" ref="H1019:I1019" si="1211">SUM(H1017:H1018)</f>
        <v>3200</v>
      </c>
      <c r="I1019" s="321">
        <f t="shared" si="1211"/>
        <v>10</v>
      </c>
      <c r="J1019" s="345" t="str">
        <f>IFERROR(G1019/F1009,"-")</f>
        <v>-</v>
      </c>
      <c r="K1019" s="320">
        <f t="shared" ref="K1019:M1019" si="1212">SUM(K1017:K1018)</f>
        <v>20297</v>
      </c>
      <c r="L1019" s="321">
        <f t="shared" si="1212"/>
        <v>19290</v>
      </c>
      <c r="M1019" s="322">
        <f t="shared" si="1212"/>
        <v>1007</v>
      </c>
      <c r="N1019" s="339">
        <f t="shared" si="1210"/>
        <v>1.4497857142857142</v>
      </c>
      <c r="O1019" s="345">
        <f t="shared" si="1198"/>
        <v>4.9613243336453665E-2</v>
      </c>
    </row>
    <row r="1020" spans="1:15" ht="23.4" x14ac:dyDescent="0.3">
      <c r="A1020" s="274" t="s">
        <v>102</v>
      </c>
      <c r="B1020" s="1022" t="s">
        <v>403</v>
      </c>
      <c r="C1020" s="269" t="s">
        <v>306</v>
      </c>
      <c r="D1020" s="269"/>
      <c r="E1020" s="270">
        <f>176000+39000+35000+36000+19000</f>
        <v>305000</v>
      </c>
      <c r="F1020" s="315"/>
      <c r="G1020" s="332">
        <f t="shared" ref="G1020:G1024" si="1213">+H1020+I1020</f>
        <v>45083</v>
      </c>
      <c r="H1020" s="272">
        <v>44904</v>
      </c>
      <c r="I1020" s="272">
        <v>179</v>
      </c>
      <c r="J1020" s="371" t="str">
        <f>IFERROR(G1020/F1020,"-")</f>
        <v>-</v>
      </c>
      <c r="K1020" s="332">
        <f t="shared" ref="K1020:K1024" si="1214">+L1020+M1020</f>
        <v>207053</v>
      </c>
      <c r="L1020" s="272">
        <f t="shared" ref="L1020:M1024" si="1215">+H1020+L904</f>
        <v>205788</v>
      </c>
      <c r="M1020" s="272">
        <f t="shared" si="1215"/>
        <v>1265</v>
      </c>
      <c r="N1020" s="359">
        <f t="shared" si="1210"/>
        <v>0.67886229508196716</v>
      </c>
      <c r="O1020" s="360">
        <f t="shared" si="1198"/>
        <v>6.1095468310046223E-3</v>
      </c>
    </row>
    <row r="1021" spans="1:15" ht="23.4" x14ac:dyDescent="0.3">
      <c r="A1021" s="274" t="s">
        <v>102</v>
      </c>
      <c r="B1021" s="1023"/>
      <c r="C1021" s="269" t="s">
        <v>307</v>
      </c>
      <c r="D1021" s="275"/>
      <c r="E1021" s="276"/>
      <c r="F1021" s="316"/>
      <c r="G1021" s="333">
        <f t="shared" si="1213"/>
        <v>0</v>
      </c>
      <c r="H1021" s="278"/>
      <c r="I1021" s="278"/>
      <c r="J1021" s="371" t="str">
        <f t="shared" ref="J1021:J1024" si="1216">IFERROR(G1021/F1021,"-")</f>
        <v>-</v>
      </c>
      <c r="K1021" s="333">
        <f t="shared" si="1214"/>
        <v>0</v>
      </c>
      <c r="L1021" s="272">
        <f t="shared" si="1215"/>
        <v>0</v>
      </c>
      <c r="M1021" s="273">
        <f t="shared" si="1215"/>
        <v>0</v>
      </c>
      <c r="N1021" s="361" t="str">
        <f t="shared" si="1210"/>
        <v>-</v>
      </c>
      <c r="O1021" s="362" t="str">
        <f t="shared" si="1198"/>
        <v>-</v>
      </c>
    </row>
    <row r="1022" spans="1:15" ht="23.4" x14ac:dyDescent="0.3">
      <c r="A1022" s="274" t="s">
        <v>102</v>
      </c>
      <c r="B1022" s="1023"/>
      <c r="C1022" s="275" t="s">
        <v>499</v>
      </c>
      <c r="D1022" s="275"/>
      <c r="E1022" s="276">
        <f>70000+15000</f>
        <v>85000</v>
      </c>
      <c r="F1022" s="316"/>
      <c r="G1022" s="333">
        <f t="shared" si="1213"/>
        <v>0</v>
      </c>
      <c r="H1022" s="278"/>
      <c r="I1022" s="278"/>
      <c r="J1022" s="371" t="str">
        <f t="shared" si="1216"/>
        <v>-</v>
      </c>
      <c r="K1022" s="333">
        <f t="shared" si="1214"/>
        <v>49665</v>
      </c>
      <c r="L1022" s="272">
        <f t="shared" si="1215"/>
        <v>49032</v>
      </c>
      <c r="M1022" s="273">
        <f t="shared" si="1215"/>
        <v>633</v>
      </c>
      <c r="N1022" s="361">
        <f t="shared" si="1210"/>
        <v>0.58429411764705885</v>
      </c>
      <c r="O1022" s="362">
        <f t="shared" si="1198"/>
        <v>1.2745394140742978E-2</v>
      </c>
    </row>
    <row r="1023" spans="1:15" ht="23.4" x14ac:dyDescent="0.3">
      <c r="A1023" s="274" t="s">
        <v>102</v>
      </c>
      <c r="B1023" s="1023"/>
      <c r="C1023" s="275" t="s">
        <v>157</v>
      </c>
      <c r="D1023" s="275"/>
      <c r="E1023" s="276"/>
      <c r="F1023" s="316"/>
      <c r="G1023" s="333">
        <f t="shared" si="1213"/>
        <v>0</v>
      </c>
      <c r="H1023" s="278"/>
      <c r="I1023" s="278"/>
      <c r="J1023" s="371" t="str">
        <f t="shared" si="1216"/>
        <v>-</v>
      </c>
      <c r="K1023" s="333">
        <f t="shared" si="1214"/>
        <v>0</v>
      </c>
      <c r="L1023" s="272">
        <f t="shared" si="1215"/>
        <v>0</v>
      </c>
      <c r="M1023" s="273">
        <f t="shared" si="1215"/>
        <v>0</v>
      </c>
      <c r="N1023" s="361" t="str">
        <f t="shared" si="1210"/>
        <v>-</v>
      </c>
      <c r="O1023" s="362" t="str">
        <f t="shared" si="1198"/>
        <v>-</v>
      </c>
    </row>
    <row r="1024" spans="1:15" ht="24" thickBot="1" x14ac:dyDescent="0.35">
      <c r="A1024" s="274" t="s">
        <v>102</v>
      </c>
      <c r="B1024" s="1024"/>
      <c r="C1024" s="279" t="s">
        <v>158</v>
      </c>
      <c r="D1024" s="279"/>
      <c r="E1024" s="280"/>
      <c r="F1024" s="317"/>
      <c r="G1024" s="334">
        <f t="shared" si="1213"/>
        <v>0</v>
      </c>
      <c r="H1024" s="282"/>
      <c r="I1024" s="282"/>
      <c r="J1024" s="371" t="str">
        <f t="shared" si="1216"/>
        <v>-</v>
      </c>
      <c r="K1024" s="334">
        <f t="shared" si="1214"/>
        <v>0</v>
      </c>
      <c r="L1024" s="272">
        <f t="shared" si="1215"/>
        <v>0</v>
      </c>
      <c r="M1024" s="273">
        <f t="shared" si="1215"/>
        <v>0</v>
      </c>
      <c r="N1024" s="363" t="str">
        <f t="shared" si="1210"/>
        <v>-</v>
      </c>
      <c r="O1024" s="364" t="str">
        <f t="shared" si="1198"/>
        <v>-</v>
      </c>
    </row>
    <row r="1025" spans="1:15" ht="24" thickBot="1" x14ac:dyDescent="0.35">
      <c r="A1025" s="274" t="s">
        <v>102</v>
      </c>
      <c r="B1025" s="1025" t="s">
        <v>39</v>
      </c>
      <c r="C1025" s="1026"/>
      <c r="D1025" s="1027"/>
      <c r="E1025" s="320">
        <f>SUM(E1020:E1024)</f>
        <v>390000</v>
      </c>
      <c r="F1025" s="285">
        <v>25000</v>
      </c>
      <c r="G1025" s="320">
        <f>SUM(G1020:G1024)</f>
        <v>45083</v>
      </c>
      <c r="H1025" s="321">
        <f>SUM(H1020:H1024)</f>
        <v>44904</v>
      </c>
      <c r="I1025" s="321">
        <f>SUM(I1020:I1024)</f>
        <v>179</v>
      </c>
      <c r="J1025" s="345">
        <f>IFERROR(G1025/F1025,"-")</f>
        <v>1.80332</v>
      </c>
      <c r="K1025" s="320">
        <f>SUM(K1020:K1024)</f>
        <v>256718</v>
      </c>
      <c r="L1025" s="321">
        <f>SUM(L1020:L1024)</f>
        <v>254820</v>
      </c>
      <c r="M1025" s="322">
        <f>SUM(M1020:M1024)</f>
        <v>1898</v>
      </c>
      <c r="N1025" s="339">
        <f t="shared" si="1210"/>
        <v>0.65825128205128203</v>
      </c>
      <c r="O1025" s="345">
        <f t="shared" si="1198"/>
        <v>7.3933265294992946E-3</v>
      </c>
    </row>
    <row r="1026" spans="1:15" ht="23.4" x14ac:dyDescent="0.3">
      <c r="A1026" s="274" t="s">
        <v>102</v>
      </c>
      <c r="B1026" s="1022" t="s">
        <v>404</v>
      </c>
      <c r="C1026" s="269" t="s">
        <v>186</v>
      </c>
      <c r="D1026" s="269"/>
      <c r="E1026" s="270"/>
      <c r="F1026" s="271"/>
      <c r="G1026" s="332">
        <f t="shared" ref="G1026:G1028" si="1217">+H1026+I1026</f>
        <v>0</v>
      </c>
      <c r="H1026" s="272"/>
      <c r="I1026" s="272"/>
      <c r="J1026" s="351" t="str">
        <f>IFERROR(G1026/F1026,"-")</f>
        <v>-</v>
      </c>
      <c r="K1026" s="332">
        <f t="shared" ref="K1026:K1028" si="1218">+L1026+M1026</f>
        <v>0</v>
      </c>
      <c r="L1026" s="272">
        <f t="shared" ref="L1026:M1028" si="1219">+H1026+L910</f>
        <v>0</v>
      </c>
      <c r="M1026" s="273">
        <f t="shared" si="1219"/>
        <v>0</v>
      </c>
      <c r="N1026" s="336" t="str">
        <f t="shared" si="1210"/>
        <v>-</v>
      </c>
      <c r="O1026" s="346" t="str">
        <f t="shared" si="1198"/>
        <v>-</v>
      </c>
    </row>
    <row r="1027" spans="1:15" ht="23.4" x14ac:dyDescent="0.3">
      <c r="A1027" s="274" t="s">
        <v>102</v>
      </c>
      <c r="B1027" s="1023"/>
      <c r="C1027" s="275" t="s">
        <v>497</v>
      </c>
      <c r="D1027" s="275"/>
      <c r="E1027" s="276">
        <f>33000+15000</f>
        <v>48000</v>
      </c>
      <c r="F1027" s="277"/>
      <c r="G1027" s="333">
        <f t="shared" si="1217"/>
        <v>0</v>
      </c>
      <c r="H1027" s="278"/>
      <c r="I1027" s="278"/>
      <c r="J1027" s="351" t="str">
        <f t="shared" ref="J1027:J1028" si="1220">IFERROR(G1027/F1027,"-")</f>
        <v>-</v>
      </c>
      <c r="K1027" s="333">
        <f t="shared" si="1218"/>
        <v>11826</v>
      </c>
      <c r="L1027" s="714">
        <f t="shared" si="1219"/>
        <v>11400</v>
      </c>
      <c r="M1027" s="273">
        <f t="shared" si="1219"/>
        <v>426</v>
      </c>
      <c r="N1027" s="361">
        <f t="shared" si="1210"/>
        <v>0.24637500000000001</v>
      </c>
      <c r="O1027" s="362">
        <f t="shared" si="1198"/>
        <v>3.6022323693556568E-2</v>
      </c>
    </row>
    <row r="1028" spans="1:15" ht="24" thickBot="1" x14ac:dyDescent="0.35">
      <c r="A1028" s="274" t="s">
        <v>102</v>
      </c>
      <c r="B1028" s="1024"/>
      <c r="C1028" s="279" t="s">
        <v>498</v>
      </c>
      <c r="D1028" s="279"/>
      <c r="E1028" s="280">
        <f>50000+10000</f>
        <v>60000</v>
      </c>
      <c r="F1028" s="281"/>
      <c r="G1028" s="334">
        <f t="shared" si="1217"/>
        <v>0</v>
      </c>
      <c r="H1028" s="282"/>
      <c r="I1028" s="282"/>
      <c r="J1028" s="351" t="str">
        <f t="shared" si="1220"/>
        <v>-</v>
      </c>
      <c r="K1028" s="334">
        <f t="shared" si="1218"/>
        <v>0</v>
      </c>
      <c r="L1028" s="272">
        <f t="shared" si="1219"/>
        <v>0</v>
      </c>
      <c r="M1028" s="273">
        <f t="shared" si="1219"/>
        <v>0</v>
      </c>
      <c r="N1028" s="363">
        <f t="shared" si="1210"/>
        <v>0</v>
      </c>
      <c r="O1028" s="364" t="str">
        <f t="shared" si="1198"/>
        <v>-</v>
      </c>
    </row>
    <row r="1029" spans="1:15" ht="24" thickBot="1" x14ac:dyDescent="0.35">
      <c r="A1029" s="274" t="s">
        <v>102</v>
      </c>
      <c r="B1029" s="1034" t="s">
        <v>41</v>
      </c>
      <c r="C1029" s="1035"/>
      <c r="D1029" s="1036"/>
      <c r="E1029" s="320">
        <f>SUM(E1026:E1028)</f>
        <v>108000</v>
      </c>
      <c r="F1029" s="285"/>
      <c r="G1029" s="320">
        <f>SUM(G1026:G1028)</f>
        <v>0</v>
      </c>
      <c r="H1029" s="321">
        <f t="shared" ref="H1029:I1029" si="1221">SUM(H1026:H1028)</f>
        <v>0</v>
      </c>
      <c r="I1029" s="321">
        <f t="shared" si="1221"/>
        <v>0</v>
      </c>
      <c r="J1029" s="345" t="str">
        <f>IFERROR(G1029/F1029,"-")</f>
        <v>-</v>
      </c>
      <c r="K1029" s="320">
        <f t="shared" ref="K1029:M1029" si="1222">SUM(K1026:K1028)</f>
        <v>11826</v>
      </c>
      <c r="L1029" s="365">
        <f t="shared" si="1222"/>
        <v>11400</v>
      </c>
      <c r="M1029" s="367">
        <f t="shared" si="1222"/>
        <v>426</v>
      </c>
      <c r="N1029" s="339">
        <f t="shared" si="1210"/>
        <v>0.1095</v>
      </c>
      <c r="O1029" s="345">
        <f t="shared" si="1198"/>
        <v>3.6022323693556568E-2</v>
      </c>
    </row>
    <row r="1030" spans="1:15" ht="24" thickBot="1" x14ac:dyDescent="0.35">
      <c r="A1030" s="274" t="s">
        <v>102</v>
      </c>
      <c r="B1030" s="1022" t="s">
        <v>42</v>
      </c>
      <c r="C1030" s="269" t="s">
        <v>160</v>
      </c>
      <c r="D1030" s="269"/>
      <c r="E1030" s="270">
        <v>11076</v>
      </c>
      <c r="F1030" s="271"/>
      <c r="G1030" s="332">
        <f t="shared" ref="G1030:G1031" si="1223">+H1030+I1030</f>
        <v>0</v>
      </c>
      <c r="H1030" s="272"/>
      <c r="I1030" s="272"/>
      <c r="J1030" s="371" t="str">
        <f>IFERROR(G1030/F1030,"-")</f>
        <v>-</v>
      </c>
      <c r="K1030" s="695">
        <f t="shared" ref="K1030:K1031" si="1224">+L1030+M1030</f>
        <v>0</v>
      </c>
      <c r="L1030" s="688">
        <f>+H1030+L914</f>
        <v>0</v>
      </c>
      <c r="M1030" s="688">
        <f>+I1030+M914</f>
        <v>0</v>
      </c>
      <c r="N1030" s="359">
        <f t="shared" si="1210"/>
        <v>0</v>
      </c>
      <c r="O1030" s="360" t="str">
        <f t="shared" si="1198"/>
        <v>-</v>
      </c>
    </row>
    <row r="1031" spans="1:15" ht="24" thickBot="1" x14ac:dyDescent="0.35">
      <c r="A1031" s="274" t="s">
        <v>102</v>
      </c>
      <c r="B1031" s="1024"/>
      <c r="C1031" s="279" t="s">
        <v>161</v>
      </c>
      <c r="D1031" s="279"/>
      <c r="E1031" s="280">
        <v>0</v>
      </c>
      <c r="F1031" s="281"/>
      <c r="G1031" s="334">
        <f t="shared" si="1223"/>
        <v>0</v>
      </c>
      <c r="H1031" s="282"/>
      <c r="I1031" s="282"/>
      <c r="J1031" s="373" t="str">
        <f>IFERROR(G1031/F1031,"-")</f>
        <v>-</v>
      </c>
      <c r="K1031" s="696">
        <f t="shared" si="1224"/>
        <v>0</v>
      </c>
      <c r="L1031" s="688">
        <f>+H1031+L915</f>
        <v>0</v>
      </c>
      <c r="M1031" s="688">
        <f>+I1031+M915</f>
        <v>0</v>
      </c>
      <c r="N1031" s="363" t="str">
        <f t="shared" si="1210"/>
        <v>-</v>
      </c>
      <c r="O1031" s="364" t="str">
        <f t="shared" si="1198"/>
        <v>-</v>
      </c>
    </row>
    <row r="1032" spans="1:15" ht="24" thickBot="1" x14ac:dyDescent="0.35">
      <c r="A1032" s="274" t="s">
        <v>102</v>
      </c>
      <c r="B1032" s="1034" t="s">
        <v>43</v>
      </c>
      <c r="C1032" s="1035"/>
      <c r="D1032" s="1036"/>
      <c r="E1032" s="284">
        <f>SUM(E1030:E1031)</f>
        <v>11076</v>
      </c>
      <c r="F1032" s="285">
        <v>25000</v>
      </c>
      <c r="G1032" s="320">
        <f>SUM(G1030:G1031)</f>
        <v>0</v>
      </c>
      <c r="H1032" s="321">
        <f t="shared" ref="H1032:I1032" si="1225">SUM(H1030:H1031)</f>
        <v>0</v>
      </c>
      <c r="I1032" s="321">
        <f t="shared" si="1225"/>
        <v>0</v>
      </c>
      <c r="J1032" s="345">
        <f>IFERROR(G1032/F1032,"-")</f>
        <v>0</v>
      </c>
      <c r="K1032" s="760">
        <f t="shared" ref="K1032:M1032" si="1226">SUM(K1030:K1031)</f>
        <v>0</v>
      </c>
      <c r="L1032" s="761">
        <f t="shared" si="1226"/>
        <v>0</v>
      </c>
      <c r="M1032" s="761">
        <f t="shared" si="1226"/>
        <v>0</v>
      </c>
      <c r="N1032" s="339">
        <f t="shared" si="1210"/>
        <v>0</v>
      </c>
      <c r="O1032" s="345" t="str">
        <f t="shared" si="1198"/>
        <v>-</v>
      </c>
    </row>
    <row r="1033" spans="1:15" ht="24" thickBot="1" x14ac:dyDescent="0.35">
      <c r="A1033" s="274" t="s">
        <v>102</v>
      </c>
      <c r="B1033" s="1028" t="s">
        <v>25</v>
      </c>
      <c r="C1033" s="1029"/>
      <c r="D1033" s="1030"/>
      <c r="E1033" s="326">
        <f t="shared" ref="E1033:F1033" si="1227">+E1011+E1016+E1019+E1025+E1029+E1032</f>
        <v>545076</v>
      </c>
      <c r="F1033" s="327">
        <f t="shared" si="1227"/>
        <v>65800</v>
      </c>
      <c r="G1033" s="326">
        <f>+G1011+G1016+G1019+G1025+G1029+G1032</f>
        <v>48693</v>
      </c>
      <c r="H1033" s="324">
        <f>+H1011+H1016+H1019+H1025+H1029+H1032</f>
        <v>48453</v>
      </c>
      <c r="I1033" s="324">
        <f t="shared" ref="I1033" si="1228">+I1011+I1016+I1019+I1025+I1029+I1032</f>
        <v>240</v>
      </c>
      <c r="J1033" s="349">
        <f>IFERROR(G1033/F1033,"-")</f>
        <v>0.74001519756838907</v>
      </c>
      <c r="K1033" s="326">
        <f>+K1011+K1016+K1019+K1025+K1029+K1032</f>
        <v>298479</v>
      </c>
      <c r="L1033" s="759">
        <f t="shared" ref="L1033:M1033" si="1229">+L1011+L1016+L1019+L1025+L1029+L1032</f>
        <v>294659</v>
      </c>
      <c r="M1033" s="325">
        <f t="shared" si="1229"/>
        <v>3820</v>
      </c>
      <c r="N1033" s="341">
        <f t="shared" si="1210"/>
        <v>0.5475915285207934</v>
      </c>
      <c r="O1033" s="349">
        <f t="shared" si="1198"/>
        <v>1.2798220310306588E-2</v>
      </c>
    </row>
    <row r="1034" spans="1:15" ht="24" thickBot="1" x14ac:dyDescent="0.35">
      <c r="A1034" s="318" t="s">
        <v>102</v>
      </c>
      <c r="B1034" s="1020" t="s">
        <v>173</v>
      </c>
      <c r="C1034" s="1020"/>
      <c r="D1034" s="1021"/>
      <c r="E1034" s="330">
        <f>+E1033</f>
        <v>545076</v>
      </c>
      <c r="F1034" s="331">
        <f t="shared" ref="F1034:O1034" si="1230">+F1033</f>
        <v>65800</v>
      </c>
      <c r="G1034" s="330">
        <f t="shared" si="1230"/>
        <v>48693</v>
      </c>
      <c r="H1034" s="328">
        <f t="shared" si="1230"/>
        <v>48453</v>
      </c>
      <c r="I1034" s="328">
        <f t="shared" si="1230"/>
        <v>240</v>
      </c>
      <c r="J1034" s="350">
        <f>+G1034/F1034</f>
        <v>0.74001519756838907</v>
      </c>
      <c r="K1034" s="330">
        <f t="shared" si="1230"/>
        <v>298479</v>
      </c>
      <c r="L1034" s="328">
        <f t="shared" si="1230"/>
        <v>294659</v>
      </c>
      <c r="M1034" s="329">
        <f t="shared" si="1230"/>
        <v>3820</v>
      </c>
      <c r="N1034" s="342">
        <f t="shared" si="1230"/>
        <v>0.5475915285207934</v>
      </c>
      <c r="O1034" s="350">
        <f t="shared" si="1230"/>
        <v>1.2798220310306588E-2</v>
      </c>
    </row>
    <row r="1035" spans="1:15" ht="24.6" thickBot="1" x14ac:dyDescent="0.35">
      <c r="A1035" s="319"/>
      <c r="B1035" s="1031" t="s">
        <v>174</v>
      </c>
      <c r="C1035" s="1032"/>
      <c r="D1035" s="1033"/>
      <c r="E1035" s="374">
        <f>+E972+E1007+E1034</f>
        <v>6540740</v>
      </c>
      <c r="F1035" s="374">
        <f>+F972+F1007+F1034</f>
        <v>1024800</v>
      </c>
      <c r="G1035" s="374">
        <f>+G972+G1007+G1034</f>
        <v>316430</v>
      </c>
      <c r="H1035" s="374">
        <f>+H972+H1007+H1034</f>
        <v>314127</v>
      </c>
      <c r="I1035" s="374">
        <f>+I972+I1007+I1034</f>
        <v>2303</v>
      </c>
      <c r="J1035" s="375">
        <f>IFERROR(G1035/F1035,"-")</f>
        <v>0.30877244340359095</v>
      </c>
      <c r="K1035" s="374">
        <f>+K972+K1007+K1034</f>
        <v>3116070</v>
      </c>
      <c r="L1035" s="374">
        <f>+L972+L1007+L1034</f>
        <v>3088197</v>
      </c>
      <c r="M1035" s="374">
        <f>+M972+M1007+M1034</f>
        <v>27873</v>
      </c>
      <c r="N1035" s="375">
        <f>IFERROR(K1035/E1035,"-")</f>
        <v>0.47640939710185698</v>
      </c>
      <c r="O1035" s="375">
        <f>IFERROR(M1035/K1035,"-")</f>
        <v>8.9449210062675106E-3</v>
      </c>
    </row>
    <row r="1036" spans="1:15" ht="23.4" x14ac:dyDescent="0.3">
      <c r="A1036" s="1057" t="s">
        <v>1</v>
      </c>
      <c r="B1036" s="1060" t="s">
        <v>2</v>
      </c>
      <c r="C1036" s="1063" t="s">
        <v>396</v>
      </c>
      <c r="D1036" s="1063" t="s">
        <v>397</v>
      </c>
      <c r="E1036" s="1066" t="s">
        <v>4</v>
      </c>
      <c r="F1036" s="1067"/>
      <c r="G1036" s="1067"/>
      <c r="H1036" s="1067"/>
      <c r="I1036" s="1067"/>
      <c r="J1036" s="1067"/>
      <c r="K1036" s="1067"/>
      <c r="L1036" s="1067"/>
      <c r="M1036" s="1067"/>
      <c r="N1036" s="1067"/>
      <c r="O1036" s="1068"/>
    </row>
    <row r="1037" spans="1:15" ht="23.4" x14ac:dyDescent="0.3">
      <c r="A1037" s="1058"/>
      <c r="B1037" s="1061"/>
      <c r="C1037" s="1064"/>
      <c r="D1037" s="1064"/>
      <c r="E1037" s="1069" t="s">
        <v>7</v>
      </c>
      <c r="F1037" s="1071" t="s">
        <v>108</v>
      </c>
      <c r="G1037" s="1073" t="s">
        <v>542</v>
      </c>
      <c r="H1037" s="1074"/>
      <c r="I1037" s="1074"/>
      <c r="J1037" s="1075"/>
      <c r="K1037" s="1076" t="s">
        <v>398</v>
      </c>
      <c r="L1037" s="1077"/>
      <c r="M1037" s="1078"/>
      <c r="N1037" s="1079" t="s">
        <v>399</v>
      </c>
      <c r="O1037" s="1081" t="s">
        <v>164</v>
      </c>
    </row>
    <row r="1038" spans="1:15" ht="41.4" thickBot="1" x14ac:dyDescent="0.35">
      <c r="A1038" s="1059"/>
      <c r="B1038" s="1062"/>
      <c r="C1038" s="1065"/>
      <c r="D1038" s="1065"/>
      <c r="E1038" s="1070"/>
      <c r="F1038" s="1072"/>
      <c r="G1038" s="452" t="s">
        <v>13</v>
      </c>
      <c r="H1038" s="453" t="s">
        <v>14</v>
      </c>
      <c r="I1038" s="453" t="s">
        <v>15</v>
      </c>
      <c r="J1038" s="454" t="s">
        <v>166</v>
      </c>
      <c r="K1038" s="680" t="s">
        <v>13</v>
      </c>
      <c r="L1038" s="678" t="s">
        <v>14</v>
      </c>
      <c r="M1038" s="679" t="s">
        <v>15</v>
      </c>
      <c r="N1038" s="1080"/>
      <c r="O1038" s="1082"/>
    </row>
    <row r="1039" spans="1:15" ht="23.4" x14ac:dyDescent="0.3">
      <c r="A1039" s="268" t="s">
        <v>103</v>
      </c>
      <c r="B1039" s="1043" t="s">
        <v>16</v>
      </c>
      <c r="C1039" s="269" t="s">
        <v>549</v>
      </c>
      <c r="D1039" s="269" t="s">
        <v>369</v>
      </c>
      <c r="E1039" s="270">
        <v>20000</v>
      </c>
      <c r="F1039" s="271"/>
      <c r="G1039" s="332">
        <f>+H1039+I1039</f>
        <v>2482</v>
      </c>
      <c r="H1039" s="272">
        <v>2240</v>
      </c>
      <c r="I1039" s="272">
        <v>242</v>
      </c>
      <c r="J1039" s="352" t="str">
        <f>IFERROR(G1039/F1039,"-")</f>
        <v>-</v>
      </c>
      <c r="K1039" s="694">
        <f>+L1039+M1039</f>
        <v>2752</v>
      </c>
      <c r="L1039" s="527">
        <f>+H1039+L923</f>
        <v>2240</v>
      </c>
      <c r="M1039" s="459">
        <f>+I1039+M923</f>
        <v>512</v>
      </c>
      <c r="N1039" s="336">
        <f>IFERROR(K1039/E1039,"-")</f>
        <v>0.1376</v>
      </c>
      <c r="O1039" s="343">
        <f t="shared" ref="O1039:O1040" si="1231">IFERROR(M1039/K1039,"-")</f>
        <v>0.18604651162790697</v>
      </c>
    </row>
    <row r="1040" spans="1:15" ht="23.4" x14ac:dyDescent="0.3">
      <c r="A1040" s="274" t="s">
        <v>103</v>
      </c>
      <c r="B1040" s="1044"/>
      <c r="C1040" s="275" t="s">
        <v>376</v>
      </c>
      <c r="D1040" s="275" t="s">
        <v>375</v>
      </c>
      <c r="E1040" s="276"/>
      <c r="F1040" s="277"/>
      <c r="G1040" s="333">
        <f t="shared" ref="G1040:G1042" si="1232">+H1040+I1040</f>
        <v>0</v>
      </c>
      <c r="H1040" s="278"/>
      <c r="I1040" s="278"/>
      <c r="J1040" s="352" t="str">
        <f t="shared" ref="J1040:J1042" si="1233">IFERROR(G1040/F1040,"-")</f>
        <v>-</v>
      </c>
      <c r="K1040" s="690">
        <f t="shared" ref="K1040:K1042" si="1234">+L1040+M1040</f>
        <v>0</v>
      </c>
      <c r="L1040" s="276">
        <f t="shared" ref="L1040:M1040" si="1235">+H1040+L924</f>
        <v>0</v>
      </c>
      <c r="M1040" s="436">
        <f t="shared" si="1235"/>
        <v>0</v>
      </c>
      <c r="N1040" s="337" t="str">
        <f t="shared" ref="N1040:N1042" si="1236">IFERROR(K1040/E1040,"-")</f>
        <v>-</v>
      </c>
      <c r="O1040" s="265" t="str">
        <f t="shared" si="1231"/>
        <v>-</v>
      </c>
    </row>
    <row r="1041" spans="1:15" s="723" customFormat="1" ht="23.4" x14ac:dyDescent="0.3">
      <c r="A1041" s="274" t="s">
        <v>103</v>
      </c>
      <c r="B1041" s="1044"/>
      <c r="C1041" s="573" t="s">
        <v>431</v>
      </c>
      <c r="D1041" s="573" t="s">
        <v>366</v>
      </c>
      <c r="E1041" s="720"/>
      <c r="F1041" s="721"/>
      <c r="G1041" s="333">
        <f t="shared" si="1232"/>
        <v>0</v>
      </c>
      <c r="H1041" s="722"/>
      <c r="I1041" s="722"/>
      <c r="J1041" s="352" t="str">
        <f t="shared" si="1233"/>
        <v>-</v>
      </c>
      <c r="K1041" s="690">
        <f t="shared" si="1234"/>
        <v>8000</v>
      </c>
      <c r="L1041" s="276">
        <f t="shared" ref="L1041:M1041" si="1237">+H1041+L925</f>
        <v>8000</v>
      </c>
      <c r="M1041" s="436">
        <f t="shared" si="1237"/>
        <v>0</v>
      </c>
      <c r="N1041" s="337" t="str">
        <f t="shared" si="1236"/>
        <v>-</v>
      </c>
      <c r="O1041" s="265">
        <f>IFERROR(M1041/K1041,"-")</f>
        <v>0</v>
      </c>
    </row>
    <row r="1042" spans="1:15" ht="24" thickBot="1" x14ac:dyDescent="0.35">
      <c r="A1042" s="274" t="s">
        <v>103</v>
      </c>
      <c r="B1042" s="1045"/>
      <c r="C1042" s="279" t="s">
        <v>428</v>
      </c>
      <c r="D1042" s="279" t="s">
        <v>374</v>
      </c>
      <c r="E1042" s="280"/>
      <c r="F1042" s="281"/>
      <c r="G1042" s="334">
        <f t="shared" si="1232"/>
        <v>0</v>
      </c>
      <c r="H1042" s="272"/>
      <c r="I1042" s="272"/>
      <c r="J1042" s="352" t="str">
        <f t="shared" si="1233"/>
        <v>-</v>
      </c>
      <c r="K1042" s="691">
        <f t="shared" si="1234"/>
        <v>0</v>
      </c>
      <c r="L1042" s="530">
        <f t="shared" ref="L1042:M1042" si="1238">+H1042+L926</f>
        <v>0</v>
      </c>
      <c r="M1042" s="462">
        <f t="shared" si="1238"/>
        <v>0</v>
      </c>
      <c r="N1042" s="338" t="str">
        <f t="shared" si="1236"/>
        <v>-</v>
      </c>
      <c r="O1042" s="344" t="str">
        <f t="shared" ref="O1042:O1060" si="1239">IFERROR(M1042/K1042,"-")</f>
        <v>-</v>
      </c>
    </row>
    <row r="1043" spans="1:15" ht="24" thickBot="1" x14ac:dyDescent="0.35">
      <c r="A1043" s="274" t="s">
        <v>103</v>
      </c>
      <c r="B1043" s="1025" t="s">
        <v>44</v>
      </c>
      <c r="C1043" s="1026"/>
      <c r="D1043" s="1027"/>
      <c r="E1043" s="320">
        <f>SUM(E1039:E1042)</f>
        <v>20000</v>
      </c>
      <c r="F1043" s="285">
        <v>15000</v>
      </c>
      <c r="G1043" s="320">
        <f>SUM(G1039:G1042)</f>
        <v>2482</v>
      </c>
      <c r="H1043" s="321">
        <f t="shared" ref="H1043:I1043" si="1240">SUM(H1039:H1042)</f>
        <v>2240</v>
      </c>
      <c r="I1043" s="321">
        <f t="shared" si="1240"/>
        <v>242</v>
      </c>
      <c r="J1043" s="345">
        <f>+G1043/F1043</f>
        <v>0.16546666666666668</v>
      </c>
      <c r="K1043" s="320">
        <f t="shared" ref="K1043" si="1241">SUM(K1039:K1042)</f>
        <v>10752</v>
      </c>
      <c r="L1043" s="692">
        <f>SUM(L1039:L1042)</f>
        <v>10240</v>
      </c>
      <c r="M1043" s="693">
        <f>SUM(M1039:M1042)</f>
        <v>512</v>
      </c>
      <c r="N1043" s="339">
        <f>IFERROR(K1043/E1043,"-")</f>
        <v>0.53759999999999997</v>
      </c>
      <c r="O1043" s="345">
        <f t="shared" si="1239"/>
        <v>4.7619047619047616E-2</v>
      </c>
    </row>
    <row r="1044" spans="1:15" ht="23.4" x14ac:dyDescent="0.3">
      <c r="A1044" s="274" t="s">
        <v>103</v>
      </c>
      <c r="B1044" s="1043" t="s">
        <v>17</v>
      </c>
      <c r="C1044" s="269" t="s">
        <v>294</v>
      </c>
      <c r="D1044" s="269"/>
      <c r="E1044" s="270"/>
      <c r="F1044" s="271"/>
      <c r="G1044" s="332">
        <f t="shared" ref="G1044:G1050" si="1242">+H1044+I1044</f>
        <v>0</v>
      </c>
      <c r="H1044" s="272"/>
      <c r="I1044" s="272"/>
      <c r="J1044" s="351" t="str">
        <f>IFERROR(G1044/F1044,"-")</f>
        <v>-</v>
      </c>
      <c r="K1044" s="694">
        <f t="shared" ref="K1044:K1050" si="1243">+L1044+M1044</f>
        <v>0</v>
      </c>
      <c r="L1044" s="527">
        <f t="shared" ref="L1044:M1044" si="1244">+H1044+L928</f>
        <v>0</v>
      </c>
      <c r="M1044" s="459">
        <f t="shared" si="1244"/>
        <v>0</v>
      </c>
      <c r="N1044" s="336" t="str">
        <f t="shared" ref="N1044:N1050" si="1245">IFERROR(K1044/E1044,"-")</f>
        <v>-</v>
      </c>
      <c r="O1044" s="346" t="str">
        <f t="shared" si="1239"/>
        <v>-</v>
      </c>
    </row>
    <row r="1045" spans="1:15" ht="23.4" x14ac:dyDescent="0.3">
      <c r="A1045" s="274" t="s">
        <v>103</v>
      </c>
      <c r="B1045" s="1044"/>
      <c r="C1045" s="275" t="s">
        <v>344</v>
      </c>
      <c r="D1045" s="275" t="s">
        <v>232</v>
      </c>
      <c r="E1045" s="276">
        <v>1600000</v>
      </c>
      <c r="F1045" s="277"/>
      <c r="G1045" s="333">
        <f t="shared" si="1242"/>
        <v>0</v>
      </c>
      <c r="H1045" s="278"/>
      <c r="I1045" s="278"/>
      <c r="J1045" s="351" t="str">
        <f t="shared" ref="J1045:J1050" si="1246">IFERROR(G1045/F1045,"-")</f>
        <v>-</v>
      </c>
      <c r="K1045" s="690">
        <f t="shared" si="1243"/>
        <v>6120</v>
      </c>
      <c r="L1045" s="276">
        <f t="shared" ref="L1045:M1045" si="1247">+H1045+L929</f>
        <v>5980</v>
      </c>
      <c r="M1045" s="436">
        <f t="shared" si="1247"/>
        <v>140</v>
      </c>
      <c r="N1045" s="337">
        <f t="shared" si="1245"/>
        <v>3.8249999999999998E-3</v>
      </c>
      <c r="O1045" s="263">
        <f t="shared" si="1239"/>
        <v>2.2875816993464051E-2</v>
      </c>
    </row>
    <row r="1046" spans="1:15" ht="23.4" x14ac:dyDescent="0.3">
      <c r="A1046" s="274" t="s">
        <v>103</v>
      </c>
      <c r="B1046" s="1044"/>
      <c r="C1046" s="275" t="s">
        <v>367</v>
      </c>
      <c r="D1046" s="275" t="s">
        <v>187</v>
      </c>
      <c r="E1046" s="276">
        <v>1000000</v>
      </c>
      <c r="F1046" s="277"/>
      <c r="G1046" s="333">
        <f t="shared" si="1242"/>
        <v>116902</v>
      </c>
      <c r="H1046" s="278">
        <f>61200+48960+6120</f>
        <v>116280</v>
      </c>
      <c r="I1046" s="278">
        <f>425+197</f>
        <v>622</v>
      </c>
      <c r="J1046" s="351" t="str">
        <f t="shared" si="1246"/>
        <v>-</v>
      </c>
      <c r="K1046" s="690">
        <f t="shared" si="1243"/>
        <v>755916</v>
      </c>
      <c r="L1046" s="276">
        <f t="shared" ref="L1046:M1046" si="1248">+H1046+L930</f>
        <v>752760</v>
      </c>
      <c r="M1046" s="436">
        <f t="shared" si="1248"/>
        <v>3156</v>
      </c>
      <c r="N1046" s="337">
        <f t="shared" si="1245"/>
        <v>0.75591600000000003</v>
      </c>
      <c r="O1046" s="263">
        <f t="shared" si="1239"/>
        <v>4.1750670709443903E-3</v>
      </c>
    </row>
    <row r="1047" spans="1:15" ht="23.4" x14ac:dyDescent="0.3">
      <c r="A1047" s="274" t="s">
        <v>103</v>
      </c>
      <c r="B1047" s="1044"/>
      <c r="C1047" s="275" t="s">
        <v>530</v>
      </c>
      <c r="D1047" s="275" t="s">
        <v>529</v>
      </c>
      <c r="E1047" s="276"/>
      <c r="F1047" s="277"/>
      <c r="G1047" s="333">
        <f t="shared" si="1242"/>
        <v>0</v>
      </c>
      <c r="H1047" s="278"/>
      <c r="I1047" s="278"/>
      <c r="J1047" s="351" t="str">
        <f t="shared" si="1246"/>
        <v>-</v>
      </c>
      <c r="K1047" s="690">
        <f t="shared" si="1243"/>
        <v>41558</v>
      </c>
      <c r="L1047" s="276">
        <f t="shared" ref="L1047:M1047" si="1249">+H1047+L931</f>
        <v>41350</v>
      </c>
      <c r="M1047" s="436">
        <f t="shared" si="1249"/>
        <v>208</v>
      </c>
      <c r="N1047" s="337" t="str">
        <f t="shared" si="1245"/>
        <v>-</v>
      </c>
      <c r="O1047" s="263">
        <f t="shared" si="1239"/>
        <v>5.0050531786900235E-3</v>
      </c>
    </row>
    <row r="1048" spans="1:15" ht="23.4" x14ac:dyDescent="0.3">
      <c r="A1048" s="274" t="s">
        <v>103</v>
      </c>
      <c r="B1048" s="1044"/>
      <c r="C1048" s="275" t="s">
        <v>323</v>
      </c>
      <c r="D1048" s="275" t="s">
        <v>318</v>
      </c>
      <c r="E1048" s="276"/>
      <c r="F1048" s="277"/>
      <c r="G1048" s="333">
        <f t="shared" si="1242"/>
        <v>0</v>
      </c>
      <c r="H1048" s="278"/>
      <c r="I1048" s="278"/>
      <c r="J1048" s="351" t="str">
        <f t="shared" si="1246"/>
        <v>-</v>
      </c>
      <c r="K1048" s="690">
        <f t="shared" si="1243"/>
        <v>0</v>
      </c>
      <c r="L1048" s="276">
        <f t="shared" ref="L1048:M1048" si="1250">+H1048+L932</f>
        <v>0</v>
      </c>
      <c r="M1048" s="436">
        <f t="shared" si="1250"/>
        <v>0</v>
      </c>
      <c r="N1048" s="337" t="str">
        <f t="shared" si="1245"/>
        <v>-</v>
      </c>
      <c r="O1048" s="263" t="str">
        <f t="shared" si="1239"/>
        <v>-</v>
      </c>
    </row>
    <row r="1049" spans="1:15" ht="23.4" x14ac:dyDescent="0.3">
      <c r="A1049" s="274" t="s">
        <v>103</v>
      </c>
      <c r="B1049" s="1044"/>
      <c r="C1049" s="275" t="s">
        <v>528</v>
      </c>
      <c r="D1049" s="275" t="s">
        <v>189</v>
      </c>
      <c r="E1049" s="276"/>
      <c r="F1049" s="277"/>
      <c r="G1049" s="333">
        <f t="shared" si="1242"/>
        <v>5302</v>
      </c>
      <c r="H1049" s="278">
        <v>5302</v>
      </c>
      <c r="I1049" s="278"/>
      <c r="J1049" s="351" t="str">
        <f t="shared" si="1246"/>
        <v>-</v>
      </c>
      <c r="K1049" s="690">
        <f t="shared" si="1243"/>
        <v>33900</v>
      </c>
      <c r="L1049" s="276">
        <f t="shared" ref="L1049:M1049" si="1251">+H1049+L933</f>
        <v>33760</v>
      </c>
      <c r="M1049" s="436">
        <f t="shared" si="1251"/>
        <v>140</v>
      </c>
      <c r="N1049" s="337" t="str">
        <f t="shared" si="1245"/>
        <v>-</v>
      </c>
      <c r="O1049" s="263">
        <f t="shared" si="1239"/>
        <v>4.1297935103244837E-3</v>
      </c>
    </row>
    <row r="1050" spans="1:15" ht="24" thickBot="1" x14ac:dyDescent="0.35">
      <c r="A1050" s="274" t="s">
        <v>103</v>
      </c>
      <c r="B1050" s="1045"/>
      <c r="C1050" s="279" t="s">
        <v>341</v>
      </c>
      <c r="D1050" s="279" t="s">
        <v>232</v>
      </c>
      <c r="E1050" s="280"/>
      <c r="F1050" s="281"/>
      <c r="G1050" s="334">
        <f t="shared" si="1242"/>
        <v>0</v>
      </c>
      <c r="H1050" s="282"/>
      <c r="I1050" s="282"/>
      <c r="J1050" s="351" t="str">
        <f t="shared" si="1246"/>
        <v>-</v>
      </c>
      <c r="K1050" s="691">
        <f t="shared" si="1243"/>
        <v>0</v>
      </c>
      <c r="L1050" s="530">
        <f t="shared" ref="L1050:M1050" si="1252">+H1050+L934</f>
        <v>0</v>
      </c>
      <c r="M1050" s="462">
        <f t="shared" si="1252"/>
        <v>0</v>
      </c>
      <c r="N1050" s="338" t="str">
        <f t="shared" si="1245"/>
        <v>-</v>
      </c>
      <c r="O1050" s="347" t="str">
        <f t="shared" si="1239"/>
        <v>-</v>
      </c>
    </row>
    <row r="1051" spans="1:15" ht="24" thickBot="1" x14ac:dyDescent="0.35">
      <c r="A1051" s="274" t="s">
        <v>103</v>
      </c>
      <c r="B1051" s="1025" t="s">
        <v>45</v>
      </c>
      <c r="C1051" s="1026"/>
      <c r="D1051" s="1027"/>
      <c r="E1051" s="320">
        <f>SUM(E1044:E1050)</f>
        <v>2600000</v>
      </c>
      <c r="F1051" s="285">
        <v>100000</v>
      </c>
      <c r="G1051" s="320">
        <f>SUM(G1044:G1050)</f>
        <v>122204</v>
      </c>
      <c r="H1051" s="321">
        <f t="shared" ref="H1051:I1051" si="1253">SUM(H1044:H1050)</f>
        <v>121582</v>
      </c>
      <c r="I1051" s="321">
        <f t="shared" si="1253"/>
        <v>622</v>
      </c>
      <c r="J1051" s="345">
        <f>+G1051/F1051</f>
        <v>1.22204</v>
      </c>
      <c r="K1051" s="320">
        <f>SUM(K1044:K1050)</f>
        <v>837494</v>
      </c>
      <c r="L1051" s="519">
        <f>SUM(L1044:L1050)</f>
        <v>833850</v>
      </c>
      <c r="M1051" s="689">
        <f t="shared" ref="M1051" si="1254">SUM(M1044:M1050)</f>
        <v>3644</v>
      </c>
      <c r="N1051" s="339">
        <f>IFERROR(K1051/E1051,"-")</f>
        <v>0.32211307692307695</v>
      </c>
      <c r="O1051" s="345">
        <f t="shared" si="1239"/>
        <v>4.3510759480067914E-3</v>
      </c>
    </row>
    <row r="1052" spans="1:15" ht="23.4" x14ac:dyDescent="0.3">
      <c r="A1052" s="274" t="s">
        <v>103</v>
      </c>
      <c r="B1052" s="1043" t="s">
        <v>18</v>
      </c>
      <c r="C1052" s="269" t="s">
        <v>312</v>
      </c>
      <c r="D1052" s="269" t="s">
        <v>92</v>
      </c>
      <c r="E1052" s="270"/>
      <c r="F1052" s="271"/>
      <c r="G1052" s="332">
        <f t="shared" ref="G1052:G1058" si="1255">+H1052+I1052</f>
        <v>0</v>
      </c>
      <c r="H1052" s="272"/>
      <c r="I1052" s="272"/>
      <c r="J1052" s="351" t="str">
        <f>IFERROR(G1052/F1052,"-")</f>
        <v>-</v>
      </c>
      <c r="K1052" s="332">
        <f t="shared" ref="K1052:K1058" si="1256">+L1052+M1052</f>
        <v>0</v>
      </c>
      <c r="L1052" s="272">
        <f t="shared" ref="L1052:M1052" si="1257">+H1052+L936</f>
        <v>0</v>
      </c>
      <c r="M1052" s="273">
        <f t="shared" si="1257"/>
        <v>0</v>
      </c>
      <c r="N1052" s="336" t="str">
        <f t="shared" ref="N1052:N1059" si="1258">IFERROR(K1052/E1052,"-")</f>
        <v>-</v>
      </c>
      <c r="O1052" s="346" t="str">
        <f t="shared" si="1239"/>
        <v>-</v>
      </c>
    </row>
    <row r="1053" spans="1:15" ht="23.4" x14ac:dyDescent="0.3">
      <c r="A1053" s="274" t="s">
        <v>103</v>
      </c>
      <c r="B1053" s="1044"/>
      <c r="C1053" s="275" t="s">
        <v>233</v>
      </c>
      <c r="D1053" s="275" t="s">
        <v>234</v>
      </c>
      <c r="E1053" s="276"/>
      <c r="F1053" s="277"/>
      <c r="G1053" s="333">
        <f t="shared" si="1255"/>
        <v>0</v>
      </c>
      <c r="H1053" s="278"/>
      <c r="I1053" s="278"/>
      <c r="J1053" s="351" t="str">
        <f t="shared" ref="J1053:J1058" si="1259">IFERROR(G1053/F1053,"-")</f>
        <v>-</v>
      </c>
      <c r="K1053" s="333">
        <f t="shared" si="1256"/>
        <v>0</v>
      </c>
      <c r="L1053" s="272">
        <f t="shared" ref="L1053:M1053" si="1260">+H1053+L937</f>
        <v>0</v>
      </c>
      <c r="M1053" s="273">
        <f t="shared" si="1260"/>
        <v>0</v>
      </c>
      <c r="N1053" s="337" t="str">
        <f t="shared" si="1258"/>
        <v>-</v>
      </c>
      <c r="O1053" s="263" t="str">
        <f t="shared" si="1239"/>
        <v>-</v>
      </c>
    </row>
    <row r="1054" spans="1:15" ht="23.4" x14ac:dyDescent="0.3">
      <c r="A1054" s="274" t="s">
        <v>103</v>
      </c>
      <c r="B1054" s="1044"/>
      <c r="C1054" s="275" t="s">
        <v>115</v>
      </c>
      <c r="D1054" s="275"/>
      <c r="E1054" s="276"/>
      <c r="F1054" s="277"/>
      <c r="G1054" s="333">
        <f t="shared" si="1255"/>
        <v>0</v>
      </c>
      <c r="H1054" s="278"/>
      <c r="I1054" s="278"/>
      <c r="J1054" s="351" t="str">
        <f t="shared" si="1259"/>
        <v>-</v>
      </c>
      <c r="K1054" s="333">
        <f t="shared" si="1256"/>
        <v>0</v>
      </c>
      <c r="L1054" s="272">
        <f t="shared" ref="L1054:M1054" si="1261">+H1054+L938</f>
        <v>0</v>
      </c>
      <c r="M1054" s="273">
        <f t="shared" si="1261"/>
        <v>0</v>
      </c>
      <c r="N1054" s="337" t="str">
        <f t="shared" si="1258"/>
        <v>-</v>
      </c>
      <c r="O1054" s="263" t="str">
        <f t="shared" si="1239"/>
        <v>-</v>
      </c>
    </row>
    <row r="1055" spans="1:15" ht="23.4" x14ac:dyDescent="0.3">
      <c r="A1055" s="274" t="s">
        <v>103</v>
      </c>
      <c r="B1055" s="1044"/>
      <c r="C1055" s="275" t="s">
        <v>122</v>
      </c>
      <c r="D1055" s="275"/>
      <c r="E1055" s="276"/>
      <c r="F1055" s="277"/>
      <c r="G1055" s="333">
        <f t="shared" si="1255"/>
        <v>0</v>
      </c>
      <c r="H1055" s="278"/>
      <c r="I1055" s="278"/>
      <c r="J1055" s="351" t="str">
        <f t="shared" si="1259"/>
        <v>-</v>
      </c>
      <c r="K1055" s="333">
        <f t="shared" si="1256"/>
        <v>0</v>
      </c>
      <c r="L1055" s="272">
        <f t="shared" ref="L1055:M1055" si="1262">+H1055+L939</f>
        <v>0</v>
      </c>
      <c r="M1055" s="273">
        <f t="shared" si="1262"/>
        <v>0</v>
      </c>
      <c r="N1055" s="337" t="str">
        <f t="shared" si="1258"/>
        <v>-</v>
      </c>
      <c r="O1055" s="263" t="str">
        <f t="shared" si="1239"/>
        <v>-</v>
      </c>
    </row>
    <row r="1056" spans="1:15" ht="23.4" x14ac:dyDescent="0.3">
      <c r="A1056" s="274" t="s">
        <v>103</v>
      </c>
      <c r="B1056" s="1044"/>
      <c r="C1056" s="275" t="s">
        <v>176</v>
      </c>
      <c r="D1056" s="275" t="s">
        <v>177</v>
      </c>
      <c r="E1056" s="276"/>
      <c r="F1056" s="277"/>
      <c r="G1056" s="333">
        <f t="shared" si="1255"/>
        <v>0</v>
      </c>
      <c r="H1056" s="278"/>
      <c r="I1056" s="278"/>
      <c r="J1056" s="351" t="str">
        <f t="shared" si="1259"/>
        <v>-</v>
      </c>
      <c r="K1056" s="333">
        <f t="shared" si="1256"/>
        <v>0</v>
      </c>
      <c r="L1056" s="272">
        <f t="shared" ref="L1056:M1056" si="1263">+H1056+L940</f>
        <v>0</v>
      </c>
      <c r="M1056" s="273">
        <f t="shared" si="1263"/>
        <v>0</v>
      </c>
      <c r="N1056" s="337" t="str">
        <f t="shared" si="1258"/>
        <v>-</v>
      </c>
      <c r="O1056" s="263" t="str">
        <f t="shared" si="1239"/>
        <v>-</v>
      </c>
    </row>
    <row r="1057" spans="1:15" ht="23.4" x14ac:dyDescent="0.3">
      <c r="A1057" s="274" t="s">
        <v>103</v>
      </c>
      <c r="B1057" s="1044"/>
      <c r="C1057" s="275" t="s">
        <v>179</v>
      </c>
      <c r="D1057" s="275" t="s">
        <v>178</v>
      </c>
      <c r="E1057" s="276"/>
      <c r="F1057" s="277"/>
      <c r="G1057" s="333">
        <f t="shared" si="1255"/>
        <v>0</v>
      </c>
      <c r="H1057" s="278"/>
      <c r="I1057" s="278"/>
      <c r="J1057" s="351" t="str">
        <f t="shared" si="1259"/>
        <v>-</v>
      </c>
      <c r="K1057" s="333">
        <f t="shared" si="1256"/>
        <v>0</v>
      </c>
      <c r="L1057" s="272">
        <f t="shared" ref="L1057:M1057" si="1264">+H1057+L941</f>
        <v>0</v>
      </c>
      <c r="M1057" s="273">
        <f t="shared" si="1264"/>
        <v>0</v>
      </c>
      <c r="N1057" s="337" t="str">
        <f t="shared" si="1258"/>
        <v>-</v>
      </c>
      <c r="O1057" s="263" t="str">
        <f t="shared" si="1239"/>
        <v>-</v>
      </c>
    </row>
    <row r="1058" spans="1:15" ht="24" thickBot="1" x14ac:dyDescent="0.35">
      <c r="A1058" s="274" t="s">
        <v>103</v>
      </c>
      <c r="B1058" s="1045"/>
      <c r="C1058" s="286" t="s">
        <v>180</v>
      </c>
      <c r="D1058" s="286" t="s">
        <v>107</v>
      </c>
      <c r="E1058" s="280"/>
      <c r="F1058" s="281"/>
      <c r="G1058" s="334">
        <f t="shared" si="1255"/>
        <v>0</v>
      </c>
      <c r="H1058" s="282"/>
      <c r="I1058" s="282"/>
      <c r="J1058" s="351" t="str">
        <f t="shared" si="1259"/>
        <v>-</v>
      </c>
      <c r="K1058" s="334">
        <f t="shared" si="1256"/>
        <v>0</v>
      </c>
      <c r="L1058" s="272">
        <f t="shared" ref="L1058:M1058" si="1265">+H1058+L942</f>
        <v>0</v>
      </c>
      <c r="M1058" s="273">
        <f t="shared" si="1265"/>
        <v>0</v>
      </c>
      <c r="N1058" s="338" t="str">
        <f t="shared" si="1258"/>
        <v>-</v>
      </c>
      <c r="O1058" s="347" t="str">
        <f t="shared" si="1239"/>
        <v>-</v>
      </c>
    </row>
    <row r="1059" spans="1:15" ht="24" thickBot="1" x14ac:dyDescent="0.35">
      <c r="A1059" s="274" t="s">
        <v>103</v>
      </c>
      <c r="B1059" s="1025" t="s">
        <v>29</v>
      </c>
      <c r="C1059" s="1083"/>
      <c r="D1059" s="1084"/>
      <c r="E1059" s="366">
        <f t="shared" ref="E1059" si="1266">SUM(E1052:E1058)</f>
        <v>0</v>
      </c>
      <c r="F1059" s="307">
        <v>80000</v>
      </c>
      <c r="G1059" s="366">
        <f>SUM(G1052:G1058)</f>
        <v>0</v>
      </c>
      <c r="H1059" s="365">
        <f t="shared" ref="H1059:I1059" si="1267">SUM(H1052:H1058)</f>
        <v>0</v>
      </c>
      <c r="I1059" s="365">
        <f t="shared" si="1267"/>
        <v>0</v>
      </c>
      <c r="J1059" s="356">
        <f>+G1059/F1059</f>
        <v>0</v>
      </c>
      <c r="K1059" s="366">
        <f t="shared" ref="K1059" si="1268">SUM(K1052:K1058)</f>
        <v>0</v>
      </c>
      <c r="L1059" s="365">
        <f>SUM(L1052:L1058)</f>
        <v>0</v>
      </c>
      <c r="M1059" s="367">
        <f t="shared" ref="M1059" si="1269">SUM(M1052:M1058)</f>
        <v>0</v>
      </c>
      <c r="N1059" s="355" t="str">
        <f t="shared" si="1258"/>
        <v>-</v>
      </c>
      <c r="O1059" s="356" t="str">
        <f t="shared" si="1239"/>
        <v>-</v>
      </c>
    </row>
    <row r="1060" spans="1:15" ht="23.4" x14ac:dyDescent="0.3">
      <c r="A1060" s="252" t="s">
        <v>103</v>
      </c>
      <c r="B1060" s="1037" t="s">
        <v>19</v>
      </c>
      <c r="C1060" s="669" t="s">
        <v>235</v>
      </c>
      <c r="D1060" s="883" t="s">
        <v>177</v>
      </c>
      <c r="E1060" s="912"/>
      <c r="F1060" s="838">
        <v>220000</v>
      </c>
      <c r="G1060" s="457">
        <f t="shared" ref="G1060:G1066" si="1270">+H1060+I1060</f>
        <v>0</v>
      </c>
      <c r="H1060" s="458"/>
      <c r="I1060" s="458"/>
      <c r="J1060" s="531">
        <f>IFERROR(G1060/F1060,"-")</f>
        <v>0</v>
      </c>
      <c r="K1060" s="869">
        <f>+L1060+M1060</f>
        <v>0</v>
      </c>
      <c r="L1060" s="527">
        <f t="shared" ref="L1060:M1060" si="1271">+H1060+L944</f>
        <v>0</v>
      </c>
      <c r="M1060" s="838">
        <f t="shared" si="1271"/>
        <v>0</v>
      </c>
      <c r="N1060" s="646" t="str">
        <f>IFERROR(K1060/E1060,"-")</f>
        <v>-</v>
      </c>
      <c r="O1060" s="647" t="str">
        <f t="shared" si="1239"/>
        <v>-</v>
      </c>
    </row>
    <row r="1061" spans="1:15" ht="23.4" x14ac:dyDescent="0.3">
      <c r="A1061" s="252"/>
      <c r="B1061" s="1038"/>
      <c r="C1061" s="840" t="s">
        <v>377</v>
      </c>
      <c r="D1061" s="876" t="s">
        <v>423</v>
      </c>
      <c r="E1061" s="511">
        <v>1000000</v>
      </c>
      <c r="F1061" s="277"/>
      <c r="G1061" s="333">
        <f t="shared" si="1270"/>
        <v>0</v>
      </c>
      <c r="H1061" s="278"/>
      <c r="I1061" s="278"/>
      <c r="J1061" s="352" t="str">
        <f t="shared" ref="J1061:J1066" si="1272">IFERROR(G1061/F1061,"-")</f>
        <v>-</v>
      </c>
      <c r="K1061" s="870">
        <f>+L1061+M1061</f>
        <v>576188</v>
      </c>
      <c r="L1061" s="276">
        <f t="shared" ref="L1061:M1061" si="1273">+H1061+L945</f>
        <v>574464</v>
      </c>
      <c r="M1061" s="277">
        <f t="shared" si="1273"/>
        <v>1724</v>
      </c>
      <c r="N1061" s="836">
        <f t="shared" ref="N1061:N1066" si="1274">IFERROR(K1061/E1061,"-")</f>
        <v>0.57618800000000003</v>
      </c>
      <c r="O1061" s="263">
        <f>IFERROR(M1061/K1061,"-")</f>
        <v>2.9920789742236909E-3</v>
      </c>
    </row>
    <row r="1062" spans="1:15" ht="23.4" x14ac:dyDescent="0.3">
      <c r="A1062" s="252"/>
      <c r="B1062" s="1038"/>
      <c r="C1062" s="840" t="s">
        <v>235</v>
      </c>
      <c r="D1062" s="876" t="s">
        <v>522</v>
      </c>
      <c r="E1062" s="511"/>
      <c r="F1062" s="277"/>
      <c r="G1062" s="333">
        <f t="shared" si="1270"/>
        <v>0</v>
      </c>
      <c r="H1062" s="278"/>
      <c r="I1062" s="278"/>
      <c r="J1062" s="352" t="str">
        <f t="shared" si="1272"/>
        <v>-</v>
      </c>
      <c r="K1062" s="870">
        <f t="shared" ref="K1062:K1064" si="1275">+L1062+M1062</f>
        <v>175193</v>
      </c>
      <c r="L1062" s="276">
        <f t="shared" ref="L1062:M1062" si="1276">+H1062+L946</f>
        <v>174768</v>
      </c>
      <c r="M1062" s="277">
        <f t="shared" si="1276"/>
        <v>425</v>
      </c>
      <c r="N1062" s="836" t="str">
        <f t="shared" si="1274"/>
        <v>-</v>
      </c>
      <c r="O1062" s="263">
        <f t="shared" ref="O1062:O1123" si="1277">IFERROR(M1062/K1062,"-")</f>
        <v>2.4258960118269564E-3</v>
      </c>
    </row>
    <row r="1063" spans="1:15" ht="23.4" x14ac:dyDescent="0.3">
      <c r="A1063" s="252"/>
      <c r="B1063" s="1038"/>
      <c r="C1063" s="840" t="s">
        <v>377</v>
      </c>
      <c r="D1063" s="876" t="s">
        <v>522</v>
      </c>
      <c r="E1063" s="511"/>
      <c r="F1063" s="277"/>
      <c r="G1063" s="333">
        <f t="shared" si="1270"/>
        <v>16896</v>
      </c>
      <c r="H1063" s="278">
        <v>16896</v>
      </c>
      <c r="I1063" s="278"/>
      <c r="J1063" s="352" t="str">
        <f t="shared" si="1272"/>
        <v>-</v>
      </c>
      <c r="K1063" s="870">
        <f t="shared" si="1275"/>
        <v>279647</v>
      </c>
      <c r="L1063" s="276">
        <f t="shared" ref="L1063:M1063" si="1278">+H1063+L947</f>
        <v>278784</v>
      </c>
      <c r="M1063" s="277">
        <f t="shared" si="1278"/>
        <v>863</v>
      </c>
      <c r="N1063" s="836" t="str">
        <f t="shared" si="1274"/>
        <v>-</v>
      </c>
      <c r="O1063" s="263">
        <f t="shared" si="1277"/>
        <v>3.0860334636166309E-3</v>
      </c>
    </row>
    <row r="1064" spans="1:15" ht="23.4" x14ac:dyDescent="0.3">
      <c r="A1064" s="252"/>
      <c r="B1064" s="1038"/>
      <c r="C1064" s="840" t="s">
        <v>551</v>
      </c>
      <c r="D1064" s="876" t="s">
        <v>522</v>
      </c>
      <c r="E1064" s="511"/>
      <c r="F1064" s="277"/>
      <c r="G1064" s="333">
        <f t="shared" si="1270"/>
        <v>68019</v>
      </c>
      <c r="H1064" s="278">
        <f>42240+25344</f>
        <v>67584</v>
      </c>
      <c r="I1064" s="278">
        <f>231+204</f>
        <v>435</v>
      </c>
      <c r="J1064" s="352" t="str">
        <f t="shared" si="1272"/>
        <v>-</v>
      </c>
      <c r="K1064" s="870">
        <f t="shared" si="1275"/>
        <v>76607</v>
      </c>
      <c r="L1064" s="276">
        <f t="shared" ref="L1064:M1064" si="1279">+H1064+L948</f>
        <v>76032</v>
      </c>
      <c r="M1064" s="277">
        <f t="shared" si="1279"/>
        <v>575</v>
      </c>
      <c r="N1064" s="836" t="str">
        <f t="shared" si="1274"/>
        <v>-</v>
      </c>
      <c r="O1064" s="263">
        <f t="shared" si="1277"/>
        <v>7.5058415027347367E-3</v>
      </c>
    </row>
    <row r="1065" spans="1:15" ht="23.4" x14ac:dyDescent="0.3">
      <c r="A1065" s="252"/>
      <c r="B1065" s="1038"/>
      <c r="C1065" s="840"/>
      <c r="D1065" s="876"/>
      <c r="E1065" s="511"/>
      <c r="F1065" s="277"/>
      <c r="G1065" s="333">
        <f t="shared" ref="G1065" si="1280">+H1065+I1065</f>
        <v>0</v>
      </c>
      <c r="H1065" s="278"/>
      <c r="I1065" s="278"/>
      <c r="J1065" s="352" t="str">
        <f t="shared" ref="J1065" si="1281">IFERROR(G1065/F1065,"-")</f>
        <v>-</v>
      </c>
      <c r="K1065" s="870">
        <f t="shared" ref="K1065" si="1282">+L1065+M1065</f>
        <v>0</v>
      </c>
      <c r="L1065" s="276">
        <f>+H1065</f>
        <v>0</v>
      </c>
      <c r="M1065" s="277">
        <f>+I1065</f>
        <v>0</v>
      </c>
      <c r="N1065" s="836" t="str">
        <f t="shared" ref="N1065" si="1283">IFERROR(K1065/E1065,"-")</f>
        <v>-</v>
      </c>
      <c r="O1065" s="263" t="str">
        <f t="shared" ref="O1065" si="1284">IFERROR(M1065/K1065,"-")</f>
        <v>-</v>
      </c>
    </row>
    <row r="1066" spans="1:15" ht="24" thickBot="1" x14ac:dyDescent="0.35">
      <c r="A1066" s="252"/>
      <c r="B1066" s="1039"/>
      <c r="C1066" s="670" t="s">
        <v>342</v>
      </c>
      <c r="D1066" s="884"/>
      <c r="E1066" s="913">
        <v>150000</v>
      </c>
      <c r="F1066" s="839"/>
      <c r="G1066" s="460">
        <f t="shared" si="1270"/>
        <v>0</v>
      </c>
      <c r="H1066" s="461"/>
      <c r="I1066" s="461"/>
      <c r="J1066" s="532" t="str">
        <f t="shared" si="1272"/>
        <v>-</v>
      </c>
      <c r="K1066" s="871">
        <f>+L1066+M1066</f>
        <v>0</v>
      </c>
      <c r="L1066" s="530">
        <f t="shared" ref="L1066:M1066" si="1285">+H1066+L949</f>
        <v>0</v>
      </c>
      <c r="M1066" s="839">
        <f t="shared" si="1285"/>
        <v>0</v>
      </c>
      <c r="N1066" s="837">
        <f t="shared" si="1274"/>
        <v>0</v>
      </c>
      <c r="O1066" s="264" t="str">
        <f t="shared" si="1277"/>
        <v>-</v>
      </c>
    </row>
    <row r="1067" spans="1:15" ht="24" thickBot="1" x14ac:dyDescent="0.35">
      <c r="A1067" s="274" t="s">
        <v>103</v>
      </c>
      <c r="B1067" s="1040" t="s">
        <v>46</v>
      </c>
      <c r="C1067" s="1041"/>
      <c r="D1067" s="1042"/>
      <c r="E1067" s="513">
        <f>SUM(E1060:E1066)</f>
        <v>1150000</v>
      </c>
      <c r="F1067" s="859">
        <f t="shared" ref="F1067" si="1286">SUM(F1060)</f>
        <v>220000</v>
      </c>
      <c r="G1067" s="513">
        <f>SUM(G1060:G1066)</f>
        <v>84915</v>
      </c>
      <c r="H1067" s="519">
        <f>SUM(H1060:H1066)</f>
        <v>84480</v>
      </c>
      <c r="I1067" s="519">
        <f>SUM(I1060:I1066)</f>
        <v>435</v>
      </c>
      <c r="J1067" s="520">
        <f>+G1067/F1067</f>
        <v>0.38597727272727272</v>
      </c>
      <c r="K1067" s="835">
        <f>SUM(K1060:K1066)</f>
        <v>1107635</v>
      </c>
      <c r="L1067" s="519">
        <f>SUM(L1060:L1066)</f>
        <v>1104048</v>
      </c>
      <c r="M1067" s="689">
        <f>SUM(M1060:M1066)</f>
        <v>3587</v>
      </c>
      <c r="N1067" s="521">
        <f>IFERROR(K1067/E1067,"-")</f>
        <v>0.9631608695652174</v>
      </c>
      <c r="O1067" s="520">
        <f t="shared" si="1277"/>
        <v>3.2384314327373186E-3</v>
      </c>
    </row>
    <row r="1068" spans="1:15" ht="23.4" x14ac:dyDescent="0.3">
      <c r="A1068" s="274" t="s">
        <v>103</v>
      </c>
      <c r="B1068" s="1043" t="s">
        <v>20</v>
      </c>
      <c r="C1068" s="291" t="s">
        <v>317</v>
      </c>
      <c r="D1068" s="291" t="s">
        <v>289</v>
      </c>
      <c r="E1068" s="270"/>
      <c r="F1068" s="271"/>
      <c r="G1068" s="332">
        <f t="shared" ref="G1068:G1070" si="1287">+H1068+I1068</f>
        <v>0</v>
      </c>
      <c r="H1068" s="272"/>
      <c r="I1068" s="272"/>
      <c r="J1068" s="351" t="str">
        <f>IFERROR(G1068/F1068,"-")</f>
        <v>-</v>
      </c>
      <c r="K1068" s="332">
        <f t="shared" ref="K1068:K1070" si="1288">+L1068+M1068</f>
        <v>0</v>
      </c>
      <c r="L1068" s="272">
        <f t="shared" ref="L1068:M1068" si="1289">+H1068+L951</f>
        <v>0</v>
      </c>
      <c r="M1068" s="273">
        <f t="shared" si="1289"/>
        <v>0</v>
      </c>
      <c r="N1068" s="336" t="str">
        <f t="shared" ref="N1068:N1071" si="1290">IFERROR(K1068/E1068,"-")</f>
        <v>-</v>
      </c>
      <c r="O1068" s="346" t="str">
        <f t="shared" si="1277"/>
        <v>-</v>
      </c>
    </row>
    <row r="1069" spans="1:15" ht="23.4" x14ac:dyDescent="0.3">
      <c r="A1069" s="274" t="s">
        <v>103</v>
      </c>
      <c r="B1069" s="1044"/>
      <c r="C1069" s="292" t="s">
        <v>114</v>
      </c>
      <c r="D1069" s="292"/>
      <c r="E1069" s="276"/>
      <c r="F1069" s="277"/>
      <c r="G1069" s="333">
        <f t="shared" si="1287"/>
        <v>0</v>
      </c>
      <c r="H1069" s="278"/>
      <c r="I1069" s="278"/>
      <c r="J1069" s="351" t="str">
        <f t="shared" ref="J1069:J1070" si="1291">IFERROR(G1069/F1069,"-")</f>
        <v>-</v>
      </c>
      <c r="K1069" s="333">
        <f t="shared" si="1288"/>
        <v>0</v>
      </c>
      <c r="L1069" s="272">
        <f t="shared" ref="L1069:M1069" si="1292">+H1069+L952</f>
        <v>0</v>
      </c>
      <c r="M1069" s="273">
        <f t="shared" si="1292"/>
        <v>0</v>
      </c>
      <c r="N1069" s="337" t="str">
        <f t="shared" si="1290"/>
        <v>-</v>
      </c>
      <c r="O1069" s="263" t="str">
        <f t="shared" si="1277"/>
        <v>-</v>
      </c>
    </row>
    <row r="1070" spans="1:15" ht="24" thickBot="1" x14ac:dyDescent="0.35">
      <c r="A1070" s="274" t="s">
        <v>103</v>
      </c>
      <c r="B1070" s="1045"/>
      <c r="C1070" s="293" t="s">
        <v>120</v>
      </c>
      <c r="D1070" s="293"/>
      <c r="E1070" s="280"/>
      <c r="F1070" s="281"/>
      <c r="G1070" s="334">
        <f t="shared" si="1287"/>
        <v>0</v>
      </c>
      <c r="H1070" s="282"/>
      <c r="I1070" s="282"/>
      <c r="J1070" s="351" t="str">
        <f t="shared" si="1291"/>
        <v>-</v>
      </c>
      <c r="K1070" s="334">
        <f t="shared" si="1288"/>
        <v>0</v>
      </c>
      <c r="L1070" s="272">
        <f t="shared" ref="L1070:M1070" si="1293">+H1070+L953</f>
        <v>0</v>
      </c>
      <c r="M1070" s="273">
        <f t="shared" si="1293"/>
        <v>0</v>
      </c>
      <c r="N1070" s="338" t="str">
        <f t="shared" si="1290"/>
        <v>-</v>
      </c>
      <c r="O1070" s="347" t="str">
        <f t="shared" si="1277"/>
        <v>-</v>
      </c>
    </row>
    <row r="1071" spans="1:15" ht="24" thickBot="1" x14ac:dyDescent="0.35">
      <c r="A1071" s="274" t="s">
        <v>103</v>
      </c>
      <c r="B1071" s="1026" t="s">
        <v>47</v>
      </c>
      <c r="C1071" s="1026"/>
      <c r="D1071" s="1046"/>
      <c r="E1071" s="320">
        <f t="shared" ref="E1071" si="1294">SUM(E1068:E1070)</f>
        <v>0</v>
      </c>
      <c r="F1071" s="285">
        <v>50000</v>
      </c>
      <c r="G1071" s="320">
        <f>SUM(G1068:G1070)</f>
        <v>0</v>
      </c>
      <c r="H1071" s="321">
        <f t="shared" ref="H1071:I1071" si="1295">SUM(H1068:H1070)</f>
        <v>0</v>
      </c>
      <c r="I1071" s="321">
        <f t="shared" si="1295"/>
        <v>0</v>
      </c>
      <c r="J1071" s="345">
        <f>+G1071/F1071</f>
        <v>0</v>
      </c>
      <c r="K1071" s="320">
        <f t="shared" ref="K1071:M1071" si="1296">SUM(K1068:K1070)</f>
        <v>0</v>
      </c>
      <c r="L1071" s="321">
        <f t="shared" si="1296"/>
        <v>0</v>
      </c>
      <c r="M1071" s="322">
        <f t="shared" si="1296"/>
        <v>0</v>
      </c>
      <c r="N1071" s="339" t="str">
        <f t="shared" si="1290"/>
        <v>-</v>
      </c>
      <c r="O1071" s="345" t="str">
        <f t="shared" si="1277"/>
        <v>-</v>
      </c>
    </row>
    <row r="1072" spans="1:15" ht="24" thickBot="1" x14ac:dyDescent="0.35">
      <c r="A1072" s="274" t="s">
        <v>103</v>
      </c>
      <c r="B1072" s="1047" t="s">
        <v>21</v>
      </c>
      <c r="C1072" s="1048"/>
      <c r="D1072" s="1049"/>
      <c r="E1072" s="326">
        <f>+E1043+E1051+E1059+E1067+E1071</f>
        <v>3770000</v>
      </c>
      <c r="F1072" s="327">
        <f>+F1043+F1051+F1059+F1067+F1071</f>
        <v>465000</v>
      </c>
      <c r="G1072" s="326">
        <f>+G1043+G1051+G1059+G1067+G1071</f>
        <v>209601</v>
      </c>
      <c r="H1072" s="324">
        <f>+H1043+H1051+H1059+H1067+H1071</f>
        <v>208302</v>
      </c>
      <c r="I1072" s="324">
        <f>+I1043+I1051+I1059+I1067+I1071</f>
        <v>1299</v>
      </c>
      <c r="J1072" s="349">
        <f>+G1072/F1072</f>
        <v>0.45075483870967742</v>
      </c>
      <c r="K1072" s="326">
        <f>+K1043+K1051+K1059+K1067+K1071</f>
        <v>1955881</v>
      </c>
      <c r="L1072" s="324">
        <f>+L1043+L1051+L1059+L1067+L1071</f>
        <v>1948138</v>
      </c>
      <c r="M1072" s="325">
        <f>+M1043+M1051+M1059+M1067+M1071</f>
        <v>7743</v>
      </c>
      <c r="N1072" s="341">
        <f>IFERROR(K1072/E1072,"-")</f>
        <v>0.5188013262599469</v>
      </c>
      <c r="O1072" s="349">
        <f t="shared" si="1277"/>
        <v>3.9588298061078355E-3</v>
      </c>
    </row>
    <row r="1073" spans="1:15" ht="23.4" x14ac:dyDescent="0.3">
      <c r="A1073" s="274" t="s">
        <v>103</v>
      </c>
      <c r="B1073" s="1043" t="s">
        <v>400</v>
      </c>
      <c r="C1073" s="269" t="s">
        <v>125</v>
      </c>
      <c r="D1073" s="269"/>
      <c r="E1073" s="270"/>
      <c r="F1073" s="271"/>
      <c r="G1073" s="332">
        <f t="shared" ref="G1073:G1076" si="1297">+H1073+I1073</f>
        <v>0</v>
      </c>
      <c r="H1073" s="272"/>
      <c r="I1073" s="272"/>
      <c r="J1073" s="351" t="str">
        <f>IFERROR(G1073/F1073,"-")</f>
        <v>-</v>
      </c>
      <c r="K1073" s="332">
        <f t="shared" ref="K1073:K1076" si="1298">+L1073+M1073</f>
        <v>0</v>
      </c>
      <c r="L1073" s="272">
        <f t="shared" ref="L1073:M1073" si="1299">+H1073+L956</f>
        <v>0</v>
      </c>
      <c r="M1073" s="273">
        <f t="shared" si="1299"/>
        <v>0</v>
      </c>
      <c r="N1073" s="336" t="str">
        <f t="shared" ref="N1073:N1088" si="1300">IFERROR(K1073/E1073,"-")</f>
        <v>-</v>
      </c>
      <c r="O1073" s="346" t="str">
        <f t="shared" si="1277"/>
        <v>-</v>
      </c>
    </row>
    <row r="1074" spans="1:15" ht="23.4" x14ac:dyDescent="0.3">
      <c r="A1074" s="274" t="s">
        <v>103</v>
      </c>
      <c r="B1074" s="1044"/>
      <c r="C1074" s="295" t="s">
        <v>263</v>
      </c>
      <c r="D1074" s="295" t="s">
        <v>181</v>
      </c>
      <c r="E1074" s="276"/>
      <c r="F1074" s="277"/>
      <c r="G1074" s="333">
        <f t="shared" si="1297"/>
        <v>0</v>
      </c>
      <c r="H1074" s="278"/>
      <c r="I1074" s="278"/>
      <c r="J1074" s="351" t="str">
        <f t="shared" ref="J1074:J1076" si="1301">IFERROR(G1074/F1074,"-")</f>
        <v>-</v>
      </c>
      <c r="K1074" s="333">
        <f t="shared" si="1298"/>
        <v>0</v>
      </c>
      <c r="L1074" s="272">
        <f t="shared" ref="L1074:M1074" si="1302">+H1074+L957</f>
        <v>0</v>
      </c>
      <c r="M1074" s="273">
        <f t="shared" si="1302"/>
        <v>0</v>
      </c>
      <c r="N1074" s="337" t="str">
        <f t="shared" si="1300"/>
        <v>-</v>
      </c>
      <c r="O1074" s="263" t="str">
        <f t="shared" si="1277"/>
        <v>-</v>
      </c>
    </row>
    <row r="1075" spans="1:15" ht="23.4" x14ac:dyDescent="0.3">
      <c r="A1075" s="274" t="s">
        <v>103</v>
      </c>
      <c r="B1075" s="1044"/>
      <c r="C1075" s="295" t="s">
        <v>362</v>
      </c>
      <c r="D1075" s="295" t="s">
        <v>181</v>
      </c>
      <c r="E1075" s="276"/>
      <c r="F1075" s="277"/>
      <c r="G1075" s="333">
        <f t="shared" si="1297"/>
        <v>0</v>
      </c>
      <c r="H1075" s="278"/>
      <c r="I1075" s="278"/>
      <c r="J1075" s="351" t="str">
        <f t="shared" si="1301"/>
        <v>-</v>
      </c>
      <c r="K1075" s="333">
        <f t="shared" si="1298"/>
        <v>0</v>
      </c>
      <c r="L1075" s="272">
        <f t="shared" ref="L1075:M1075" si="1303">+H1075+L958</f>
        <v>0</v>
      </c>
      <c r="M1075" s="273">
        <f t="shared" si="1303"/>
        <v>0</v>
      </c>
      <c r="N1075" s="337" t="str">
        <f t="shared" si="1300"/>
        <v>-</v>
      </c>
      <c r="O1075" s="263" t="str">
        <f t="shared" si="1277"/>
        <v>-</v>
      </c>
    </row>
    <row r="1076" spans="1:15" ht="24" thickBot="1" x14ac:dyDescent="0.35">
      <c r="A1076" s="274" t="s">
        <v>103</v>
      </c>
      <c r="B1076" s="1045"/>
      <c r="C1076" s="279" t="s">
        <v>182</v>
      </c>
      <c r="D1076" s="279" t="s">
        <v>93</v>
      </c>
      <c r="E1076" s="280"/>
      <c r="F1076" s="281"/>
      <c r="G1076" s="334">
        <f t="shared" si="1297"/>
        <v>39700</v>
      </c>
      <c r="H1076" s="282">
        <v>39600</v>
      </c>
      <c r="I1076" s="282">
        <v>100</v>
      </c>
      <c r="J1076" s="351" t="str">
        <f t="shared" si="1301"/>
        <v>-</v>
      </c>
      <c r="K1076" s="334">
        <f t="shared" si="1298"/>
        <v>39700</v>
      </c>
      <c r="L1076" s="272">
        <f t="shared" ref="L1076:M1076" si="1304">+H1076+L959</f>
        <v>39600</v>
      </c>
      <c r="M1076" s="273">
        <f t="shared" si="1304"/>
        <v>100</v>
      </c>
      <c r="N1076" s="338" t="str">
        <f t="shared" si="1300"/>
        <v>-</v>
      </c>
      <c r="O1076" s="347">
        <f t="shared" si="1277"/>
        <v>2.5188916876574307E-3</v>
      </c>
    </row>
    <row r="1077" spans="1:15" ht="24" thickBot="1" x14ac:dyDescent="0.35">
      <c r="A1077" s="274" t="s">
        <v>103</v>
      </c>
      <c r="B1077" s="1025" t="s">
        <v>48</v>
      </c>
      <c r="C1077" s="1026"/>
      <c r="D1077" s="1027"/>
      <c r="E1077" s="284">
        <f>SUM(E1073:E1076)</f>
        <v>0</v>
      </c>
      <c r="F1077" s="285">
        <v>80000</v>
      </c>
      <c r="G1077" s="320">
        <f>SUM(G1073:G1076)</f>
        <v>39700</v>
      </c>
      <c r="H1077" s="321">
        <f t="shared" ref="H1077:I1077" si="1305">SUM(H1073:H1076)</f>
        <v>39600</v>
      </c>
      <c r="I1077" s="321">
        <f t="shared" si="1305"/>
        <v>100</v>
      </c>
      <c r="J1077" s="345">
        <f>+G1077/F1077</f>
        <v>0.49625000000000002</v>
      </c>
      <c r="K1077" s="320">
        <f t="shared" ref="K1077" si="1306">SUM(K1073:K1076)</f>
        <v>39700</v>
      </c>
      <c r="L1077" s="321">
        <f>SUM(L1073:L1076)</f>
        <v>39600</v>
      </c>
      <c r="M1077" s="322">
        <f t="shared" ref="M1077" si="1307">SUM(M1073:M1076)</f>
        <v>100</v>
      </c>
      <c r="N1077" s="339" t="str">
        <f t="shared" si="1300"/>
        <v>-</v>
      </c>
      <c r="O1077" s="345">
        <f t="shared" si="1277"/>
        <v>2.5188916876574307E-3</v>
      </c>
    </row>
    <row r="1078" spans="1:15" ht="23.4" x14ac:dyDescent="0.3">
      <c r="A1078" s="274" t="s">
        <v>103</v>
      </c>
      <c r="B1078" s="1043" t="s">
        <v>23</v>
      </c>
      <c r="C1078" s="275" t="s">
        <v>500</v>
      </c>
      <c r="D1078" s="296" t="s">
        <v>238</v>
      </c>
      <c r="E1078" s="270">
        <v>10000</v>
      </c>
      <c r="F1078" s="271"/>
      <c r="G1078" s="332">
        <f t="shared" ref="G1078:G1086" si="1308">+H1078+I1078</f>
        <v>0</v>
      </c>
      <c r="H1078" s="272"/>
      <c r="I1078" s="272"/>
      <c r="J1078" s="351" t="str">
        <f>IFERROR(G1078/F1078,"-")</f>
        <v>-</v>
      </c>
      <c r="K1078" s="332">
        <f t="shared" ref="K1078:K1086" si="1309">+L1078+M1078</f>
        <v>0</v>
      </c>
      <c r="L1078" s="272">
        <f t="shared" ref="L1078:M1078" si="1310">+H1078+L961</f>
        <v>0</v>
      </c>
      <c r="M1078" s="273">
        <f t="shared" si="1310"/>
        <v>0</v>
      </c>
      <c r="N1078" s="336">
        <f t="shared" si="1300"/>
        <v>0</v>
      </c>
      <c r="O1078" s="346" t="str">
        <f t="shared" si="1277"/>
        <v>-</v>
      </c>
    </row>
    <row r="1079" spans="1:15" ht="23.4" x14ac:dyDescent="0.3">
      <c r="A1079" s="274" t="s">
        <v>103</v>
      </c>
      <c r="B1079" s="1044"/>
      <c r="C1079" s="275" t="s">
        <v>24</v>
      </c>
      <c r="D1079" s="275" t="s">
        <v>238</v>
      </c>
      <c r="E1079" s="276">
        <v>112000</v>
      </c>
      <c r="F1079" s="277"/>
      <c r="G1079" s="333">
        <f t="shared" si="1308"/>
        <v>0</v>
      </c>
      <c r="H1079" s="278"/>
      <c r="I1079" s="278"/>
      <c r="J1079" s="351" t="str">
        <f t="shared" ref="J1079:J1086" si="1311">IFERROR(G1079/F1079,"-")</f>
        <v>-</v>
      </c>
      <c r="K1079" s="333">
        <f t="shared" si="1309"/>
        <v>0</v>
      </c>
      <c r="L1079" s="272">
        <f t="shared" ref="L1079:M1079" si="1312">+H1079+L962</f>
        <v>0</v>
      </c>
      <c r="M1079" s="273">
        <f t="shared" si="1312"/>
        <v>0</v>
      </c>
      <c r="N1079" s="337">
        <f t="shared" si="1300"/>
        <v>0</v>
      </c>
      <c r="O1079" s="263" t="str">
        <f t="shared" si="1277"/>
        <v>-</v>
      </c>
    </row>
    <row r="1080" spans="1:15" ht="23.4" x14ac:dyDescent="0.3">
      <c r="A1080" s="274" t="s">
        <v>103</v>
      </c>
      <c r="B1080" s="1044"/>
      <c r="C1080" s="275" t="s">
        <v>236</v>
      </c>
      <c r="D1080" s="275" t="s">
        <v>238</v>
      </c>
      <c r="E1080" s="276">
        <v>40000</v>
      </c>
      <c r="F1080" s="277"/>
      <c r="G1080" s="333">
        <f t="shared" si="1308"/>
        <v>0</v>
      </c>
      <c r="H1080" s="278"/>
      <c r="I1080" s="278"/>
      <c r="J1080" s="351" t="str">
        <f t="shared" si="1311"/>
        <v>-</v>
      </c>
      <c r="K1080" s="333">
        <f t="shared" si="1309"/>
        <v>0</v>
      </c>
      <c r="L1080" s="272">
        <f t="shared" ref="L1080:M1080" si="1313">+H1080+L963</f>
        <v>0</v>
      </c>
      <c r="M1080" s="273">
        <f t="shared" si="1313"/>
        <v>0</v>
      </c>
      <c r="N1080" s="337">
        <f t="shared" si="1300"/>
        <v>0</v>
      </c>
      <c r="O1080" s="263" t="str">
        <f t="shared" si="1277"/>
        <v>-</v>
      </c>
    </row>
    <row r="1081" spans="1:15" ht="23.4" x14ac:dyDescent="0.3">
      <c r="A1081" s="274" t="s">
        <v>103</v>
      </c>
      <c r="B1081" s="1044"/>
      <c r="C1081" s="275" t="s">
        <v>239</v>
      </c>
      <c r="D1081" s="275" t="s">
        <v>238</v>
      </c>
      <c r="E1081" s="276">
        <v>4000</v>
      </c>
      <c r="F1081" s="277"/>
      <c r="G1081" s="333">
        <f t="shared" si="1308"/>
        <v>0</v>
      </c>
      <c r="H1081" s="278"/>
      <c r="I1081" s="278"/>
      <c r="J1081" s="351" t="str">
        <f t="shared" si="1311"/>
        <v>-</v>
      </c>
      <c r="K1081" s="333">
        <f t="shared" si="1309"/>
        <v>0</v>
      </c>
      <c r="L1081" s="272">
        <f t="shared" ref="L1081:M1081" si="1314">+H1081+L964</f>
        <v>0</v>
      </c>
      <c r="M1081" s="273">
        <f t="shared" si="1314"/>
        <v>0</v>
      </c>
      <c r="N1081" s="337">
        <f t="shared" si="1300"/>
        <v>0</v>
      </c>
      <c r="O1081" s="263" t="str">
        <f t="shared" si="1277"/>
        <v>-</v>
      </c>
    </row>
    <row r="1082" spans="1:15" ht="23.4" x14ac:dyDescent="0.3">
      <c r="A1082" s="274" t="s">
        <v>103</v>
      </c>
      <c r="B1082" s="1044"/>
      <c r="C1082" s="295" t="s">
        <v>394</v>
      </c>
      <c r="D1082" s="275" t="s">
        <v>238</v>
      </c>
      <c r="E1082" s="276">
        <v>8500</v>
      </c>
      <c r="F1082" s="277"/>
      <c r="G1082" s="333">
        <f t="shared" si="1308"/>
        <v>0</v>
      </c>
      <c r="H1082" s="278"/>
      <c r="I1082" s="278"/>
      <c r="J1082" s="351" t="str">
        <f t="shared" si="1311"/>
        <v>-</v>
      </c>
      <c r="K1082" s="333">
        <f t="shared" si="1309"/>
        <v>0</v>
      </c>
      <c r="L1082" s="272">
        <f t="shared" ref="L1082:M1082" si="1315">+H1082+L965</f>
        <v>0</v>
      </c>
      <c r="M1082" s="273">
        <f t="shared" si="1315"/>
        <v>0</v>
      </c>
      <c r="N1082" s="337">
        <f t="shared" si="1300"/>
        <v>0</v>
      </c>
      <c r="O1082" s="263" t="str">
        <f t="shared" si="1277"/>
        <v>-</v>
      </c>
    </row>
    <row r="1083" spans="1:15" ht="23.4" x14ac:dyDescent="0.3">
      <c r="A1083" s="274" t="s">
        <v>103</v>
      </c>
      <c r="B1083" s="1044"/>
      <c r="C1083" s="295" t="s">
        <v>422</v>
      </c>
      <c r="D1083" s="275" t="s">
        <v>238</v>
      </c>
      <c r="E1083" s="276">
        <v>10000</v>
      </c>
      <c r="F1083" s="277"/>
      <c r="G1083" s="333">
        <f t="shared" si="1308"/>
        <v>0</v>
      </c>
      <c r="H1083" s="278"/>
      <c r="I1083" s="278"/>
      <c r="J1083" s="351" t="str">
        <f t="shared" si="1311"/>
        <v>-</v>
      </c>
      <c r="K1083" s="333">
        <f t="shared" si="1309"/>
        <v>0</v>
      </c>
      <c r="L1083" s="272">
        <f t="shared" ref="L1083:M1083" si="1316">+H1083+L966</f>
        <v>0</v>
      </c>
      <c r="M1083" s="273">
        <f t="shared" si="1316"/>
        <v>0</v>
      </c>
      <c r="N1083" s="337">
        <f t="shared" si="1300"/>
        <v>0</v>
      </c>
      <c r="O1083" s="263" t="str">
        <f t="shared" si="1277"/>
        <v>-</v>
      </c>
    </row>
    <row r="1084" spans="1:15" ht="23.4" x14ac:dyDescent="0.3">
      <c r="A1084" s="274" t="s">
        <v>103</v>
      </c>
      <c r="B1084" s="1044"/>
      <c r="C1084" s="295" t="s">
        <v>241</v>
      </c>
      <c r="D1084" s="275" t="s">
        <v>243</v>
      </c>
      <c r="E1084" s="276"/>
      <c r="F1084" s="277"/>
      <c r="G1084" s="333">
        <f t="shared" si="1308"/>
        <v>0</v>
      </c>
      <c r="H1084" s="278"/>
      <c r="I1084" s="278"/>
      <c r="J1084" s="351" t="str">
        <f t="shared" si="1311"/>
        <v>-</v>
      </c>
      <c r="K1084" s="333">
        <f t="shared" si="1309"/>
        <v>0</v>
      </c>
      <c r="L1084" s="272">
        <f t="shared" ref="L1084:M1084" si="1317">+H1084+L967</f>
        <v>0</v>
      </c>
      <c r="M1084" s="273">
        <f t="shared" si="1317"/>
        <v>0</v>
      </c>
      <c r="N1084" s="337" t="str">
        <f t="shared" si="1300"/>
        <v>-</v>
      </c>
      <c r="O1084" s="263" t="str">
        <f t="shared" si="1277"/>
        <v>-</v>
      </c>
    </row>
    <row r="1085" spans="1:15" ht="23.4" x14ac:dyDescent="0.3">
      <c r="A1085" s="274"/>
      <c r="B1085" s="1045"/>
      <c r="C1085" s="295" t="s">
        <v>546</v>
      </c>
      <c r="D1085" s="275" t="s">
        <v>238</v>
      </c>
      <c r="E1085" s="280">
        <v>6000</v>
      </c>
      <c r="F1085" s="281"/>
      <c r="G1085" s="333">
        <f t="shared" si="1308"/>
        <v>0</v>
      </c>
      <c r="H1085" s="282"/>
      <c r="I1085" s="282"/>
      <c r="J1085" s="351" t="str">
        <f t="shared" si="1311"/>
        <v>-</v>
      </c>
      <c r="K1085" s="333">
        <f t="shared" si="1309"/>
        <v>0</v>
      </c>
      <c r="L1085" s="272">
        <f t="shared" ref="L1085:M1085" si="1318">+H1085+L968</f>
        <v>0</v>
      </c>
      <c r="M1085" s="273">
        <f t="shared" si="1318"/>
        <v>0</v>
      </c>
      <c r="N1085" s="337">
        <f t="shared" si="1300"/>
        <v>0</v>
      </c>
      <c r="O1085" s="263" t="str">
        <f t="shared" si="1277"/>
        <v>-</v>
      </c>
    </row>
    <row r="1086" spans="1:15" ht="24" thickBot="1" x14ac:dyDescent="0.35">
      <c r="A1086" s="274" t="s">
        <v>103</v>
      </c>
      <c r="B1086" s="1045"/>
      <c r="C1086" s="295" t="s">
        <v>242</v>
      </c>
      <c r="D1086" s="275" t="s">
        <v>238</v>
      </c>
      <c r="E1086" s="280">
        <v>5000</v>
      </c>
      <c r="F1086" s="281"/>
      <c r="G1086" s="334">
        <f t="shared" si="1308"/>
        <v>0</v>
      </c>
      <c r="H1086" s="282"/>
      <c r="I1086" s="282"/>
      <c r="J1086" s="351" t="str">
        <f t="shared" si="1311"/>
        <v>-</v>
      </c>
      <c r="K1086" s="334">
        <f t="shared" si="1309"/>
        <v>0</v>
      </c>
      <c r="L1086" s="272">
        <f t="shared" ref="L1086:M1086" si="1319">+H1086+L969</f>
        <v>0</v>
      </c>
      <c r="M1086" s="273">
        <f t="shared" si="1319"/>
        <v>0</v>
      </c>
      <c r="N1086" s="338">
        <f t="shared" si="1300"/>
        <v>0</v>
      </c>
      <c r="O1086" s="347" t="str">
        <f t="shared" si="1277"/>
        <v>-</v>
      </c>
    </row>
    <row r="1087" spans="1:15" ht="24" thickBot="1" x14ac:dyDescent="0.35">
      <c r="A1087" s="274" t="s">
        <v>103</v>
      </c>
      <c r="B1087" s="1025" t="s">
        <v>49</v>
      </c>
      <c r="C1087" s="1026"/>
      <c r="D1087" s="1027"/>
      <c r="E1087" s="284">
        <f>SUM(E1078:E1086)</f>
        <v>195500</v>
      </c>
      <c r="F1087" s="285">
        <v>14000</v>
      </c>
      <c r="G1087" s="320">
        <f>SUM(G1078:G1086)</f>
        <v>0</v>
      </c>
      <c r="H1087" s="321">
        <f t="shared" ref="H1087:I1087" si="1320">SUM(H1078:H1086)</f>
        <v>0</v>
      </c>
      <c r="I1087" s="321">
        <f t="shared" si="1320"/>
        <v>0</v>
      </c>
      <c r="J1087" s="345">
        <f>+G1088/F1088</f>
        <v>0.42234042553191492</v>
      </c>
      <c r="K1087" s="320">
        <f>SUM(K1078:K1086)</f>
        <v>0</v>
      </c>
      <c r="L1087" s="321">
        <f>+H1087</f>
        <v>0</v>
      </c>
      <c r="M1087" s="322">
        <f>+I1087</f>
        <v>0</v>
      </c>
      <c r="N1087" s="339">
        <f t="shared" si="1300"/>
        <v>0</v>
      </c>
      <c r="O1087" s="345" t="str">
        <f t="shared" si="1277"/>
        <v>-</v>
      </c>
    </row>
    <row r="1088" spans="1:15" ht="24" thickBot="1" x14ac:dyDescent="0.35">
      <c r="A1088" s="274" t="s">
        <v>103</v>
      </c>
      <c r="B1088" s="1047" t="s">
        <v>25</v>
      </c>
      <c r="C1088" s="1048"/>
      <c r="D1088" s="1049"/>
      <c r="E1088" s="326">
        <f t="shared" ref="E1088:F1088" si="1321">+E1077+E1087</f>
        <v>195500</v>
      </c>
      <c r="F1088" s="327">
        <f t="shared" si="1321"/>
        <v>94000</v>
      </c>
      <c r="G1088" s="326">
        <f>+G1077+G1087</f>
        <v>39700</v>
      </c>
      <c r="H1088" s="324">
        <f t="shared" ref="H1088:I1088" si="1322">+H1077+H1087</f>
        <v>39600</v>
      </c>
      <c r="I1088" s="324">
        <f t="shared" si="1322"/>
        <v>100</v>
      </c>
      <c r="J1088" s="349" t="str">
        <f>IFERROR(G1088/#REF!,"-")</f>
        <v>-</v>
      </c>
      <c r="K1088" s="326">
        <f t="shared" ref="K1088" si="1323">+K1077+K1087</f>
        <v>39700</v>
      </c>
      <c r="L1088" s="324">
        <f>+L1077+L1087</f>
        <v>39600</v>
      </c>
      <c r="M1088" s="325">
        <f t="shared" ref="M1088" si="1324">+M1077+M1087</f>
        <v>100</v>
      </c>
      <c r="N1088" s="341">
        <f t="shared" si="1300"/>
        <v>0.20306905370843989</v>
      </c>
      <c r="O1088" s="349">
        <f t="shared" si="1277"/>
        <v>2.5188916876574307E-3</v>
      </c>
    </row>
    <row r="1089" spans="1:15" ht="24" thickBot="1" x14ac:dyDescent="0.35">
      <c r="A1089" s="274" t="s">
        <v>103</v>
      </c>
      <c r="B1089" s="1019" t="s">
        <v>172</v>
      </c>
      <c r="C1089" s="1020"/>
      <c r="D1089" s="1050"/>
      <c r="E1089" s="330">
        <f>+E1072+E1088</f>
        <v>3965500</v>
      </c>
      <c r="F1089" s="331">
        <f t="shared" ref="F1089:I1089" si="1325">+F1072+F1088</f>
        <v>559000</v>
      </c>
      <c r="G1089" s="330">
        <f t="shared" si="1325"/>
        <v>249301</v>
      </c>
      <c r="H1089" s="328">
        <f t="shared" si="1325"/>
        <v>247902</v>
      </c>
      <c r="I1089" s="328">
        <f t="shared" si="1325"/>
        <v>1399</v>
      </c>
      <c r="J1089" s="350">
        <f>+G1089/F1089</f>
        <v>0.44597674418604649</v>
      </c>
      <c r="K1089" s="330">
        <f>+K1072+K1088</f>
        <v>1995581</v>
      </c>
      <c r="L1089" s="328">
        <f t="shared" ref="L1089:M1089" si="1326">+L1072+L1088</f>
        <v>1987738</v>
      </c>
      <c r="M1089" s="329">
        <f t="shared" si="1326"/>
        <v>7843</v>
      </c>
      <c r="N1089" s="342">
        <f>IFERROR(K1089/E1089,"-")</f>
        <v>0.50323565754633715</v>
      </c>
      <c r="O1089" s="350">
        <f t="shared" si="1277"/>
        <v>3.9301837409756856E-3</v>
      </c>
    </row>
    <row r="1090" spans="1:15" ht="23.4" x14ac:dyDescent="0.3">
      <c r="A1090" s="268" t="s">
        <v>101</v>
      </c>
      <c r="B1090" s="1051" t="s">
        <v>26</v>
      </c>
      <c r="C1090" s="893" t="s">
        <v>297</v>
      </c>
      <c r="D1090" s="898" t="s">
        <v>177</v>
      </c>
      <c r="E1090" s="895"/>
      <c r="F1090" s="271"/>
      <c r="G1090" s="332">
        <f t="shared" ref="G1090:G1099" si="1327">+H1090+I1090</f>
        <v>0</v>
      </c>
      <c r="H1090" s="272"/>
      <c r="I1090" s="272"/>
      <c r="J1090" s="351" t="str">
        <f>IFERROR(G1090/F1090,"-")</f>
        <v>-</v>
      </c>
      <c r="K1090" s="332">
        <f t="shared" ref="K1090:K1099" si="1328">+L1090+M1090</f>
        <v>0</v>
      </c>
      <c r="L1090" s="272">
        <f t="shared" ref="L1090:M1090" si="1329">+H1090+L973</f>
        <v>0</v>
      </c>
      <c r="M1090" s="273">
        <f t="shared" si="1329"/>
        <v>0</v>
      </c>
      <c r="N1090" s="336" t="str">
        <f t="shared" ref="N1090:N1108" si="1330">IFERROR(K1090/E1090,"-")</f>
        <v>-</v>
      </c>
      <c r="O1090" s="346" t="str">
        <f t="shared" si="1277"/>
        <v>-</v>
      </c>
    </row>
    <row r="1091" spans="1:15" ht="23.4" x14ac:dyDescent="0.3">
      <c r="A1091" s="274" t="s">
        <v>101</v>
      </c>
      <c r="B1091" s="1051"/>
      <c r="C1091" s="253" t="s">
        <v>424</v>
      </c>
      <c r="D1091" s="899" t="s">
        <v>423</v>
      </c>
      <c r="E1091" s="511">
        <v>314432</v>
      </c>
      <c r="F1091" s="277"/>
      <c r="G1091" s="333">
        <f t="shared" si="1327"/>
        <v>0</v>
      </c>
      <c r="H1091" s="278"/>
      <c r="I1091" s="278"/>
      <c r="J1091" s="351" t="str">
        <f t="shared" ref="J1091:J1099" si="1331">IFERROR(G1091/F1091,"-")</f>
        <v>-</v>
      </c>
      <c r="K1091" s="333">
        <f t="shared" si="1328"/>
        <v>265434</v>
      </c>
      <c r="L1091" s="272">
        <f t="shared" ref="L1091:M1091" si="1332">+H1091+L974</f>
        <v>262548</v>
      </c>
      <c r="M1091" s="273">
        <f t="shared" si="1332"/>
        <v>2886</v>
      </c>
      <c r="N1091" s="337">
        <f t="shared" si="1330"/>
        <v>0.84416980460004076</v>
      </c>
      <c r="O1091" s="263">
        <f t="shared" si="1277"/>
        <v>1.0872759330002939E-2</v>
      </c>
    </row>
    <row r="1092" spans="1:15" ht="23.4" x14ac:dyDescent="0.3">
      <c r="A1092" s="274" t="s">
        <v>101</v>
      </c>
      <c r="B1092" s="1051"/>
      <c r="C1092" s="813" t="s">
        <v>27</v>
      </c>
      <c r="D1092" s="899" t="s">
        <v>334</v>
      </c>
      <c r="E1092" s="896">
        <v>932448</v>
      </c>
      <c r="F1092" s="281"/>
      <c r="G1092" s="333">
        <f t="shared" si="1327"/>
        <v>0</v>
      </c>
      <c r="H1092" s="282"/>
      <c r="I1092" s="282"/>
      <c r="J1092" s="351" t="str">
        <f t="shared" si="1331"/>
        <v>-</v>
      </c>
      <c r="K1092" s="333">
        <f t="shared" si="1328"/>
        <v>29523</v>
      </c>
      <c r="L1092" s="272">
        <f t="shared" ref="L1092:M1092" si="1333">+H1092+L975</f>
        <v>27846</v>
      </c>
      <c r="M1092" s="273">
        <f t="shared" si="1333"/>
        <v>1677</v>
      </c>
      <c r="N1092" s="337">
        <f t="shared" si="1330"/>
        <v>3.166181921136621E-2</v>
      </c>
      <c r="O1092" s="263">
        <f t="shared" si="1277"/>
        <v>5.6803170409511231E-2</v>
      </c>
    </row>
    <row r="1093" spans="1:15" ht="23.4" x14ac:dyDescent="0.3">
      <c r="A1093" s="274" t="s">
        <v>101</v>
      </c>
      <c r="B1093" s="1051"/>
      <c r="C1093" s="813" t="s">
        <v>27</v>
      </c>
      <c r="D1093" s="900" t="s">
        <v>492</v>
      </c>
      <c r="E1093" s="896"/>
      <c r="F1093" s="281"/>
      <c r="G1093" s="333">
        <f t="shared" si="1327"/>
        <v>0</v>
      </c>
      <c r="H1093" s="282"/>
      <c r="I1093" s="282"/>
      <c r="J1093" s="351" t="str">
        <f t="shared" si="1331"/>
        <v>-</v>
      </c>
      <c r="K1093" s="333">
        <f t="shared" si="1328"/>
        <v>274869</v>
      </c>
      <c r="L1093" s="272">
        <f t="shared" ref="L1093:M1093" si="1334">+H1093+L976</f>
        <v>270504</v>
      </c>
      <c r="M1093" s="273">
        <f t="shared" si="1334"/>
        <v>4365</v>
      </c>
      <c r="N1093" s="337" t="str">
        <f t="shared" si="1330"/>
        <v>-</v>
      </c>
      <c r="O1093" s="263">
        <f t="shared" si="1277"/>
        <v>1.588029206640254E-2</v>
      </c>
    </row>
    <row r="1094" spans="1:15" ht="23.4" x14ac:dyDescent="0.3">
      <c r="A1094" s="274" t="s">
        <v>101</v>
      </c>
      <c r="B1094" s="1051"/>
      <c r="C1094" s="893" t="s">
        <v>521</v>
      </c>
      <c r="D1094" s="899" t="s">
        <v>234</v>
      </c>
      <c r="E1094" s="896">
        <v>136768</v>
      </c>
      <c r="F1094" s="281"/>
      <c r="G1094" s="333">
        <f t="shared" si="1327"/>
        <v>0</v>
      </c>
      <c r="H1094" s="282"/>
      <c r="I1094" s="282"/>
      <c r="J1094" s="351" t="str">
        <f t="shared" si="1331"/>
        <v>-</v>
      </c>
      <c r="K1094" s="333">
        <f t="shared" si="1328"/>
        <v>57116</v>
      </c>
      <c r="L1094" s="272">
        <f t="shared" ref="L1094:M1094" si="1335">+H1094+L977</f>
        <v>55692</v>
      </c>
      <c r="M1094" s="273">
        <f t="shared" si="1335"/>
        <v>1424</v>
      </c>
      <c r="N1094" s="337">
        <f t="shared" si="1330"/>
        <v>0.41761230697239121</v>
      </c>
      <c r="O1094" s="263">
        <f t="shared" si="1277"/>
        <v>2.4931717907416485E-2</v>
      </c>
    </row>
    <row r="1095" spans="1:15" ht="22.5" customHeight="1" x14ac:dyDescent="0.3">
      <c r="A1095" s="274"/>
      <c r="B1095" s="1051"/>
      <c r="C1095" s="813" t="s">
        <v>432</v>
      </c>
      <c r="D1095" s="899" t="s">
        <v>178</v>
      </c>
      <c r="E1095" s="896"/>
      <c r="F1095" s="281"/>
      <c r="G1095" s="334">
        <f t="shared" si="1327"/>
        <v>0</v>
      </c>
      <c r="H1095" s="282"/>
      <c r="I1095" s="282"/>
      <c r="J1095" s="351" t="str">
        <f t="shared" si="1331"/>
        <v>-</v>
      </c>
      <c r="K1095" s="334">
        <f t="shared" si="1328"/>
        <v>0</v>
      </c>
      <c r="L1095" s="272">
        <f t="shared" ref="L1095:M1095" si="1336">+H1095+L978</f>
        <v>0</v>
      </c>
      <c r="M1095" s="273">
        <f t="shared" si="1336"/>
        <v>0</v>
      </c>
      <c r="N1095" s="337" t="str">
        <f t="shared" si="1330"/>
        <v>-</v>
      </c>
      <c r="O1095" s="263" t="str">
        <f t="shared" si="1277"/>
        <v>-</v>
      </c>
    </row>
    <row r="1096" spans="1:15" ht="23.4" x14ac:dyDescent="0.3">
      <c r="A1096" s="274"/>
      <c r="B1096" s="1051"/>
      <c r="C1096" s="813" t="s">
        <v>333</v>
      </c>
      <c r="D1096" s="899" t="s">
        <v>94</v>
      </c>
      <c r="E1096" s="896">
        <v>32016</v>
      </c>
      <c r="F1096" s="281"/>
      <c r="G1096" s="334">
        <f t="shared" si="1327"/>
        <v>0</v>
      </c>
      <c r="H1096" s="282"/>
      <c r="I1096" s="282"/>
      <c r="J1096" s="351" t="str">
        <f t="shared" si="1331"/>
        <v>-</v>
      </c>
      <c r="K1096" s="334">
        <f t="shared" si="1328"/>
        <v>0</v>
      </c>
      <c r="L1096" s="272">
        <f t="shared" ref="L1096:M1096" si="1337">+H1096+L979</f>
        <v>0</v>
      </c>
      <c r="M1096" s="273">
        <f t="shared" si="1337"/>
        <v>0</v>
      </c>
      <c r="N1096" s="337">
        <f t="shared" si="1330"/>
        <v>0</v>
      </c>
      <c r="O1096" s="263" t="str">
        <f t="shared" si="1277"/>
        <v>-</v>
      </c>
    </row>
    <row r="1097" spans="1:15" ht="23.4" x14ac:dyDescent="0.3">
      <c r="A1097" s="274"/>
      <c r="B1097" s="1051"/>
      <c r="C1097" s="813" t="s">
        <v>433</v>
      </c>
      <c r="D1097" s="899" t="s">
        <v>540</v>
      </c>
      <c r="E1097" s="896"/>
      <c r="F1097" s="281"/>
      <c r="G1097" s="334">
        <f t="shared" si="1327"/>
        <v>161317</v>
      </c>
      <c r="H1097" s="282">
        <v>159120</v>
      </c>
      <c r="I1097" s="282">
        <v>2197</v>
      </c>
      <c r="J1097" s="351" t="str">
        <f t="shared" si="1331"/>
        <v>-</v>
      </c>
      <c r="K1097" s="334">
        <f t="shared" si="1328"/>
        <v>253855</v>
      </c>
      <c r="L1097" s="272">
        <f t="shared" ref="L1097:M1097" si="1338">+H1097+L980</f>
        <v>250614</v>
      </c>
      <c r="M1097" s="272">
        <f t="shared" si="1338"/>
        <v>3241</v>
      </c>
      <c r="N1097" s="337" t="str">
        <f t="shared" si="1330"/>
        <v>-</v>
      </c>
      <c r="O1097" s="263">
        <f t="shared" si="1277"/>
        <v>1.2767130842410037E-2</v>
      </c>
    </row>
    <row r="1098" spans="1:15" ht="23.4" x14ac:dyDescent="0.3">
      <c r="A1098" s="274"/>
      <c r="B1098" s="1051"/>
      <c r="C1098" s="813" t="s">
        <v>382</v>
      </c>
      <c r="D1098" s="899" t="s">
        <v>366</v>
      </c>
      <c r="E1098" s="896"/>
      <c r="F1098" s="281"/>
      <c r="G1098" s="334">
        <f t="shared" si="1327"/>
        <v>0</v>
      </c>
      <c r="H1098" s="282"/>
      <c r="I1098" s="282"/>
      <c r="J1098" s="351" t="str">
        <f t="shared" si="1331"/>
        <v>-</v>
      </c>
      <c r="K1098" s="334">
        <f t="shared" si="1328"/>
        <v>0</v>
      </c>
      <c r="L1098" s="272">
        <f t="shared" ref="L1098:M1098" si="1339">+H1098+L981</f>
        <v>0</v>
      </c>
      <c r="M1098" s="273">
        <f t="shared" si="1339"/>
        <v>0</v>
      </c>
      <c r="N1098" s="337" t="str">
        <f t="shared" si="1330"/>
        <v>-</v>
      </c>
      <c r="O1098" s="263" t="str">
        <f t="shared" si="1277"/>
        <v>-</v>
      </c>
    </row>
    <row r="1099" spans="1:15" ht="24" thickBot="1" x14ac:dyDescent="0.35">
      <c r="A1099" s="274" t="s">
        <v>101</v>
      </c>
      <c r="B1099" s="1051"/>
      <c r="C1099" s="894" t="s">
        <v>290</v>
      </c>
      <c r="D1099" s="901" t="s">
        <v>289</v>
      </c>
      <c r="E1099" s="896"/>
      <c r="F1099" s="281"/>
      <c r="G1099" s="334">
        <f t="shared" si="1327"/>
        <v>0</v>
      </c>
      <c r="H1099" s="282"/>
      <c r="I1099" s="282"/>
      <c r="J1099" s="351" t="str">
        <f t="shared" si="1331"/>
        <v>-</v>
      </c>
      <c r="K1099" s="334">
        <f t="shared" si="1328"/>
        <v>0</v>
      </c>
      <c r="L1099" s="272">
        <f t="shared" ref="L1099:M1099" si="1340">+H1099+L982</f>
        <v>0</v>
      </c>
      <c r="M1099" s="273">
        <f t="shared" si="1340"/>
        <v>0</v>
      </c>
      <c r="N1099" s="337" t="str">
        <f t="shared" si="1330"/>
        <v>-</v>
      </c>
      <c r="O1099" s="347" t="str">
        <f t="shared" si="1277"/>
        <v>-</v>
      </c>
    </row>
    <row r="1100" spans="1:15" ht="24" thickBot="1" x14ac:dyDescent="0.35">
      <c r="A1100" s="274" t="s">
        <v>101</v>
      </c>
      <c r="B1100" s="1052"/>
      <c r="C1100" s="301"/>
      <c r="D1100" s="897" t="s">
        <v>52</v>
      </c>
      <c r="E1100" s="284">
        <f>SUM(E1090:E1099)</f>
        <v>1415664</v>
      </c>
      <c r="F1100" s="285">
        <v>80000</v>
      </c>
      <c r="G1100" s="320">
        <f>SUM(G1090:G1099)</f>
        <v>161317</v>
      </c>
      <c r="H1100" s="321">
        <f>SUM(H1090:H1099)</f>
        <v>159120</v>
      </c>
      <c r="I1100" s="321">
        <f>SUM(I1090:I1099)</f>
        <v>2197</v>
      </c>
      <c r="J1100" s="345">
        <f>+G1100/F1100</f>
        <v>2.0164624999999998</v>
      </c>
      <c r="K1100" s="320">
        <f>SUM(K1090:K1099)</f>
        <v>880797</v>
      </c>
      <c r="L1100" s="321">
        <f>SUM(L1090:L1099)</f>
        <v>867204</v>
      </c>
      <c r="M1100" s="322">
        <f>SUM(M1090:M1099)</f>
        <v>13593</v>
      </c>
      <c r="N1100" s="339">
        <f t="shared" si="1330"/>
        <v>0.62217941545451461</v>
      </c>
      <c r="O1100" s="345">
        <f t="shared" si="1277"/>
        <v>1.5432613871300651E-2</v>
      </c>
    </row>
    <row r="1101" spans="1:15" ht="23.4" x14ac:dyDescent="0.3">
      <c r="A1101" s="274" t="s">
        <v>101</v>
      </c>
      <c r="B1101" s="1053" t="s">
        <v>28</v>
      </c>
      <c r="C1101" s="299" t="s">
        <v>27</v>
      </c>
      <c r="D1101" s="297" t="s">
        <v>492</v>
      </c>
      <c r="E1101" s="270"/>
      <c r="F1101" s="271"/>
      <c r="G1101" s="332">
        <f t="shared" ref="G1101:G1105" si="1341">+H1101+I1101</f>
        <v>0</v>
      </c>
      <c r="H1101" s="272"/>
      <c r="I1101" s="272"/>
      <c r="J1101" s="351" t="str">
        <f>IFERROR(G1101/F1101,"-")</f>
        <v>-</v>
      </c>
      <c r="K1101" s="332">
        <f t="shared" ref="K1101:K1107" si="1342">+L1101+M1101</f>
        <v>170343</v>
      </c>
      <c r="L1101" s="272">
        <f t="shared" ref="L1101:M1101" si="1343">+H1101+L984</f>
        <v>167076</v>
      </c>
      <c r="M1101" s="273">
        <f t="shared" si="1343"/>
        <v>3267</v>
      </c>
      <c r="N1101" s="336" t="str">
        <f t="shared" si="1330"/>
        <v>-</v>
      </c>
      <c r="O1101" s="346">
        <f t="shared" si="1277"/>
        <v>1.9178950705341577E-2</v>
      </c>
    </row>
    <row r="1102" spans="1:15" ht="23.4" x14ac:dyDescent="0.3">
      <c r="A1102" s="274" t="s">
        <v>101</v>
      </c>
      <c r="B1102" s="1051"/>
      <c r="C1102" s="299" t="s">
        <v>385</v>
      </c>
      <c r="D1102" s="299" t="s">
        <v>334</v>
      </c>
      <c r="E1102" s="276"/>
      <c r="F1102" s="277"/>
      <c r="G1102" s="333">
        <f t="shared" si="1341"/>
        <v>0</v>
      </c>
      <c r="H1102" s="278"/>
      <c r="I1102" s="278"/>
      <c r="J1102" s="351" t="str">
        <f t="shared" ref="J1102:J1107" si="1344">IFERROR(G1102/F1102,"-")</f>
        <v>-</v>
      </c>
      <c r="K1102" s="333">
        <f t="shared" si="1342"/>
        <v>96975</v>
      </c>
      <c r="L1102" s="272">
        <f t="shared" ref="L1102:M1102" si="1345">+H1102+L985</f>
        <v>95472</v>
      </c>
      <c r="M1102" s="273">
        <f t="shared" si="1345"/>
        <v>1503</v>
      </c>
      <c r="N1102" s="337" t="str">
        <f t="shared" si="1330"/>
        <v>-</v>
      </c>
      <c r="O1102" s="263">
        <f t="shared" si="1277"/>
        <v>1.5498839907192575E-2</v>
      </c>
    </row>
    <row r="1103" spans="1:15" ht="23.4" x14ac:dyDescent="0.3">
      <c r="A1103" s="274" t="s">
        <v>101</v>
      </c>
      <c r="B1103" s="1051"/>
      <c r="C1103" s="299" t="s">
        <v>27</v>
      </c>
      <c r="D1103" s="299" t="s">
        <v>334</v>
      </c>
      <c r="E1103" s="276"/>
      <c r="F1103" s="277"/>
      <c r="G1103" s="333">
        <f t="shared" si="1341"/>
        <v>0</v>
      </c>
      <c r="H1103" s="278"/>
      <c r="I1103" s="278"/>
      <c r="J1103" s="351" t="str">
        <f t="shared" si="1344"/>
        <v>-</v>
      </c>
      <c r="K1103" s="333">
        <f t="shared" si="1342"/>
        <v>0</v>
      </c>
      <c r="L1103" s="272">
        <f t="shared" ref="L1103:M1103" si="1346">+H1103+L986</f>
        <v>0</v>
      </c>
      <c r="M1103" s="273">
        <f t="shared" si="1346"/>
        <v>0</v>
      </c>
      <c r="N1103" s="337" t="str">
        <f t="shared" si="1330"/>
        <v>-</v>
      </c>
      <c r="O1103" s="263" t="str">
        <f t="shared" si="1277"/>
        <v>-</v>
      </c>
    </row>
    <row r="1104" spans="1:15" ht="23.4" x14ac:dyDescent="0.3">
      <c r="A1104" s="274"/>
      <c r="B1104" s="1051"/>
      <c r="C1104" s="299" t="s">
        <v>460</v>
      </c>
      <c r="D1104" s="299" t="s">
        <v>334</v>
      </c>
      <c r="E1104" s="280"/>
      <c r="F1104" s="281"/>
      <c r="G1104" s="333">
        <f t="shared" si="1341"/>
        <v>0</v>
      </c>
      <c r="H1104" s="282"/>
      <c r="I1104" s="282"/>
      <c r="J1104" s="351" t="str">
        <f t="shared" si="1344"/>
        <v>-</v>
      </c>
      <c r="K1104" s="333">
        <f t="shared" si="1342"/>
        <v>4348</v>
      </c>
      <c r="L1104" s="272">
        <f t="shared" ref="L1104:M1104" si="1347">+H1104+L987</f>
        <v>3978</v>
      </c>
      <c r="M1104" s="273">
        <f t="shared" si="1347"/>
        <v>370</v>
      </c>
      <c r="N1104" s="337" t="str">
        <f t="shared" si="1330"/>
        <v>-</v>
      </c>
      <c r="O1104" s="263">
        <f t="shared" si="1277"/>
        <v>8.5096596136154556E-2</v>
      </c>
    </row>
    <row r="1105" spans="1:15" ht="23.4" x14ac:dyDescent="0.3">
      <c r="A1105" s="274" t="s">
        <v>101</v>
      </c>
      <c r="B1105" s="1051"/>
      <c r="C1105" s="299" t="s">
        <v>433</v>
      </c>
      <c r="D1105" s="299" t="s">
        <v>540</v>
      </c>
      <c r="E1105" s="280"/>
      <c r="F1105" s="281"/>
      <c r="G1105" s="334">
        <f t="shared" si="1341"/>
        <v>56286</v>
      </c>
      <c r="H1105" s="282">
        <v>55692</v>
      </c>
      <c r="I1105" s="282">
        <v>594</v>
      </c>
      <c r="J1105" s="351" t="str">
        <f t="shared" si="1344"/>
        <v>-</v>
      </c>
      <c r="K1105" s="334">
        <f t="shared" si="1342"/>
        <v>128335</v>
      </c>
      <c r="L1105" s="272">
        <f t="shared" ref="L1105:M1105" si="1348">+H1105+L988</f>
        <v>127296</v>
      </c>
      <c r="M1105" s="702">
        <f t="shared" si="1348"/>
        <v>1039</v>
      </c>
      <c r="N1105" s="338" t="str">
        <f t="shared" si="1330"/>
        <v>-</v>
      </c>
      <c r="O1105" s="347">
        <f t="shared" si="1277"/>
        <v>8.0959987532629452E-3</v>
      </c>
    </row>
    <row r="1106" spans="1:15" ht="23.4" x14ac:dyDescent="0.3">
      <c r="A1106" s="274"/>
      <c r="B1106" s="1051"/>
      <c r="C1106" s="299" t="s">
        <v>458</v>
      </c>
      <c r="D1106" s="300" t="s">
        <v>280</v>
      </c>
      <c r="E1106" s="280">
        <v>200000</v>
      </c>
      <c r="F1106" s="281"/>
      <c r="G1106" s="334"/>
      <c r="H1106" s="282"/>
      <c r="I1106" s="282"/>
      <c r="J1106" s="351" t="str">
        <f t="shared" si="1344"/>
        <v>-</v>
      </c>
      <c r="K1106" s="334">
        <f t="shared" si="1342"/>
        <v>0</v>
      </c>
      <c r="L1106" s="272">
        <f t="shared" ref="L1106:M1106" si="1349">+H1106+L989</f>
        <v>0</v>
      </c>
      <c r="M1106" s="272">
        <f t="shared" si="1349"/>
        <v>0</v>
      </c>
      <c r="N1106" s="338">
        <f t="shared" si="1330"/>
        <v>0</v>
      </c>
      <c r="O1106" s="347" t="str">
        <f t="shared" si="1277"/>
        <v>-</v>
      </c>
    </row>
    <row r="1107" spans="1:15" ht="24" thickBot="1" x14ac:dyDescent="0.35">
      <c r="A1107" s="274" t="s">
        <v>101</v>
      </c>
      <c r="B1107" s="1051"/>
      <c r="C1107" s="299" t="s">
        <v>27</v>
      </c>
      <c r="D1107" s="300" t="s">
        <v>234</v>
      </c>
      <c r="E1107" s="280">
        <v>250000</v>
      </c>
      <c r="F1107" s="281"/>
      <c r="G1107" s="334">
        <f t="shared" ref="G1107" si="1350">+H1107+I1107</f>
        <v>0</v>
      </c>
      <c r="H1107" s="282"/>
      <c r="I1107" s="282"/>
      <c r="J1107" s="351" t="str">
        <f t="shared" si="1344"/>
        <v>-</v>
      </c>
      <c r="K1107" s="334">
        <f t="shared" si="1342"/>
        <v>0</v>
      </c>
      <c r="L1107" s="272">
        <f t="shared" ref="L1107:M1107" si="1351">+H1107+L990</f>
        <v>0</v>
      </c>
      <c r="M1107" s="702">
        <f t="shared" si="1351"/>
        <v>0</v>
      </c>
      <c r="N1107" s="338">
        <f t="shared" si="1330"/>
        <v>0</v>
      </c>
      <c r="O1107" s="347" t="str">
        <f t="shared" si="1277"/>
        <v>-</v>
      </c>
    </row>
    <row r="1108" spans="1:15" ht="24" thickBot="1" x14ac:dyDescent="0.35">
      <c r="A1108" s="274" t="s">
        <v>101</v>
      </c>
      <c r="B1108" s="1051"/>
      <c r="C1108" s="304"/>
      <c r="D1108" s="305" t="s">
        <v>52</v>
      </c>
      <c r="E1108" s="306">
        <f>SUM(E1101:E1107)</f>
        <v>450000</v>
      </c>
      <c r="F1108" s="307">
        <v>160000</v>
      </c>
      <c r="G1108" s="366">
        <f>SUM(G1101:G1107)</f>
        <v>56286</v>
      </c>
      <c r="H1108" s="365">
        <f>SUM(H1101:H1107)</f>
        <v>55692</v>
      </c>
      <c r="I1108" s="365">
        <f>SUM(I1101:I1107)</f>
        <v>594</v>
      </c>
      <c r="J1108" s="356">
        <f>+G1108/F1108</f>
        <v>0.35178749999999998</v>
      </c>
      <c r="K1108" s="366">
        <f>SUM(K1101:K1107)</f>
        <v>400001</v>
      </c>
      <c r="L1108" s="365">
        <f>SUM(L1101:L1107)</f>
        <v>393822</v>
      </c>
      <c r="M1108" s="367">
        <f>SUM(M1101:M1107)</f>
        <v>6179</v>
      </c>
      <c r="N1108" s="355">
        <f t="shared" si="1330"/>
        <v>0.88889111111111108</v>
      </c>
      <c r="O1108" s="356">
        <f t="shared" si="1277"/>
        <v>1.5447461381346547E-2</v>
      </c>
    </row>
    <row r="1109" spans="1:15" ht="24" thickBot="1" x14ac:dyDescent="0.35">
      <c r="A1109" s="892" t="s">
        <v>101</v>
      </c>
      <c r="B1109" s="1054" t="s">
        <v>162</v>
      </c>
      <c r="C1109" s="1055"/>
      <c r="D1109" s="1056"/>
      <c r="E1109" s="308">
        <f>+E1108+E1100</f>
        <v>1865664</v>
      </c>
      <c r="F1109" s="309">
        <v>240000</v>
      </c>
      <c r="G1109" s="369">
        <f>+G1100+G1108</f>
        <v>217603</v>
      </c>
      <c r="H1109" s="368">
        <f>+H1100+H1108</f>
        <v>214812</v>
      </c>
      <c r="I1109" s="368">
        <f>+I1100+I1108</f>
        <v>2791</v>
      </c>
      <c r="J1109" s="358">
        <f>+G1109/F1109</f>
        <v>0.9066791666666667</v>
      </c>
      <c r="K1109" s="369">
        <f>+K1100+K1108</f>
        <v>1280798</v>
      </c>
      <c r="L1109" s="368">
        <f>+L1100+L1108</f>
        <v>1261026</v>
      </c>
      <c r="M1109" s="370">
        <f>+M1100+M1108</f>
        <v>19772</v>
      </c>
      <c r="N1109" s="357">
        <f>IFERROR(K1109/E1109,"-")</f>
        <v>0.68651053994717159</v>
      </c>
      <c r="O1109" s="358">
        <f t="shared" si="1277"/>
        <v>1.5437250838930104E-2</v>
      </c>
    </row>
    <row r="1110" spans="1:15" ht="23.4" x14ac:dyDescent="0.3">
      <c r="A1110" s="274" t="s">
        <v>101</v>
      </c>
      <c r="B1110" s="1051" t="s">
        <v>30</v>
      </c>
      <c r="C1110" s="303" t="s">
        <v>446</v>
      </c>
      <c r="D1110" s="299" t="s">
        <v>522</v>
      </c>
      <c r="E1110" s="270">
        <v>225000</v>
      </c>
      <c r="F1110" s="271"/>
      <c r="G1110" s="332">
        <f t="shared" ref="G1110:G1112" si="1352">+H1110+I1110</f>
        <v>0</v>
      </c>
      <c r="H1110" s="272"/>
      <c r="I1110" s="272"/>
      <c r="J1110" s="351" t="str">
        <f>IFERROR(G1110/F1110,"-")</f>
        <v>-</v>
      </c>
      <c r="K1110" s="332">
        <f t="shared" ref="K1110:K1112" si="1353">+L1110+M1110</f>
        <v>0</v>
      </c>
      <c r="L1110" s="272">
        <f t="shared" ref="L1110:M1110" si="1354">+H1110+L993</f>
        <v>0</v>
      </c>
      <c r="M1110" s="273">
        <f t="shared" si="1354"/>
        <v>0</v>
      </c>
      <c r="N1110" s="336">
        <f t="shared" ref="N1110:N1123" si="1355">IFERROR(K1110/E1110,"-")</f>
        <v>0</v>
      </c>
      <c r="O1110" s="346" t="str">
        <f t="shared" si="1277"/>
        <v>-</v>
      </c>
    </row>
    <row r="1111" spans="1:15" ht="23.4" x14ac:dyDescent="0.3">
      <c r="A1111" s="274" t="s">
        <v>101</v>
      </c>
      <c r="B1111" s="1051"/>
      <c r="C1111" s="300" t="s">
        <v>548</v>
      </c>
      <c r="D1111" s="303" t="s">
        <v>522</v>
      </c>
      <c r="E1111" s="276">
        <v>125000</v>
      </c>
      <c r="F1111" s="277"/>
      <c r="G1111" s="333">
        <f t="shared" si="1352"/>
        <v>0</v>
      </c>
      <c r="H1111" s="278"/>
      <c r="I1111" s="278"/>
      <c r="J1111" s="351" t="str">
        <f t="shared" ref="J1111:J1112" si="1356">IFERROR(G1111/F1111,"-")</f>
        <v>-</v>
      </c>
      <c r="K1111" s="333">
        <f t="shared" si="1353"/>
        <v>0</v>
      </c>
      <c r="L1111" s="272">
        <f t="shared" ref="L1111:M1111" si="1357">+H1111+L994</f>
        <v>0</v>
      </c>
      <c r="M1111" s="273">
        <f t="shared" si="1357"/>
        <v>0</v>
      </c>
      <c r="N1111" s="337">
        <f t="shared" si="1355"/>
        <v>0</v>
      </c>
      <c r="O1111" s="263" t="str">
        <f t="shared" si="1277"/>
        <v>-</v>
      </c>
    </row>
    <row r="1112" spans="1:15" ht="24" thickBot="1" x14ac:dyDescent="0.35">
      <c r="A1112" s="274" t="s">
        <v>101</v>
      </c>
      <c r="B1112" s="1051"/>
      <c r="C1112" s="300" t="s">
        <v>291</v>
      </c>
      <c r="D1112" s="300" t="s">
        <v>366</v>
      </c>
      <c r="E1112" s="280"/>
      <c r="F1112" s="281"/>
      <c r="G1112" s="334">
        <f t="shared" si="1352"/>
        <v>0</v>
      </c>
      <c r="H1112" s="282"/>
      <c r="I1112" s="282"/>
      <c r="J1112" s="351" t="str">
        <f t="shared" si="1356"/>
        <v>-</v>
      </c>
      <c r="K1112" s="334">
        <f t="shared" si="1353"/>
        <v>0</v>
      </c>
      <c r="L1112" s="272">
        <f t="shared" ref="L1112:M1112" si="1358">+H1112+L995</f>
        <v>0</v>
      </c>
      <c r="M1112" s="273">
        <f t="shared" si="1358"/>
        <v>0</v>
      </c>
      <c r="N1112" s="338" t="str">
        <f t="shared" si="1355"/>
        <v>-</v>
      </c>
      <c r="O1112" s="347" t="str">
        <f t="shared" si="1277"/>
        <v>-</v>
      </c>
    </row>
    <row r="1113" spans="1:15" ht="24" thickBot="1" x14ac:dyDescent="0.35">
      <c r="A1113" s="274" t="s">
        <v>101</v>
      </c>
      <c r="B1113" s="1051"/>
      <c r="C1113" s="301"/>
      <c r="D1113" s="302" t="s">
        <v>50</v>
      </c>
      <c r="E1113" s="284">
        <f>SUM(E1110:E1112)</f>
        <v>350000</v>
      </c>
      <c r="F1113" s="285">
        <v>50000</v>
      </c>
      <c r="G1113" s="320">
        <f>SUM(G1110:G1112)</f>
        <v>0</v>
      </c>
      <c r="H1113" s="321">
        <f>SUM(H1110:H1112)</f>
        <v>0</v>
      </c>
      <c r="I1113" s="321">
        <f>SUM(I1110:I1112)</f>
        <v>0</v>
      </c>
      <c r="J1113" s="345">
        <f>+G1113/F1113</f>
        <v>0</v>
      </c>
      <c r="K1113" s="320">
        <f>SUM(K1110:K1112)</f>
        <v>0</v>
      </c>
      <c r="L1113" s="321">
        <f>SUM(L1110:L1112)</f>
        <v>0</v>
      </c>
      <c r="M1113" s="322">
        <f>SUM(M1110:M1112)</f>
        <v>0</v>
      </c>
      <c r="N1113" s="339">
        <f t="shared" si="1355"/>
        <v>0</v>
      </c>
      <c r="O1113" s="345" t="str">
        <f t="shared" si="1277"/>
        <v>-</v>
      </c>
    </row>
    <row r="1114" spans="1:15" ht="23.4" x14ac:dyDescent="0.3">
      <c r="A1114" s="274" t="s">
        <v>101</v>
      </c>
      <c r="B1114" s="1051"/>
      <c r="C1114" s="297" t="s">
        <v>434</v>
      </c>
      <c r="D1114" s="297" t="s">
        <v>92</v>
      </c>
      <c r="E1114" s="270"/>
      <c r="F1114" s="271"/>
      <c r="G1114" s="332">
        <f t="shared" ref="G1114:G1115" si="1359">+H1114+I1114</f>
        <v>0</v>
      </c>
      <c r="H1114" s="272"/>
      <c r="I1114" s="272"/>
      <c r="J1114" s="351" t="str">
        <f>IFERROR(G1114/F1114,"-")</f>
        <v>-</v>
      </c>
      <c r="K1114" s="332">
        <f t="shared" ref="K1114:K1119" si="1360">+L1114+M1114</f>
        <v>0</v>
      </c>
      <c r="L1114" s="272">
        <f t="shared" ref="L1114:M1114" si="1361">+H1114+L997</f>
        <v>0</v>
      </c>
      <c r="M1114" s="273">
        <f t="shared" si="1361"/>
        <v>0</v>
      </c>
      <c r="N1114" s="336" t="str">
        <f t="shared" si="1355"/>
        <v>-</v>
      </c>
      <c r="O1114" s="346" t="str">
        <f t="shared" si="1277"/>
        <v>-</v>
      </c>
    </row>
    <row r="1115" spans="1:15" ht="23.4" x14ac:dyDescent="0.3">
      <c r="A1115" s="274"/>
      <c r="B1115" s="1051"/>
      <c r="C1115" s="303" t="s">
        <v>449</v>
      </c>
      <c r="D1115" s="299" t="s">
        <v>334</v>
      </c>
      <c r="E1115" s="270"/>
      <c r="F1115" s="271"/>
      <c r="G1115" s="332">
        <f t="shared" si="1359"/>
        <v>0</v>
      </c>
      <c r="H1115" s="272"/>
      <c r="I1115" s="272"/>
      <c r="J1115" s="351" t="str">
        <f t="shared" ref="J1115:J1119" si="1362">IFERROR(G1115/F1115,"-")</f>
        <v>-</v>
      </c>
      <c r="K1115" s="332">
        <f t="shared" si="1360"/>
        <v>0</v>
      </c>
      <c r="L1115" s="272">
        <f t="shared" ref="L1115:M1115" si="1363">+H1115+L998</f>
        <v>0</v>
      </c>
      <c r="M1115" s="273">
        <f t="shared" si="1363"/>
        <v>0</v>
      </c>
      <c r="N1115" s="337" t="str">
        <f t="shared" si="1355"/>
        <v>-</v>
      </c>
      <c r="O1115" s="346" t="str">
        <f t="shared" si="1277"/>
        <v>-</v>
      </c>
    </row>
    <row r="1116" spans="1:15" ht="23.4" x14ac:dyDescent="0.3">
      <c r="A1116" s="274"/>
      <c r="B1116" s="1051"/>
      <c r="C1116" s="303" t="s">
        <v>452</v>
      </c>
      <c r="D1116" s="299" t="s">
        <v>334</v>
      </c>
      <c r="E1116" s="270"/>
      <c r="F1116" s="271"/>
      <c r="G1116" s="332"/>
      <c r="H1116" s="272"/>
      <c r="I1116" s="272"/>
      <c r="J1116" s="351" t="str">
        <f t="shared" si="1362"/>
        <v>-</v>
      </c>
      <c r="K1116" s="332">
        <f t="shared" si="1360"/>
        <v>0</v>
      </c>
      <c r="L1116" s="272">
        <f t="shared" ref="L1116:M1116" si="1364">+H1116+L999</f>
        <v>0</v>
      </c>
      <c r="M1116" s="273">
        <f t="shared" si="1364"/>
        <v>0</v>
      </c>
      <c r="N1116" s="337" t="str">
        <f t="shared" si="1355"/>
        <v>-</v>
      </c>
      <c r="O1116" s="346" t="str">
        <f t="shared" si="1277"/>
        <v>-</v>
      </c>
    </row>
    <row r="1117" spans="1:15" ht="23.4" x14ac:dyDescent="0.3">
      <c r="A1117" s="274" t="s">
        <v>101</v>
      </c>
      <c r="B1117" s="1051"/>
      <c r="C1117" s="303" t="s">
        <v>501</v>
      </c>
      <c r="D1117" s="300" t="s">
        <v>423</v>
      </c>
      <c r="E1117" s="276"/>
      <c r="F1117" s="277"/>
      <c r="G1117" s="333">
        <f t="shared" ref="G1117" si="1365">+H1117+I1117</f>
        <v>0</v>
      </c>
      <c r="H1117" s="278"/>
      <c r="I1117" s="278"/>
      <c r="J1117" s="351" t="str">
        <f t="shared" si="1362"/>
        <v>-</v>
      </c>
      <c r="K1117" s="333">
        <f t="shared" si="1360"/>
        <v>8116</v>
      </c>
      <c r="L1117" s="272">
        <f t="shared" ref="L1117:M1117" si="1366">+H1117+L1000</f>
        <v>7488</v>
      </c>
      <c r="M1117" s="273">
        <f t="shared" si="1366"/>
        <v>628</v>
      </c>
      <c r="N1117" s="337" t="str">
        <f t="shared" si="1355"/>
        <v>-</v>
      </c>
      <c r="O1117" s="263">
        <f t="shared" si="1277"/>
        <v>7.737801872843765E-2</v>
      </c>
    </row>
    <row r="1118" spans="1:15" ht="23.4" x14ac:dyDescent="0.3">
      <c r="A1118" s="274"/>
      <c r="B1118" s="1051"/>
      <c r="C1118" s="300" t="s">
        <v>459</v>
      </c>
      <c r="D1118" s="300" t="s">
        <v>366</v>
      </c>
      <c r="E1118" s="280"/>
      <c r="F1118" s="281"/>
      <c r="G1118" s="334"/>
      <c r="H1118" s="282"/>
      <c r="I1118" s="282"/>
      <c r="J1118" s="351" t="str">
        <f t="shared" si="1362"/>
        <v>-</v>
      </c>
      <c r="K1118" s="333">
        <f t="shared" si="1360"/>
        <v>0</v>
      </c>
      <c r="L1118" s="272">
        <f t="shared" ref="L1118:M1118" si="1367">+H1118+L1001</f>
        <v>0</v>
      </c>
      <c r="M1118" s="272">
        <f t="shared" si="1367"/>
        <v>0</v>
      </c>
      <c r="N1118" s="337" t="str">
        <f t="shared" si="1355"/>
        <v>-</v>
      </c>
      <c r="O1118" s="263" t="str">
        <f t="shared" si="1277"/>
        <v>-</v>
      </c>
    </row>
    <row r="1119" spans="1:15" ht="24" thickBot="1" x14ac:dyDescent="0.35">
      <c r="A1119" s="274" t="s">
        <v>101</v>
      </c>
      <c r="B1119" s="1051"/>
      <c r="C1119" s="300" t="s">
        <v>435</v>
      </c>
      <c r="D1119" s="300" t="s">
        <v>423</v>
      </c>
      <c r="E1119" s="280"/>
      <c r="F1119" s="281"/>
      <c r="G1119" s="334">
        <f t="shared" ref="G1119" si="1368">+H1119+I1119</f>
        <v>0</v>
      </c>
      <c r="H1119" s="282"/>
      <c r="I1119" s="282"/>
      <c r="J1119" s="351" t="str">
        <f t="shared" si="1362"/>
        <v>-</v>
      </c>
      <c r="K1119" s="334">
        <f t="shared" si="1360"/>
        <v>0</v>
      </c>
      <c r="L1119" s="272">
        <f t="shared" ref="L1119:M1119" si="1369">+H1119+L1002</f>
        <v>0</v>
      </c>
      <c r="M1119" s="273">
        <f t="shared" si="1369"/>
        <v>0</v>
      </c>
      <c r="N1119" s="338" t="str">
        <f t="shared" si="1355"/>
        <v>-</v>
      </c>
      <c r="O1119" s="347" t="str">
        <f t="shared" si="1277"/>
        <v>-</v>
      </c>
    </row>
    <row r="1120" spans="1:15" ht="24" thickBot="1" x14ac:dyDescent="0.35">
      <c r="A1120" s="274" t="s">
        <v>101</v>
      </c>
      <c r="B1120" s="1051"/>
      <c r="C1120" s="304"/>
      <c r="D1120" s="305" t="s">
        <v>51</v>
      </c>
      <c r="E1120" s="306">
        <f>SUM(E1114:E1119)</f>
        <v>0</v>
      </c>
      <c r="F1120" s="307">
        <v>50000</v>
      </c>
      <c r="G1120" s="366">
        <f>SUM(G1114:G1119)</f>
        <v>0</v>
      </c>
      <c r="H1120" s="365">
        <f t="shared" ref="H1120:I1120" si="1370">SUM(H1114:H1119)</f>
        <v>0</v>
      </c>
      <c r="I1120" s="365">
        <f t="shared" si="1370"/>
        <v>0</v>
      </c>
      <c r="J1120" s="356">
        <f>+G1120/F1120</f>
        <v>0</v>
      </c>
      <c r="K1120" s="366">
        <f t="shared" ref="K1120:M1120" si="1371">SUM(K1114:K1119)</f>
        <v>8116</v>
      </c>
      <c r="L1120" s="365">
        <f t="shared" si="1371"/>
        <v>7488</v>
      </c>
      <c r="M1120" s="367">
        <f t="shared" si="1371"/>
        <v>628</v>
      </c>
      <c r="N1120" s="355" t="str">
        <f t="shared" si="1355"/>
        <v>-</v>
      </c>
      <c r="O1120" s="356">
        <f t="shared" si="1277"/>
        <v>7.737801872843765E-2</v>
      </c>
    </row>
    <row r="1121" spans="1:15" ht="24" thickBot="1" x14ac:dyDescent="0.35">
      <c r="A1121" s="274" t="s">
        <v>101</v>
      </c>
      <c r="B1121" s="1054" t="s">
        <v>163</v>
      </c>
      <c r="C1121" s="1055"/>
      <c r="D1121" s="1056"/>
      <c r="E1121" s="308">
        <f>+E1120+E1113</f>
        <v>350000</v>
      </c>
      <c r="F1121" s="309">
        <v>50000</v>
      </c>
      <c r="G1121" s="369">
        <f>+G1113+G1120</f>
        <v>0</v>
      </c>
      <c r="H1121" s="368">
        <f t="shared" ref="H1121:I1121" si="1372">+H1113+H1120</f>
        <v>0</v>
      </c>
      <c r="I1121" s="368">
        <f t="shared" si="1372"/>
        <v>0</v>
      </c>
      <c r="J1121" s="358">
        <f>+G1121/F1121</f>
        <v>0</v>
      </c>
      <c r="K1121" s="369">
        <f t="shared" ref="K1121:M1121" si="1373">+K1113+K1120</f>
        <v>8116</v>
      </c>
      <c r="L1121" s="368">
        <f t="shared" si="1373"/>
        <v>7488</v>
      </c>
      <c r="M1121" s="370">
        <f t="shared" si="1373"/>
        <v>628</v>
      </c>
      <c r="N1121" s="357">
        <f t="shared" si="1355"/>
        <v>2.318857142857143E-2</v>
      </c>
      <c r="O1121" s="358">
        <f t="shared" si="1277"/>
        <v>7.737801872843765E-2</v>
      </c>
    </row>
    <row r="1122" spans="1:15" ht="24" thickBot="1" x14ac:dyDescent="0.35">
      <c r="A1122" s="274" t="s">
        <v>101</v>
      </c>
      <c r="B1122" s="598" t="s">
        <v>32</v>
      </c>
      <c r="C1122" s="888"/>
      <c r="D1122" s="310" t="s">
        <v>32</v>
      </c>
      <c r="E1122" s="287">
        <v>0</v>
      </c>
      <c r="F1122" s="288">
        <v>110000</v>
      </c>
      <c r="G1122" s="335">
        <f t="shared" ref="G1122" si="1374">+H1122+I1122</f>
        <v>0</v>
      </c>
      <c r="H1122" s="289"/>
      <c r="I1122" s="289"/>
      <c r="J1122" s="354">
        <f>IFERROR(G1122/F1122,"-")</f>
        <v>0</v>
      </c>
      <c r="K1122" s="335">
        <f>+L1122+M1122</f>
        <v>0</v>
      </c>
      <c r="L1122" s="289">
        <f>+H1122+L1005</f>
        <v>0</v>
      </c>
      <c r="M1122" s="290">
        <f>+I1122+M1005</f>
        <v>0</v>
      </c>
      <c r="N1122" s="340" t="str">
        <f t="shared" si="1355"/>
        <v>-</v>
      </c>
      <c r="O1122" s="348" t="str">
        <f t="shared" si="1277"/>
        <v>-</v>
      </c>
    </row>
    <row r="1123" spans="1:15" ht="24" thickBot="1" x14ac:dyDescent="0.35">
      <c r="A1123" s="274" t="s">
        <v>101</v>
      </c>
      <c r="B1123" s="1047" t="s">
        <v>21</v>
      </c>
      <c r="C1123" s="1048"/>
      <c r="D1123" s="1049"/>
      <c r="E1123" s="326">
        <f>+E1109+E1121+E1122</f>
        <v>2215664</v>
      </c>
      <c r="F1123" s="327">
        <f>+F1109+F1121+F1122</f>
        <v>400000</v>
      </c>
      <c r="G1123" s="326">
        <f>+G1109+G1121+G1122</f>
        <v>217603</v>
      </c>
      <c r="H1123" s="324">
        <f>+H1109+H1121+H1122</f>
        <v>214812</v>
      </c>
      <c r="I1123" s="324">
        <f>+I1109+I1121+I1122</f>
        <v>2791</v>
      </c>
      <c r="J1123" s="349">
        <f>+G1123/F1123</f>
        <v>0.54400749999999998</v>
      </c>
      <c r="K1123" s="326">
        <f>+K1109+K1121+K1122</f>
        <v>1288914</v>
      </c>
      <c r="L1123" s="324">
        <f>+L1109+L1121+L1122</f>
        <v>1268514</v>
      </c>
      <c r="M1123" s="325">
        <f>+M1109+M1121+M1122</f>
        <v>20400</v>
      </c>
      <c r="N1123" s="341">
        <f t="shared" si="1355"/>
        <v>0.58172809595678765</v>
      </c>
      <c r="O1123" s="349">
        <f t="shared" si="1277"/>
        <v>1.5827277847862618E-2</v>
      </c>
    </row>
    <row r="1124" spans="1:15" ht="24" thickBot="1" x14ac:dyDescent="0.35">
      <c r="A1124" s="274" t="s">
        <v>101</v>
      </c>
      <c r="B1124" s="1019" t="s">
        <v>171</v>
      </c>
      <c r="C1124" s="1020"/>
      <c r="D1124" s="1021"/>
      <c r="E1124" s="330">
        <f>+E1123</f>
        <v>2215664</v>
      </c>
      <c r="F1124" s="331">
        <f t="shared" ref="F1124:I1124" si="1375">+F1123</f>
        <v>400000</v>
      </c>
      <c r="G1124" s="330">
        <f t="shared" si="1375"/>
        <v>217603</v>
      </c>
      <c r="H1124" s="328">
        <f t="shared" si="1375"/>
        <v>214812</v>
      </c>
      <c r="I1124" s="328">
        <f t="shared" si="1375"/>
        <v>2791</v>
      </c>
      <c r="J1124" s="872">
        <f>+G1124/F1124</f>
        <v>0.54400749999999998</v>
      </c>
      <c r="K1124" s="330">
        <f>+K1123</f>
        <v>1288914</v>
      </c>
      <c r="L1124" s="328">
        <f t="shared" ref="L1124" si="1376">+L1123</f>
        <v>1268514</v>
      </c>
      <c r="M1124" s="329">
        <f>+M1123</f>
        <v>20400</v>
      </c>
      <c r="N1124" s="342">
        <f t="shared" ref="N1124:O1124" si="1377">+N1123</f>
        <v>0.58172809595678765</v>
      </c>
      <c r="O1124" s="350">
        <f t="shared" si="1377"/>
        <v>1.5827277847862618E-2</v>
      </c>
    </row>
    <row r="1125" spans="1:15" ht="23.4" x14ac:dyDescent="0.3">
      <c r="A1125" s="268" t="s">
        <v>102</v>
      </c>
      <c r="B1125" s="1022" t="s">
        <v>401</v>
      </c>
      <c r="C1125" s="311" t="s">
        <v>113</v>
      </c>
      <c r="D1125" s="311"/>
      <c r="E1125" s="270"/>
      <c r="F1125" s="271"/>
      <c r="G1125" s="332">
        <f t="shared" ref="G1125:G1127" si="1378">+H1125+I1125</f>
        <v>0</v>
      </c>
      <c r="H1125" s="272"/>
      <c r="I1125" s="272"/>
      <c r="J1125" s="351" t="str">
        <f>IFERROR(G1125/F1125,"-")</f>
        <v>-</v>
      </c>
      <c r="K1125" s="332">
        <f t="shared" ref="K1125:K1127" si="1379">+L1125+M1125</f>
        <v>0</v>
      </c>
      <c r="L1125" s="272">
        <f t="shared" ref="L1125:M1125" si="1380">+H1125+L1008</f>
        <v>0</v>
      </c>
      <c r="M1125" s="273">
        <f t="shared" si="1380"/>
        <v>0</v>
      </c>
      <c r="N1125" s="336" t="str">
        <f t="shared" ref="N1125:N1132" si="1381">IFERROR(K1125/E1125,"-")</f>
        <v>-</v>
      </c>
      <c r="O1125" s="346" t="str">
        <f t="shared" ref="O1125:O1150" si="1382">IFERROR(M1125/K1125,"-")</f>
        <v>-</v>
      </c>
    </row>
    <row r="1126" spans="1:15" ht="23.4" x14ac:dyDescent="0.3">
      <c r="A1126" s="274" t="s">
        <v>102</v>
      </c>
      <c r="B1126" s="1023"/>
      <c r="C1126" s="312" t="s">
        <v>247</v>
      </c>
      <c r="D1126" s="312"/>
      <c r="E1126" s="276">
        <v>2000</v>
      </c>
      <c r="F1126" s="277"/>
      <c r="G1126" s="333">
        <f t="shared" si="1378"/>
        <v>0</v>
      </c>
      <c r="H1126" s="278"/>
      <c r="I1126" s="278"/>
      <c r="J1126" s="351" t="str">
        <f t="shared" ref="J1126:J1127" si="1383">IFERROR(G1126/F1126,"-")</f>
        <v>-</v>
      </c>
      <c r="K1126" s="333">
        <f t="shared" si="1379"/>
        <v>9638</v>
      </c>
      <c r="L1126" s="272">
        <f t="shared" ref="L1126:M1126" si="1384">+H1126+L1009</f>
        <v>9149</v>
      </c>
      <c r="M1126" s="273">
        <f t="shared" si="1384"/>
        <v>489</v>
      </c>
      <c r="N1126" s="337">
        <f t="shared" si="1381"/>
        <v>4.819</v>
      </c>
      <c r="O1126" s="263">
        <f t="shared" si="1382"/>
        <v>5.0736667358373108E-2</v>
      </c>
    </row>
    <row r="1127" spans="1:15" ht="24" thickBot="1" x14ac:dyDescent="0.35">
      <c r="A1127" s="274" t="s">
        <v>102</v>
      </c>
      <c r="B1127" s="1024"/>
      <c r="C1127" s="313" t="s">
        <v>33</v>
      </c>
      <c r="D1127" s="313"/>
      <c r="E1127" s="280"/>
      <c r="F1127" s="281"/>
      <c r="G1127" s="334">
        <f t="shared" si="1378"/>
        <v>0</v>
      </c>
      <c r="H1127" s="282"/>
      <c r="I1127" s="282"/>
      <c r="J1127" s="351" t="str">
        <f t="shared" si="1383"/>
        <v>-</v>
      </c>
      <c r="K1127" s="334">
        <f t="shared" si="1379"/>
        <v>0</v>
      </c>
      <c r="L1127" s="272">
        <f t="shared" ref="L1127:M1127" si="1385">+H1127+L1010</f>
        <v>0</v>
      </c>
      <c r="M1127" s="273">
        <f t="shared" si="1385"/>
        <v>0</v>
      </c>
      <c r="N1127" s="338" t="str">
        <f t="shared" si="1381"/>
        <v>-</v>
      </c>
      <c r="O1127" s="347" t="str">
        <f t="shared" si="1382"/>
        <v>-</v>
      </c>
    </row>
    <row r="1128" spans="1:15" ht="24" thickBot="1" x14ac:dyDescent="0.35">
      <c r="A1128" s="274" t="s">
        <v>102</v>
      </c>
      <c r="B1128" s="1025" t="s">
        <v>34</v>
      </c>
      <c r="C1128" s="1026"/>
      <c r="D1128" s="1027"/>
      <c r="E1128" s="284">
        <f>SUM(E1125:E1127)</f>
        <v>2000</v>
      </c>
      <c r="F1128" s="285">
        <v>6500</v>
      </c>
      <c r="G1128" s="320">
        <f>SUM(G1125:G1127)</f>
        <v>0</v>
      </c>
      <c r="H1128" s="321">
        <f t="shared" ref="H1128:I1128" si="1386">SUM(H1125:H1127)</f>
        <v>0</v>
      </c>
      <c r="I1128" s="321">
        <f t="shared" si="1386"/>
        <v>0</v>
      </c>
      <c r="J1128" s="345">
        <f>IFERROR(G1128/F1128,"-")</f>
        <v>0</v>
      </c>
      <c r="K1128" s="320">
        <f t="shared" ref="K1128:M1128" si="1387">SUM(K1125:K1127)</f>
        <v>9638</v>
      </c>
      <c r="L1128" s="321">
        <f t="shared" si="1387"/>
        <v>9149</v>
      </c>
      <c r="M1128" s="322">
        <f t="shared" si="1387"/>
        <v>489</v>
      </c>
      <c r="N1128" s="339">
        <f t="shared" si="1381"/>
        <v>4.819</v>
      </c>
      <c r="O1128" s="345">
        <f t="shared" si="1382"/>
        <v>5.0736667358373108E-2</v>
      </c>
    </row>
    <row r="1129" spans="1:15" ht="23.4" x14ac:dyDescent="0.3">
      <c r="A1129" s="274" t="s">
        <v>102</v>
      </c>
      <c r="B1129" s="1022" t="s">
        <v>35</v>
      </c>
      <c r="C1129" s="311" t="s">
        <v>113</v>
      </c>
      <c r="D1129" s="311"/>
      <c r="E1129" s="270">
        <v>116160</v>
      </c>
      <c r="F1129" s="271"/>
      <c r="G1129" s="332">
        <f t="shared" ref="G1129:G1132" si="1388">+H1129+I1129</f>
        <v>0</v>
      </c>
      <c r="H1129" s="272"/>
      <c r="I1129" s="272"/>
      <c r="J1129" s="351" t="str">
        <f>IFERROR(G1129/F1129,"-")</f>
        <v>-</v>
      </c>
      <c r="K1129" s="332">
        <f t="shared" ref="K1129:K1132" si="1389">+L1129+M1129</f>
        <v>0</v>
      </c>
      <c r="L1129" s="272">
        <f t="shared" ref="L1129:M1129" si="1390">+H1129+L1012</f>
        <v>0</v>
      </c>
      <c r="M1129" s="273">
        <f t="shared" si="1390"/>
        <v>0</v>
      </c>
      <c r="N1129" s="336">
        <f t="shared" si="1381"/>
        <v>0</v>
      </c>
      <c r="O1129" s="346" t="str">
        <f t="shared" si="1382"/>
        <v>-</v>
      </c>
    </row>
    <row r="1130" spans="1:15" ht="23.4" x14ac:dyDescent="0.3">
      <c r="A1130" s="274" t="s">
        <v>102</v>
      </c>
      <c r="B1130" s="1023"/>
      <c r="C1130" s="312" t="s">
        <v>247</v>
      </c>
      <c r="D1130" s="312"/>
      <c r="E1130" s="276"/>
      <c r="F1130" s="277"/>
      <c r="G1130" s="333">
        <f t="shared" si="1388"/>
        <v>0</v>
      </c>
      <c r="H1130" s="278"/>
      <c r="I1130" s="278"/>
      <c r="J1130" s="351" t="str">
        <f t="shared" ref="J1130:J1132" si="1391">IFERROR(G1130/F1130,"-")</f>
        <v>-</v>
      </c>
      <c r="K1130" s="333">
        <f t="shared" si="1389"/>
        <v>0</v>
      </c>
      <c r="L1130" s="272">
        <f t="shared" ref="L1130:M1130" si="1392">+H1130+L1013</f>
        <v>0</v>
      </c>
      <c r="M1130" s="273">
        <f t="shared" si="1392"/>
        <v>0</v>
      </c>
      <c r="N1130" s="337" t="str">
        <f t="shared" si="1381"/>
        <v>-</v>
      </c>
      <c r="O1130" s="263" t="str">
        <f t="shared" si="1382"/>
        <v>-</v>
      </c>
    </row>
    <row r="1131" spans="1:15" ht="23.4" x14ac:dyDescent="0.3">
      <c r="A1131" s="274" t="s">
        <v>102</v>
      </c>
      <c r="B1131" s="1023"/>
      <c r="C1131" s="312" t="s">
        <v>496</v>
      </c>
      <c r="D1131" s="312"/>
      <c r="E1131" s="276">
        <v>20000</v>
      </c>
      <c r="F1131" s="277"/>
      <c r="G1131" s="333">
        <f t="shared" si="1388"/>
        <v>0</v>
      </c>
      <c r="H1131" s="278"/>
      <c r="I1131" s="278"/>
      <c r="J1131" s="351" t="str">
        <f t="shared" si="1391"/>
        <v>-</v>
      </c>
      <c r="K1131" s="333">
        <f t="shared" si="1389"/>
        <v>0</v>
      </c>
      <c r="L1131" s="272">
        <f t="shared" ref="L1131:M1131" si="1393">+H1131+L1014</f>
        <v>0</v>
      </c>
      <c r="M1131" s="273">
        <f t="shared" si="1393"/>
        <v>0</v>
      </c>
      <c r="N1131" s="337">
        <f t="shared" si="1381"/>
        <v>0</v>
      </c>
      <c r="O1131" s="263" t="str">
        <f t="shared" si="1382"/>
        <v>-</v>
      </c>
    </row>
    <row r="1132" spans="1:15" ht="24" thickBot="1" x14ac:dyDescent="0.35">
      <c r="A1132" s="274" t="s">
        <v>102</v>
      </c>
      <c r="B1132" s="1024"/>
      <c r="C1132" s="313" t="s">
        <v>36</v>
      </c>
      <c r="D1132" s="313"/>
      <c r="E1132" s="280"/>
      <c r="F1132" s="281"/>
      <c r="G1132" s="334">
        <f t="shared" si="1388"/>
        <v>0</v>
      </c>
      <c r="H1132" s="282"/>
      <c r="I1132" s="282"/>
      <c r="J1132" s="351" t="str">
        <f t="shared" si="1391"/>
        <v>-</v>
      </c>
      <c r="K1132" s="334">
        <f t="shared" si="1389"/>
        <v>0</v>
      </c>
      <c r="L1132" s="272">
        <f t="shared" ref="L1132:M1132" si="1394">+H1132+L1015</f>
        <v>0</v>
      </c>
      <c r="M1132" s="273">
        <f t="shared" si="1394"/>
        <v>0</v>
      </c>
      <c r="N1132" s="338" t="str">
        <f t="shared" si="1381"/>
        <v>-</v>
      </c>
      <c r="O1132" s="347" t="str">
        <f t="shared" si="1382"/>
        <v>-</v>
      </c>
    </row>
    <row r="1133" spans="1:15" ht="24" thickBot="1" x14ac:dyDescent="0.35">
      <c r="A1133" s="274" t="s">
        <v>102</v>
      </c>
      <c r="B1133" s="1025" t="s">
        <v>37</v>
      </c>
      <c r="C1133" s="1026"/>
      <c r="D1133" s="1027"/>
      <c r="E1133" s="284">
        <f>SUM(E1129:E1132)</f>
        <v>136160</v>
      </c>
      <c r="F1133" s="285">
        <v>6500</v>
      </c>
      <c r="G1133" s="320">
        <f>SUM(G1129:G1132)</f>
        <v>0</v>
      </c>
      <c r="H1133" s="321">
        <f t="shared" ref="H1133:I1133" si="1395">SUM(H1129:H1132)</f>
        <v>0</v>
      </c>
      <c r="I1133" s="321">
        <f t="shared" si="1395"/>
        <v>0</v>
      </c>
      <c r="J1133" s="345">
        <f>IFERROR(G1133/F1133,"-")</f>
        <v>0</v>
      </c>
      <c r="K1133" s="320">
        <f t="shared" ref="K1133:M1133" si="1396">SUM(K1129:K1132)</f>
        <v>0</v>
      </c>
      <c r="L1133" s="321">
        <f t="shared" si="1396"/>
        <v>0</v>
      </c>
      <c r="M1133" s="322">
        <f t="shared" si="1396"/>
        <v>0</v>
      </c>
      <c r="N1133" s="339">
        <f>IFERROR(K1133/E1133,"-")</f>
        <v>0</v>
      </c>
      <c r="O1133" s="345" t="str">
        <f t="shared" si="1382"/>
        <v>-</v>
      </c>
    </row>
    <row r="1134" spans="1:15" ht="23.4" x14ac:dyDescent="0.3">
      <c r="A1134" s="274" t="s">
        <v>102</v>
      </c>
      <c r="B1134" s="1022" t="s">
        <v>402</v>
      </c>
      <c r="C1134" s="314" t="s">
        <v>116</v>
      </c>
      <c r="D1134" s="314"/>
      <c r="E1134" s="270">
        <v>31000</v>
      </c>
      <c r="F1134" s="271"/>
      <c r="G1134" s="332">
        <f t="shared" ref="G1134:G1135" si="1397">+H1134+I1134</f>
        <v>0</v>
      </c>
      <c r="H1134" s="272"/>
      <c r="I1134" s="272"/>
      <c r="J1134" s="351" t="str">
        <f>IFERROR(G1134/F1134,"-")</f>
        <v>-</v>
      </c>
      <c r="K1134" s="332">
        <f t="shared" ref="K1134:K1135" si="1398">+L1134+M1134</f>
        <v>0</v>
      </c>
      <c r="L1134" s="272">
        <f t="shared" ref="L1134:M1134" si="1399">+H1134+L1017</f>
        <v>0</v>
      </c>
      <c r="M1134" s="273">
        <f t="shared" si="1399"/>
        <v>0</v>
      </c>
      <c r="N1134" s="336">
        <f t="shared" ref="N1134:N1150" si="1400">IFERROR(K1134/E1134,"-")</f>
        <v>0</v>
      </c>
      <c r="O1134" s="346" t="str">
        <f t="shared" si="1382"/>
        <v>-</v>
      </c>
    </row>
    <row r="1135" spans="1:15" ht="24" thickBot="1" x14ac:dyDescent="0.35">
      <c r="A1135" s="274" t="s">
        <v>102</v>
      </c>
      <c r="B1135" s="1024"/>
      <c r="C1135" s="286" t="s">
        <v>132</v>
      </c>
      <c r="D1135" s="286"/>
      <c r="E1135" s="280"/>
      <c r="F1135" s="281"/>
      <c r="G1135" s="334">
        <f t="shared" si="1397"/>
        <v>2500</v>
      </c>
      <c r="H1135" s="282">
        <v>2500</v>
      </c>
      <c r="I1135" s="282"/>
      <c r="J1135" s="351" t="str">
        <f>IFERROR(G1135/F1135,"-")</f>
        <v>-</v>
      </c>
      <c r="K1135" s="334">
        <f t="shared" si="1398"/>
        <v>22797</v>
      </c>
      <c r="L1135" s="272">
        <f t="shared" ref="L1135:M1135" si="1401">+H1135+L1018</f>
        <v>21790</v>
      </c>
      <c r="M1135" s="273">
        <f t="shared" si="1401"/>
        <v>1007</v>
      </c>
      <c r="N1135" s="338" t="str">
        <f t="shared" si="1400"/>
        <v>-</v>
      </c>
      <c r="O1135" s="347">
        <f t="shared" si="1382"/>
        <v>4.4172478834934421E-2</v>
      </c>
    </row>
    <row r="1136" spans="1:15" ht="24" thickBot="1" x14ac:dyDescent="0.35">
      <c r="A1136" s="892" t="s">
        <v>102</v>
      </c>
      <c r="B1136" s="1025" t="s">
        <v>38</v>
      </c>
      <c r="C1136" s="1026"/>
      <c r="D1136" s="1027"/>
      <c r="E1136" s="284">
        <f>SUM(E1134:E1135)</f>
        <v>31000</v>
      </c>
      <c r="F1136" s="285">
        <v>2800</v>
      </c>
      <c r="G1136" s="320">
        <f>SUM(G1134:G1135)</f>
        <v>2500</v>
      </c>
      <c r="H1136" s="321">
        <f t="shared" ref="H1136:I1136" si="1402">SUM(H1134:H1135)</f>
        <v>2500</v>
      </c>
      <c r="I1136" s="321">
        <f t="shared" si="1402"/>
        <v>0</v>
      </c>
      <c r="J1136" s="345" t="str">
        <f>IFERROR(G1136/F1126,"-")</f>
        <v>-</v>
      </c>
      <c r="K1136" s="320">
        <f t="shared" ref="K1136:M1136" si="1403">SUM(K1134:K1135)</f>
        <v>22797</v>
      </c>
      <c r="L1136" s="321">
        <f t="shared" si="1403"/>
        <v>21790</v>
      </c>
      <c r="M1136" s="322">
        <f t="shared" si="1403"/>
        <v>1007</v>
      </c>
      <c r="N1136" s="339">
        <f t="shared" si="1400"/>
        <v>0.73538709677419356</v>
      </c>
      <c r="O1136" s="345">
        <f t="shared" si="1382"/>
        <v>4.4172478834934421E-2</v>
      </c>
    </row>
    <row r="1137" spans="1:15" ht="23.4" x14ac:dyDescent="0.3">
      <c r="A1137" s="274" t="s">
        <v>102</v>
      </c>
      <c r="B1137" s="1022" t="s">
        <v>403</v>
      </c>
      <c r="C1137" s="269" t="s">
        <v>306</v>
      </c>
      <c r="D1137" s="269"/>
      <c r="E1137" s="270">
        <v>978200</v>
      </c>
      <c r="F1137" s="315"/>
      <c r="G1137" s="332">
        <f t="shared" ref="G1137:G1141" si="1404">+H1137+I1137</f>
        <v>47405</v>
      </c>
      <c r="H1137" s="272">
        <v>47040</v>
      </c>
      <c r="I1137" s="272">
        <v>365</v>
      </c>
      <c r="J1137" s="371" t="str">
        <f>IFERROR(G1137/F1137,"-")</f>
        <v>-</v>
      </c>
      <c r="K1137" s="332">
        <f t="shared" ref="K1137:K1141" si="1405">+L1137+M1137</f>
        <v>254458</v>
      </c>
      <c r="L1137" s="272">
        <f t="shared" ref="L1137:M1137" si="1406">+H1137+L1020</f>
        <v>252828</v>
      </c>
      <c r="M1137" s="272">
        <f t="shared" si="1406"/>
        <v>1630</v>
      </c>
      <c r="N1137" s="359">
        <f t="shared" si="1400"/>
        <v>0.26012880801472094</v>
      </c>
      <c r="O1137" s="360">
        <f t="shared" si="1382"/>
        <v>6.4057722689009585E-3</v>
      </c>
    </row>
    <row r="1138" spans="1:15" ht="23.4" x14ac:dyDescent="0.3">
      <c r="A1138" s="274" t="s">
        <v>102</v>
      </c>
      <c r="B1138" s="1023"/>
      <c r="C1138" s="269" t="s">
        <v>307</v>
      </c>
      <c r="D1138" s="275"/>
      <c r="E1138" s="276"/>
      <c r="F1138" s="316"/>
      <c r="G1138" s="333">
        <f t="shared" si="1404"/>
        <v>0</v>
      </c>
      <c r="H1138" s="278"/>
      <c r="I1138" s="278"/>
      <c r="J1138" s="371" t="str">
        <f t="shared" ref="J1138:J1141" si="1407">IFERROR(G1138/F1138,"-")</f>
        <v>-</v>
      </c>
      <c r="K1138" s="333">
        <f t="shared" si="1405"/>
        <v>0</v>
      </c>
      <c r="L1138" s="272">
        <f t="shared" ref="L1138:M1138" si="1408">+H1138+L1021</f>
        <v>0</v>
      </c>
      <c r="M1138" s="273">
        <f t="shared" si="1408"/>
        <v>0</v>
      </c>
      <c r="N1138" s="361" t="str">
        <f t="shared" si="1400"/>
        <v>-</v>
      </c>
      <c r="O1138" s="362" t="str">
        <f t="shared" si="1382"/>
        <v>-</v>
      </c>
    </row>
    <row r="1139" spans="1:15" ht="23.4" x14ac:dyDescent="0.3">
      <c r="A1139" s="274" t="s">
        <v>102</v>
      </c>
      <c r="B1139" s="1023"/>
      <c r="C1139" s="275" t="s">
        <v>499</v>
      </c>
      <c r="D1139" s="275"/>
      <c r="E1139" s="276">
        <f>70000+15000</f>
        <v>85000</v>
      </c>
      <c r="F1139" s="316"/>
      <c r="G1139" s="333">
        <f t="shared" si="1404"/>
        <v>0</v>
      </c>
      <c r="H1139" s="278"/>
      <c r="I1139" s="278"/>
      <c r="J1139" s="371" t="str">
        <f t="shared" si="1407"/>
        <v>-</v>
      </c>
      <c r="K1139" s="333">
        <f t="shared" si="1405"/>
        <v>49665</v>
      </c>
      <c r="L1139" s="272">
        <f t="shared" ref="L1139:M1139" si="1409">+H1139+L1022</f>
        <v>49032</v>
      </c>
      <c r="M1139" s="273">
        <f t="shared" si="1409"/>
        <v>633</v>
      </c>
      <c r="N1139" s="361">
        <f t="shared" si="1400"/>
        <v>0.58429411764705885</v>
      </c>
      <c r="O1139" s="362">
        <f t="shared" si="1382"/>
        <v>1.2745394140742978E-2</v>
      </c>
    </row>
    <row r="1140" spans="1:15" ht="23.4" x14ac:dyDescent="0.3">
      <c r="A1140" s="274" t="s">
        <v>102</v>
      </c>
      <c r="B1140" s="1023"/>
      <c r="C1140" s="275" t="s">
        <v>157</v>
      </c>
      <c r="D1140" s="275"/>
      <c r="E1140" s="276">
        <v>60040</v>
      </c>
      <c r="F1140" s="316"/>
      <c r="G1140" s="333">
        <f t="shared" si="1404"/>
        <v>0</v>
      </c>
      <c r="H1140" s="278"/>
      <c r="I1140" s="278"/>
      <c r="J1140" s="371" t="str">
        <f t="shared" si="1407"/>
        <v>-</v>
      </c>
      <c r="K1140" s="333">
        <f t="shared" si="1405"/>
        <v>0</v>
      </c>
      <c r="L1140" s="272">
        <f t="shared" ref="L1140:M1140" si="1410">+H1140+L1023</f>
        <v>0</v>
      </c>
      <c r="M1140" s="273">
        <f t="shared" si="1410"/>
        <v>0</v>
      </c>
      <c r="N1140" s="361">
        <f t="shared" si="1400"/>
        <v>0</v>
      </c>
      <c r="O1140" s="362" t="str">
        <f t="shared" si="1382"/>
        <v>-</v>
      </c>
    </row>
    <row r="1141" spans="1:15" ht="24" thickBot="1" x14ac:dyDescent="0.35">
      <c r="A1141" s="274" t="s">
        <v>102</v>
      </c>
      <c r="B1141" s="1024"/>
      <c r="C1141" s="279" t="s">
        <v>158</v>
      </c>
      <c r="D1141" s="279"/>
      <c r="E1141" s="280"/>
      <c r="F1141" s="317"/>
      <c r="G1141" s="334">
        <f t="shared" si="1404"/>
        <v>0</v>
      </c>
      <c r="H1141" s="282"/>
      <c r="I1141" s="282"/>
      <c r="J1141" s="371" t="str">
        <f t="shared" si="1407"/>
        <v>-</v>
      </c>
      <c r="K1141" s="334">
        <f t="shared" si="1405"/>
        <v>0</v>
      </c>
      <c r="L1141" s="272">
        <f t="shared" ref="L1141:M1141" si="1411">+H1141+L1024</f>
        <v>0</v>
      </c>
      <c r="M1141" s="273">
        <f t="shared" si="1411"/>
        <v>0</v>
      </c>
      <c r="N1141" s="363" t="str">
        <f t="shared" si="1400"/>
        <v>-</v>
      </c>
      <c r="O1141" s="364" t="str">
        <f t="shared" si="1382"/>
        <v>-</v>
      </c>
    </row>
    <row r="1142" spans="1:15" ht="24" thickBot="1" x14ac:dyDescent="0.35">
      <c r="A1142" s="274" t="s">
        <v>102</v>
      </c>
      <c r="B1142" s="1025" t="s">
        <v>39</v>
      </c>
      <c r="C1142" s="1026"/>
      <c r="D1142" s="1027"/>
      <c r="E1142" s="320">
        <f>SUM(E1137:E1141)</f>
        <v>1123240</v>
      </c>
      <c r="F1142" s="285">
        <v>25000</v>
      </c>
      <c r="G1142" s="320">
        <f>SUM(G1137:G1141)</f>
        <v>47405</v>
      </c>
      <c r="H1142" s="321">
        <f>SUM(H1137:H1141)</f>
        <v>47040</v>
      </c>
      <c r="I1142" s="321">
        <f>SUM(I1137:I1141)</f>
        <v>365</v>
      </c>
      <c r="J1142" s="345">
        <f>IFERROR(G1142/F1142,"-")</f>
        <v>1.8962000000000001</v>
      </c>
      <c r="K1142" s="320">
        <f>SUM(K1137:K1141)</f>
        <v>304123</v>
      </c>
      <c r="L1142" s="321">
        <f>SUM(L1137:L1141)</f>
        <v>301860</v>
      </c>
      <c r="M1142" s="322">
        <f>SUM(M1137:M1141)</f>
        <v>2263</v>
      </c>
      <c r="N1142" s="339">
        <f t="shared" si="1400"/>
        <v>0.27075513692532316</v>
      </c>
      <c r="O1142" s="345">
        <f t="shared" si="1382"/>
        <v>7.4410682519901487E-3</v>
      </c>
    </row>
    <row r="1143" spans="1:15" ht="23.4" x14ac:dyDescent="0.3">
      <c r="A1143" s="274" t="s">
        <v>102</v>
      </c>
      <c r="B1143" s="1022" t="s">
        <v>404</v>
      </c>
      <c r="C1143" s="269" t="s">
        <v>186</v>
      </c>
      <c r="D1143" s="269"/>
      <c r="E1143" s="270"/>
      <c r="F1143" s="271"/>
      <c r="G1143" s="332">
        <f t="shared" ref="G1143:G1145" si="1412">+H1143+I1143</f>
        <v>0</v>
      </c>
      <c r="H1143" s="272"/>
      <c r="I1143" s="272"/>
      <c r="J1143" s="351" t="str">
        <f>IFERROR(G1143/F1143,"-")</f>
        <v>-</v>
      </c>
      <c r="K1143" s="332">
        <f t="shared" ref="K1143:K1145" si="1413">+L1143+M1143</f>
        <v>0</v>
      </c>
      <c r="L1143" s="272">
        <f t="shared" ref="L1143:M1143" si="1414">+H1143+L1026</f>
        <v>0</v>
      </c>
      <c r="M1143" s="273">
        <f t="shared" si="1414"/>
        <v>0</v>
      </c>
      <c r="N1143" s="336" t="str">
        <f t="shared" si="1400"/>
        <v>-</v>
      </c>
      <c r="O1143" s="346" t="str">
        <f t="shared" si="1382"/>
        <v>-</v>
      </c>
    </row>
    <row r="1144" spans="1:15" ht="23.4" x14ac:dyDescent="0.3">
      <c r="A1144" s="274" t="s">
        <v>102</v>
      </c>
      <c r="B1144" s="1023"/>
      <c r="C1144" s="275" t="s">
        <v>497</v>
      </c>
      <c r="D1144" s="275"/>
      <c r="E1144" s="276"/>
      <c r="F1144" s="277"/>
      <c r="G1144" s="333">
        <f t="shared" si="1412"/>
        <v>0</v>
      </c>
      <c r="H1144" s="278"/>
      <c r="I1144" s="278"/>
      <c r="J1144" s="351" t="str">
        <f t="shared" ref="J1144:J1145" si="1415">IFERROR(G1144/F1144,"-")</f>
        <v>-</v>
      </c>
      <c r="K1144" s="333">
        <f t="shared" si="1413"/>
        <v>11826</v>
      </c>
      <c r="L1144" s="714">
        <f t="shared" ref="L1144:M1144" si="1416">+H1144+L1027</f>
        <v>11400</v>
      </c>
      <c r="M1144" s="273">
        <f t="shared" si="1416"/>
        <v>426</v>
      </c>
      <c r="N1144" s="361" t="str">
        <f t="shared" si="1400"/>
        <v>-</v>
      </c>
      <c r="O1144" s="362">
        <f t="shared" si="1382"/>
        <v>3.6022323693556568E-2</v>
      </c>
    </row>
    <row r="1145" spans="1:15" ht="24" thickBot="1" x14ac:dyDescent="0.35">
      <c r="A1145" s="274" t="s">
        <v>102</v>
      </c>
      <c r="B1145" s="1024"/>
      <c r="C1145" s="279" t="s">
        <v>498</v>
      </c>
      <c r="D1145" s="279"/>
      <c r="E1145" s="280"/>
      <c r="F1145" s="281"/>
      <c r="G1145" s="334">
        <f t="shared" si="1412"/>
        <v>0</v>
      </c>
      <c r="H1145" s="282"/>
      <c r="I1145" s="282"/>
      <c r="J1145" s="351" t="str">
        <f t="shared" si="1415"/>
        <v>-</v>
      </c>
      <c r="K1145" s="334">
        <f t="shared" si="1413"/>
        <v>0</v>
      </c>
      <c r="L1145" s="272">
        <f t="shared" ref="L1145:M1145" si="1417">+H1145+L1028</f>
        <v>0</v>
      </c>
      <c r="M1145" s="273">
        <f t="shared" si="1417"/>
        <v>0</v>
      </c>
      <c r="N1145" s="363" t="str">
        <f t="shared" si="1400"/>
        <v>-</v>
      </c>
      <c r="O1145" s="364" t="str">
        <f t="shared" si="1382"/>
        <v>-</v>
      </c>
    </row>
    <row r="1146" spans="1:15" ht="24" thickBot="1" x14ac:dyDescent="0.35">
      <c r="A1146" s="274" t="s">
        <v>102</v>
      </c>
      <c r="B1146" s="1034" t="s">
        <v>41</v>
      </c>
      <c r="C1146" s="1035"/>
      <c r="D1146" s="1036"/>
      <c r="E1146" s="320">
        <f>SUM(E1143:E1145)</f>
        <v>0</v>
      </c>
      <c r="F1146" s="285"/>
      <c r="G1146" s="320">
        <f>SUM(G1143:G1145)</f>
        <v>0</v>
      </c>
      <c r="H1146" s="321">
        <f t="shared" ref="H1146:I1146" si="1418">SUM(H1143:H1145)</f>
        <v>0</v>
      </c>
      <c r="I1146" s="321">
        <f t="shared" si="1418"/>
        <v>0</v>
      </c>
      <c r="J1146" s="345" t="str">
        <f>IFERROR(G1146/F1146,"-")</f>
        <v>-</v>
      </c>
      <c r="K1146" s="320">
        <f t="shared" ref="K1146:M1146" si="1419">SUM(K1143:K1145)</f>
        <v>11826</v>
      </c>
      <c r="L1146" s="365">
        <f t="shared" si="1419"/>
        <v>11400</v>
      </c>
      <c r="M1146" s="367">
        <f t="shared" si="1419"/>
        <v>426</v>
      </c>
      <c r="N1146" s="339" t="str">
        <f t="shared" si="1400"/>
        <v>-</v>
      </c>
      <c r="O1146" s="345">
        <f t="shared" si="1382"/>
        <v>3.6022323693556568E-2</v>
      </c>
    </row>
    <row r="1147" spans="1:15" ht="24" thickBot="1" x14ac:dyDescent="0.35">
      <c r="A1147" s="274" t="s">
        <v>102</v>
      </c>
      <c r="B1147" s="1022" t="s">
        <v>42</v>
      </c>
      <c r="C1147" s="269" t="s">
        <v>160</v>
      </c>
      <c r="D1147" s="269"/>
      <c r="E1147" s="270"/>
      <c r="F1147" s="271"/>
      <c r="G1147" s="332">
        <f t="shared" ref="G1147:G1148" si="1420">+H1147+I1147</f>
        <v>0</v>
      </c>
      <c r="H1147" s="272"/>
      <c r="I1147" s="272"/>
      <c r="J1147" s="371" t="str">
        <f>IFERROR(G1147/F1147,"-")</f>
        <v>-</v>
      </c>
      <c r="K1147" s="695">
        <f t="shared" ref="K1147:K1148" si="1421">+L1147+M1147</f>
        <v>0</v>
      </c>
      <c r="L1147" s="688">
        <f t="shared" ref="L1147:M1147" si="1422">+H1147+L1030</f>
        <v>0</v>
      </c>
      <c r="M1147" s="688">
        <f t="shared" si="1422"/>
        <v>0</v>
      </c>
      <c r="N1147" s="359" t="str">
        <f t="shared" si="1400"/>
        <v>-</v>
      </c>
      <c r="O1147" s="360" t="str">
        <f t="shared" si="1382"/>
        <v>-</v>
      </c>
    </row>
    <row r="1148" spans="1:15" ht="24" thickBot="1" x14ac:dyDescent="0.35">
      <c r="A1148" s="274" t="s">
        <v>102</v>
      </c>
      <c r="B1148" s="1024"/>
      <c r="C1148" s="279" t="s">
        <v>161</v>
      </c>
      <c r="D1148" s="279"/>
      <c r="E1148" s="280"/>
      <c r="F1148" s="281"/>
      <c r="G1148" s="334">
        <f t="shared" si="1420"/>
        <v>0</v>
      </c>
      <c r="H1148" s="282"/>
      <c r="I1148" s="282"/>
      <c r="J1148" s="373" t="str">
        <f>IFERROR(G1148/F1148,"-")</f>
        <v>-</v>
      </c>
      <c r="K1148" s="696">
        <f t="shared" si="1421"/>
        <v>0</v>
      </c>
      <c r="L1148" s="688">
        <f t="shared" ref="L1148:M1148" si="1423">+H1148+L1031</f>
        <v>0</v>
      </c>
      <c r="M1148" s="688">
        <f t="shared" si="1423"/>
        <v>0</v>
      </c>
      <c r="N1148" s="363" t="str">
        <f t="shared" si="1400"/>
        <v>-</v>
      </c>
      <c r="O1148" s="364" t="str">
        <f t="shared" si="1382"/>
        <v>-</v>
      </c>
    </row>
    <row r="1149" spans="1:15" ht="24" thickBot="1" x14ac:dyDescent="0.35">
      <c r="A1149" s="274" t="s">
        <v>102</v>
      </c>
      <c r="B1149" s="1034" t="s">
        <v>43</v>
      </c>
      <c r="C1149" s="1035"/>
      <c r="D1149" s="1036"/>
      <c r="E1149" s="284">
        <f>SUM(E1147:E1148)</f>
        <v>0</v>
      </c>
      <c r="F1149" s="285">
        <v>25000</v>
      </c>
      <c r="G1149" s="320">
        <f>SUM(G1147:G1148)</f>
        <v>0</v>
      </c>
      <c r="H1149" s="321">
        <f t="shared" ref="H1149:I1149" si="1424">SUM(H1147:H1148)</f>
        <v>0</v>
      </c>
      <c r="I1149" s="321">
        <f t="shared" si="1424"/>
        <v>0</v>
      </c>
      <c r="J1149" s="345">
        <f>IFERROR(G1149/F1149,"-")</f>
        <v>0</v>
      </c>
      <c r="K1149" s="760">
        <f t="shared" ref="K1149:M1149" si="1425">SUM(K1147:K1148)</f>
        <v>0</v>
      </c>
      <c r="L1149" s="761">
        <f t="shared" si="1425"/>
        <v>0</v>
      </c>
      <c r="M1149" s="761">
        <f t="shared" si="1425"/>
        <v>0</v>
      </c>
      <c r="N1149" s="339" t="str">
        <f t="shared" si="1400"/>
        <v>-</v>
      </c>
      <c r="O1149" s="345" t="str">
        <f t="shared" si="1382"/>
        <v>-</v>
      </c>
    </row>
    <row r="1150" spans="1:15" ht="24" thickBot="1" x14ac:dyDescent="0.35">
      <c r="A1150" s="274" t="s">
        <v>102</v>
      </c>
      <c r="B1150" s="1028" t="s">
        <v>25</v>
      </c>
      <c r="C1150" s="1029"/>
      <c r="D1150" s="1030"/>
      <c r="E1150" s="326">
        <f t="shared" ref="E1150:F1150" si="1426">+E1128+E1133+E1136+E1142+E1146+E1149</f>
        <v>1292400</v>
      </c>
      <c r="F1150" s="327">
        <f t="shared" si="1426"/>
        <v>65800</v>
      </c>
      <c r="G1150" s="326">
        <f>+G1128+G1133+G1136+G1142+G1146+G1149</f>
        <v>49905</v>
      </c>
      <c r="H1150" s="324">
        <f>+H1128+H1133+H1136+H1142+H1146+H1149</f>
        <v>49540</v>
      </c>
      <c r="I1150" s="324">
        <f t="shared" ref="I1150" si="1427">+I1128+I1133+I1136+I1142+I1146+I1149</f>
        <v>365</v>
      </c>
      <c r="J1150" s="349">
        <f>IFERROR(G1150/F1150,"-")</f>
        <v>0.75843465045592706</v>
      </c>
      <c r="K1150" s="326">
        <f>+K1128+K1133+K1136+K1142+K1146+K1149</f>
        <v>348384</v>
      </c>
      <c r="L1150" s="759">
        <f t="shared" ref="L1150:M1150" si="1428">+L1128+L1133+L1136+L1142+L1146+L1149</f>
        <v>344199</v>
      </c>
      <c r="M1150" s="325">
        <f t="shared" si="1428"/>
        <v>4185</v>
      </c>
      <c r="N1150" s="341">
        <f t="shared" si="1400"/>
        <v>0.26956360259981432</v>
      </c>
      <c r="O1150" s="349">
        <f t="shared" si="1382"/>
        <v>1.2012606778726922E-2</v>
      </c>
    </row>
    <row r="1151" spans="1:15" ht="24" thickBot="1" x14ac:dyDescent="0.35">
      <c r="A1151" s="318" t="s">
        <v>102</v>
      </c>
      <c r="B1151" s="1020" t="s">
        <v>173</v>
      </c>
      <c r="C1151" s="1020"/>
      <c r="D1151" s="1021"/>
      <c r="E1151" s="330">
        <f>+E1150</f>
        <v>1292400</v>
      </c>
      <c r="F1151" s="331">
        <f t="shared" ref="F1151:I1151" si="1429">+F1150</f>
        <v>65800</v>
      </c>
      <c r="G1151" s="330">
        <f t="shared" si="1429"/>
        <v>49905</v>
      </c>
      <c r="H1151" s="328">
        <f t="shared" si="1429"/>
        <v>49540</v>
      </c>
      <c r="I1151" s="328">
        <f t="shared" si="1429"/>
        <v>365</v>
      </c>
      <c r="J1151" s="350">
        <f>+G1151/F1151</f>
        <v>0.75843465045592706</v>
      </c>
      <c r="K1151" s="330">
        <f t="shared" ref="K1151:O1151" si="1430">+K1150</f>
        <v>348384</v>
      </c>
      <c r="L1151" s="328">
        <f t="shared" si="1430"/>
        <v>344199</v>
      </c>
      <c r="M1151" s="329">
        <f t="shared" si="1430"/>
        <v>4185</v>
      </c>
      <c r="N1151" s="342">
        <f t="shared" si="1430"/>
        <v>0.26956360259981432</v>
      </c>
      <c r="O1151" s="350">
        <f t="shared" si="1430"/>
        <v>1.2012606778726922E-2</v>
      </c>
    </row>
    <row r="1152" spans="1:15" ht="24.6" thickBot="1" x14ac:dyDescent="0.35">
      <c r="A1152" s="319"/>
      <c r="B1152" s="1031" t="s">
        <v>174</v>
      </c>
      <c r="C1152" s="1032"/>
      <c r="D1152" s="1033"/>
      <c r="E1152" s="374">
        <f>+E1089+E1124+E1151</f>
        <v>7473564</v>
      </c>
      <c r="F1152" s="374">
        <f>+F1089+F1124+F1151</f>
        <v>1024800</v>
      </c>
      <c r="G1152" s="374">
        <f>+G1089+G1124+G1151</f>
        <v>516809</v>
      </c>
      <c r="H1152" s="374">
        <f>+H1089+H1124+H1151</f>
        <v>512254</v>
      </c>
      <c r="I1152" s="374">
        <f>+I1089+I1124+I1151</f>
        <v>4555</v>
      </c>
      <c r="J1152" s="375">
        <f>IFERROR(G1152/F1152,"-")</f>
        <v>0.50430230288836841</v>
      </c>
      <c r="K1152" s="374">
        <f>+K1089+K1124+K1151</f>
        <v>3632879</v>
      </c>
      <c r="L1152" s="374">
        <f>+L1089+L1124+L1151</f>
        <v>3600451</v>
      </c>
      <c r="M1152" s="374">
        <f>+M1089+M1124+M1151</f>
        <v>32428</v>
      </c>
      <c r="N1152" s="375">
        <f>IFERROR(K1152/E1152,"-")</f>
        <v>0.48609726229681044</v>
      </c>
      <c r="O1152" s="375">
        <f>IFERROR(M1152/K1152,"-")</f>
        <v>8.9262538058658154E-3</v>
      </c>
    </row>
    <row r="1153" spans="1:15" ht="23.4" x14ac:dyDescent="0.3">
      <c r="A1153" s="1057" t="s">
        <v>1</v>
      </c>
      <c r="B1153" s="1060" t="s">
        <v>2</v>
      </c>
      <c r="C1153" s="1063" t="s">
        <v>396</v>
      </c>
      <c r="D1153" s="1063" t="s">
        <v>397</v>
      </c>
      <c r="E1153" s="1066" t="s">
        <v>4</v>
      </c>
      <c r="F1153" s="1067"/>
      <c r="G1153" s="1067"/>
      <c r="H1153" s="1067"/>
      <c r="I1153" s="1067"/>
      <c r="J1153" s="1067"/>
      <c r="K1153" s="1067"/>
      <c r="L1153" s="1067"/>
      <c r="M1153" s="1067"/>
      <c r="N1153" s="1067"/>
      <c r="O1153" s="1068"/>
    </row>
    <row r="1154" spans="1:15" ht="23.4" x14ac:dyDescent="0.3">
      <c r="A1154" s="1058"/>
      <c r="B1154" s="1061"/>
      <c r="C1154" s="1064"/>
      <c r="D1154" s="1064"/>
      <c r="E1154" s="1069" t="s">
        <v>7</v>
      </c>
      <c r="F1154" s="1071" t="s">
        <v>108</v>
      </c>
      <c r="G1154" s="1073" t="s">
        <v>552</v>
      </c>
      <c r="H1154" s="1074"/>
      <c r="I1154" s="1074"/>
      <c r="J1154" s="1075"/>
      <c r="K1154" s="1076" t="s">
        <v>398</v>
      </c>
      <c r="L1154" s="1077"/>
      <c r="M1154" s="1078"/>
      <c r="N1154" s="1079" t="s">
        <v>399</v>
      </c>
      <c r="O1154" s="1081" t="s">
        <v>164</v>
      </c>
    </row>
    <row r="1155" spans="1:15" ht="41.4" thickBot="1" x14ac:dyDescent="0.35">
      <c r="A1155" s="1059"/>
      <c r="B1155" s="1062"/>
      <c r="C1155" s="1065"/>
      <c r="D1155" s="1065"/>
      <c r="E1155" s="1070"/>
      <c r="F1155" s="1072"/>
      <c r="G1155" s="452" t="s">
        <v>13</v>
      </c>
      <c r="H1155" s="453" t="s">
        <v>14</v>
      </c>
      <c r="I1155" s="453" t="s">
        <v>15</v>
      </c>
      <c r="J1155" s="454" t="s">
        <v>166</v>
      </c>
      <c r="K1155" s="680" t="s">
        <v>13</v>
      </c>
      <c r="L1155" s="678" t="s">
        <v>14</v>
      </c>
      <c r="M1155" s="679" t="s">
        <v>15</v>
      </c>
      <c r="N1155" s="1080"/>
      <c r="O1155" s="1082"/>
    </row>
    <row r="1156" spans="1:15" ht="23.4" x14ac:dyDescent="0.3">
      <c r="A1156" s="268" t="s">
        <v>103</v>
      </c>
      <c r="B1156" s="1043" t="s">
        <v>16</v>
      </c>
      <c r="C1156" s="269" t="s">
        <v>549</v>
      </c>
      <c r="D1156" s="269" t="s">
        <v>369</v>
      </c>
      <c r="E1156" s="270">
        <v>20000</v>
      </c>
      <c r="F1156" s="271"/>
      <c r="G1156" s="332">
        <f>+H1156+I1156</f>
        <v>5690</v>
      </c>
      <c r="H1156" s="272">
        <v>5440</v>
      </c>
      <c r="I1156" s="272">
        <v>250</v>
      </c>
      <c r="J1156" s="352" t="str">
        <f>IFERROR(G1156/F1156,"-")</f>
        <v>-</v>
      </c>
      <c r="K1156" s="694">
        <f>+L1156+M1156</f>
        <v>8442</v>
      </c>
      <c r="L1156" s="527">
        <f>+H1156+L1039</f>
        <v>7680</v>
      </c>
      <c r="M1156" s="459">
        <f>+I1156+M1039</f>
        <v>762</v>
      </c>
      <c r="N1156" s="336">
        <f>IFERROR(K1156/E1156,"-")</f>
        <v>0.42209999999999998</v>
      </c>
      <c r="O1156" s="343">
        <f t="shared" ref="O1156:O1157" si="1431">IFERROR(M1156/K1156,"-")</f>
        <v>9.0262970859985789E-2</v>
      </c>
    </row>
    <row r="1157" spans="1:15" ht="23.4" x14ac:dyDescent="0.3">
      <c r="A1157" s="274" t="s">
        <v>103</v>
      </c>
      <c r="B1157" s="1044"/>
      <c r="C1157" s="275" t="s">
        <v>376</v>
      </c>
      <c r="D1157" s="275" t="s">
        <v>375</v>
      </c>
      <c r="E1157" s="276"/>
      <c r="F1157" s="277"/>
      <c r="G1157" s="333">
        <f t="shared" ref="G1157:G1159" si="1432">+H1157+I1157</f>
        <v>0</v>
      </c>
      <c r="H1157" s="278"/>
      <c r="I1157" s="278"/>
      <c r="J1157" s="352" t="str">
        <f t="shared" ref="J1157:J1159" si="1433">IFERROR(G1157/F1157,"-")</f>
        <v>-</v>
      </c>
      <c r="K1157" s="690">
        <f t="shared" ref="K1157:K1159" si="1434">+L1157+M1157</f>
        <v>0</v>
      </c>
      <c r="L1157" s="276">
        <f t="shared" ref="L1157:M1157" si="1435">+H1157+L1040</f>
        <v>0</v>
      </c>
      <c r="M1157" s="436">
        <f t="shared" si="1435"/>
        <v>0</v>
      </c>
      <c r="N1157" s="337" t="str">
        <f t="shared" ref="N1157:N1159" si="1436">IFERROR(K1157/E1157,"-")</f>
        <v>-</v>
      </c>
      <c r="O1157" s="265" t="str">
        <f t="shared" si="1431"/>
        <v>-</v>
      </c>
    </row>
    <row r="1158" spans="1:15" s="723" customFormat="1" ht="23.4" x14ac:dyDescent="0.3">
      <c r="A1158" s="274" t="s">
        <v>103</v>
      </c>
      <c r="B1158" s="1044"/>
      <c r="C1158" s="573" t="s">
        <v>431</v>
      </c>
      <c r="D1158" s="573" t="s">
        <v>366</v>
      </c>
      <c r="E1158" s="720"/>
      <c r="F1158" s="721"/>
      <c r="G1158" s="333">
        <f t="shared" si="1432"/>
        <v>0</v>
      </c>
      <c r="H1158" s="722"/>
      <c r="I1158" s="722"/>
      <c r="J1158" s="352" t="str">
        <f t="shared" si="1433"/>
        <v>-</v>
      </c>
      <c r="K1158" s="690">
        <f t="shared" si="1434"/>
        <v>8000</v>
      </c>
      <c r="L1158" s="276">
        <f t="shared" ref="L1158:M1158" si="1437">+H1158+L1041</f>
        <v>8000</v>
      </c>
      <c r="M1158" s="436">
        <f t="shared" si="1437"/>
        <v>0</v>
      </c>
      <c r="N1158" s="337" t="str">
        <f t="shared" si="1436"/>
        <v>-</v>
      </c>
      <c r="O1158" s="265">
        <f>IFERROR(M1158/K1158,"-")</f>
        <v>0</v>
      </c>
    </row>
    <row r="1159" spans="1:15" ht="24" thickBot="1" x14ac:dyDescent="0.35">
      <c r="A1159" s="274" t="s">
        <v>103</v>
      </c>
      <c r="B1159" s="1045"/>
      <c r="C1159" s="279" t="s">
        <v>428</v>
      </c>
      <c r="D1159" s="279" t="s">
        <v>374</v>
      </c>
      <c r="E1159" s="280"/>
      <c r="F1159" s="281"/>
      <c r="G1159" s="334">
        <f t="shared" si="1432"/>
        <v>0</v>
      </c>
      <c r="H1159" s="272"/>
      <c r="I1159" s="272"/>
      <c r="J1159" s="352" t="str">
        <f t="shared" si="1433"/>
        <v>-</v>
      </c>
      <c r="K1159" s="691">
        <f t="shared" si="1434"/>
        <v>0</v>
      </c>
      <c r="L1159" s="530">
        <f t="shared" ref="L1159:M1159" si="1438">+H1159+L1042</f>
        <v>0</v>
      </c>
      <c r="M1159" s="462">
        <f t="shared" si="1438"/>
        <v>0</v>
      </c>
      <c r="N1159" s="338" t="str">
        <f t="shared" si="1436"/>
        <v>-</v>
      </c>
      <c r="O1159" s="344" t="str">
        <f t="shared" ref="O1159:O1177" si="1439">IFERROR(M1159/K1159,"-")</f>
        <v>-</v>
      </c>
    </row>
    <row r="1160" spans="1:15" ht="24" thickBot="1" x14ac:dyDescent="0.35">
      <c r="A1160" s="274" t="s">
        <v>103</v>
      </c>
      <c r="B1160" s="1025" t="s">
        <v>44</v>
      </c>
      <c r="C1160" s="1026"/>
      <c r="D1160" s="1027"/>
      <c r="E1160" s="320">
        <f>SUM(E1156:E1159)</f>
        <v>20000</v>
      </c>
      <c r="F1160" s="285">
        <v>15000</v>
      </c>
      <c r="G1160" s="320">
        <f>SUM(G1156:G1159)</f>
        <v>5690</v>
      </c>
      <c r="H1160" s="321">
        <f t="shared" ref="H1160:I1160" si="1440">SUM(H1156:H1159)</f>
        <v>5440</v>
      </c>
      <c r="I1160" s="321">
        <f t="shared" si="1440"/>
        <v>250</v>
      </c>
      <c r="J1160" s="345">
        <f>+G1160/F1160</f>
        <v>0.37933333333333336</v>
      </c>
      <c r="K1160" s="320">
        <f t="shared" ref="K1160" si="1441">SUM(K1156:K1159)</f>
        <v>16442</v>
      </c>
      <c r="L1160" s="692">
        <f>SUM(L1156:L1159)</f>
        <v>15680</v>
      </c>
      <c r="M1160" s="693">
        <f>SUM(M1156:M1159)</f>
        <v>762</v>
      </c>
      <c r="N1160" s="339">
        <f>IFERROR(K1160/E1160,"-")</f>
        <v>0.82210000000000005</v>
      </c>
      <c r="O1160" s="345">
        <f t="shared" si="1439"/>
        <v>4.6344726918866319E-2</v>
      </c>
    </row>
    <row r="1161" spans="1:15" ht="23.4" x14ac:dyDescent="0.3">
      <c r="A1161" s="274" t="s">
        <v>103</v>
      </c>
      <c r="B1161" s="1043" t="s">
        <v>17</v>
      </c>
      <c r="C1161" s="269" t="s">
        <v>294</v>
      </c>
      <c r="D1161" s="269"/>
      <c r="E1161" s="270"/>
      <c r="F1161" s="271"/>
      <c r="G1161" s="332">
        <f t="shared" ref="G1161:G1167" si="1442">+H1161+I1161</f>
        <v>0</v>
      </c>
      <c r="H1161" s="272"/>
      <c r="I1161" s="272"/>
      <c r="J1161" s="351" t="str">
        <f>IFERROR(G1161/F1161,"-")</f>
        <v>-</v>
      </c>
      <c r="K1161" s="694">
        <f t="shared" ref="K1161:K1167" si="1443">+L1161+M1161</f>
        <v>0</v>
      </c>
      <c r="L1161" s="527">
        <f t="shared" ref="L1161:M1161" si="1444">+H1161+L1044</f>
        <v>0</v>
      </c>
      <c r="M1161" s="459">
        <f t="shared" si="1444"/>
        <v>0</v>
      </c>
      <c r="N1161" s="336" t="str">
        <f t="shared" ref="N1161:N1167" si="1445">IFERROR(K1161/E1161,"-")</f>
        <v>-</v>
      </c>
      <c r="O1161" s="346" t="str">
        <f t="shared" si="1439"/>
        <v>-</v>
      </c>
    </row>
    <row r="1162" spans="1:15" ht="23.4" x14ac:dyDescent="0.3">
      <c r="A1162" s="274" t="s">
        <v>103</v>
      </c>
      <c r="B1162" s="1044"/>
      <c r="C1162" s="275" t="s">
        <v>344</v>
      </c>
      <c r="D1162" s="275" t="s">
        <v>232</v>
      </c>
      <c r="E1162" s="276">
        <v>1600000</v>
      </c>
      <c r="F1162" s="277"/>
      <c r="G1162" s="333">
        <f t="shared" si="1442"/>
        <v>0</v>
      </c>
      <c r="H1162" s="278"/>
      <c r="I1162" s="278"/>
      <c r="J1162" s="351" t="str">
        <f t="shared" ref="J1162:J1167" si="1446">IFERROR(G1162/F1162,"-")</f>
        <v>-</v>
      </c>
      <c r="K1162" s="690">
        <f t="shared" si="1443"/>
        <v>6120</v>
      </c>
      <c r="L1162" s="276">
        <f t="shared" ref="L1162:M1162" si="1447">+H1162+L1045</f>
        <v>5980</v>
      </c>
      <c r="M1162" s="436">
        <f t="shared" si="1447"/>
        <v>140</v>
      </c>
      <c r="N1162" s="337">
        <f t="shared" si="1445"/>
        <v>3.8249999999999998E-3</v>
      </c>
      <c r="O1162" s="263">
        <f t="shared" si="1439"/>
        <v>2.2875816993464051E-2</v>
      </c>
    </row>
    <row r="1163" spans="1:15" ht="23.4" x14ac:dyDescent="0.3">
      <c r="A1163" s="274" t="s">
        <v>103</v>
      </c>
      <c r="B1163" s="1044"/>
      <c r="C1163" s="275" t="s">
        <v>367</v>
      </c>
      <c r="D1163" s="275" t="s">
        <v>187</v>
      </c>
      <c r="E1163" s="276">
        <v>1000000</v>
      </c>
      <c r="F1163" s="277"/>
      <c r="G1163" s="333">
        <f t="shared" si="1442"/>
        <v>106394</v>
      </c>
      <c r="H1163" s="278">
        <v>104040</v>
      </c>
      <c r="I1163" s="278">
        <v>2354</v>
      </c>
      <c r="J1163" s="351" t="str">
        <f t="shared" si="1446"/>
        <v>-</v>
      </c>
      <c r="K1163" s="690">
        <f t="shared" si="1443"/>
        <v>862310</v>
      </c>
      <c r="L1163" s="276">
        <f t="shared" ref="L1163:M1163" si="1448">+H1163+L1046</f>
        <v>856800</v>
      </c>
      <c r="M1163" s="436">
        <f t="shared" si="1448"/>
        <v>5510</v>
      </c>
      <c r="N1163" s="337">
        <f t="shared" si="1445"/>
        <v>0.86231000000000002</v>
      </c>
      <c r="O1163" s="263">
        <f t="shared" si="1439"/>
        <v>6.3898134081710753E-3</v>
      </c>
    </row>
    <row r="1164" spans="1:15" ht="23.4" x14ac:dyDescent="0.3">
      <c r="A1164" s="274" t="s">
        <v>103</v>
      </c>
      <c r="B1164" s="1044"/>
      <c r="C1164" s="275" t="s">
        <v>530</v>
      </c>
      <c r="D1164" s="275" t="s">
        <v>529</v>
      </c>
      <c r="E1164" s="276"/>
      <c r="F1164" s="277"/>
      <c r="G1164" s="333">
        <f t="shared" si="1442"/>
        <v>0</v>
      </c>
      <c r="H1164" s="278"/>
      <c r="I1164" s="278"/>
      <c r="J1164" s="351" t="str">
        <f t="shared" si="1446"/>
        <v>-</v>
      </c>
      <c r="K1164" s="690">
        <f t="shared" si="1443"/>
        <v>41558</v>
      </c>
      <c r="L1164" s="276">
        <f t="shared" ref="L1164:M1164" si="1449">+H1164+L1047</f>
        <v>41350</v>
      </c>
      <c r="M1164" s="436">
        <f t="shared" si="1449"/>
        <v>208</v>
      </c>
      <c r="N1164" s="337" t="str">
        <f t="shared" si="1445"/>
        <v>-</v>
      </c>
      <c r="O1164" s="263">
        <f t="shared" si="1439"/>
        <v>5.0050531786900235E-3</v>
      </c>
    </row>
    <row r="1165" spans="1:15" ht="23.4" x14ac:dyDescent="0.3">
      <c r="A1165" s="274" t="s">
        <v>103</v>
      </c>
      <c r="B1165" s="1044"/>
      <c r="C1165" s="275" t="s">
        <v>323</v>
      </c>
      <c r="D1165" s="275" t="s">
        <v>318</v>
      </c>
      <c r="E1165" s="276"/>
      <c r="F1165" s="277"/>
      <c r="G1165" s="333">
        <f t="shared" si="1442"/>
        <v>0</v>
      </c>
      <c r="H1165" s="278"/>
      <c r="I1165" s="278"/>
      <c r="J1165" s="351" t="str">
        <f t="shared" si="1446"/>
        <v>-</v>
      </c>
      <c r="K1165" s="690">
        <f t="shared" si="1443"/>
        <v>0</v>
      </c>
      <c r="L1165" s="276">
        <f t="shared" ref="L1165:M1165" si="1450">+H1165+L1048</f>
        <v>0</v>
      </c>
      <c r="M1165" s="436">
        <f t="shared" si="1450"/>
        <v>0</v>
      </c>
      <c r="N1165" s="337" t="str">
        <f t="shared" si="1445"/>
        <v>-</v>
      </c>
      <c r="O1165" s="263" t="str">
        <f t="shared" si="1439"/>
        <v>-</v>
      </c>
    </row>
    <row r="1166" spans="1:15" ht="23.4" x14ac:dyDescent="0.3">
      <c r="A1166" s="274" t="s">
        <v>103</v>
      </c>
      <c r="B1166" s="1044"/>
      <c r="C1166" s="275" t="s">
        <v>528</v>
      </c>
      <c r="D1166" s="275" t="s">
        <v>189</v>
      </c>
      <c r="E1166" s="276"/>
      <c r="F1166" s="277"/>
      <c r="G1166" s="333">
        <f t="shared" si="1442"/>
        <v>0</v>
      </c>
      <c r="H1166" s="278"/>
      <c r="I1166" s="278"/>
      <c r="J1166" s="351" t="str">
        <f t="shared" si="1446"/>
        <v>-</v>
      </c>
      <c r="K1166" s="690">
        <f t="shared" si="1443"/>
        <v>33900</v>
      </c>
      <c r="L1166" s="276">
        <f t="shared" ref="L1166:M1166" si="1451">+H1166+L1049</f>
        <v>33760</v>
      </c>
      <c r="M1166" s="436">
        <f t="shared" si="1451"/>
        <v>140</v>
      </c>
      <c r="N1166" s="337" t="str">
        <f t="shared" si="1445"/>
        <v>-</v>
      </c>
      <c r="O1166" s="263">
        <f t="shared" si="1439"/>
        <v>4.1297935103244837E-3</v>
      </c>
    </row>
    <row r="1167" spans="1:15" ht="24" thickBot="1" x14ac:dyDescent="0.35">
      <c r="A1167" s="274" t="s">
        <v>103</v>
      </c>
      <c r="B1167" s="1045"/>
      <c r="C1167" s="279" t="s">
        <v>341</v>
      </c>
      <c r="D1167" s="279" t="s">
        <v>232</v>
      </c>
      <c r="E1167" s="280"/>
      <c r="F1167" s="281"/>
      <c r="G1167" s="334">
        <f t="shared" si="1442"/>
        <v>0</v>
      </c>
      <c r="H1167" s="282"/>
      <c r="I1167" s="282"/>
      <c r="J1167" s="351" t="str">
        <f t="shared" si="1446"/>
        <v>-</v>
      </c>
      <c r="K1167" s="691">
        <f t="shared" si="1443"/>
        <v>0</v>
      </c>
      <c r="L1167" s="530">
        <f t="shared" ref="L1167:M1167" si="1452">+H1167+L1050</f>
        <v>0</v>
      </c>
      <c r="M1167" s="462">
        <f t="shared" si="1452"/>
        <v>0</v>
      </c>
      <c r="N1167" s="338" t="str">
        <f t="shared" si="1445"/>
        <v>-</v>
      </c>
      <c r="O1167" s="347" t="str">
        <f t="shared" si="1439"/>
        <v>-</v>
      </c>
    </row>
    <row r="1168" spans="1:15" ht="24" thickBot="1" x14ac:dyDescent="0.35">
      <c r="A1168" s="274" t="s">
        <v>103</v>
      </c>
      <c r="B1168" s="1025" t="s">
        <v>45</v>
      </c>
      <c r="C1168" s="1026"/>
      <c r="D1168" s="1027"/>
      <c r="E1168" s="320">
        <f>SUM(E1161:E1167)</f>
        <v>2600000</v>
      </c>
      <c r="F1168" s="285">
        <v>100000</v>
      </c>
      <c r="G1168" s="320">
        <f>SUM(G1161:G1167)</f>
        <v>106394</v>
      </c>
      <c r="H1168" s="321">
        <f t="shared" ref="H1168:I1168" si="1453">SUM(H1161:H1167)</f>
        <v>104040</v>
      </c>
      <c r="I1168" s="321">
        <f t="shared" si="1453"/>
        <v>2354</v>
      </c>
      <c r="J1168" s="345">
        <f>+G1168/F1168</f>
        <v>1.0639400000000001</v>
      </c>
      <c r="K1168" s="320">
        <f>SUM(K1161:K1167)</f>
        <v>943888</v>
      </c>
      <c r="L1168" s="519">
        <f>SUM(L1161:L1167)</f>
        <v>937890</v>
      </c>
      <c r="M1168" s="689">
        <f t="shared" ref="M1168" si="1454">SUM(M1161:M1167)</f>
        <v>5998</v>
      </c>
      <c r="N1168" s="339">
        <f>IFERROR(K1168/E1168,"-")</f>
        <v>0.36303384615384615</v>
      </c>
      <c r="O1168" s="345">
        <f t="shared" si="1439"/>
        <v>6.3545674910582611E-3</v>
      </c>
    </row>
    <row r="1169" spans="1:15" ht="23.4" x14ac:dyDescent="0.3">
      <c r="A1169" s="274" t="s">
        <v>103</v>
      </c>
      <c r="B1169" s="1043" t="s">
        <v>18</v>
      </c>
      <c r="C1169" s="269" t="s">
        <v>312</v>
      </c>
      <c r="D1169" s="269" t="s">
        <v>92</v>
      </c>
      <c r="E1169" s="270"/>
      <c r="F1169" s="271"/>
      <c r="G1169" s="332">
        <f t="shared" ref="G1169:G1175" si="1455">+H1169+I1169</f>
        <v>0</v>
      </c>
      <c r="H1169" s="272"/>
      <c r="I1169" s="272"/>
      <c r="J1169" s="351" t="str">
        <f>IFERROR(G1169/F1169,"-")</f>
        <v>-</v>
      </c>
      <c r="K1169" s="332">
        <f t="shared" ref="K1169:K1175" si="1456">+L1169+M1169</f>
        <v>0</v>
      </c>
      <c r="L1169" s="272">
        <f t="shared" ref="L1169:M1169" si="1457">+H1169+L1052</f>
        <v>0</v>
      </c>
      <c r="M1169" s="273">
        <f t="shared" si="1457"/>
        <v>0</v>
      </c>
      <c r="N1169" s="336" t="str">
        <f t="shared" ref="N1169:N1176" si="1458">IFERROR(K1169/E1169,"-")</f>
        <v>-</v>
      </c>
      <c r="O1169" s="346" t="str">
        <f t="shared" si="1439"/>
        <v>-</v>
      </c>
    </row>
    <row r="1170" spans="1:15" ht="23.4" x14ac:dyDescent="0.3">
      <c r="A1170" s="274" t="s">
        <v>103</v>
      </c>
      <c r="B1170" s="1044"/>
      <c r="C1170" s="275" t="s">
        <v>233</v>
      </c>
      <c r="D1170" s="275" t="s">
        <v>234</v>
      </c>
      <c r="E1170" s="276"/>
      <c r="F1170" s="277"/>
      <c r="G1170" s="333">
        <f t="shared" si="1455"/>
        <v>0</v>
      </c>
      <c r="H1170" s="278"/>
      <c r="I1170" s="278"/>
      <c r="J1170" s="351" t="str">
        <f t="shared" ref="J1170:J1175" si="1459">IFERROR(G1170/F1170,"-")</f>
        <v>-</v>
      </c>
      <c r="K1170" s="333">
        <f t="shared" si="1456"/>
        <v>0</v>
      </c>
      <c r="L1170" s="272">
        <f t="shared" ref="L1170:M1170" si="1460">+H1170+L1053</f>
        <v>0</v>
      </c>
      <c r="M1170" s="273">
        <f t="shared" si="1460"/>
        <v>0</v>
      </c>
      <c r="N1170" s="337" t="str">
        <f t="shared" si="1458"/>
        <v>-</v>
      </c>
      <c r="O1170" s="263" t="str">
        <f t="shared" si="1439"/>
        <v>-</v>
      </c>
    </row>
    <row r="1171" spans="1:15" ht="23.4" x14ac:dyDescent="0.3">
      <c r="A1171" s="274" t="s">
        <v>103</v>
      </c>
      <c r="B1171" s="1044"/>
      <c r="C1171" s="275" t="s">
        <v>115</v>
      </c>
      <c r="D1171" s="275"/>
      <c r="E1171" s="276"/>
      <c r="F1171" s="277"/>
      <c r="G1171" s="333">
        <f t="shared" si="1455"/>
        <v>0</v>
      </c>
      <c r="H1171" s="278"/>
      <c r="I1171" s="278"/>
      <c r="J1171" s="351" t="str">
        <f t="shared" si="1459"/>
        <v>-</v>
      </c>
      <c r="K1171" s="333">
        <f t="shared" si="1456"/>
        <v>0</v>
      </c>
      <c r="L1171" s="272">
        <f t="shared" ref="L1171:M1171" si="1461">+H1171+L1054</f>
        <v>0</v>
      </c>
      <c r="M1171" s="273">
        <f t="shared" si="1461"/>
        <v>0</v>
      </c>
      <c r="N1171" s="337" t="str">
        <f t="shared" si="1458"/>
        <v>-</v>
      </c>
      <c r="O1171" s="263" t="str">
        <f t="shared" si="1439"/>
        <v>-</v>
      </c>
    </row>
    <row r="1172" spans="1:15" ht="23.4" x14ac:dyDescent="0.3">
      <c r="A1172" s="274" t="s">
        <v>103</v>
      </c>
      <c r="B1172" s="1044"/>
      <c r="C1172" s="275" t="s">
        <v>122</v>
      </c>
      <c r="D1172" s="275"/>
      <c r="E1172" s="276"/>
      <c r="F1172" s="277"/>
      <c r="G1172" s="333">
        <f t="shared" si="1455"/>
        <v>0</v>
      </c>
      <c r="H1172" s="278"/>
      <c r="I1172" s="278"/>
      <c r="J1172" s="351" t="str">
        <f t="shared" si="1459"/>
        <v>-</v>
      </c>
      <c r="K1172" s="333">
        <f t="shared" si="1456"/>
        <v>0</v>
      </c>
      <c r="L1172" s="272">
        <f t="shared" ref="L1172:M1172" si="1462">+H1172+L1055</f>
        <v>0</v>
      </c>
      <c r="M1172" s="273">
        <f t="shared" si="1462"/>
        <v>0</v>
      </c>
      <c r="N1172" s="337" t="str">
        <f t="shared" si="1458"/>
        <v>-</v>
      </c>
      <c r="O1172" s="263" t="str">
        <f t="shared" si="1439"/>
        <v>-</v>
      </c>
    </row>
    <row r="1173" spans="1:15" ht="23.4" x14ac:dyDescent="0.3">
      <c r="A1173" s="274" t="s">
        <v>103</v>
      </c>
      <c r="B1173" s="1044"/>
      <c r="C1173" s="275" t="s">
        <v>176</v>
      </c>
      <c r="D1173" s="275" t="s">
        <v>177</v>
      </c>
      <c r="E1173" s="276"/>
      <c r="F1173" s="277"/>
      <c r="G1173" s="333">
        <f t="shared" si="1455"/>
        <v>0</v>
      </c>
      <c r="H1173" s="278"/>
      <c r="I1173" s="278"/>
      <c r="J1173" s="351" t="str">
        <f t="shared" si="1459"/>
        <v>-</v>
      </c>
      <c r="K1173" s="333">
        <f t="shared" si="1456"/>
        <v>0</v>
      </c>
      <c r="L1173" s="272">
        <f t="shared" ref="L1173:M1173" si="1463">+H1173+L1056</f>
        <v>0</v>
      </c>
      <c r="M1173" s="273">
        <f t="shared" si="1463"/>
        <v>0</v>
      </c>
      <c r="N1173" s="337" t="str">
        <f t="shared" si="1458"/>
        <v>-</v>
      </c>
      <c r="O1173" s="263" t="str">
        <f t="shared" si="1439"/>
        <v>-</v>
      </c>
    </row>
    <row r="1174" spans="1:15" ht="23.4" x14ac:dyDescent="0.3">
      <c r="A1174" s="274" t="s">
        <v>103</v>
      </c>
      <c r="B1174" s="1044"/>
      <c r="C1174" s="275" t="s">
        <v>179</v>
      </c>
      <c r="D1174" s="275" t="s">
        <v>178</v>
      </c>
      <c r="E1174" s="276"/>
      <c r="F1174" s="277"/>
      <c r="G1174" s="333">
        <f t="shared" si="1455"/>
        <v>0</v>
      </c>
      <c r="H1174" s="278"/>
      <c r="I1174" s="278"/>
      <c r="J1174" s="351" t="str">
        <f t="shared" si="1459"/>
        <v>-</v>
      </c>
      <c r="K1174" s="333">
        <f t="shared" si="1456"/>
        <v>0</v>
      </c>
      <c r="L1174" s="272">
        <f t="shared" ref="L1174:M1174" si="1464">+H1174+L1057</f>
        <v>0</v>
      </c>
      <c r="M1174" s="273">
        <f t="shared" si="1464"/>
        <v>0</v>
      </c>
      <c r="N1174" s="337" t="str">
        <f t="shared" si="1458"/>
        <v>-</v>
      </c>
      <c r="O1174" s="263" t="str">
        <f t="shared" si="1439"/>
        <v>-</v>
      </c>
    </row>
    <row r="1175" spans="1:15" ht="24" thickBot="1" x14ac:dyDescent="0.35">
      <c r="A1175" s="274" t="s">
        <v>103</v>
      </c>
      <c r="B1175" s="1045"/>
      <c r="C1175" s="286" t="s">
        <v>180</v>
      </c>
      <c r="D1175" s="286" t="s">
        <v>107</v>
      </c>
      <c r="E1175" s="280"/>
      <c r="F1175" s="281"/>
      <c r="G1175" s="334">
        <f t="shared" si="1455"/>
        <v>0</v>
      </c>
      <c r="H1175" s="282"/>
      <c r="I1175" s="282"/>
      <c r="J1175" s="351" t="str">
        <f t="shared" si="1459"/>
        <v>-</v>
      </c>
      <c r="K1175" s="334">
        <f t="shared" si="1456"/>
        <v>0</v>
      </c>
      <c r="L1175" s="272">
        <f t="shared" ref="L1175:M1175" si="1465">+H1175+L1058</f>
        <v>0</v>
      </c>
      <c r="M1175" s="273">
        <f t="shared" si="1465"/>
        <v>0</v>
      </c>
      <c r="N1175" s="338" t="str">
        <f t="shared" si="1458"/>
        <v>-</v>
      </c>
      <c r="O1175" s="347" t="str">
        <f t="shared" si="1439"/>
        <v>-</v>
      </c>
    </row>
    <row r="1176" spans="1:15" ht="24" thickBot="1" x14ac:dyDescent="0.35">
      <c r="A1176" s="274" t="s">
        <v>103</v>
      </c>
      <c r="B1176" s="1025" t="s">
        <v>29</v>
      </c>
      <c r="C1176" s="1083"/>
      <c r="D1176" s="1084"/>
      <c r="E1176" s="366">
        <f t="shared" ref="E1176" si="1466">SUM(E1169:E1175)</f>
        <v>0</v>
      </c>
      <c r="F1176" s="307">
        <v>80000</v>
      </c>
      <c r="G1176" s="366">
        <f>SUM(G1169:G1175)</f>
        <v>0</v>
      </c>
      <c r="H1176" s="365">
        <f t="shared" ref="H1176:I1176" si="1467">SUM(H1169:H1175)</f>
        <v>0</v>
      </c>
      <c r="I1176" s="365">
        <f t="shared" si="1467"/>
        <v>0</v>
      </c>
      <c r="J1176" s="356">
        <f>+G1176/F1176</f>
        <v>0</v>
      </c>
      <c r="K1176" s="366">
        <f t="shared" ref="K1176" si="1468">SUM(K1169:K1175)</f>
        <v>0</v>
      </c>
      <c r="L1176" s="365">
        <f>SUM(L1169:L1175)</f>
        <v>0</v>
      </c>
      <c r="M1176" s="367">
        <f t="shared" ref="M1176" si="1469">SUM(M1169:M1175)</f>
        <v>0</v>
      </c>
      <c r="N1176" s="355" t="str">
        <f t="shared" si="1458"/>
        <v>-</v>
      </c>
      <c r="O1176" s="356" t="str">
        <f t="shared" si="1439"/>
        <v>-</v>
      </c>
    </row>
    <row r="1177" spans="1:15" ht="23.4" x14ac:dyDescent="0.3">
      <c r="A1177" s="252" t="s">
        <v>103</v>
      </c>
      <c r="B1177" s="1037" t="s">
        <v>19</v>
      </c>
      <c r="C1177" s="669" t="s">
        <v>235</v>
      </c>
      <c r="D1177" s="883" t="s">
        <v>177</v>
      </c>
      <c r="E1177" s="912"/>
      <c r="F1177" s="838">
        <v>220000</v>
      </c>
      <c r="G1177" s="457">
        <f t="shared" ref="G1177:G1183" si="1470">+H1177+I1177</f>
        <v>0</v>
      </c>
      <c r="H1177" s="458"/>
      <c r="I1177" s="458"/>
      <c r="J1177" s="531">
        <f>IFERROR(G1177/F1177,"-")</f>
        <v>0</v>
      </c>
      <c r="K1177" s="869">
        <f>+L1177+M1177</f>
        <v>0</v>
      </c>
      <c r="L1177" s="527">
        <f t="shared" ref="L1177:M1177" si="1471">+H1177+L1060</f>
        <v>0</v>
      </c>
      <c r="M1177" s="838">
        <f t="shared" si="1471"/>
        <v>0</v>
      </c>
      <c r="N1177" s="646" t="str">
        <f>IFERROR(K1177/E1177,"-")</f>
        <v>-</v>
      </c>
      <c r="O1177" s="647" t="str">
        <f t="shared" si="1439"/>
        <v>-</v>
      </c>
    </row>
    <row r="1178" spans="1:15" ht="23.4" x14ac:dyDescent="0.3">
      <c r="A1178" s="252"/>
      <c r="B1178" s="1038"/>
      <c r="C1178" s="840" t="s">
        <v>377</v>
      </c>
      <c r="D1178" s="876" t="s">
        <v>423</v>
      </c>
      <c r="E1178" s="511">
        <v>1000000</v>
      </c>
      <c r="F1178" s="277"/>
      <c r="G1178" s="333">
        <f t="shared" si="1470"/>
        <v>0</v>
      </c>
      <c r="H1178" s="278"/>
      <c r="I1178" s="278"/>
      <c r="J1178" s="352" t="str">
        <f t="shared" ref="J1178:J1183" si="1472">IFERROR(G1178/F1178,"-")</f>
        <v>-</v>
      </c>
      <c r="K1178" s="870">
        <f>+L1178+M1178</f>
        <v>576188</v>
      </c>
      <c r="L1178" s="276">
        <f t="shared" ref="L1178:M1178" si="1473">+H1178+L1061</f>
        <v>574464</v>
      </c>
      <c r="M1178" s="277">
        <f t="shared" si="1473"/>
        <v>1724</v>
      </c>
      <c r="N1178" s="836">
        <f t="shared" ref="N1178:N1183" si="1474">IFERROR(K1178/E1178,"-")</f>
        <v>0.57618800000000003</v>
      </c>
      <c r="O1178" s="263">
        <f>IFERROR(M1178/K1178,"-")</f>
        <v>2.9920789742236909E-3</v>
      </c>
    </row>
    <row r="1179" spans="1:15" ht="23.4" x14ac:dyDescent="0.3">
      <c r="A1179" s="252"/>
      <c r="B1179" s="1038"/>
      <c r="C1179" s="840" t="s">
        <v>235</v>
      </c>
      <c r="D1179" s="876" t="s">
        <v>522</v>
      </c>
      <c r="E1179" s="511"/>
      <c r="F1179" s="277"/>
      <c r="G1179" s="333">
        <f t="shared" si="1470"/>
        <v>39084</v>
      </c>
      <c r="H1179" s="278">
        <v>38944</v>
      </c>
      <c r="I1179" s="278">
        <v>140</v>
      </c>
      <c r="J1179" s="352" t="str">
        <f t="shared" si="1472"/>
        <v>-</v>
      </c>
      <c r="K1179" s="870">
        <f t="shared" ref="K1179:K1182" si="1475">+L1179+M1179</f>
        <v>214277</v>
      </c>
      <c r="L1179" s="276">
        <f t="shared" ref="L1179:M1179" si="1476">+H1179+L1062</f>
        <v>213712</v>
      </c>
      <c r="M1179" s="277">
        <f t="shared" si="1476"/>
        <v>565</v>
      </c>
      <c r="N1179" s="836" t="str">
        <f t="shared" si="1474"/>
        <v>-</v>
      </c>
      <c r="O1179" s="263">
        <f t="shared" ref="O1179:O1240" si="1477">IFERROR(M1179/K1179,"-")</f>
        <v>2.6367738954717491E-3</v>
      </c>
    </row>
    <row r="1180" spans="1:15" ht="23.4" x14ac:dyDescent="0.3">
      <c r="A1180" s="252"/>
      <c r="B1180" s="1038"/>
      <c r="C1180" s="840" t="s">
        <v>377</v>
      </c>
      <c r="D1180" s="876" t="s">
        <v>522</v>
      </c>
      <c r="E1180" s="511"/>
      <c r="F1180" s="277"/>
      <c r="G1180" s="333">
        <f t="shared" si="1470"/>
        <v>8560</v>
      </c>
      <c r="H1180" s="278">
        <f>6448+2000</f>
        <v>8448</v>
      </c>
      <c r="I1180" s="278">
        <v>112</v>
      </c>
      <c r="J1180" s="352" t="str">
        <f t="shared" si="1472"/>
        <v>-</v>
      </c>
      <c r="K1180" s="870">
        <f t="shared" si="1475"/>
        <v>288207</v>
      </c>
      <c r="L1180" s="276">
        <f t="shared" ref="L1180:M1180" si="1478">+H1180+L1063</f>
        <v>287232</v>
      </c>
      <c r="M1180" s="277">
        <f t="shared" si="1478"/>
        <v>975</v>
      </c>
      <c r="N1180" s="836" t="str">
        <f t="shared" si="1474"/>
        <v>-</v>
      </c>
      <c r="O1180" s="263">
        <f t="shared" si="1477"/>
        <v>3.3829851460929123E-3</v>
      </c>
    </row>
    <row r="1181" spans="1:15" ht="23.4" x14ac:dyDescent="0.3">
      <c r="A1181" s="252"/>
      <c r="B1181" s="1038"/>
      <c r="C1181" s="840" t="s">
        <v>551</v>
      </c>
      <c r="D1181" s="876" t="s">
        <v>522</v>
      </c>
      <c r="E1181" s="511"/>
      <c r="F1181" s="277"/>
      <c r="G1181" s="333">
        <f t="shared" si="1470"/>
        <v>67943</v>
      </c>
      <c r="H1181" s="278">
        <f>33792+33792</f>
        <v>67584</v>
      </c>
      <c r="I1181" s="278">
        <f>140+219</f>
        <v>359</v>
      </c>
      <c r="J1181" s="352" t="str">
        <f t="shared" si="1472"/>
        <v>-</v>
      </c>
      <c r="K1181" s="870">
        <f t="shared" si="1475"/>
        <v>144550</v>
      </c>
      <c r="L1181" s="276">
        <f t="shared" ref="L1181:M1181" si="1479">+H1181+L1064</f>
        <v>143616</v>
      </c>
      <c r="M1181" s="277">
        <f t="shared" si="1479"/>
        <v>934</v>
      </c>
      <c r="N1181" s="836" t="str">
        <f t="shared" si="1474"/>
        <v>-</v>
      </c>
      <c r="O1181" s="263">
        <f t="shared" si="1477"/>
        <v>6.4614320304392948E-3</v>
      </c>
    </row>
    <row r="1182" spans="1:15" ht="23.4" x14ac:dyDescent="0.3">
      <c r="A1182" s="252"/>
      <c r="B1182" s="1038"/>
      <c r="C1182" s="840"/>
      <c r="D1182" s="876"/>
      <c r="E1182" s="511"/>
      <c r="F1182" s="277"/>
      <c r="G1182" s="333">
        <f t="shared" si="1470"/>
        <v>0</v>
      </c>
      <c r="H1182" s="278"/>
      <c r="I1182" s="278"/>
      <c r="J1182" s="352" t="str">
        <f t="shared" si="1472"/>
        <v>-</v>
      </c>
      <c r="K1182" s="870">
        <f t="shared" si="1475"/>
        <v>0</v>
      </c>
      <c r="L1182" s="276">
        <f t="shared" ref="L1182:M1182" si="1480">+H1182+L1065</f>
        <v>0</v>
      </c>
      <c r="M1182" s="277">
        <f t="shared" si="1480"/>
        <v>0</v>
      </c>
      <c r="N1182" s="836" t="str">
        <f t="shared" si="1474"/>
        <v>-</v>
      </c>
      <c r="O1182" s="263" t="str">
        <f t="shared" si="1477"/>
        <v>-</v>
      </c>
    </row>
    <row r="1183" spans="1:15" ht="24" thickBot="1" x14ac:dyDescent="0.35">
      <c r="A1183" s="252"/>
      <c r="B1183" s="1039"/>
      <c r="C1183" s="670" t="s">
        <v>342</v>
      </c>
      <c r="D1183" s="884"/>
      <c r="E1183" s="913">
        <v>150000</v>
      </c>
      <c r="F1183" s="839"/>
      <c r="G1183" s="460">
        <f t="shared" si="1470"/>
        <v>0</v>
      </c>
      <c r="H1183" s="461"/>
      <c r="I1183" s="461"/>
      <c r="J1183" s="532" t="str">
        <f t="shared" si="1472"/>
        <v>-</v>
      </c>
      <c r="K1183" s="871">
        <f>+L1183+M1183</f>
        <v>0</v>
      </c>
      <c r="L1183" s="530">
        <f t="shared" ref="L1183:M1183" si="1481">+H1183+L1066</f>
        <v>0</v>
      </c>
      <c r="M1183" s="839">
        <f t="shared" si="1481"/>
        <v>0</v>
      </c>
      <c r="N1183" s="837">
        <f t="shared" si="1474"/>
        <v>0</v>
      </c>
      <c r="O1183" s="264" t="str">
        <f t="shared" si="1477"/>
        <v>-</v>
      </c>
    </row>
    <row r="1184" spans="1:15" ht="24" thickBot="1" x14ac:dyDescent="0.35">
      <c r="A1184" s="274" t="s">
        <v>103</v>
      </c>
      <c r="B1184" s="1040" t="s">
        <v>46</v>
      </c>
      <c r="C1184" s="1041"/>
      <c r="D1184" s="1042"/>
      <c r="E1184" s="513">
        <f>SUM(E1177:E1183)</f>
        <v>1150000</v>
      </c>
      <c r="F1184" s="859">
        <f t="shared" ref="F1184" si="1482">SUM(F1177)</f>
        <v>220000</v>
      </c>
      <c r="G1184" s="513">
        <f>SUM(G1177:G1183)</f>
        <v>115587</v>
      </c>
      <c r="H1184" s="519">
        <f>SUM(H1177:H1183)</f>
        <v>114976</v>
      </c>
      <c r="I1184" s="519">
        <f>SUM(I1177:I1183)</f>
        <v>611</v>
      </c>
      <c r="J1184" s="520">
        <f>+G1184/F1184</f>
        <v>0.52539545454545455</v>
      </c>
      <c r="K1184" s="835">
        <f>SUM(K1177:K1183)</f>
        <v>1223222</v>
      </c>
      <c r="L1184" s="519">
        <f>SUM(L1177:L1183)</f>
        <v>1219024</v>
      </c>
      <c r="M1184" s="689">
        <f>SUM(M1177:M1183)</f>
        <v>4198</v>
      </c>
      <c r="N1184" s="521">
        <f>IFERROR(K1184/E1184,"-")</f>
        <v>1.0636713043478261</v>
      </c>
      <c r="O1184" s="520">
        <f t="shared" si="1477"/>
        <v>3.4319199621981947E-3</v>
      </c>
    </row>
    <row r="1185" spans="1:15" ht="23.4" x14ac:dyDescent="0.3">
      <c r="A1185" s="274" t="s">
        <v>103</v>
      </c>
      <c r="B1185" s="1043" t="s">
        <v>20</v>
      </c>
      <c r="C1185" s="291" t="s">
        <v>317</v>
      </c>
      <c r="D1185" s="291" t="s">
        <v>289</v>
      </c>
      <c r="E1185" s="270"/>
      <c r="F1185" s="271"/>
      <c r="G1185" s="332">
        <f t="shared" ref="G1185:G1187" si="1483">+H1185+I1185</f>
        <v>0</v>
      </c>
      <c r="H1185" s="272"/>
      <c r="I1185" s="272"/>
      <c r="J1185" s="351" t="str">
        <f>IFERROR(G1185/F1185,"-")</f>
        <v>-</v>
      </c>
      <c r="K1185" s="332">
        <f t="shared" ref="K1185:K1187" si="1484">+L1185+M1185</f>
        <v>0</v>
      </c>
      <c r="L1185" s="272">
        <f t="shared" ref="L1185:M1185" si="1485">+H1185+L1068</f>
        <v>0</v>
      </c>
      <c r="M1185" s="273">
        <f t="shared" si="1485"/>
        <v>0</v>
      </c>
      <c r="N1185" s="336" t="str">
        <f t="shared" ref="N1185:N1188" si="1486">IFERROR(K1185/E1185,"-")</f>
        <v>-</v>
      </c>
      <c r="O1185" s="346" t="str">
        <f t="shared" si="1477"/>
        <v>-</v>
      </c>
    </row>
    <row r="1186" spans="1:15" ht="23.4" x14ac:dyDescent="0.3">
      <c r="A1186" s="274" t="s">
        <v>103</v>
      </c>
      <c r="B1186" s="1044"/>
      <c r="C1186" s="292" t="s">
        <v>114</v>
      </c>
      <c r="D1186" s="292"/>
      <c r="E1186" s="276"/>
      <c r="F1186" s="277"/>
      <c r="G1186" s="333">
        <f t="shared" si="1483"/>
        <v>0</v>
      </c>
      <c r="H1186" s="278"/>
      <c r="I1186" s="278"/>
      <c r="J1186" s="351" t="str">
        <f t="shared" ref="J1186:J1187" si="1487">IFERROR(G1186/F1186,"-")</f>
        <v>-</v>
      </c>
      <c r="K1186" s="333">
        <f t="shared" si="1484"/>
        <v>0</v>
      </c>
      <c r="L1186" s="272">
        <f t="shared" ref="L1186:M1186" si="1488">+H1186+L1069</f>
        <v>0</v>
      </c>
      <c r="M1186" s="273">
        <f t="shared" si="1488"/>
        <v>0</v>
      </c>
      <c r="N1186" s="337" t="str">
        <f t="shared" si="1486"/>
        <v>-</v>
      </c>
      <c r="O1186" s="263" t="str">
        <f t="shared" si="1477"/>
        <v>-</v>
      </c>
    </row>
    <row r="1187" spans="1:15" ht="24" thickBot="1" x14ac:dyDescent="0.35">
      <c r="A1187" s="274" t="s">
        <v>103</v>
      </c>
      <c r="B1187" s="1045"/>
      <c r="C1187" s="293" t="s">
        <v>120</v>
      </c>
      <c r="D1187" s="293"/>
      <c r="E1187" s="280"/>
      <c r="F1187" s="281"/>
      <c r="G1187" s="334">
        <f t="shared" si="1483"/>
        <v>0</v>
      </c>
      <c r="H1187" s="282"/>
      <c r="I1187" s="282"/>
      <c r="J1187" s="351" t="str">
        <f t="shared" si="1487"/>
        <v>-</v>
      </c>
      <c r="K1187" s="334">
        <f t="shared" si="1484"/>
        <v>0</v>
      </c>
      <c r="L1187" s="272">
        <f t="shared" ref="L1187:M1187" si="1489">+H1187+L1070</f>
        <v>0</v>
      </c>
      <c r="M1187" s="273">
        <f t="shared" si="1489"/>
        <v>0</v>
      </c>
      <c r="N1187" s="338" t="str">
        <f t="shared" si="1486"/>
        <v>-</v>
      </c>
      <c r="O1187" s="347" t="str">
        <f t="shared" si="1477"/>
        <v>-</v>
      </c>
    </row>
    <row r="1188" spans="1:15" ht="24" thickBot="1" x14ac:dyDescent="0.35">
      <c r="A1188" s="274" t="s">
        <v>103</v>
      </c>
      <c r="B1188" s="1026" t="s">
        <v>47</v>
      </c>
      <c r="C1188" s="1026"/>
      <c r="D1188" s="1046"/>
      <c r="E1188" s="320">
        <f t="shared" ref="E1188" si="1490">SUM(E1185:E1187)</f>
        <v>0</v>
      </c>
      <c r="F1188" s="285">
        <v>50000</v>
      </c>
      <c r="G1188" s="320">
        <f>SUM(G1185:G1187)</f>
        <v>0</v>
      </c>
      <c r="H1188" s="321">
        <f t="shared" ref="H1188:I1188" si="1491">SUM(H1185:H1187)</f>
        <v>0</v>
      </c>
      <c r="I1188" s="321">
        <f t="shared" si="1491"/>
        <v>0</v>
      </c>
      <c r="J1188" s="345">
        <f>+G1188/F1188</f>
        <v>0</v>
      </c>
      <c r="K1188" s="320">
        <f t="shared" ref="K1188:M1188" si="1492">SUM(K1185:K1187)</f>
        <v>0</v>
      </c>
      <c r="L1188" s="321">
        <f t="shared" si="1492"/>
        <v>0</v>
      </c>
      <c r="M1188" s="322">
        <f t="shared" si="1492"/>
        <v>0</v>
      </c>
      <c r="N1188" s="339" t="str">
        <f t="shared" si="1486"/>
        <v>-</v>
      </c>
      <c r="O1188" s="345" t="str">
        <f t="shared" si="1477"/>
        <v>-</v>
      </c>
    </row>
    <row r="1189" spans="1:15" ht="24" thickBot="1" x14ac:dyDescent="0.35">
      <c r="A1189" s="274" t="s">
        <v>103</v>
      </c>
      <c r="B1189" s="1047" t="s">
        <v>21</v>
      </c>
      <c r="C1189" s="1048"/>
      <c r="D1189" s="1049"/>
      <c r="E1189" s="326">
        <f>+E1160+E1168+E1176+E1184+E1188</f>
        <v>3770000</v>
      </c>
      <c r="F1189" s="327">
        <f>+F1160+F1168+F1176+F1184+F1188</f>
        <v>465000</v>
      </c>
      <c r="G1189" s="326">
        <f>+G1160+G1168+G1176+G1184+G1188</f>
        <v>227671</v>
      </c>
      <c r="H1189" s="324">
        <f>+H1160+H1168+H1176+H1184+H1188</f>
        <v>224456</v>
      </c>
      <c r="I1189" s="324">
        <f>+I1160+I1168+I1176+I1184+I1188</f>
        <v>3215</v>
      </c>
      <c r="J1189" s="349">
        <f>+G1189/F1189</f>
        <v>0.48961505376344083</v>
      </c>
      <c r="K1189" s="326">
        <f>+K1160+K1168+K1176+K1184+K1188</f>
        <v>2183552</v>
      </c>
      <c r="L1189" s="324">
        <f>+L1160+L1168+L1176+L1184+L1188</f>
        <v>2172594</v>
      </c>
      <c r="M1189" s="325">
        <f>+M1160+M1168+M1176+M1184+M1188</f>
        <v>10958</v>
      </c>
      <c r="N1189" s="341">
        <f>IFERROR(K1189/E1189,"-")</f>
        <v>0.57919151193633955</v>
      </c>
      <c r="O1189" s="349">
        <f t="shared" si="1477"/>
        <v>5.0184286886687376E-3</v>
      </c>
    </row>
    <row r="1190" spans="1:15" ht="23.4" x14ac:dyDescent="0.3">
      <c r="A1190" s="274" t="s">
        <v>103</v>
      </c>
      <c r="B1190" s="1043" t="s">
        <v>400</v>
      </c>
      <c r="C1190" s="269" t="s">
        <v>125</v>
      </c>
      <c r="D1190" s="269"/>
      <c r="E1190" s="270"/>
      <c r="F1190" s="271"/>
      <c r="G1190" s="332">
        <f t="shared" ref="G1190:G1193" si="1493">+H1190+I1190</f>
        <v>0</v>
      </c>
      <c r="H1190" s="272"/>
      <c r="I1190" s="272"/>
      <c r="J1190" s="351" t="str">
        <f>IFERROR(G1190/F1190,"-")</f>
        <v>-</v>
      </c>
      <c r="K1190" s="332">
        <f t="shared" ref="K1190:K1193" si="1494">+L1190+M1190</f>
        <v>0</v>
      </c>
      <c r="L1190" s="272">
        <f t="shared" ref="L1190:M1190" si="1495">+H1190+L1073</f>
        <v>0</v>
      </c>
      <c r="M1190" s="273">
        <f t="shared" si="1495"/>
        <v>0</v>
      </c>
      <c r="N1190" s="336" t="str">
        <f t="shared" ref="N1190:N1205" si="1496">IFERROR(K1190/E1190,"-")</f>
        <v>-</v>
      </c>
      <c r="O1190" s="346" t="str">
        <f t="shared" si="1477"/>
        <v>-</v>
      </c>
    </row>
    <row r="1191" spans="1:15" ht="23.4" x14ac:dyDescent="0.3">
      <c r="A1191" s="274" t="s">
        <v>103</v>
      </c>
      <c r="B1191" s="1044"/>
      <c r="C1191" s="295" t="s">
        <v>263</v>
      </c>
      <c r="D1191" s="295" t="s">
        <v>181</v>
      </c>
      <c r="E1191" s="276"/>
      <c r="F1191" s="277"/>
      <c r="G1191" s="333">
        <f t="shared" si="1493"/>
        <v>0</v>
      </c>
      <c r="H1191" s="278"/>
      <c r="I1191" s="278"/>
      <c r="J1191" s="351" t="str">
        <f t="shared" ref="J1191:J1193" si="1497">IFERROR(G1191/F1191,"-")</f>
        <v>-</v>
      </c>
      <c r="K1191" s="333">
        <f t="shared" si="1494"/>
        <v>0</v>
      </c>
      <c r="L1191" s="272">
        <f t="shared" ref="L1191:M1191" si="1498">+H1191+L1074</f>
        <v>0</v>
      </c>
      <c r="M1191" s="273">
        <f t="shared" si="1498"/>
        <v>0</v>
      </c>
      <c r="N1191" s="337" t="str">
        <f t="shared" si="1496"/>
        <v>-</v>
      </c>
      <c r="O1191" s="263" t="str">
        <f t="shared" si="1477"/>
        <v>-</v>
      </c>
    </row>
    <row r="1192" spans="1:15" ht="23.4" x14ac:dyDescent="0.3">
      <c r="A1192" s="274" t="s">
        <v>103</v>
      </c>
      <c r="B1192" s="1044"/>
      <c r="C1192" s="295" t="s">
        <v>362</v>
      </c>
      <c r="D1192" s="295" t="s">
        <v>181</v>
      </c>
      <c r="E1192" s="276"/>
      <c r="F1192" s="277"/>
      <c r="G1192" s="333">
        <f t="shared" si="1493"/>
        <v>0</v>
      </c>
      <c r="H1192" s="278"/>
      <c r="I1192" s="278"/>
      <c r="J1192" s="351" t="str">
        <f t="shared" si="1497"/>
        <v>-</v>
      </c>
      <c r="K1192" s="333">
        <f t="shared" si="1494"/>
        <v>0</v>
      </c>
      <c r="L1192" s="272">
        <f t="shared" ref="L1192:M1192" si="1499">+H1192+L1075</f>
        <v>0</v>
      </c>
      <c r="M1192" s="273">
        <f t="shared" si="1499"/>
        <v>0</v>
      </c>
      <c r="N1192" s="337" t="str">
        <f t="shared" si="1496"/>
        <v>-</v>
      </c>
      <c r="O1192" s="263" t="str">
        <f t="shared" si="1477"/>
        <v>-</v>
      </c>
    </row>
    <row r="1193" spans="1:15" ht="24" thickBot="1" x14ac:dyDescent="0.35">
      <c r="A1193" s="274" t="s">
        <v>103</v>
      </c>
      <c r="B1193" s="1045"/>
      <c r="C1193" s="279" t="s">
        <v>182</v>
      </c>
      <c r="D1193" s="279" t="s">
        <v>93</v>
      </c>
      <c r="E1193" s="280"/>
      <c r="F1193" s="281"/>
      <c r="G1193" s="334">
        <f t="shared" si="1493"/>
        <v>45640</v>
      </c>
      <c r="H1193" s="282">
        <v>45540</v>
      </c>
      <c r="I1193" s="282">
        <v>100</v>
      </c>
      <c r="J1193" s="351" t="str">
        <f t="shared" si="1497"/>
        <v>-</v>
      </c>
      <c r="K1193" s="334">
        <f t="shared" si="1494"/>
        <v>85340</v>
      </c>
      <c r="L1193" s="272">
        <f t="shared" ref="L1193:M1193" si="1500">+H1193+L1076</f>
        <v>85140</v>
      </c>
      <c r="M1193" s="273">
        <f t="shared" si="1500"/>
        <v>200</v>
      </c>
      <c r="N1193" s="338" t="str">
        <f t="shared" si="1496"/>
        <v>-</v>
      </c>
      <c r="O1193" s="347">
        <f t="shared" si="1477"/>
        <v>2.3435669088352471E-3</v>
      </c>
    </row>
    <row r="1194" spans="1:15" ht="24" thickBot="1" x14ac:dyDescent="0.35">
      <c r="A1194" s="274" t="s">
        <v>103</v>
      </c>
      <c r="B1194" s="1025" t="s">
        <v>48</v>
      </c>
      <c r="C1194" s="1026"/>
      <c r="D1194" s="1027"/>
      <c r="E1194" s="284">
        <f>SUM(E1190:E1193)</f>
        <v>0</v>
      </c>
      <c r="F1194" s="285">
        <v>80000</v>
      </c>
      <c r="G1194" s="320">
        <f>SUM(G1190:G1193)</f>
        <v>45640</v>
      </c>
      <c r="H1194" s="321">
        <f t="shared" ref="H1194:I1194" si="1501">SUM(H1190:H1193)</f>
        <v>45540</v>
      </c>
      <c r="I1194" s="321">
        <f t="shared" si="1501"/>
        <v>100</v>
      </c>
      <c r="J1194" s="345">
        <f>+G1194/F1194</f>
        <v>0.57050000000000001</v>
      </c>
      <c r="K1194" s="320">
        <f t="shared" ref="K1194" si="1502">SUM(K1190:K1193)</f>
        <v>85340</v>
      </c>
      <c r="L1194" s="321">
        <f>SUM(L1190:L1193)</f>
        <v>85140</v>
      </c>
      <c r="M1194" s="322">
        <f t="shared" ref="M1194" si="1503">SUM(M1190:M1193)</f>
        <v>200</v>
      </c>
      <c r="N1194" s="339" t="str">
        <f t="shared" si="1496"/>
        <v>-</v>
      </c>
      <c r="O1194" s="345">
        <f t="shared" si="1477"/>
        <v>2.3435669088352471E-3</v>
      </c>
    </row>
    <row r="1195" spans="1:15" ht="23.4" x14ac:dyDescent="0.3">
      <c r="A1195" s="274" t="s">
        <v>103</v>
      </c>
      <c r="B1195" s="1043" t="s">
        <v>23</v>
      </c>
      <c r="C1195" s="275" t="s">
        <v>500</v>
      </c>
      <c r="D1195" s="296" t="s">
        <v>238</v>
      </c>
      <c r="E1195" s="270">
        <v>10000</v>
      </c>
      <c r="F1195" s="271"/>
      <c r="G1195" s="332">
        <f t="shared" ref="G1195:G1203" si="1504">+H1195+I1195</f>
        <v>0</v>
      </c>
      <c r="H1195" s="272"/>
      <c r="I1195" s="272"/>
      <c r="J1195" s="351" t="str">
        <f>IFERROR(G1195/F1195,"-")</f>
        <v>-</v>
      </c>
      <c r="K1195" s="332">
        <f t="shared" ref="K1195:K1203" si="1505">+L1195+M1195</f>
        <v>0</v>
      </c>
      <c r="L1195" s="272">
        <f t="shared" ref="L1195:M1195" si="1506">+H1195+L1078</f>
        <v>0</v>
      </c>
      <c r="M1195" s="273">
        <f t="shared" si="1506"/>
        <v>0</v>
      </c>
      <c r="N1195" s="336">
        <f t="shared" si="1496"/>
        <v>0</v>
      </c>
      <c r="O1195" s="346" t="str">
        <f t="shared" si="1477"/>
        <v>-</v>
      </c>
    </row>
    <row r="1196" spans="1:15" ht="23.4" x14ac:dyDescent="0.3">
      <c r="A1196" s="274" t="s">
        <v>103</v>
      </c>
      <c r="B1196" s="1044"/>
      <c r="C1196" s="275" t="s">
        <v>24</v>
      </c>
      <c r="D1196" s="275" t="s">
        <v>238</v>
      </c>
      <c r="E1196" s="276">
        <v>112000</v>
      </c>
      <c r="F1196" s="277"/>
      <c r="G1196" s="333">
        <f t="shared" si="1504"/>
        <v>0</v>
      </c>
      <c r="H1196" s="278"/>
      <c r="I1196" s="278"/>
      <c r="J1196" s="351" t="str">
        <f t="shared" ref="J1196:J1203" si="1507">IFERROR(G1196/F1196,"-")</f>
        <v>-</v>
      </c>
      <c r="K1196" s="333">
        <f t="shared" si="1505"/>
        <v>0</v>
      </c>
      <c r="L1196" s="272">
        <f t="shared" ref="L1196:M1196" si="1508">+H1196+L1079</f>
        <v>0</v>
      </c>
      <c r="M1196" s="273">
        <f t="shared" si="1508"/>
        <v>0</v>
      </c>
      <c r="N1196" s="337">
        <f t="shared" si="1496"/>
        <v>0</v>
      </c>
      <c r="O1196" s="263" t="str">
        <f t="shared" si="1477"/>
        <v>-</v>
      </c>
    </row>
    <row r="1197" spans="1:15" ht="23.4" x14ac:dyDescent="0.3">
      <c r="A1197" s="274" t="s">
        <v>103</v>
      </c>
      <c r="B1197" s="1044"/>
      <c r="C1197" s="275" t="s">
        <v>236</v>
      </c>
      <c r="D1197" s="275" t="s">
        <v>238</v>
      </c>
      <c r="E1197" s="276">
        <v>40000</v>
      </c>
      <c r="F1197" s="277"/>
      <c r="G1197" s="333">
        <f t="shared" si="1504"/>
        <v>0</v>
      </c>
      <c r="H1197" s="278"/>
      <c r="I1197" s="278"/>
      <c r="J1197" s="351" t="str">
        <f t="shared" si="1507"/>
        <v>-</v>
      </c>
      <c r="K1197" s="333">
        <f t="shared" si="1505"/>
        <v>0</v>
      </c>
      <c r="L1197" s="272">
        <f t="shared" ref="L1197:M1197" si="1509">+H1197+L1080</f>
        <v>0</v>
      </c>
      <c r="M1197" s="273">
        <f t="shared" si="1509"/>
        <v>0</v>
      </c>
      <c r="N1197" s="337">
        <f t="shared" si="1496"/>
        <v>0</v>
      </c>
      <c r="O1197" s="263" t="str">
        <f t="shared" si="1477"/>
        <v>-</v>
      </c>
    </row>
    <row r="1198" spans="1:15" ht="23.4" x14ac:dyDescent="0.3">
      <c r="A1198" s="274" t="s">
        <v>103</v>
      </c>
      <c r="B1198" s="1044"/>
      <c r="C1198" s="275" t="s">
        <v>239</v>
      </c>
      <c r="D1198" s="275" t="s">
        <v>238</v>
      </c>
      <c r="E1198" s="276">
        <v>4000</v>
      </c>
      <c r="F1198" s="277"/>
      <c r="G1198" s="333">
        <f t="shared" si="1504"/>
        <v>0</v>
      </c>
      <c r="H1198" s="278"/>
      <c r="I1198" s="278"/>
      <c r="J1198" s="351" t="str">
        <f t="shared" si="1507"/>
        <v>-</v>
      </c>
      <c r="K1198" s="333">
        <f t="shared" si="1505"/>
        <v>0</v>
      </c>
      <c r="L1198" s="272">
        <f t="shared" ref="L1198:M1198" si="1510">+H1198+L1081</f>
        <v>0</v>
      </c>
      <c r="M1198" s="273">
        <f t="shared" si="1510"/>
        <v>0</v>
      </c>
      <c r="N1198" s="337">
        <f t="shared" si="1496"/>
        <v>0</v>
      </c>
      <c r="O1198" s="263" t="str">
        <f t="shared" si="1477"/>
        <v>-</v>
      </c>
    </row>
    <row r="1199" spans="1:15" ht="23.4" x14ac:dyDescent="0.3">
      <c r="A1199" s="274" t="s">
        <v>103</v>
      </c>
      <c r="B1199" s="1044"/>
      <c r="C1199" s="295" t="s">
        <v>394</v>
      </c>
      <c r="D1199" s="275" t="s">
        <v>238</v>
      </c>
      <c r="E1199" s="276">
        <v>8500</v>
      </c>
      <c r="F1199" s="277"/>
      <c r="G1199" s="333">
        <f t="shared" si="1504"/>
        <v>0</v>
      </c>
      <c r="H1199" s="278"/>
      <c r="I1199" s="278"/>
      <c r="J1199" s="351" t="str">
        <f t="shared" si="1507"/>
        <v>-</v>
      </c>
      <c r="K1199" s="333">
        <f t="shared" si="1505"/>
        <v>0</v>
      </c>
      <c r="L1199" s="272">
        <f t="shared" ref="L1199:M1199" si="1511">+H1199+L1082</f>
        <v>0</v>
      </c>
      <c r="M1199" s="273">
        <f t="shared" si="1511"/>
        <v>0</v>
      </c>
      <c r="N1199" s="337">
        <f t="shared" si="1496"/>
        <v>0</v>
      </c>
      <c r="O1199" s="263" t="str">
        <f t="shared" si="1477"/>
        <v>-</v>
      </c>
    </row>
    <row r="1200" spans="1:15" ht="23.4" x14ac:dyDescent="0.3">
      <c r="A1200" s="274" t="s">
        <v>103</v>
      </c>
      <c r="B1200" s="1044"/>
      <c r="C1200" s="295" t="s">
        <v>422</v>
      </c>
      <c r="D1200" s="275" t="s">
        <v>238</v>
      </c>
      <c r="E1200" s="276">
        <v>10000</v>
      </c>
      <c r="F1200" s="277"/>
      <c r="G1200" s="333">
        <f t="shared" si="1504"/>
        <v>0</v>
      </c>
      <c r="H1200" s="278"/>
      <c r="I1200" s="278"/>
      <c r="J1200" s="351" t="str">
        <f t="shared" si="1507"/>
        <v>-</v>
      </c>
      <c r="K1200" s="333">
        <f t="shared" si="1505"/>
        <v>0</v>
      </c>
      <c r="L1200" s="272">
        <f t="shared" ref="L1200:M1200" si="1512">+H1200+L1083</f>
        <v>0</v>
      </c>
      <c r="M1200" s="273">
        <f t="shared" si="1512"/>
        <v>0</v>
      </c>
      <c r="N1200" s="337">
        <f t="shared" si="1496"/>
        <v>0</v>
      </c>
      <c r="O1200" s="263" t="str">
        <f t="shared" si="1477"/>
        <v>-</v>
      </c>
    </row>
    <row r="1201" spans="1:15" ht="23.4" x14ac:dyDescent="0.3">
      <c r="A1201" s="274" t="s">
        <v>103</v>
      </c>
      <c r="B1201" s="1044"/>
      <c r="C1201" s="295" t="s">
        <v>241</v>
      </c>
      <c r="D1201" s="275" t="s">
        <v>243</v>
      </c>
      <c r="E1201" s="276"/>
      <c r="F1201" s="277"/>
      <c r="G1201" s="333">
        <f t="shared" si="1504"/>
        <v>0</v>
      </c>
      <c r="H1201" s="278"/>
      <c r="I1201" s="278"/>
      <c r="J1201" s="351" t="str">
        <f t="shared" si="1507"/>
        <v>-</v>
      </c>
      <c r="K1201" s="333">
        <f t="shared" si="1505"/>
        <v>0</v>
      </c>
      <c r="L1201" s="272">
        <f t="shared" ref="L1201:M1201" si="1513">+H1201+L1084</f>
        <v>0</v>
      </c>
      <c r="M1201" s="273">
        <f t="shared" si="1513"/>
        <v>0</v>
      </c>
      <c r="N1201" s="337" t="str">
        <f t="shared" si="1496"/>
        <v>-</v>
      </c>
      <c r="O1201" s="263" t="str">
        <f t="shared" si="1477"/>
        <v>-</v>
      </c>
    </row>
    <row r="1202" spans="1:15" ht="23.4" x14ac:dyDescent="0.3">
      <c r="A1202" s="274"/>
      <c r="B1202" s="1045"/>
      <c r="C1202" s="295" t="s">
        <v>546</v>
      </c>
      <c r="D1202" s="275" t="s">
        <v>238</v>
      </c>
      <c r="E1202" s="280">
        <v>6000</v>
      </c>
      <c r="F1202" s="281"/>
      <c r="G1202" s="333">
        <f t="shared" si="1504"/>
        <v>0</v>
      </c>
      <c r="H1202" s="282"/>
      <c r="I1202" s="282"/>
      <c r="J1202" s="351" t="str">
        <f t="shared" si="1507"/>
        <v>-</v>
      </c>
      <c r="K1202" s="333">
        <f t="shared" si="1505"/>
        <v>0</v>
      </c>
      <c r="L1202" s="272">
        <f t="shared" ref="L1202:M1202" si="1514">+H1202+L1085</f>
        <v>0</v>
      </c>
      <c r="M1202" s="273">
        <f t="shared" si="1514"/>
        <v>0</v>
      </c>
      <c r="N1202" s="337">
        <f t="shared" si="1496"/>
        <v>0</v>
      </c>
      <c r="O1202" s="263" t="str">
        <f t="shared" si="1477"/>
        <v>-</v>
      </c>
    </row>
    <row r="1203" spans="1:15" ht="24" thickBot="1" x14ac:dyDescent="0.35">
      <c r="A1203" s="274" t="s">
        <v>103</v>
      </c>
      <c r="B1203" s="1045"/>
      <c r="C1203" s="295" t="s">
        <v>242</v>
      </c>
      <c r="D1203" s="275" t="s">
        <v>238</v>
      </c>
      <c r="E1203" s="280">
        <v>5000</v>
      </c>
      <c r="F1203" s="281"/>
      <c r="G1203" s="334">
        <f t="shared" si="1504"/>
        <v>0</v>
      </c>
      <c r="H1203" s="282"/>
      <c r="I1203" s="282"/>
      <c r="J1203" s="351" t="str">
        <f t="shared" si="1507"/>
        <v>-</v>
      </c>
      <c r="K1203" s="334">
        <f t="shared" si="1505"/>
        <v>0</v>
      </c>
      <c r="L1203" s="272">
        <f t="shared" ref="L1203:M1203" si="1515">+H1203+L1086</f>
        <v>0</v>
      </c>
      <c r="M1203" s="273">
        <f t="shared" si="1515"/>
        <v>0</v>
      </c>
      <c r="N1203" s="338">
        <f t="shared" si="1496"/>
        <v>0</v>
      </c>
      <c r="O1203" s="347" t="str">
        <f t="shared" si="1477"/>
        <v>-</v>
      </c>
    </row>
    <row r="1204" spans="1:15" ht="24" thickBot="1" x14ac:dyDescent="0.35">
      <c r="A1204" s="274" t="s">
        <v>103</v>
      </c>
      <c r="B1204" s="1025" t="s">
        <v>49</v>
      </c>
      <c r="C1204" s="1026"/>
      <c r="D1204" s="1027"/>
      <c r="E1204" s="284">
        <f>SUM(E1195:E1203)</f>
        <v>195500</v>
      </c>
      <c r="F1204" s="285">
        <v>14000</v>
      </c>
      <c r="G1204" s="320">
        <f>SUM(G1195:G1203)</f>
        <v>0</v>
      </c>
      <c r="H1204" s="321">
        <f t="shared" ref="H1204:I1204" si="1516">SUM(H1195:H1203)</f>
        <v>0</v>
      </c>
      <c r="I1204" s="321">
        <f t="shared" si="1516"/>
        <v>0</v>
      </c>
      <c r="J1204" s="345">
        <f>+G1205/F1205</f>
        <v>0.48553191489361702</v>
      </c>
      <c r="K1204" s="320">
        <f>SUM(K1195:K1203)</f>
        <v>0</v>
      </c>
      <c r="L1204" s="321">
        <f>+H1204</f>
        <v>0</v>
      </c>
      <c r="M1204" s="322">
        <f>+I1204</f>
        <v>0</v>
      </c>
      <c r="N1204" s="339">
        <f t="shared" si="1496"/>
        <v>0</v>
      </c>
      <c r="O1204" s="345" t="str">
        <f t="shared" si="1477"/>
        <v>-</v>
      </c>
    </row>
    <row r="1205" spans="1:15" ht="24" thickBot="1" x14ac:dyDescent="0.35">
      <c r="A1205" s="274" t="s">
        <v>103</v>
      </c>
      <c r="B1205" s="1047" t="s">
        <v>25</v>
      </c>
      <c r="C1205" s="1048"/>
      <c r="D1205" s="1049"/>
      <c r="E1205" s="326">
        <f t="shared" ref="E1205:F1205" si="1517">+E1194+E1204</f>
        <v>195500</v>
      </c>
      <c r="F1205" s="327">
        <f t="shared" si="1517"/>
        <v>94000</v>
      </c>
      <c r="G1205" s="326">
        <f>+G1194+G1204</f>
        <v>45640</v>
      </c>
      <c r="H1205" s="324">
        <f t="shared" ref="H1205:I1205" si="1518">+H1194+H1204</f>
        <v>45540</v>
      </c>
      <c r="I1205" s="324">
        <f t="shared" si="1518"/>
        <v>100</v>
      </c>
      <c r="J1205" s="349" t="str">
        <f>IFERROR(G1205/#REF!,"-")</f>
        <v>-</v>
      </c>
      <c r="K1205" s="326">
        <f t="shared" ref="K1205" si="1519">+K1194+K1204</f>
        <v>85340</v>
      </c>
      <c r="L1205" s="324">
        <f>+L1194+L1204</f>
        <v>85140</v>
      </c>
      <c r="M1205" s="325">
        <f t="shared" ref="M1205" si="1520">+M1194+M1204</f>
        <v>200</v>
      </c>
      <c r="N1205" s="341">
        <f t="shared" si="1496"/>
        <v>0.43652173913043479</v>
      </c>
      <c r="O1205" s="349">
        <f t="shared" si="1477"/>
        <v>2.3435669088352471E-3</v>
      </c>
    </row>
    <row r="1206" spans="1:15" ht="24" thickBot="1" x14ac:dyDescent="0.35">
      <c r="A1206" s="274" t="s">
        <v>103</v>
      </c>
      <c r="B1206" s="1019" t="s">
        <v>172</v>
      </c>
      <c r="C1206" s="1020"/>
      <c r="D1206" s="1050"/>
      <c r="E1206" s="330">
        <f>+E1189+E1205</f>
        <v>3965500</v>
      </c>
      <c r="F1206" s="331">
        <f t="shared" ref="F1206:I1206" si="1521">+F1189+F1205</f>
        <v>559000</v>
      </c>
      <c r="G1206" s="330">
        <f t="shared" si="1521"/>
        <v>273311</v>
      </c>
      <c r="H1206" s="328">
        <f t="shared" si="1521"/>
        <v>269996</v>
      </c>
      <c r="I1206" s="328">
        <f t="shared" si="1521"/>
        <v>3315</v>
      </c>
      <c r="J1206" s="350">
        <f>+G1206/F1206</f>
        <v>0.48892844364937388</v>
      </c>
      <c r="K1206" s="330">
        <f>+K1189+K1205</f>
        <v>2268892</v>
      </c>
      <c r="L1206" s="328">
        <f t="shared" ref="L1206:M1206" si="1522">+L1189+L1205</f>
        <v>2257734</v>
      </c>
      <c r="M1206" s="329">
        <f t="shared" si="1522"/>
        <v>11158</v>
      </c>
      <c r="N1206" s="342">
        <f>IFERROR(K1206/E1206,"-")</f>
        <v>0.57215786155591986</v>
      </c>
      <c r="O1206" s="350">
        <f t="shared" si="1477"/>
        <v>4.9178189177801323E-3</v>
      </c>
    </row>
    <row r="1207" spans="1:15" ht="23.4" x14ac:dyDescent="0.3">
      <c r="A1207" s="268" t="s">
        <v>101</v>
      </c>
      <c r="B1207" s="1051" t="s">
        <v>26</v>
      </c>
      <c r="C1207" s="893" t="s">
        <v>297</v>
      </c>
      <c r="D1207" s="898" t="s">
        <v>177</v>
      </c>
      <c r="E1207" s="895"/>
      <c r="F1207" s="271"/>
      <c r="G1207" s="332">
        <f t="shared" ref="G1207:G1216" si="1523">+H1207+I1207</f>
        <v>0</v>
      </c>
      <c r="H1207" s="272"/>
      <c r="I1207" s="272"/>
      <c r="J1207" s="351" t="str">
        <f>IFERROR(G1207/F1207,"-")</f>
        <v>-</v>
      </c>
      <c r="K1207" s="332">
        <f t="shared" ref="K1207:K1216" si="1524">+L1207+M1207</f>
        <v>0</v>
      </c>
      <c r="L1207" s="272">
        <f t="shared" ref="L1207:M1207" si="1525">+H1207+L1090</f>
        <v>0</v>
      </c>
      <c r="M1207" s="273">
        <f t="shared" si="1525"/>
        <v>0</v>
      </c>
      <c r="N1207" s="336" t="str">
        <f t="shared" ref="N1207:N1225" si="1526">IFERROR(K1207/E1207,"-")</f>
        <v>-</v>
      </c>
      <c r="O1207" s="346" t="str">
        <f t="shared" si="1477"/>
        <v>-</v>
      </c>
    </row>
    <row r="1208" spans="1:15" ht="23.4" x14ac:dyDescent="0.3">
      <c r="A1208" s="274" t="s">
        <v>101</v>
      </c>
      <c r="B1208" s="1051"/>
      <c r="C1208" s="253" t="s">
        <v>424</v>
      </c>
      <c r="D1208" s="899" t="s">
        <v>423</v>
      </c>
      <c r="E1208" s="511">
        <v>314432</v>
      </c>
      <c r="F1208" s="277"/>
      <c r="G1208" s="333">
        <f t="shared" si="1523"/>
        <v>0</v>
      </c>
      <c r="H1208" s="278"/>
      <c r="I1208" s="278"/>
      <c r="J1208" s="351" t="str">
        <f t="shared" ref="J1208:J1216" si="1527">IFERROR(G1208/F1208,"-")</f>
        <v>-</v>
      </c>
      <c r="K1208" s="333">
        <f t="shared" si="1524"/>
        <v>265434</v>
      </c>
      <c r="L1208" s="272">
        <f t="shared" ref="L1208:M1208" si="1528">+H1208+L1091</f>
        <v>262548</v>
      </c>
      <c r="M1208" s="273">
        <f t="shared" si="1528"/>
        <v>2886</v>
      </c>
      <c r="N1208" s="337">
        <f t="shared" si="1526"/>
        <v>0.84416980460004076</v>
      </c>
      <c r="O1208" s="263">
        <f t="shared" si="1477"/>
        <v>1.0872759330002939E-2</v>
      </c>
    </row>
    <row r="1209" spans="1:15" ht="23.4" x14ac:dyDescent="0.3">
      <c r="A1209" s="274" t="s">
        <v>101</v>
      </c>
      <c r="B1209" s="1051"/>
      <c r="C1209" s="813" t="s">
        <v>27</v>
      </c>
      <c r="D1209" s="899" t="s">
        <v>334</v>
      </c>
      <c r="E1209" s="896">
        <v>932448</v>
      </c>
      <c r="F1209" s="281"/>
      <c r="G1209" s="333">
        <f t="shared" si="1523"/>
        <v>0</v>
      </c>
      <c r="H1209" s="282"/>
      <c r="I1209" s="282"/>
      <c r="J1209" s="351" t="str">
        <f t="shared" si="1527"/>
        <v>-</v>
      </c>
      <c r="K1209" s="333">
        <f t="shared" si="1524"/>
        <v>29523</v>
      </c>
      <c r="L1209" s="272">
        <f t="shared" ref="L1209:M1209" si="1529">+H1209+L1092</f>
        <v>27846</v>
      </c>
      <c r="M1209" s="273">
        <f t="shared" si="1529"/>
        <v>1677</v>
      </c>
      <c r="N1209" s="337">
        <f t="shared" si="1526"/>
        <v>3.166181921136621E-2</v>
      </c>
      <c r="O1209" s="263">
        <f t="shared" si="1477"/>
        <v>5.6803170409511231E-2</v>
      </c>
    </row>
    <row r="1210" spans="1:15" ht="23.4" x14ac:dyDescent="0.3">
      <c r="A1210" s="274" t="s">
        <v>101</v>
      </c>
      <c r="B1210" s="1051"/>
      <c r="C1210" s="813" t="s">
        <v>27</v>
      </c>
      <c r="D1210" s="900" t="s">
        <v>492</v>
      </c>
      <c r="E1210" s="896"/>
      <c r="F1210" s="281"/>
      <c r="G1210" s="333">
        <f t="shared" si="1523"/>
        <v>0</v>
      </c>
      <c r="H1210" s="282"/>
      <c r="I1210" s="282"/>
      <c r="J1210" s="351" t="str">
        <f t="shared" si="1527"/>
        <v>-</v>
      </c>
      <c r="K1210" s="333">
        <f t="shared" si="1524"/>
        <v>274869</v>
      </c>
      <c r="L1210" s="272">
        <f t="shared" ref="L1210:M1210" si="1530">+H1210+L1093</f>
        <v>270504</v>
      </c>
      <c r="M1210" s="273">
        <f t="shared" si="1530"/>
        <v>4365</v>
      </c>
      <c r="N1210" s="337" t="str">
        <f t="shared" si="1526"/>
        <v>-</v>
      </c>
      <c r="O1210" s="263">
        <f t="shared" si="1477"/>
        <v>1.588029206640254E-2</v>
      </c>
    </row>
    <row r="1211" spans="1:15" ht="23.4" x14ac:dyDescent="0.3">
      <c r="A1211" s="274" t="s">
        <v>101</v>
      </c>
      <c r="B1211" s="1051"/>
      <c r="C1211" s="893" t="s">
        <v>521</v>
      </c>
      <c r="D1211" s="899" t="s">
        <v>234</v>
      </c>
      <c r="E1211" s="896">
        <v>136768</v>
      </c>
      <c r="F1211" s="281"/>
      <c r="G1211" s="333">
        <f t="shared" si="1523"/>
        <v>0</v>
      </c>
      <c r="H1211" s="282"/>
      <c r="I1211" s="282"/>
      <c r="J1211" s="351" t="str">
        <f t="shared" si="1527"/>
        <v>-</v>
      </c>
      <c r="K1211" s="333">
        <f t="shared" si="1524"/>
        <v>57116</v>
      </c>
      <c r="L1211" s="272">
        <f t="shared" ref="L1211:M1211" si="1531">+H1211+L1094</f>
        <v>55692</v>
      </c>
      <c r="M1211" s="273">
        <f t="shared" si="1531"/>
        <v>1424</v>
      </c>
      <c r="N1211" s="337">
        <f t="shared" si="1526"/>
        <v>0.41761230697239121</v>
      </c>
      <c r="O1211" s="263">
        <f t="shared" si="1477"/>
        <v>2.4931717907416485E-2</v>
      </c>
    </row>
    <row r="1212" spans="1:15" ht="22.5" customHeight="1" x14ac:dyDescent="0.3">
      <c r="A1212" s="274"/>
      <c r="B1212" s="1051"/>
      <c r="C1212" s="813" t="s">
        <v>432</v>
      </c>
      <c r="D1212" s="899" t="s">
        <v>178</v>
      </c>
      <c r="E1212" s="896"/>
      <c r="F1212" s="281"/>
      <c r="G1212" s="334">
        <f t="shared" si="1523"/>
        <v>0</v>
      </c>
      <c r="H1212" s="282"/>
      <c r="I1212" s="282"/>
      <c r="J1212" s="351" t="str">
        <f t="shared" si="1527"/>
        <v>-</v>
      </c>
      <c r="K1212" s="334">
        <f t="shared" si="1524"/>
        <v>0</v>
      </c>
      <c r="L1212" s="272">
        <f t="shared" ref="L1212:M1212" si="1532">+H1212+L1095</f>
        <v>0</v>
      </c>
      <c r="M1212" s="273">
        <f t="shared" si="1532"/>
        <v>0</v>
      </c>
      <c r="N1212" s="337" t="str">
        <f t="shared" si="1526"/>
        <v>-</v>
      </c>
      <c r="O1212" s="263" t="str">
        <f t="shared" si="1477"/>
        <v>-</v>
      </c>
    </row>
    <row r="1213" spans="1:15" ht="23.4" x14ac:dyDescent="0.3">
      <c r="A1213" s="274"/>
      <c r="B1213" s="1051"/>
      <c r="C1213" s="813" t="s">
        <v>333</v>
      </c>
      <c r="D1213" s="899" t="s">
        <v>94</v>
      </c>
      <c r="E1213" s="896">
        <v>32016</v>
      </c>
      <c r="F1213" s="281"/>
      <c r="G1213" s="334">
        <f t="shared" si="1523"/>
        <v>0</v>
      </c>
      <c r="H1213" s="282"/>
      <c r="I1213" s="282"/>
      <c r="J1213" s="351" t="str">
        <f t="shared" si="1527"/>
        <v>-</v>
      </c>
      <c r="K1213" s="334">
        <f t="shared" si="1524"/>
        <v>0</v>
      </c>
      <c r="L1213" s="272">
        <f t="shared" ref="L1213:M1213" si="1533">+H1213+L1096</f>
        <v>0</v>
      </c>
      <c r="M1213" s="273">
        <f t="shared" si="1533"/>
        <v>0</v>
      </c>
      <c r="N1213" s="337">
        <f t="shared" si="1526"/>
        <v>0</v>
      </c>
      <c r="O1213" s="263" t="str">
        <f t="shared" si="1477"/>
        <v>-</v>
      </c>
    </row>
    <row r="1214" spans="1:15" ht="23.4" x14ac:dyDescent="0.3">
      <c r="A1214" s="274"/>
      <c r="B1214" s="1051"/>
      <c r="C1214" s="813" t="s">
        <v>433</v>
      </c>
      <c r="D1214" s="899" t="s">
        <v>540</v>
      </c>
      <c r="E1214" s="896"/>
      <c r="F1214" s="281"/>
      <c r="G1214" s="334">
        <f t="shared" si="1523"/>
        <v>104564</v>
      </c>
      <c r="H1214" s="282">
        <v>103428</v>
      </c>
      <c r="I1214" s="282">
        <v>1136</v>
      </c>
      <c r="J1214" s="351" t="str">
        <f t="shared" si="1527"/>
        <v>-</v>
      </c>
      <c r="K1214" s="334">
        <f t="shared" si="1524"/>
        <v>358419</v>
      </c>
      <c r="L1214" s="272">
        <f t="shared" ref="L1214:M1214" si="1534">+H1214+L1097</f>
        <v>354042</v>
      </c>
      <c r="M1214" s="272">
        <f t="shared" si="1534"/>
        <v>4377</v>
      </c>
      <c r="N1214" s="337" t="str">
        <f t="shared" si="1526"/>
        <v>-</v>
      </c>
      <c r="O1214" s="263">
        <f t="shared" si="1477"/>
        <v>1.2211964209486663E-2</v>
      </c>
    </row>
    <row r="1215" spans="1:15" ht="23.4" x14ac:dyDescent="0.3">
      <c r="A1215" s="274"/>
      <c r="B1215" s="1051"/>
      <c r="C1215" s="813" t="s">
        <v>382</v>
      </c>
      <c r="D1215" s="899" t="s">
        <v>366</v>
      </c>
      <c r="E1215" s="896"/>
      <c r="F1215" s="281"/>
      <c r="G1215" s="334">
        <f t="shared" si="1523"/>
        <v>0</v>
      </c>
      <c r="H1215" s="282"/>
      <c r="I1215" s="282"/>
      <c r="J1215" s="351" t="str">
        <f t="shared" si="1527"/>
        <v>-</v>
      </c>
      <c r="K1215" s="334">
        <f t="shared" si="1524"/>
        <v>0</v>
      </c>
      <c r="L1215" s="272">
        <f t="shared" ref="L1215:M1215" si="1535">+H1215+L1098</f>
        <v>0</v>
      </c>
      <c r="M1215" s="273">
        <f t="shared" si="1535"/>
        <v>0</v>
      </c>
      <c r="N1215" s="337" t="str">
        <f t="shared" si="1526"/>
        <v>-</v>
      </c>
      <c r="O1215" s="263" t="str">
        <f t="shared" si="1477"/>
        <v>-</v>
      </c>
    </row>
    <row r="1216" spans="1:15" ht="24" thickBot="1" x14ac:dyDescent="0.35">
      <c r="A1216" s="274" t="s">
        <v>101</v>
      </c>
      <c r="B1216" s="1051"/>
      <c r="C1216" s="894" t="s">
        <v>290</v>
      </c>
      <c r="D1216" s="901" t="s">
        <v>289</v>
      </c>
      <c r="E1216" s="896"/>
      <c r="F1216" s="281"/>
      <c r="G1216" s="334">
        <f t="shared" si="1523"/>
        <v>0</v>
      </c>
      <c r="H1216" s="282"/>
      <c r="I1216" s="282"/>
      <c r="J1216" s="351" t="str">
        <f t="shared" si="1527"/>
        <v>-</v>
      </c>
      <c r="K1216" s="334">
        <f t="shared" si="1524"/>
        <v>0</v>
      </c>
      <c r="L1216" s="272">
        <f t="shared" ref="L1216:M1216" si="1536">+H1216+L1099</f>
        <v>0</v>
      </c>
      <c r="M1216" s="273">
        <f t="shared" si="1536"/>
        <v>0</v>
      </c>
      <c r="N1216" s="337" t="str">
        <f t="shared" si="1526"/>
        <v>-</v>
      </c>
      <c r="O1216" s="347" t="str">
        <f t="shared" si="1477"/>
        <v>-</v>
      </c>
    </row>
    <row r="1217" spans="1:15" ht="24" thickBot="1" x14ac:dyDescent="0.35">
      <c r="A1217" s="274" t="s">
        <v>101</v>
      </c>
      <c r="B1217" s="1052"/>
      <c r="C1217" s="301"/>
      <c r="D1217" s="897" t="s">
        <v>52</v>
      </c>
      <c r="E1217" s="284">
        <f>SUM(E1207:E1216)</f>
        <v>1415664</v>
      </c>
      <c r="F1217" s="285">
        <v>160000</v>
      </c>
      <c r="G1217" s="320">
        <f>SUM(G1207:G1216)</f>
        <v>104564</v>
      </c>
      <c r="H1217" s="321">
        <f>SUM(H1207:H1216)</f>
        <v>103428</v>
      </c>
      <c r="I1217" s="321">
        <f>SUM(I1207:I1216)</f>
        <v>1136</v>
      </c>
      <c r="J1217" s="345">
        <f>+G1217/F1217</f>
        <v>0.65352500000000002</v>
      </c>
      <c r="K1217" s="320">
        <f>SUM(K1207:K1216)</f>
        <v>985361</v>
      </c>
      <c r="L1217" s="321">
        <f>SUM(L1207:L1216)</f>
        <v>970632</v>
      </c>
      <c r="M1217" s="322">
        <f>SUM(M1207:M1216)</f>
        <v>14729</v>
      </c>
      <c r="N1217" s="339">
        <f t="shared" si="1526"/>
        <v>0.69604157483696694</v>
      </c>
      <c r="O1217" s="345">
        <f t="shared" si="1477"/>
        <v>1.4947821153871525E-2</v>
      </c>
    </row>
    <row r="1218" spans="1:15" ht="23.4" x14ac:dyDescent="0.3">
      <c r="A1218" s="274" t="s">
        <v>101</v>
      </c>
      <c r="B1218" s="1053" t="s">
        <v>28</v>
      </c>
      <c r="C1218" s="299" t="s">
        <v>27</v>
      </c>
      <c r="D1218" s="297" t="s">
        <v>492</v>
      </c>
      <c r="E1218" s="270"/>
      <c r="F1218" s="271"/>
      <c r="G1218" s="332">
        <f t="shared" ref="G1218:G1222" si="1537">+H1218+I1218</f>
        <v>0</v>
      </c>
      <c r="H1218" s="272"/>
      <c r="I1218" s="272"/>
      <c r="J1218" s="351" t="str">
        <f>IFERROR(G1218/F1218,"-")</f>
        <v>-</v>
      </c>
      <c r="K1218" s="332">
        <f t="shared" ref="K1218:K1224" si="1538">+L1218+M1218</f>
        <v>170343</v>
      </c>
      <c r="L1218" s="272">
        <f t="shared" ref="L1218:M1218" si="1539">+H1218+L1101</f>
        <v>167076</v>
      </c>
      <c r="M1218" s="273">
        <f t="shared" si="1539"/>
        <v>3267</v>
      </c>
      <c r="N1218" s="336" t="str">
        <f t="shared" si="1526"/>
        <v>-</v>
      </c>
      <c r="O1218" s="346">
        <f t="shared" si="1477"/>
        <v>1.9178950705341577E-2</v>
      </c>
    </row>
    <row r="1219" spans="1:15" ht="23.4" x14ac:dyDescent="0.3">
      <c r="A1219" s="274" t="s">
        <v>101</v>
      </c>
      <c r="B1219" s="1051"/>
      <c r="C1219" s="299" t="s">
        <v>385</v>
      </c>
      <c r="D1219" s="299" t="s">
        <v>334</v>
      </c>
      <c r="E1219" s="276"/>
      <c r="F1219" s="277"/>
      <c r="G1219" s="333">
        <f t="shared" si="1537"/>
        <v>0</v>
      </c>
      <c r="H1219" s="278"/>
      <c r="I1219" s="278"/>
      <c r="J1219" s="351" t="str">
        <f t="shared" ref="J1219:J1224" si="1540">IFERROR(G1219/F1219,"-")</f>
        <v>-</v>
      </c>
      <c r="K1219" s="333">
        <f t="shared" si="1538"/>
        <v>96975</v>
      </c>
      <c r="L1219" s="272">
        <f t="shared" ref="L1219:M1219" si="1541">+H1219+L1102</f>
        <v>95472</v>
      </c>
      <c r="M1219" s="273">
        <f t="shared" si="1541"/>
        <v>1503</v>
      </c>
      <c r="N1219" s="337" t="str">
        <f t="shared" si="1526"/>
        <v>-</v>
      </c>
      <c r="O1219" s="263">
        <f t="shared" si="1477"/>
        <v>1.5498839907192575E-2</v>
      </c>
    </row>
    <row r="1220" spans="1:15" ht="23.4" x14ac:dyDescent="0.3">
      <c r="A1220" s="274" t="s">
        <v>101</v>
      </c>
      <c r="B1220" s="1051"/>
      <c r="C1220" s="299" t="s">
        <v>27</v>
      </c>
      <c r="D1220" s="299" t="s">
        <v>334</v>
      </c>
      <c r="E1220" s="276"/>
      <c r="F1220" s="277"/>
      <c r="G1220" s="333">
        <f t="shared" si="1537"/>
        <v>0</v>
      </c>
      <c r="H1220" s="278"/>
      <c r="I1220" s="278"/>
      <c r="J1220" s="351" t="str">
        <f t="shared" si="1540"/>
        <v>-</v>
      </c>
      <c r="K1220" s="333">
        <f t="shared" si="1538"/>
        <v>0</v>
      </c>
      <c r="L1220" s="272">
        <f t="shared" ref="L1220:M1220" si="1542">+H1220+L1103</f>
        <v>0</v>
      </c>
      <c r="M1220" s="273">
        <f t="shared" si="1542"/>
        <v>0</v>
      </c>
      <c r="N1220" s="337" t="str">
        <f t="shared" si="1526"/>
        <v>-</v>
      </c>
      <c r="O1220" s="263" t="str">
        <f t="shared" si="1477"/>
        <v>-</v>
      </c>
    </row>
    <row r="1221" spans="1:15" ht="23.4" x14ac:dyDescent="0.3">
      <c r="A1221" s="274"/>
      <c r="B1221" s="1051"/>
      <c r="C1221" s="299" t="s">
        <v>460</v>
      </c>
      <c r="D1221" s="299" t="s">
        <v>334</v>
      </c>
      <c r="E1221" s="280"/>
      <c r="F1221" s="281"/>
      <c r="G1221" s="333">
        <f t="shared" si="1537"/>
        <v>0</v>
      </c>
      <c r="H1221" s="282"/>
      <c r="I1221" s="282"/>
      <c r="J1221" s="351" t="str">
        <f t="shared" si="1540"/>
        <v>-</v>
      </c>
      <c r="K1221" s="333">
        <f t="shared" si="1538"/>
        <v>4348</v>
      </c>
      <c r="L1221" s="272">
        <f t="shared" ref="L1221:M1221" si="1543">+H1221+L1104</f>
        <v>3978</v>
      </c>
      <c r="M1221" s="273">
        <f t="shared" si="1543"/>
        <v>370</v>
      </c>
      <c r="N1221" s="337" t="str">
        <f t="shared" si="1526"/>
        <v>-</v>
      </c>
      <c r="O1221" s="263">
        <f t="shared" si="1477"/>
        <v>8.5096596136154556E-2</v>
      </c>
    </row>
    <row r="1222" spans="1:15" ht="23.4" x14ac:dyDescent="0.3">
      <c r="A1222" s="274" t="s">
        <v>101</v>
      </c>
      <c r="B1222" s="1051"/>
      <c r="C1222" s="299" t="s">
        <v>433</v>
      </c>
      <c r="D1222" s="299" t="s">
        <v>540</v>
      </c>
      <c r="E1222" s="280"/>
      <c r="F1222" s="281"/>
      <c r="G1222" s="334">
        <f t="shared" si="1537"/>
        <v>0</v>
      </c>
      <c r="H1222" s="282"/>
      <c r="I1222" s="282"/>
      <c r="J1222" s="351" t="str">
        <f t="shared" si="1540"/>
        <v>-</v>
      </c>
      <c r="K1222" s="334">
        <f t="shared" si="1538"/>
        <v>128335</v>
      </c>
      <c r="L1222" s="272">
        <f t="shared" ref="L1222:M1222" si="1544">+H1222+L1105</f>
        <v>127296</v>
      </c>
      <c r="M1222" s="702">
        <f t="shared" si="1544"/>
        <v>1039</v>
      </c>
      <c r="N1222" s="338" t="str">
        <f t="shared" si="1526"/>
        <v>-</v>
      </c>
      <c r="O1222" s="347">
        <f t="shared" si="1477"/>
        <v>8.0959987532629452E-3</v>
      </c>
    </row>
    <row r="1223" spans="1:15" ht="23.4" x14ac:dyDescent="0.3">
      <c r="A1223" s="274"/>
      <c r="B1223" s="1051"/>
      <c r="C1223" s="299" t="s">
        <v>458</v>
      </c>
      <c r="D1223" s="300" t="s">
        <v>280</v>
      </c>
      <c r="E1223" s="280">
        <v>200000</v>
      </c>
      <c r="F1223" s="281"/>
      <c r="G1223" s="334"/>
      <c r="H1223" s="282"/>
      <c r="I1223" s="282"/>
      <c r="J1223" s="351" t="str">
        <f t="shared" si="1540"/>
        <v>-</v>
      </c>
      <c r="K1223" s="334">
        <f t="shared" si="1538"/>
        <v>0</v>
      </c>
      <c r="L1223" s="272">
        <f t="shared" ref="L1223:M1223" si="1545">+H1223+L1106</f>
        <v>0</v>
      </c>
      <c r="M1223" s="272">
        <f t="shared" si="1545"/>
        <v>0</v>
      </c>
      <c r="N1223" s="338">
        <f t="shared" si="1526"/>
        <v>0</v>
      </c>
      <c r="O1223" s="347" t="str">
        <f t="shared" si="1477"/>
        <v>-</v>
      </c>
    </row>
    <row r="1224" spans="1:15" ht="24" thickBot="1" x14ac:dyDescent="0.35">
      <c r="A1224" s="274" t="s">
        <v>101</v>
      </c>
      <c r="B1224" s="1051"/>
      <c r="C1224" s="299" t="s">
        <v>27</v>
      </c>
      <c r="D1224" s="300" t="s">
        <v>234</v>
      </c>
      <c r="E1224" s="280">
        <v>250000</v>
      </c>
      <c r="F1224" s="281"/>
      <c r="G1224" s="334">
        <f t="shared" ref="G1224" si="1546">+H1224+I1224</f>
        <v>0</v>
      </c>
      <c r="H1224" s="282"/>
      <c r="I1224" s="282"/>
      <c r="J1224" s="351" t="str">
        <f t="shared" si="1540"/>
        <v>-</v>
      </c>
      <c r="K1224" s="334">
        <f t="shared" si="1538"/>
        <v>0</v>
      </c>
      <c r="L1224" s="272">
        <f t="shared" ref="L1224:M1224" si="1547">+H1224+L1107</f>
        <v>0</v>
      </c>
      <c r="M1224" s="702">
        <f t="shared" si="1547"/>
        <v>0</v>
      </c>
      <c r="N1224" s="338">
        <f t="shared" si="1526"/>
        <v>0</v>
      </c>
      <c r="O1224" s="347" t="str">
        <f t="shared" si="1477"/>
        <v>-</v>
      </c>
    </row>
    <row r="1225" spans="1:15" ht="24" thickBot="1" x14ac:dyDescent="0.35">
      <c r="A1225" s="274" t="s">
        <v>101</v>
      </c>
      <c r="B1225" s="1051"/>
      <c r="C1225" s="304"/>
      <c r="D1225" s="305" t="s">
        <v>52</v>
      </c>
      <c r="E1225" s="306">
        <f>SUM(E1218:E1224)</f>
        <v>450000</v>
      </c>
      <c r="F1225" s="307">
        <v>80000</v>
      </c>
      <c r="G1225" s="366">
        <f>SUM(G1218:G1224)</f>
        <v>0</v>
      </c>
      <c r="H1225" s="365">
        <f>SUM(H1218:H1224)</f>
        <v>0</v>
      </c>
      <c r="I1225" s="365">
        <f>SUM(I1218:I1224)</f>
        <v>0</v>
      </c>
      <c r="J1225" s="356">
        <f>+G1225/F1225</f>
        <v>0</v>
      </c>
      <c r="K1225" s="366">
        <f>SUM(K1218:K1224)</f>
        <v>400001</v>
      </c>
      <c r="L1225" s="365">
        <f>SUM(L1218:L1224)</f>
        <v>393822</v>
      </c>
      <c r="M1225" s="367">
        <f>SUM(M1218:M1224)</f>
        <v>6179</v>
      </c>
      <c r="N1225" s="355">
        <f t="shared" si="1526"/>
        <v>0.88889111111111108</v>
      </c>
      <c r="O1225" s="356">
        <f t="shared" si="1477"/>
        <v>1.5447461381346547E-2</v>
      </c>
    </row>
    <row r="1226" spans="1:15" ht="24" thickBot="1" x14ac:dyDescent="0.35">
      <c r="A1226" s="909" t="s">
        <v>101</v>
      </c>
      <c r="B1226" s="1054" t="s">
        <v>162</v>
      </c>
      <c r="C1226" s="1055"/>
      <c r="D1226" s="1056"/>
      <c r="E1226" s="308">
        <f>+E1225+E1217</f>
        <v>1865664</v>
      </c>
      <c r="F1226" s="309">
        <f>+F1225+F1217</f>
        <v>240000</v>
      </c>
      <c r="G1226" s="369">
        <f>+G1217+G1225</f>
        <v>104564</v>
      </c>
      <c r="H1226" s="368">
        <f>+H1217+H1225</f>
        <v>103428</v>
      </c>
      <c r="I1226" s="368">
        <f>+I1217+I1225</f>
        <v>1136</v>
      </c>
      <c r="J1226" s="358">
        <f>+G1226/F1226</f>
        <v>0.43568333333333331</v>
      </c>
      <c r="K1226" s="369">
        <f>+K1217+K1225</f>
        <v>1385362</v>
      </c>
      <c r="L1226" s="368">
        <f>+L1217+L1225</f>
        <v>1364454</v>
      </c>
      <c r="M1226" s="370">
        <f>+M1217+M1225</f>
        <v>20908</v>
      </c>
      <c r="N1226" s="357">
        <f>IFERROR(K1226/E1226,"-")</f>
        <v>0.74255707351377309</v>
      </c>
      <c r="O1226" s="358">
        <f t="shared" si="1477"/>
        <v>1.5092084235023048E-2</v>
      </c>
    </row>
    <row r="1227" spans="1:15" ht="23.4" x14ac:dyDescent="0.3">
      <c r="A1227" s="274" t="s">
        <v>101</v>
      </c>
      <c r="B1227" s="1051" t="s">
        <v>30</v>
      </c>
      <c r="C1227" s="303" t="s">
        <v>446</v>
      </c>
      <c r="D1227" s="299" t="s">
        <v>522</v>
      </c>
      <c r="E1227" s="270">
        <v>225000</v>
      </c>
      <c r="F1227" s="271"/>
      <c r="G1227" s="332">
        <f t="shared" ref="G1227:G1229" si="1548">+H1227+I1227</f>
        <v>0</v>
      </c>
      <c r="H1227" s="272"/>
      <c r="I1227" s="272"/>
      <c r="J1227" s="351" t="str">
        <f>IFERROR(G1227/F1227,"-")</f>
        <v>-</v>
      </c>
      <c r="K1227" s="332">
        <f t="shared" ref="K1227:K1229" si="1549">+L1227+M1227</f>
        <v>0</v>
      </c>
      <c r="L1227" s="272">
        <f t="shared" ref="L1227:M1227" si="1550">+H1227+L1110</f>
        <v>0</v>
      </c>
      <c r="M1227" s="273">
        <f t="shared" si="1550"/>
        <v>0</v>
      </c>
      <c r="N1227" s="336">
        <f t="shared" ref="N1227:N1240" si="1551">IFERROR(K1227/E1227,"-")</f>
        <v>0</v>
      </c>
      <c r="O1227" s="346" t="str">
        <f t="shared" si="1477"/>
        <v>-</v>
      </c>
    </row>
    <row r="1228" spans="1:15" ht="23.4" x14ac:dyDescent="0.3">
      <c r="A1228" s="274" t="s">
        <v>101</v>
      </c>
      <c r="B1228" s="1051"/>
      <c r="C1228" s="300" t="s">
        <v>548</v>
      </c>
      <c r="D1228" s="303" t="s">
        <v>522</v>
      </c>
      <c r="E1228" s="276">
        <v>125000</v>
      </c>
      <c r="F1228" s="277"/>
      <c r="G1228" s="333">
        <f t="shared" si="1548"/>
        <v>0</v>
      </c>
      <c r="H1228" s="278"/>
      <c r="I1228" s="278"/>
      <c r="J1228" s="351" t="str">
        <f t="shared" ref="J1228:J1229" si="1552">IFERROR(G1228/F1228,"-")</f>
        <v>-</v>
      </c>
      <c r="K1228" s="333">
        <f t="shared" si="1549"/>
        <v>0</v>
      </c>
      <c r="L1228" s="272">
        <f t="shared" ref="L1228:M1228" si="1553">+H1228+L1111</f>
        <v>0</v>
      </c>
      <c r="M1228" s="273">
        <f t="shared" si="1553"/>
        <v>0</v>
      </c>
      <c r="N1228" s="337">
        <f t="shared" si="1551"/>
        <v>0</v>
      </c>
      <c r="O1228" s="263" t="str">
        <f t="shared" si="1477"/>
        <v>-</v>
      </c>
    </row>
    <row r="1229" spans="1:15" ht="24" thickBot="1" x14ac:dyDescent="0.35">
      <c r="A1229" s="274" t="s">
        <v>101</v>
      </c>
      <c r="B1229" s="1051"/>
      <c r="C1229" s="300" t="s">
        <v>291</v>
      </c>
      <c r="D1229" s="300" t="s">
        <v>366</v>
      </c>
      <c r="E1229" s="280"/>
      <c r="F1229" s="281"/>
      <c r="G1229" s="334">
        <f t="shared" si="1548"/>
        <v>51611</v>
      </c>
      <c r="H1229" s="282">
        <v>50544</v>
      </c>
      <c r="I1229" s="282">
        <v>1067</v>
      </c>
      <c r="J1229" s="351" t="str">
        <f t="shared" si="1552"/>
        <v>-</v>
      </c>
      <c r="K1229" s="334">
        <f t="shared" si="1549"/>
        <v>51611</v>
      </c>
      <c r="L1229" s="272">
        <f t="shared" ref="L1229:M1229" si="1554">+H1229+L1112</f>
        <v>50544</v>
      </c>
      <c r="M1229" s="273">
        <f t="shared" si="1554"/>
        <v>1067</v>
      </c>
      <c r="N1229" s="338" t="str">
        <f t="shared" si="1551"/>
        <v>-</v>
      </c>
      <c r="O1229" s="347">
        <f t="shared" si="1477"/>
        <v>2.0673887349596017E-2</v>
      </c>
    </row>
    <row r="1230" spans="1:15" ht="24" thickBot="1" x14ac:dyDescent="0.35">
      <c r="A1230" s="274" t="s">
        <v>101</v>
      </c>
      <c r="B1230" s="1051"/>
      <c r="C1230" s="301"/>
      <c r="D1230" s="302" t="s">
        <v>50</v>
      </c>
      <c r="E1230" s="284">
        <f>SUM(E1227:E1229)</f>
        <v>350000</v>
      </c>
      <c r="F1230" s="285">
        <v>50000</v>
      </c>
      <c r="G1230" s="320">
        <f>SUM(G1227:G1229)</f>
        <v>51611</v>
      </c>
      <c r="H1230" s="321">
        <f>SUM(H1227:H1229)</f>
        <v>50544</v>
      </c>
      <c r="I1230" s="321">
        <f>SUM(I1227:I1229)</f>
        <v>1067</v>
      </c>
      <c r="J1230" s="345">
        <f>+G1230/F1230</f>
        <v>1.0322199999999999</v>
      </c>
      <c r="K1230" s="320">
        <f>SUM(K1227:K1229)</f>
        <v>51611</v>
      </c>
      <c r="L1230" s="321">
        <f>SUM(L1227:L1229)</f>
        <v>50544</v>
      </c>
      <c r="M1230" s="322">
        <f>SUM(M1227:M1229)</f>
        <v>1067</v>
      </c>
      <c r="N1230" s="339">
        <f t="shared" si="1551"/>
        <v>0.14746000000000001</v>
      </c>
      <c r="O1230" s="345">
        <f t="shared" si="1477"/>
        <v>2.0673887349596017E-2</v>
      </c>
    </row>
    <row r="1231" spans="1:15" ht="23.4" x14ac:dyDescent="0.3">
      <c r="A1231" s="274" t="s">
        <v>101</v>
      </c>
      <c r="B1231" s="1051"/>
      <c r="C1231" s="297" t="s">
        <v>434</v>
      </c>
      <c r="D1231" s="297" t="s">
        <v>92</v>
      </c>
      <c r="E1231" s="270"/>
      <c r="F1231" s="271"/>
      <c r="G1231" s="332">
        <f t="shared" ref="G1231:G1232" si="1555">+H1231+I1231</f>
        <v>0</v>
      </c>
      <c r="H1231" s="272"/>
      <c r="I1231" s="272"/>
      <c r="J1231" s="351" t="str">
        <f>IFERROR(G1231/F1231,"-")</f>
        <v>-</v>
      </c>
      <c r="K1231" s="332">
        <f t="shared" ref="K1231:K1236" si="1556">+L1231+M1231</f>
        <v>0</v>
      </c>
      <c r="L1231" s="272">
        <f t="shared" ref="L1231:M1231" si="1557">+H1231+L1114</f>
        <v>0</v>
      </c>
      <c r="M1231" s="273">
        <f t="shared" si="1557"/>
        <v>0</v>
      </c>
      <c r="N1231" s="336" t="str">
        <f t="shared" si="1551"/>
        <v>-</v>
      </c>
      <c r="O1231" s="346" t="str">
        <f t="shared" si="1477"/>
        <v>-</v>
      </c>
    </row>
    <row r="1232" spans="1:15" ht="23.4" x14ac:dyDescent="0.3">
      <c r="A1232" s="274"/>
      <c r="B1232" s="1051"/>
      <c r="C1232" s="303" t="s">
        <v>449</v>
      </c>
      <c r="D1232" s="299" t="s">
        <v>334</v>
      </c>
      <c r="E1232" s="270"/>
      <c r="F1232" s="271"/>
      <c r="G1232" s="332">
        <f t="shared" si="1555"/>
        <v>0</v>
      </c>
      <c r="H1232" s="272"/>
      <c r="I1232" s="272"/>
      <c r="J1232" s="351" t="str">
        <f t="shared" ref="J1232:J1236" si="1558">IFERROR(G1232/F1232,"-")</f>
        <v>-</v>
      </c>
      <c r="K1232" s="332">
        <f t="shared" si="1556"/>
        <v>0</v>
      </c>
      <c r="L1232" s="272">
        <f t="shared" ref="L1232:M1232" si="1559">+H1232+L1115</f>
        <v>0</v>
      </c>
      <c r="M1232" s="273">
        <f t="shared" si="1559"/>
        <v>0</v>
      </c>
      <c r="N1232" s="337" t="str">
        <f t="shared" si="1551"/>
        <v>-</v>
      </c>
      <c r="O1232" s="346" t="str">
        <f t="shared" si="1477"/>
        <v>-</v>
      </c>
    </row>
    <row r="1233" spans="1:15" ht="23.4" x14ac:dyDescent="0.3">
      <c r="A1233" s="274"/>
      <c r="B1233" s="1051"/>
      <c r="C1233" s="303" t="s">
        <v>452</v>
      </c>
      <c r="D1233" s="299" t="s">
        <v>334</v>
      </c>
      <c r="E1233" s="270"/>
      <c r="F1233" s="271"/>
      <c r="G1233" s="332"/>
      <c r="H1233" s="272"/>
      <c r="I1233" s="272"/>
      <c r="J1233" s="351" t="str">
        <f t="shared" si="1558"/>
        <v>-</v>
      </c>
      <c r="K1233" s="332">
        <f t="shared" si="1556"/>
        <v>0</v>
      </c>
      <c r="L1233" s="272">
        <f t="shared" ref="L1233:M1233" si="1560">+H1233+L1116</f>
        <v>0</v>
      </c>
      <c r="M1233" s="273">
        <f t="shared" si="1560"/>
        <v>0</v>
      </c>
      <c r="N1233" s="337" t="str">
        <f t="shared" si="1551"/>
        <v>-</v>
      </c>
      <c r="O1233" s="346" t="str">
        <f t="shared" si="1477"/>
        <v>-</v>
      </c>
    </row>
    <row r="1234" spans="1:15" ht="23.4" x14ac:dyDescent="0.3">
      <c r="A1234" s="274" t="s">
        <v>101</v>
      </c>
      <c r="B1234" s="1051"/>
      <c r="C1234" s="303" t="s">
        <v>501</v>
      </c>
      <c r="D1234" s="300" t="s">
        <v>423</v>
      </c>
      <c r="E1234" s="276"/>
      <c r="F1234" s="277"/>
      <c r="G1234" s="333">
        <f t="shared" ref="G1234" si="1561">+H1234+I1234</f>
        <v>0</v>
      </c>
      <c r="H1234" s="278"/>
      <c r="I1234" s="278"/>
      <c r="J1234" s="351" t="str">
        <f t="shared" si="1558"/>
        <v>-</v>
      </c>
      <c r="K1234" s="333">
        <f t="shared" si="1556"/>
        <v>8116</v>
      </c>
      <c r="L1234" s="272">
        <f t="shared" ref="L1234:M1234" si="1562">+H1234+L1117</f>
        <v>7488</v>
      </c>
      <c r="M1234" s="273">
        <f t="shared" si="1562"/>
        <v>628</v>
      </c>
      <c r="N1234" s="337" t="str">
        <f t="shared" si="1551"/>
        <v>-</v>
      </c>
      <c r="O1234" s="263">
        <f t="shared" si="1477"/>
        <v>7.737801872843765E-2</v>
      </c>
    </row>
    <row r="1235" spans="1:15" ht="23.4" x14ac:dyDescent="0.3">
      <c r="A1235" s="274"/>
      <c r="B1235" s="1051"/>
      <c r="C1235" s="300" t="s">
        <v>459</v>
      </c>
      <c r="D1235" s="300" t="s">
        <v>366</v>
      </c>
      <c r="E1235" s="280"/>
      <c r="F1235" s="281"/>
      <c r="G1235" s="334"/>
      <c r="H1235" s="282"/>
      <c r="I1235" s="282"/>
      <c r="J1235" s="351" t="str">
        <f t="shared" si="1558"/>
        <v>-</v>
      </c>
      <c r="K1235" s="333">
        <f t="shared" si="1556"/>
        <v>0</v>
      </c>
      <c r="L1235" s="272">
        <f t="shared" ref="L1235:M1235" si="1563">+H1235+L1118</f>
        <v>0</v>
      </c>
      <c r="M1235" s="272">
        <f t="shared" si="1563"/>
        <v>0</v>
      </c>
      <c r="N1235" s="337" t="str">
        <f t="shared" si="1551"/>
        <v>-</v>
      </c>
      <c r="O1235" s="263" t="str">
        <f t="shared" si="1477"/>
        <v>-</v>
      </c>
    </row>
    <row r="1236" spans="1:15" ht="24" thickBot="1" x14ac:dyDescent="0.35">
      <c r="A1236" s="274" t="s">
        <v>101</v>
      </c>
      <c r="B1236" s="1051"/>
      <c r="C1236" s="300" t="s">
        <v>435</v>
      </c>
      <c r="D1236" s="300" t="s">
        <v>423</v>
      </c>
      <c r="E1236" s="280"/>
      <c r="F1236" s="281"/>
      <c r="G1236" s="334">
        <f t="shared" ref="G1236" si="1564">+H1236+I1236</f>
        <v>0</v>
      </c>
      <c r="H1236" s="282"/>
      <c r="I1236" s="282"/>
      <c r="J1236" s="351" t="str">
        <f t="shared" si="1558"/>
        <v>-</v>
      </c>
      <c r="K1236" s="334">
        <f t="shared" si="1556"/>
        <v>0</v>
      </c>
      <c r="L1236" s="272">
        <f t="shared" ref="L1236:M1236" si="1565">+H1236+L1119</f>
        <v>0</v>
      </c>
      <c r="M1236" s="273">
        <f t="shared" si="1565"/>
        <v>0</v>
      </c>
      <c r="N1236" s="338" t="str">
        <f t="shared" si="1551"/>
        <v>-</v>
      </c>
      <c r="O1236" s="347" t="str">
        <f t="shared" si="1477"/>
        <v>-</v>
      </c>
    </row>
    <row r="1237" spans="1:15" ht="24" thickBot="1" x14ac:dyDescent="0.35">
      <c r="A1237" s="274" t="s">
        <v>101</v>
      </c>
      <c r="B1237" s="1051"/>
      <c r="C1237" s="304"/>
      <c r="D1237" s="305" t="s">
        <v>51</v>
      </c>
      <c r="E1237" s="306">
        <f>SUM(E1231:E1236)</f>
        <v>0</v>
      </c>
      <c r="F1237" s="307">
        <v>50000</v>
      </c>
      <c r="G1237" s="366">
        <f>SUM(G1231:G1236)</f>
        <v>0</v>
      </c>
      <c r="H1237" s="365">
        <f t="shared" ref="H1237:I1237" si="1566">SUM(H1231:H1236)</f>
        <v>0</v>
      </c>
      <c r="I1237" s="365">
        <f t="shared" si="1566"/>
        <v>0</v>
      </c>
      <c r="J1237" s="356">
        <f>+G1237/F1237</f>
        <v>0</v>
      </c>
      <c r="K1237" s="366">
        <f t="shared" ref="K1237:M1237" si="1567">SUM(K1231:K1236)</f>
        <v>8116</v>
      </c>
      <c r="L1237" s="365">
        <f t="shared" si="1567"/>
        <v>7488</v>
      </c>
      <c r="M1237" s="367">
        <f t="shared" si="1567"/>
        <v>628</v>
      </c>
      <c r="N1237" s="355" t="str">
        <f t="shared" si="1551"/>
        <v>-</v>
      </c>
      <c r="O1237" s="356">
        <f t="shared" si="1477"/>
        <v>7.737801872843765E-2</v>
      </c>
    </row>
    <row r="1238" spans="1:15" ht="24" thickBot="1" x14ac:dyDescent="0.35">
      <c r="A1238" s="274" t="s">
        <v>101</v>
      </c>
      <c r="B1238" s="1054" t="s">
        <v>163</v>
      </c>
      <c r="C1238" s="1055"/>
      <c r="D1238" s="1056"/>
      <c r="E1238" s="308">
        <f>+E1237+E1230</f>
        <v>350000</v>
      </c>
      <c r="F1238" s="309">
        <v>50000</v>
      </c>
      <c r="G1238" s="369">
        <f>+G1230+G1237</f>
        <v>51611</v>
      </c>
      <c r="H1238" s="368">
        <f t="shared" ref="H1238:I1238" si="1568">+H1230+H1237</f>
        <v>50544</v>
      </c>
      <c r="I1238" s="368">
        <f t="shared" si="1568"/>
        <v>1067</v>
      </c>
      <c r="J1238" s="358">
        <f>+G1238/F1238</f>
        <v>1.0322199999999999</v>
      </c>
      <c r="K1238" s="369">
        <f t="shared" ref="K1238:M1238" si="1569">+K1230+K1237</f>
        <v>59727</v>
      </c>
      <c r="L1238" s="368">
        <f t="shared" si="1569"/>
        <v>58032</v>
      </c>
      <c r="M1238" s="370">
        <f t="shared" si="1569"/>
        <v>1695</v>
      </c>
      <c r="N1238" s="357">
        <f t="shared" si="1551"/>
        <v>0.17064857142857143</v>
      </c>
      <c r="O1238" s="358">
        <f t="shared" si="1477"/>
        <v>2.8379125018835702E-2</v>
      </c>
    </row>
    <row r="1239" spans="1:15" ht="24" thickBot="1" x14ac:dyDescent="0.35">
      <c r="A1239" s="274" t="s">
        <v>101</v>
      </c>
      <c r="B1239" s="598" t="s">
        <v>32</v>
      </c>
      <c r="C1239" s="905"/>
      <c r="D1239" s="310" t="s">
        <v>32</v>
      </c>
      <c r="E1239" s="287">
        <v>0</v>
      </c>
      <c r="F1239" s="288">
        <v>110000</v>
      </c>
      <c r="G1239" s="335">
        <f t="shared" ref="G1239" si="1570">+H1239+I1239</f>
        <v>0</v>
      </c>
      <c r="H1239" s="289"/>
      <c r="I1239" s="289"/>
      <c r="J1239" s="354">
        <f>IFERROR(G1239/F1239,"-")</f>
        <v>0</v>
      </c>
      <c r="K1239" s="335">
        <f>+L1239+M1239</f>
        <v>0</v>
      </c>
      <c r="L1239" s="289">
        <f>+H1239+L1122</f>
        <v>0</v>
      </c>
      <c r="M1239" s="290">
        <f>+I1239+M1122</f>
        <v>0</v>
      </c>
      <c r="N1239" s="340" t="str">
        <f t="shared" si="1551"/>
        <v>-</v>
      </c>
      <c r="O1239" s="348" t="str">
        <f t="shared" si="1477"/>
        <v>-</v>
      </c>
    </row>
    <row r="1240" spans="1:15" ht="24" thickBot="1" x14ac:dyDescent="0.35">
      <c r="A1240" s="274" t="s">
        <v>101</v>
      </c>
      <c r="B1240" s="1047" t="s">
        <v>21</v>
      </c>
      <c r="C1240" s="1048"/>
      <c r="D1240" s="1049"/>
      <c r="E1240" s="326">
        <f>+E1226+E1238+E1239</f>
        <v>2215664</v>
      </c>
      <c r="F1240" s="327">
        <f>+F1226+F1238+F1239</f>
        <v>400000</v>
      </c>
      <c r="G1240" s="326">
        <f>+G1226+G1238+G1239</f>
        <v>156175</v>
      </c>
      <c r="H1240" s="324">
        <f>+H1226+H1238+H1239</f>
        <v>153972</v>
      </c>
      <c r="I1240" s="324">
        <f>+I1226+I1238+I1239</f>
        <v>2203</v>
      </c>
      <c r="J1240" s="349">
        <f>+G1240/F1240</f>
        <v>0.39043749999999999</v>
      </c>
      <c r="K1240" s="326">
        <f>+K1226+K1238+K1239</f>
        <v>1445089</v>
      </c>
      <c r="L1240" s="324">
        <f>+L1226+L1238+L1239</f>
        <v>1422486</v>
      </c>
      <c r="M1240" s="325">
        <f>+M1226+M1238+M1239</f>
        <v>22603</v>
      </c>
      <c r="N1240" s="341">
        <f t="shared" si="1551"/>
        <v>0.65221486651405625</v>
      </c>
      <c r="O1240" s="349">
        <f t="shared" si="1477"/>
        <v>1.5641251161693154E-2</v>
      </c>
    </row>
    <row r="1241" spans="1:15" ht="24" thickBot="1" x14ac:dyDescent="0.35">
      <c r="A1241" s="274" t="s">
        <v>101</v>
      </c>
      <c r="B1241" s="1019" t="s">
        <v>171</v>
      </c>
      <c r="C1241" s="1020"/>
      <c r="D1241" s="1021"/>
      <c r="E1241" s="330">
        <f>+E1240</f>
        <v>2215664</v>
      </c>
      <c r="F1241" s="331">
        <f t="shared" ref="F1241:I1241" si="1571">+F1240</f>
        <v>400000</v>
      </c>
      <c r="G1241" s="330">
        <f t="shared" si="1571"/>
        <v>156175</v>
      </c>
      <c r="H1241" s="328">
        <f t="shared" si="1571"/>
        <v>153972</v>
      </c>
      <c r="I1241" s="328">
        <f t="shared" si="1571"/>
        <v>2203</v>
      </c>
      <c r="J1241" s="872">
        <f>+G1241/F1241</f>
        <v>0.39043749999999999</v>
      </c>
      <c r="K1241" s="330">
        <f>+K1240</f>
        <v>1445089</v>
      </c>
      <c r="L1241" s="328">
        <f t="shared" ref="L1241" si="1572">+L1240</f>
        <v>1422486</v>
      </c>
      <c r="M1241" s="329">
        <f>+M1240</f>
        <v>22603</v>
      </c>
      <c r="N1241" s="342">
        <f t="shared" ref="N1241:O1241" si="1573">+N1240</f>
        <v>0.65221486651405625</v>
      </c>
      <c r="O1241" s="350">
        <f t="shared" si="1573"/>
        <v>1.5641251161693154E-2</v>
      </c>
    </row>
    <row r="1242" spans="1:15" ht="23.4" x14ac:dyDescent="0.3">
      <c r="A1242" s="268" t="s">
        <v>102</v>
      </c>
      <c r="B1242" s="1022" t="s">
        <v>401</v>
      </c>
      <c r="C1242" s="311" t="s">
        <v>113</v>
      </c>
      <c r="D1242" s="311"/>
      <c r="E1242" s="270"/>
      <c r="F1242" s="271"/>
      <c r="G1242" s="332">
        <f t="shared" ref="G1242:G1244" si="1574">+H1242+I1242</f>
        <v>0</v>
      </c>
      <c r="H1242" s="272"/>
      <c r="I1242" s="272"/>
      <c r="J1242" s="351" t="str">
        <f>IFERROR(G1242/F1242,"-")</f>
        <v>-</v>
      </c>
      <c r="K1242" s="332">
        <f t="shared" ref="K1242:K1244" si="1575">+L1242+M1242</f>
        <v>0</v>
      </c>
      <c r="L1242" s="272">
        <f t="shared" ref="L1242:M1242" si="1576">+H1242+L1125</f>
        <v>0</v>
      </c>
      <c r="M1242" s="273">
        <f t="shared" si="1576"/>
        <v>0</v>
      </c>
      <c r="N1242" s="336" t="str">
        <f t="shared" ref="N1242:N1249" si="1577">IFERROR(K1242/E1242,"-")</f>
        <v>-</v>
      </c>
      <c r="O1242" s="346" t="str">
        <f t="shared" ref="O1242:O1267" si="1578">IFERROR(M1242/K1242,"-")</f>
        <v>-</v>
      </c>
    </row>
    <row r="1243" spans="1:15" ht="23.4" x14ac:dyDescent="0.3">
      <c r="A1243" s="274" t="s">
        <v>102</v>
      </c>
      <c r="B1243" s="1023"/>
      <c r="C1243" s="312" t="s">
        <v>247</v>
      </c>
      <c r="D1243" s="312"/>
      <c r="E1243" s="276">
        <v>2000</v>
      </c>
      <c r="F1243" s="277"/>
      <c r="G1243" s="333">
        <f t="shared" si="1574"/>
        <v>0</v>
      </c>
      <c r="H1243" s="278"/>
      <c r="I1243" s="278"/>
      <c r="J1243" s="351" t="str">
        <f t="shared" ref="J1243:J1244" si="1579">IFERROR(G1243/F1243,"-")</f>
        <v>-</v>
      </c>
      <c r="K1243" s="333">
        <f t="shared" si="1575"/>
        <v>9638</v>
      </c>
      <c r="L1243" s="272">
        <f t="shared" ref="L1243:M1243" si="1580">+H1243+L1126</f>
        <v>9149</v>
      </c>
      <c r="M1243" s="273">
        <f t="shared" si="1580"/>
        <v>489</v>
      </c>
      <c r="N1243" s="337">
        <f t="shared" si="1577"/>
        <v>4.819</v>
      </c>
      <c r="O1243" s="263">
        <f t="shared" si="1578"/>
        <v>5.0736667358373108E-2</v>
      </c>
    </row>
    <row r="1244" spans="1:15" ht="24" thickBot="1" x14ac:dyDescent="0.35">
      <c r="A1244" s="274" t="s">
        <v>102</v>
      </c>
      <c r="B1244" s="1024"/>
      <c r="C1244" s="313" t="s">
        <v>33</v>
      </c>
      <c r="D1244" s="313"/>
      <c r="E1244" s="280"/>
      <c r="F1244" s="281"/>
      <c r="G1244" s="334">
        <f t="shared" si="1574"/>
        <v>0</v>
      </c>
      <c r="H1244" s="282"/>
      <c r="I1244" s="282"/>
      <c r="J1244" s="351" t="str">
        <f t="shared" si="1579"/>
        <v>-</v>
      </c>
      <c r="K1244" s="334">
        <f t="shared" si="1575"/>
        <v>0</v>
      </c>
      <c r="L1244" s="272">
        <f t="shared" ref="L1244:M1244" si="1581">+H1244+L1127</f>
        <v>0</v>
      </c>
      <c r="M1244" s="273">
        <f t="shared" si="1581"/>
        <v>0</v>
      </c>
      <c r="N1244" s="338" t="str">
        <f t="shared" si="1577"/>
        <v>-</v>
      </c>
      <c r="O1244" s="347" t="str">
        <f t="shared" si="1578"/>
        <v>-</v>
      </c>
    </row>
    <row r="1245" spans="1:15" ht="24" thickBot="1" x14ac:dyDescent="0.35">
      <c r="A1245" s="274" t="s">
        <v>102</v>
      </c>
      <c r="B1245" s="1025" t="s">
        <v>34</v>
      </c>
      <c r="C1245" s="1026"/>
      <c r="D1245" s="1027"/>
      <c r="E1245" s="284">
        <f>SUM(E1242:E1244)</f>
        <v>2000</v>
      </c>
      <c r="F1245" s="285">
        <v>6500</v>
      </c>
      <c r="G1245" s="320">
        <f>SUM(G1242:G1244)</f>
        <v>0</v>
      </c>
      <c r="H1245" s="321">
        <f t="shared" ref="H1245:I1245" si="1582">SUM(H1242:H1244)</f>
        <v>0</v>
      </c>
      <c r="I1245" s="321">
        <f t="shared" si="1582"/>
        <v>0</v>
      </c>
      <c r="J1245" s="345">
        <f>IFERROR(G1245/F1245,"-")</f>
        <v>0</v>
      </c>
      <c r="K1245" s="320">
        <f t="shared" ref="K1245:M1245" si="1583">SUM(K1242:K1244)</f>
        <v>9638</v>
      </c>
      <c r="L1245" s="321">
        <f t="shared" si="1583"/>
        <v>9149</v>
      </c>
      <c r="M1245" s="322">
        <f t="shared" si="1583"/>
        <v>489</v>
      </c>
      <c r="N1245" s="339">
        <f t="shared" si="1577"/>
        <v>4.819</v>
      </c>
      <c r="O1245" s="345">
        <f t="shared" si="1578"/>
        <v>5.0736667358373108E-2</v>
      </c>
    </row>
    <row r="1246" spans="1:15" ht="23.4" x14ac:dyDescent="0.3">
      <c r="A1246" s="274" t="s">
        <v>102</v>
      </c>
      <c r="B1246" s="1022" t="s">
        <v>35</v>
      </c>
      <c r="C1246" s="311" t="s">
        <v>113</v>
      </c>
      <c r="D1246" s="311"/>
      <c r="E1246" s="270">
        <v>116160</v>
      </c>
      <c r="F1246" s="271"/>
      <c r="G1246" s="332">
        <f t="shared" ref="G1246:G1249" si="1584">+H1246+I1246</f>
        <v>0</v>
      </c>
      <c r="H1246" s="272"/>
      <c r="I1246" s="272"/>
      <c r="J1246" s="351" t="str">
        <f>IFERROR(G1246/F1246,"-")</f>
        <v>-</v>
      </c>
      <c r="K1246" s="332">
        <f t="shared" ref="K1246:K1249" si="1585">+L1246+M1246</f>
        <v>0</v>
      </c>
      <c r="L1246" s="272">
        <f t="shared" ref="L1246:M1246" si="1586">+H1246+L1129</f>
        <v>0</v>
      </c>
      <c r="M1246" s="273">
        <f t="shared" si="1586"/>
        <v>0</v>
      </c>
      <c r="N1246" s="336">
        <f t="shared" si="1577"/>
        <v>0</v>
      </c>
      <c r="O1246" s="346" t="str">
        <f t="shared" si="1578"/>
        <v>-</v>
      </c>
    </row>
    <row r="1247" spans="1:15" ht="23.4" x14ac:dyDescent="0.3">
      <c r="A1247" s="274" t="s">
        <v>102</v>
      </c>
      <c r="B1247" s="1023"/>
      <c r="C1247" s="312" t="s">
        <v>247</v>
      </c>
      <c r="D1247" s="312"/>
      <c r="E1247" s="276"/>
      <c r="F1247" s="277"/>
      <c r="G1247" s="333">
        <f t="shared" si="1584"/>
        <v>0</v>
      </c>
      <c r="H1247" s="278"/>
      <c r="I1247" s="278"/>
      <c r="J1247" s="351" t="str">
        <f t="shared" ref="J1247:J1249" si="1587">IFERROR(G1247/F1247,"-")</f>
        <v>-</v>
      </c>
      <c r="K1247" s="333">
        <f t="shared" si="1585"/>
        <v>0</v>
      </c>
      <c r="L1247" s="272">
        <f t="shared" ref="L1247:M1247" si="1588">+H1247+L1130</f>
        <v>0</v>
      </c>
      <c r="M1247" s="273">
        <f t="shared" si="1588"/>
        <v>0</v>
      </c>
      <c r="N1247" s="337" t="str">
        <f t="shared" si="1577"/>
        <v>-</v>
      </c>
      <c r="O1247" s="263" t="str">
        <f t="shared" si="1578"/>
        <v>-</v>
      </c>
    </row>
    <row r="1248" spans="1:15" ht="23.4" x14ac:dyDescent="0.3">
      <c r="A1248" s="274" t="s">
        <v>102</v>
      </c>
      <c r="B1248" s="1023"/>
      <c r="C1248" s="312" t="s">
        <v>496</v>
      </c>
      <c r="D1248" s="312"/>
      <c r="E1248" s="276">
        <v>20000</v>
      </c>
      <c r="F1248" s="277"/>
      <c r="G1248" s="333">
        <f t="shared" si="1584"/>
        <v>0</v>
      </c>
      <c r="H1248" s="278"/>
      <c r="I1248" s="278"/>
      <c r="J1248" s="351" t="str">
        <f t="shared" si="1587"/>
        <v>-</v>
      </c>
      <c r="K1248" s="333">
        <f t="shared" si="1585"/>
        <v>0</v>
      </c>
      <c r="L1248" s="272">
        <f t="shared" ref="L1248:M1248" si="1589">+H1248+L1131</f>
        <v>0</v>
      </c>
      <c r="M1248" s="273">
        <f t="shared" si="1589"/>
        <v>0</v>
      </c>
      <c r="N1248" s="337">
        <f t="shared" si="1577"/>
        <v>0</v>
      </c>
      <c r="O1248" s="263" t="str">
        <f t="shared" si="1578"/>
        <v>-</v>
      </c>
    </row>
    <row r="1249" spans="1:15" ht="24" thickBot="1" x14ac:dyDescent="0.35">
      <c r="A1249" s="274" t="s">
        <v>102</v>
      </c>
      <c r="B1249" s="1024"/>
      <c r="C1249" s="313" t="s">
        <v>36</v>
      </c>
      <c r="D1249" s="313"/>
      <c r="E1249" s="280"/>
      <c r="F1249" s="281"/>
      <c r="G1249" s="334">
        <f t="shared" si="1584"/>
        <v>0</v>
      </c>
      <c r="H1249" s="282"/>
      <c r="I1249" s="282"/>
      <c r="J1249" s="351" t="str">
        <f t="shared" si="1587"/>
        <v>-</v>
      </c>
      <c r="K1249" s="334">
        <f t="shared" si="1585"/>
        <v>0</v>
      </c>
      <c r="L1249" s="272">
        <f t="shared" ref="L1249:M1249" si="1590">+H1249+L1132</f>
        <v>0</v>
      </c>
      <c r="M1249" s="273">
        <f t="shared" si="1590"/>
        <v>0</v>
      </c>
      <c r="N1249" s="338" t="str">
        <f t="shared" si="1577"/>
        <v>-</v>
      </c>
      <c r="O1249" s="347" t="str">
        <f t="shared" si="1578"/>
        <v>-</v>
      </c>
    </row>
    <row r="1250" spans="1:15" ht="24" thickBot="1" x14ac:dyDescent="0.35">
      <c r="A1250" s="274" t="s">
        <v>102</v>
      </c>
      <c r="B1250" s="1025" t="s">
        <v>37</v>
      </c>
      <c r="C1250" s="1026"/>
      <c r="D1250" s="1027"/>
      <c r="E1250" s="284">
        <f>SUM(E1246:E1249)</f>
        <v>136160</v>
      </c>
      <c r="F1250" s="285">
        <v>6500</v>
      </c>
      <c r="G1250" s="320">
        <f>SUM(G1246:G1249)</f>
        <v>0</v>
      </c>
      <c r="H1250" s="321">
        <f t="shared" ref="H1250:I1250" si="1591">SUM(H1246:H1249)</f>
        <v>0</v>
      </c>
      <c r="I1250" s="321">
        <f t="shared" si="1591"/>
        <v>0</v>
      </c>
      <c r="J1250" s="345">
        <f>IFERROR(G1250/F1250,"-")</f>
        <v>0</v>
      </c>
      <c r="K1250" s="320">
        <f t="shared" ref="K1250:M1250" si="1592">SUM(K1246:K1249)</f>
        <v>0</v>
      </c>
      <c r="L1250" s="321">
        <f t="shared" si="1592"/>
        <v>0</v>
      </c>
      <c r="M1250" s="322">
        <f t="shared" si="1592"/>
        <v>0</v>
      </c>
      <c r="N1250" s="339">
        <f>IFERROR(K1250/E1250,"-")</f>
        <v>0</v>
      </c>
      <c r="O1250" s="345" t="str">
        <f t="shared" si="1578"/>
        <v>-</v>
      </c>
    </row>
    <row r="1251" spans="1:15" ht="23.4" x14ac:dyDescent="0.3">
      <c r="A1251" s="274" t="s">
        <v>102</v>
      </c>
      <c r="B1251" s="1022" t="s">
        <v>402</v>
      </c>
      <c r="C1251" s="314" t="s">
        <v>116</v>
      </c>
      <c r="D1251" s="314"/>
      <c r="E1251" s="270">
        <v>31000</v>
      </c>
      <c r="F1251" s="271"/>
      <c r="G1251" s="332">
        <f t="shared" ref="G1251:G1252" si="1593">+H1251+I1251</f>
        <v>0</v>
      </c>
      <c r="H1251" s="272"/>
      <c r="I1251" s="272"/>
      <c r="J1251" s="351" t="str">
        <f>IFERROR(G1251/F1251,"-")</f>
        <v>-</v>
      </c>
      <c r="K1251" s="332">
        <f t="shared" ref="K1251:K1252" si="1594">+L1251+M1251</f>
        <v>0</v>
      </c>
      <c r="L1251" s="272">
        <f t="shared" ref="L1251:M1251" si="1595">+H1251+L1134</f>
        <v>0</v>
      </c>
      <c r="M1251" s="273">
        <f t="shared" si="1595"/>
        <v>0</v>
      </c>
      <c r="N1251" s="336">
        <f t="shared" ref="N1251:N1267" si="1596">IFERROR(K1251/E1251,"-")</f>
        <v>0</v>
      </c>
      <c r="O1251" s="346" t="str">
        <f t="shared" si="1578"/>
        <v>-</v>
      </c>
    </row>
    <row r="1252" spans="1:15" ht="24" thickBot="1" x14ac:dyDescent="0.35">
      <c r="A1252" s="274" t="s">
        <v>102</v>
      </c>
      <c r="B1252" s="1024"/>
      <c r="C1252" s="286" t="s">
        <v>132</v>
      </c>
      <c r="D1252" s="286"/>
      <c r="E1252" s="280"/>
      <c r="F1252" s="281"/>
      <c r="G1252" s="334">
        <f t="shared" si="1593"/>
        <v>0</v>
      </c>
      <c r="H1252" s="282"/>
      <c r="I1252" s="282"/>
      <c r="J1252" s="351" t="str">
        <f>IFERROR(G1252/F1252,"-")</f>
        <v>-</v>
      </c>
      <c r="K1252" s="334">
        <f t="shared" si="1594"/>
        <v>22797</v>
      </c>
      <c r="L1252" s="272">
        <f t="shared" ref="L1252:M1252" si="1597">+H1252+L1135</f>
        <v>21790</v>
      </c>
      <c r="M1252" s="273">
        <f t="shared" si="1597"/>
        <v>1007</v>
      </c>
      <c r="N1252" s="338" t="str">
        <f t="shared" si="1596"/>
        <v>-</v>
      </c>
      <c r="O1252" s="347">
        <f t="shared" si="1578"/>
        <v>4.4172478834934421E-2</v>
      </c>
    </row>
    <row r="1253" spans="1:15" ht="24" thickBot="1" x14ac:dyDescent="0.35">
      <c r="A1253" s="909" t="s">
        <v>102</v>
      </c>
      <c r="B1253" s="1025" t="s">
        <v>38</v>
      </c>
      <c r="C1253" s="1026"/>
      <c r="D1253" s="1027"/>
      <c r="E1253" s="284">
        <f>SUM(E1251:E1252)</f>
        <v>31000</v>
      </c>
      <c r="F1253" s="285">
        <v>2800</v>
      </c>
      <c r="G1253" s="320">
        <f>SUM(G1251:G1252)</f>
        <v>0</v>
      </c>
      <c r="H1253" s="321">
        <f t="shared" ref="H1253:I1253" si="1598">SUM(H1251:H1252)</f>
        <v>0</v>
      </c>
      <c r="I1253" s="321">
        <f t="shared" si="1598"/>
        <v>0</v>
      </c>
      <c r="J1253" s="345" t="str">
        <f>IFERROR(G1253/F1243,"-")</f>
        <v>-</v>
      </c>
      <c r="K1253" s="320">
        <f t="shared" ref="K1253:M1253" si="1599">SUM(K1251:K1252)</f>
        <v>22797</v>
      </c>
      <c r="L1253" s="321">
        <f t="shared" si="1599"/>
        <v>21790</v>
      </c>
      <c r="M1253" s="322">
        <f t="shared" si="1599"/>
        <v>1007</v>
      </c>
      <c r="N1253" s="339">
        <f t="shared" si="1596"/>
        <v>0.73538709677419356</v>
      </c>
      <c r="O1253" s="345">
        <f t="shared" si="1578"/>
        <v>4.4172478834934421E-2</v>
      </c>
    </row>
    <row r="1254" spans="1:15" ht="23.4" x14ac:dyDescent="0.3">
      <c r="A1254" s="274" t="s">
        <v>102</v>
      </c>
      <c r="B1254" s="1022" t="s">
        <v>403</v>
      </c>
      <c r="C1254" s="269" t="s">
        <v>306</v>
      </c>
      <c r="D1254" s="269"/>
      <c r="E1254" s="270">
        <v>978200</v>
      </c>
      <c r="F1254" s="315"/>
      <c r="G1254" s="332">
        <f t="shared" ref="G1254:G1258" si="1600">+H1254+I1254</f>
        <v>48159</v>
      </c>
      <c r="H1254" s="272">
        <v>47856</v>
      </c>
      <c r="I1254" s="272">
        <v>303</v>
      </c>
      <c r="J1254" s="371" t="str">
        <f>IFERROR(G1254/F1254,"-")</f>
        <v>-</v>
      </c>
      <c r="K1254" s="332">
        <f t="shared" ref="K1254:K1258" si="1601">+L1254+M1254</f>
        <v>302617</v>
      </c>
      <c r="L1254" s="272">
        <f t="shared" ref="L1254:M1254" si="1602">+H1254+L1137</f>
        <v>300684</v>
      </c>
      <c r="M1254" s="272">
        <f t="shared" si="1602"/>
        <v>1933</v>
      </c>
      <c r="N1254" s="359">
        <f t="shared" si="1596"/>
        <v>0.30936107135555102</v>
      </c>
      <c r="O1254" s="360">
        <f t="shared" si="1578"/>
        <v>6.3876120640942178E-3</v>
      </c>
    </row>
    <row r="1255" spans="1:15" ht="23.4" x14ac:dyDescent="0.3">
      <c r="A1255" s="274" t="s">
        <v>102</v>
      </c>
      <c r="B1255" s="1023"/>
      <c r="C1255" s="269" t="s">
        <v>307</v>
      </c>
      <c r="D1255" s="275"/>
      <c r="E1255" s="276"/>
      <c r="F1255" s="316"/>
      <c r="G1255" s="333">
        <f t="shared" si="1600"/>
        <v>0</v>
      </c>
      <c r="H1255" s="278"/>
      <c r="I1255" s="278"/>
      <c r="J1255" s="371" t="str">
        <f t="shared" ref="J1255:J1258" si="1603">IFERROR(G1255/F1255,"-")</f>
        <v>-</v>
      </c>
      <c r="K1255" s="333">
        <f t="shared" si="1601"/>
        <v>0</v>
      </c>
      <c r="L1255" s="272">
        <f t="shared" ref="L1255:M1255" si="1604">+H1255+L1138</f>
        <v>0</v>
      </c>
      <c r="M1255" s="273">
        <f t="shared" si="1604"/>
        <v>0</v>
      </c>
      <c r="N1255" s="361" t="str">
        <f t="shared" si="1596"/>
        <v>-</v>
      </c>
      <c r="O1255" s="362" t="str">
        <f t="shared" si="1578"/>
        <v>-</v>
      </c>
    </row>
    <row r="1256" spans="1:15" ht="23.4" x14ac:dyDescent="0.3">
      <c r="A1256" s="274" t="s">
        <v>102</v>
      </c>
      <c r="B1256" s="1023"/>
      <c r="C1256" s="275" t="s">
        <v>499</v>
      </c>
      <c r="D1256" s="275"/>
      <c r="E1256" s="276">
        <f>70000+15000</f>
        <v>85000</v>
      </c>
      <c r="F1256" s="316"/>
      <c r="G1256" s="333">
        <f t="shared" si="1600"/>
        <v>0</v>
      </c>
      <c r="H1256" s="278"/>
      <c r="I1256" s="278"/>
      <c r="J1256" s="371" t="str">
        <f t="shared" si="1603"/>
        <v>-</v>
      </c>
      <c r="K1256" s="333">
        <f t="shared" si="1601"/>
        <v>49665</v>
      </c>
      <c r="L1256" s="272">
        <f t="shared" ref="L1256:M1256" si="1605">+H1256+L1139</f>
        <v>49032</v>
      </c>
      <c r="M1256" s="273">
        <f t="shared" si="1605"/>
        <v>633</v>
      </c>
      <c r="N1256" s="361">
        <f t="shared" si="1596"/>
        <v>0.58429411764705885</v>
      </c>
      <c r="O1256" s="362">
        <f t="shared" si="1578"/>
        <v>1.2745394140742978E-2</v>
      </c>
    </row>
    <row r="1257" spans="1:15" ht="23.4" x14ac:dyDescent="0.3">
      <c r="A1257" s="274" t="s">
        <v>102</v>
      </c>
      <c r="B1257" s="1023"/>
      <c r="C1257" s="275" t="s">
        <v>157</v>
      </c>
      <c r="D1257" s="275"/>
      <c r="E1257" s="276">
        <v>60040</v>
      </c>
      <c r="F1257" s="316"/>
      <c r="G1257" s="333">
        <f t="shared" si="1600"/>
        <v>0</v>
      </c>
      <c r="H1257" s="278"/>
      <c r="I1257" s="278"/>
      <c r="J1257" s="371" t="str">
        <f t="shared" si="1603"/>
        <v>-</v>
      </c>
      <c r="K1257" s="333">
        <f t="shared" si="1601"/>
        <v>0</v>
      </c>
      <c r="L1257" s="272">
        <f t="shared" ref="L1257:M1257" si="1606">+H1257+L1140</f>
        <v>0</v>
      </c>
      <c r="M1257" s="273">
        <f t="shared" si="1606"/>
        <v>0</v>
      </c>
      <c r="N1257" s="361">
        <f t="shared" si="1596"/>
        <v>0</v>
      </c>
      <c r="O1257" s="362" t="str">
        <f t="shared" si="1578"/>
        <v>-</v>
      </c>
    </row>
    <row r="1258" spans="1:15" ht="24" thickBot="1" x14ac:dyDescent="0.35">
      <c r="A1258" s="274" t="s">
        <v>102</v>
      </c>
      <c r="B1258" s="1024"/>
      <c r="C1258" s="279" t="s">
        <v>158</v>
      </c>
      <c r="D1258" s="279"/>
      <c r="E1258" s="280"/>
      <c r="F1258" s="317"/>
      <c r="G1258" s="334">
        <f t="shared" si="1600"/>
        <v>0</v>
      </c>
      <c r="H1258" s="282"/>
      <c r="I1258" s="282"/>
      <c r="J1258" s="371" t="str">
        <f t="shared" si="1603"/>
        <v>-</v>
      </c>
      <c r="K1258" s="334">
        <f t="shared" si="1601"/>
        <v>0</v>
      </c>
      <c r="L1258" s="272">
        <f t="shared" ref="L1258:M1258" si="1607">+H1258+L1141</f>
        <v>0</v>
      </c>
      <c r="M1258" s="273">
        <f t="shared" si="1607"/>
        <v>0</v>
      </c>
      <c r="N1258" s="363" t="str">
        <f t="shared" si="1596"/>
        <v>-</v>
      </c>
      <c r="O1258" s="364" t="str">
        <f t="shared" si="1578"/>
        <v>-</v>
      </c>
    </row>
    <row r="1259" spans="1:15" ht="24" thickBot="1" x14ac:dyDescent="0.35">
      <c r="A1259" s="274" t="s">
        <v>102</v>
      </c>
      <c r="B1259" s="1025" t="s">
        <v>39</v>
      </c>
      <c r="C1259" s="1026"/>
      <c r="D1259" s="1027"/>
      <c r="E1259" s="320">
        <f>SUM(E1254:E1258)</f>
        <v>1123240</v>
      </c>
      <c r="F1259" s="285">
        <v>25000</v>
      </c>
      <c r="G1259" s="320">
        <f>SUM(G1254:G1258)</f>
        <v>48159</v>
      </c>
      <c r="H1259" s="321">
        <f>SUM(H1254:H1258)</f>
        <v>47856</v>
      </c>
      <c r="I1259" s="321">
        <f>SUM(I1254:I1258)</f>
        <v>303</v>
      </c>
      <c r="J1259" s="345">
        <f>IFERROR(G1259/F1259,"-")</f>
        <v>1.9263600000000001</v>
      </c>
      <c r="K1259" s="320">
        <f>SUM(K1254:K1258)</f>
        <v>352282</v>
      </c>
      <c r="L1259" s="321">
        <f>SUM(L1254:L1258)</f>
        <v>349716</v>
      </c>
      <c r="M1259" s="322">
        <f>SUM(M1254:M1258)</f>
        <v>2566</v>
      </c>
      <c r="N1259" s="339">
        <f t="shared" si="1596"/>
        <v>0.31363021259926643</v>
      </c>
      <c r="O1259" s="345">
        <f t="shared" si="1578"/>
        <v>7.2839373002310647E-3</v>
      </c>
    </row>
    <row r="1260" spans="1:15" ht="23.4" x14ac:dyDescent="0.3">
      <c r="A1260" s="274" t="s">
        <v>102</v>
      </c>
      <c r="B1260" s="1022" t="s">
        <v>404</v>
      </c>
      <c r="C1260" s="269" t="s">
        <v>186</v>
      </c>
      <c r="D1260" s="269"/>
      <c r="E1260" s="270"/>
      <c r="F1260" s="271"/>
      <c r="G1260" s="332">
        <f t="shared" ref="G1260:G1262" si="1608">+H1260+I1260</f>
        <v>0</v>
      </c>
      <c r="H1260" s="272"/>
      <c r="I1260" s="272"/>
      <c r="J1260" s="351" t="str">
        <f>IFERROR(G1260/F1260,"-")</f>
        <v>-</v>
      </c>
      <c r="K1260" s="332">
        <f t="shared" ref="K1260:K1262" si="1609">+L1260+M1260</f>
        <v>0</v>
      </c>
      <c r="L1260" s="272">
        <f t="shared" ref="L1260:M1260" si="1610">+H1260+L1143</f>
        <v>0</v>
      </c>
      <c r="M1260" s="273">
        <f t="shared" si="1610"/>
        <v>0</v>
      </c>
      <c r="N1260" s="336" t="str">
        <f t="shared" si="1596"/>
        <v>-</v>
      </c>
      <c r="O1260" s="346" t="str">
        <f t="shared" si="1578"/>
        <v>-</v>
      </c>
    </row>
    <row r="1261" spans="1:15" ht="23.4" x14ac:dyDescent="0.3">
      <c r="A1261" s="274" t="s">
        <v>102</v>
      </c>
      <c r="B1261" s="1023"/>
      <c r="C1261" s="275" t="s">
        <v>497</v>
      </c>
      <c r="D1261" s="275"/>
      <c r="E1261" s="276"/>
      <c r="F1261" s="277"/>
      <c r="G1261" s="333">
        <f t="shared" si="1608"/>
        <v>0</v>
      </c>
      <c r="H1261" s="278"/>
      <c r="I1261" s="278"/>
      <c r="J1261" s="351" t="str">
        <f t="shared" ref="J1261:J1262" si="1611">IFERROR(G1261/F1261,"-")</f>
        <v>-</v>
      </c>
      <c r="K1261" s="333">
        <f t="shared" si="1609"/>
        <v>11826</v>
      </c>
      <c r="L1261" s="714">
        <f t="shared" ref="L1261:M1261" si="1612">+H1261+L1144</f>
        <v>11400</v>
      </c>
      <c r="M1261" s="273">
        <f t="shared" si="1612"/>
        <v>426</v>
      </c>
      <c r="N1261" s="361" t="str">
        <f t="shared" si="1596"/>
        <v>-</v>
      </c>
      <c r="O1261" s="362">
        <f t="shared" si="1578"/>
        <v>3.6022323693556568E-2</v>
      </c>
    </row>
    <row r="1262" spans="1:15" ht="24" thickBot="1" x14ac:dyDescent="0.35">
      <c r="A1262" s="274" t="s">
        <v>102</v>
      </c>
      <c r="B1262" s="1024"/>
      <c r="C1262" s="279" t="s">
        <v>498</v>
      </c>
      <c r="D1262" s="279"/>
      <c r="E1262" s="280"/>
      <c r="F1262" s="281"/>
      <c r="G1262" s="334">
        <f t="shared" si="1608"/>
        <v>0</v>
      </c>
      <c r="H1262" s="282"/>
      <c r="I1262" s="282"/>
      <c r="J1262" s="351" t="str">
        <f t="shared" si="1611"/>
        <v>-</v>
      </c>
      <c r="K1262" s="334">
        <f t="shared" si="1609"/>
        <v>0</v>
      </c>
      <c r="L1262" s="272">
        <f t="shared" ref="L1262:M1262" si="1613">+H1262+L1145</f>
        <v>0</v>
      </c>
      <c r="M1262" s="273">
        <f t="shared" si="1613"/>
        <v>0</v>
      </c>
      <c r="N1262" s="363" t="str">
        <f t="shared" si="1596"/>
        <v>-</v>
      </c>
      <c r="O1262" s="364" t="str">
        <f t="shared" si="1578"/>
        <v>-</v>
      </c>
    </row>
    <row r="1263" spans="1:15" ht="24" thickBot="1" x14ac:dyDescent="0.35">
      <c r="A1263" s="274" t="s">
        <v>102</v>
      </c>
      <c r="B1263" s="1034" t="s">
        <v>41</v>
      </c>
      <c r="C1263" s="1035"/>
      <c r="D1263" s="1036"/>
      <c r="E1263" s="320">
        <f>SUM(E1260:E1262)</f>
        <v>0</v>
      </c>
      <c r="F1263" s="285"/>
      <c r="G1263" s="320">
        <f>SUM(G1260:G1262)</f>
        <v>0</v>
      </c>
      <c r="H1263" s="321">
        <f t="shared" ref="H1263:I1263" si="1614">SUM(H1260:H1262)</f>
        <v>0</v>
      </c>
      <c r="I1263" s="321">
        <f t="shared" si="1614"/>
        <v>0</v>
      </c>
      <c r="J1263" s="345" t="str">
        <f>IFERROR(G1263/F1263,"-")</f>
        <v>-</v>
      </c>
      <c r="K1263" s="320">
        <f t="shared" ref="K1263:M1263" si="1615">SUM(K1260:K1262)</f>
        <v>11826</v>
      </c>
      <c r="L1263" s="365">
        <f t="shared" si="1615"/>
        <v>11400</v>
      </c>
      <c r="M1263" s="367">
        <f t="shared" si="1615"/>
        <v>426</v>
      </c>
      <c r="N1263" s="339" t="str">
        <f t="shared" si="1596"/>
        <v>-</v>
      </c>
      <c r="O1263" s="345">
        <f t="shared" si="1578"/>
        <v>3.6022323693556568E-2</v>
      </c>
    </row>
    <row r="1264" spans="1:15" ht="24" thickBot="1" x14ac:dyDescent="0.35">
      <c r="A1264" s="274" t="s">
        <v>102</v>
      </c>
      <c r="B1264" s="1022" t="s">
        <v>42</v>
      </c>
      <c r="C1264" s="269" t="s">
        <v>160</v>
      </c>
      <c r="D1264" s="269"/>
      <c r="E1264" s="270"/>
      <c r="F1264" s="271"/>
      <c r="G1264" s="332">
        <f t="shared" ref="G1264:G1265" si="1616">+H1264+I1264</f>
        <v>0</v>
      </c>
      <c r="H1264" s="272"/>
      <c r="I1264" s="272"/>
      <c r="J1264" s="371" t="str">
        <f>IFERROR(G1264/F1264,"-")</f>
        <v>-</v>
      </c>
      <c r="K1264" s="695">
        <f t="shared" ref="K1264:K1265" si="1617">+L1264+M1264</f>
        <v>0</v>
      </c>
      <c r="L1264" s="688">
        <f t="shared" ref="L1264:M1264" si="1618">+H1264+L1147</f>
        <v>0</v>
      </c>
      <c r="M1264" s="688">
        <f t="shared" si="1618"/>
        <v>0</v>
      </c>
      <c r="N1264" s="359" t="str">
        <f t="shared" si="1596"/>
        <v>-</v>
      </c>
      <c r="O1264" s="360" t="str">
        <f t="shared" si="1578"/>
        <v>-</v>
      </c>
    </row>
    <row r="1265" spans="1:15" ht="24" thickBot="1" x14ac:dyDescent="0.35">
      <c r="A1265" s="274" t="s">
        <v>102</v>
      </c>
      <c r="B1265" s="1024"/>
      <c r="C1265" s="279" t="s">
        <v>161</v>
      </c>
      <c r="D1265" s="279"/>
      <c r="E1265" s="280"/>
      <c r="F1265" s="281"/>
      <c r="G1265" s="334">
        <f t="shared" si="1616"/>
        <v>0</v>
      </c>
      <c r="H1265" s="282"/>
      <c r="I1265" s="282"/>
      <c r="J1265" s="373" t="str">
        <f>IFERROR(G1265/F1265,"-")</f>
        <v>-</v>
      </c>
      <c r="K1265" s="696">
        <f t="shared" si="1617"/>
        <v>0</v>
      </c>
      <c r="L1265" s="688">
        <f t="shared" ref="L1265:M1265" si="1619">+H1265+L1148</f>
        <v>0</v>
      </c>
      <c r="M1265" s="688">
        <f t="shared" si="1619"/>
        <v>0</v>
      </c>
      <c r="N1265" s="363" t="str">
        <f t="shared" si="1596"/>
        <v>-</v>
      </c>
      <c r="O1265" s="364" t="str">
        <f t="shared" si="1578"/>
        <v>-</v>
      </c>
    </row>
    <row r="1266" spans="1:15" ht="24" thickBot="1" x14ac:dyDescent="0.35">
      <c r="A1266" s="274" t="s">
        <v>102</v>
      </c>
      <c r="B1266" s="1034" t="s">
        <v>43</v>
      </c>
      <c r="C1266" s="1035"/>
      <c r="D1266" s="1036"/>
      <c r="E1266" s="284">
        <f>SUM(E1264:E1265)</f>
        <v>0</v>
      </c>
      <c r="F1266" s="285">
        <v>25000</v>
      </c>
      <c r="G1266" s="320">
        <f>SUM(G1264:G1265)</f>
        <v>0</v>
      </c>
      <c r="H1266" s="321">
        <f t="shared" ref="H1266:I1266" si="1620">SUM(H1264:H1265)</f>
        <v>0</v>
      </c>
      <c r="I1266" s="321">
        <f t="shared" si="1620"/>
        <v>0</v>
      </c>
      <c r="J1266" s="345">
        <f>IFERROR(G1266/F1266,"-")</f>
        <v>0</v>
      </c>
      <c r="K1266" s="760">
        <f t="shared" ref="K1266:M1266" si="1621">SUM(K1264:K1265)</f>
        <v>0</v>
      </c>
      <c r="L1266" s="761">
        <f t="shared" si="1621"/>
        <v>0</v>
      </c>
      <c r="M1266" s="761">
        <f t="shared" si="1621"/>
        <v>0</v>
      </c>
      <c r="N1266" s="339" t="str">
        <f t="shared" si="1596"/>
        <v>-</v>
      </c>
      <c r="O1266" s="345" t="str">
        <f t="shared" si="1578"/>
        <v>-</v>
      </c>
    </row>
    <row r="1267" spans="1:15" ht="24" thickBot="1" x14ac:dyDescent="0.35">
      <c r="A1267" s="274" t="s">
        <v>102</v>
      </c>
      <c r="B1267" s="1028" t="s">
        <v>25</v>
      </c>
      <c r="C1267" s="1029"/>
      <c r="D1267" s="1030"/>
      <c r="E1267" s="326">
        <f t="shared" ref="E1267:F1267" si="1622">+E1245+E1250+E1253+E1259+E1263+E1266</f>
        <v>1292400</v>
      </c>
      <c r="F1267" s="327">
        <f t="shared" si="1622"/>
        <v>65800</v>
      </c>
      <c r="G1267" s="326">
        <f>+G1245+G1250+G1253+G1259+G1263+G1266</f>
        <v>48159</v>
      </c>
      <c r="H1267" s="324">
        <f>+H1245+H1250+H1253+H1259+H1263+H1266</f>
        <v>47856</v>
      </c>
      <c r="I1267" s="324">
        <f t="shared" ref="I1267" si="1623">+I1245+I1250+I1253+I1259+I1263+I1266</f>
        <v>303</v>
      </c>
      <c r="J1267" s="349">
        <f>IFERROR(G1267/F1267,"-")</f>
        <v>0.73189969604863225</v>
      </c>
      <c r="K1267" s="326">
        <f>+K1245+K1250+K1253+K1259+K1263+K1266</f>
        <v>396543</v>
      </c>
      <c r="L1267" s="759">
        <f t="shared" ref="L1267:M1267" si="1624">+L1245+L1250+L1253+L1259+L1263+L1266</f>
        <v>392055</v>
      </c>
      <c r="M1267" s="325">
        <f t="shared" si="1624"/>
        <v>4488</v>
      </c>
      <c r="N1267" s="341">
        <f t="shared" si="1596"/>
        <v>0.30682683379758591</v>
      </c>
      <c r="O1267" s="349">
        <f t="shared" si="1578"/>
        <v>1.1317814209303908E-2</v>
      </c>
    </row>
    <row r="1268" spans="1:15" ht="24" thickBot="1" x14ac:dyDescent="0.35">
      <c r="A1268" s="318" t="s">
        <v>102</v>
      </c>
      <c r="B1268" s="1020" t="s">
        <v>173</v>
      </c>
      <c r="C1268" s="1020"/>
      <c r="D1268" s="1021"/>
      <c r="E1268" s="330">
        <f>+E1267</f>
        <v>1292400</v>
      </c>
      <c r="F1268" s="331">
        <f t="shared" ref="F1268:I1268" si="1625">+F1267</f>
        <v>65800</v>
      </c>
      <c r="G1268" s="330">
        <f t="shared" si="1625"/>
        <v>48159</v>
      </c>
      <c r="H1268" s="328">
        <f t="shared" si="1625"/>
        <v>47856</v>
      </c>
      <c r="I1268" s="328">
        <f t="shared" si="1625"/>
        <v>303</v>
      </c>
      <c r="J1268" s="350">
        <f>+G1268/F1268</f>
        <v>0.73189969604863225</v>
      </c>
      <c r="K1268" s="330">
        <f t="shared" ref="K1268:O1268" si="1626">+K1267</f>
        <v>396543</v>
      </c>
      <c r="L1268" s="328">
        <f t="shared" si="1626"/>
        <v>392055</v>
      </c>
      <c r="M1268" s="329">
        <f t="shared" si="1626"/>
        <v>4488</v>
      </c>
      <c r="N1268" s="342">
        <f t="shared" si="1626"/>
        <v>0.30682683379758591</v>
      </c>
      <c r="O1268" s="350">
        <f t="shared" si="1626"/>
        <v>1.1317814209303908E-2</v>
      </c>
    </row>
    <row r="1269" spans="1:15" ht="24.6" thickBot="1" x14ac:dyDescent="0.35">
      <c r="A1269" s="319"/>
      <c r="B1269" s="1031" t="s">
        <v>174</v>
      </c>
      <c r="C1269" s="1032"/>
      <c r="D1269" s="1033"/>
      <c r="E1269" s="374">
        <f>+E1206+E1241+E1268</f>
        <v>7473564</v>
      </c>
      <c r="F1269" s="374">
        <f>+F1206+F1241+F1268</f>
        <v>1024800</v>
      </c>
      <c r="G1269" s="374">
        <f>+G1206+G1241+G1268</f>
        <v>477645</v>
      </c>
      <c r="H1269" s="374">
        <f>+H1206+H1241+H1268</f>
        <v>471824</v>
      </c>
      <c r="I1269" s="374">
        <f>+I1206+I1241+I1268</f>
        <v>5821</v>
      </c>
      <c r="J1269" s="375">
        <f>IFERROR(G1269/F1269,"-")</f>
        <v>0.46608606557377047</v>
      </c>
      <c r="K1269" s="374">
        <f>+K1206+K1241+K1268</f>
        <v>4110524</v>
      </c>
      <c r="L1269" s="374">
        <f>+L1206+L1241+L1268</f>
        <v>4072275</v>
      </c>
      <c r="M1269" s="374">
        <f>+M1206+M1241+M1268</f>
        <v>38249</v>
      </c>
      <c r="N1269" s="375">
        <f>IFERROR(K1269/E1269,"-")</f>
        <v>0.55000853675702788</v>
      </c>
      <c r="O1269" s="375">
        <f>IFERROR(M1269/K1269,"-")</f>
        <v>9.3051396853539841E-3</v>
      </c>
    </row>
    <row r="1270" spans="1:15" ht="23.4" x14ac:dyDescent="0.3">
      <c r="A1270" s="1057" t="s">
        <v>1</v>
      </c>
      <c r="B1270" s="1060" t="s">
        <v>2</v>
      </c>
      <c r="C1270" s="1063" t="s">
        <v>396</v>
      </c>
      <c r="D1270" s="1063" t="s">
        <v>397</v>
      </c>
      <c r="E1270" s="1066" t="s">
        <v>4</v>
      </c>
      <c r="F1270" s="1067"/>
      <c r="G1270" s="1067"/>
      <c r="H1270" s="1067"/>
      <c r="I1270" s="1067"/>
      <c r="J1270" s="1067"/>
      <c r="K1270" s="1067"/>
      <c r="L1270" s="1067"/>
      <c r="M1270" s="1067"/>
      <c r="N1270" s="1067"/>
      <c r="O1270" s="1068"/>
    </row>
    <row r="1271" spans="1:15" ht="23.4" x14ac:dyDescent="0.3">
      <c r="A1271" s="1058"/>
      <c r="B1271" s="1061"/>
      <c r="C1271" s="1064"/>
      <c r="D1271" s="1064"/>
      <c r="E1271" s="1069" t="s">
        <v>7</v>
      </c>
      <c r="F1271" s="1071" t="s">
        <v>108</v>
      </c>
      <c r="G1271" s="1073" t="s">
        <v>556</v>
      </c>
      <c r="H1271" s="1074"/>
      <c r="I1271" s="1074"/>
      <c r="J1271" s="1075"/>
      <c r="K1271" s="1076" t="s">
        <v>398</v>
      </c>
      <c r="L1271" s="1077"/>
      <c r="M1271" s="1078"/>
      <c r="N1271" s="1079" t="s">
        <v>399</v>
      </c>
      <c r="O1271" s="1081" t="s">
        <v>164</v>
      </c>
    </row>
    <row r="1272" spans="1:15" ht="41.4" thickBot="1" x14ac:dyDescent="0.35">
      <c r="A1272" s="1059"/>
      <c r="B1272" s="1062"/>
      <c r="C1272" s="1065"/>
      <c r="D1272" s="1065"/>
      <c r="E1272" s="1070"/>
      <c r="F1272" s="1072"/>
      <c r="G1272" s="452" t="s">
        <v>13</v>
      </c>
      <c r="H1272" s="453" t="s">
        <v>14</v>
      </c>
      <c r="I1272" s="453" t="s">
        <v>15</v>
      </c>
      <c r="J1272" s="454" t="s">
        <v>166</v>
      </c>
      <c r="K1272" s="680" t="s">
        <v>13</v>
      </c>
      <c r="L1272" s="678" t="s">
        <v>14</v>
      </c>
      <c r="M1272" s="679" t="s">
        <v>15</v>
      </c>
      <c r="N1272" s="1080"/>
      <c r="O1272" s="1082"/>
    </row>
    <row r="1273" spans="1:15" ht="23.4" x14ac:dyDescent="0.3">
      <c r="A1273" s="268" t="s">
        <v>103</v>
      </c>
      <c r="B1273" s="1043" t="s">
        <v>16</v>
      </c>
      <c r="C1273" s="269" t="s">
        <v>549</v>
      </c>
      <c r="D1273" s="269" t="s">
        <v>369</v>
      </c>
      <c r="E1273" s="270">
        <v>20000</v>
      </c>
      <c r="F1273" s="271"/>
      <c r="G1273" s="332">
        <f>+H1273+I1273</f>
        <v>7539</v>
      </c>
      <c r="H1273" s="272">
        <v>7360</v>
      </c>
      <c r="I1273" s="272">
        <v>179</v>
      </c>
      <c r="J1273" s="352" t="str">
        <f>IFERROR(G1273/F1273,"-")</f>
        <v>-</v>
      </c>
      <c r="K1273" s="694">
        <f>+L1273+M1273</f>
        <v>15981</v>
      </c>
      <c r="L1273" s="527">
        <f>+H1273+L1156</f>
        <v>15040</v>
      </c>
      <c r="M1273" s="459">
        <f>+I1273+M1156</f>
        <v>941</v>
      </c>
      <c r="N1273" s="336">
        <f>IFERROR(K1273/E1273,"-")</f>
        <v>0.79905000000000004</v>
      </c>
      <c r="O1273" s="343">
        <f t="shared" ref="O1273:O1274" si="1627">IFERROR(M1273/K1273,"-")</f>
        <v>5.8882422877166635E-2</v>
      </c>
    </row>
    <row r="1274" spans="1:15" ht="23.4" x14ac:dyDescent="0.3">
      <c r="A1274" s="274" t="s">
        <v>103</v>
      </c>
      <c r="B1274" s="1044"/>
      <c r="C1274" s="275" t="s">
        <v>376</v>
      </c>
      <c r="D1274" s="275" t="s">
        <v>375</v>
      </c>
      <c r="E1274" s="276"/>
      <c r="F1274" s="277"/>
      <c r="G1274" s="333">
        <f t="shared" ref="G1274:G1276" si="1628">+H1274+I1274</f>
        <v>0</v>
      </c>
      <c r="H1274" s="278"/>
      <c r="I1274" s="278"/>
      <c r="J1274" s="352" t="str">
        <f t="shared" ref="J1274:J1276" si="1629">IFERROR(G1274/F1274,"-")</f>
        <v>-</v>
      </c>
      <c r="K1274" s="690">
        <f t="shared" ref="K1274:K1276" si="1630">+L1274+M1274</f>
        <v>0</v>
      </c>
      <c r="L1274" s="276">
        <f t="shared" ref="L1274:L1276" si="1631">+H1274+L1157</f>
        <v>0</v>
      </c>
      <c r="M1274" s="436">
        <f t="shared" ref="M1274:M1276" si="1632">+I1274+M1157</f>
        <v>0</v>
      </c>
      <c r="N1274" s="337" t="str">
        <f t="shared" ref="N1274:N1276" si="1633">IFERROR(K1274/E1274,"-")</f>
        <v>-</v>
      </c>
      <c r="O1274" s="265" t="str">
        <f t="shared" si="1627"/>
        <v>-</v>
      </c>
    </row>
    <row r="1275" spans="1:15" ht="23.4" x14ac:dyDescent="0.3">
      <c r="A1275" s="274" t="s">
        <v>103</v>
      </c>
      <c r="B1275" s="1044"/>
      <c r="C1275" s="573" t="s">
        <v>431</v>
      </c>
      <c r="D1275" s="573" t="s">
        <v>366</v>
      </c>
      <c r="E1275" s="720"/>
      <c r="F1275" s="721"/>
      <c r="G1275" s="333">
        <f t="shared" si="1628"/>
        <v>0</v>
      </c>
      <c r="H1275" s="722"/>
      <c r="I1275" s="722"/>
      <c r="J1275" s="352" t="str">
        <f t="shared" si="1629"/>
        <v>-</v>
      </c>
      <c r="K1275" s="690">
        <f t="shared" si="1630"/>
        <v>8000</v>
      </c>
      <c r="L1275" s="276">
        <f t="shared" si="1631"/>
        <v>8000</v>
      </c>
      <c r="M1275" s="436">
        <f t="shared" si="1632"/>
        <v>0</v>
      </c>
      <c r="N1275" s="337" t="str">
        <f t="shared" si="1633"/>
        <v>-</v>
      </c>
      <c r="O1275" s="265">
        <f>IFERROR(M1275/K1275,"-")</f>
        <v>0</v>
      </c>
    </row>
    <row r="1276" spans="1:15" ht="24" thickBot="1" x14ac:dyDescent="0.35">
      <c r="A1276" s="274" t="s">
        <v>103</v>
      </c>
      <c r="B1276" s="1045"/>
      <c r="C1276" s="279" t="s">
        <v>428</v>
      </c>
      <c r="D1276" s="279" t="s">
        <v>374</v>
      </c>
      <c r="E1276" s="280"/>
      <c r="F1276" s="281"/>
      <c r="G1276" s="334">
        <f t="shared" si="1628"/>
        <v>0</v>
      </c>
      <c r="H1276" s="272"/>
      <c r="I1276" s="272"/>
      <c r="J1276" s="352" t="str">
        <f t="shared" si="1629"/>
        <v>-</v>
      </c>
      <c r="K1276" s="691">
        <f t="shared" si="1630"/>
        <v>0</v>
      </c>
      <c r="L1276" s="530">
        <f t="shared" si="1631"/>
        <v>0</v>
      </c>
      <c r="M1276" s="462">
        <f t="shared" si="1632"/>
        <v>0</v>
      </c>
      <c r="N1276" s="338" t="str">
        <f t="shared" si="1633"/>
        <v>-</v>
      </c>
      <c r="O1276" s="344" t="str">
        <f t="shared" ref="O1276:O1294" si="1634">IFERROR(M1276/K1276,"-")</f>
        <v>-</v>
      </c>
    </row>
    <row r="1277" spans="1:15" ht="24" thickBot="1" x14ac:dyDescent="0.35">
      <c r="A1277" s="274" t="s">
        <v>103</v>
      </c>
      <c r="B1277" s="1025" t="s">
        <v>44</v>
      </c>
      <c r="C1277" s="1026"/>
      <c r="D1277" s="1027"/>
      <c r="E1277" s="320">
        <f>SUM(E1273:E1276)</f>
        <v>20000</v>
      </c>
      <c r="F1277" s="285">
        <v>15000</v>
      </c>
      <c r="G1277" s="320">
        <f>SUM(G1273:G1276)</f>
        <v>7539</v>
      </c>
      <c r="H1277" s="321">
        <f t="shared" ref="H1277:I1277" si="1635">SUM(H1273:H1276)</f>
        <v>7360</v>
      </c>
      <c r="I1277" s="321">
        <f t="shared" si="1635"/>
        <v>179</v>
      </c>
      <c r="J1277" s="345">
        <f>+G1277/F1277</f>
        <v>0.50260000000000005</v>
      </c>
      <c r="K1277" s="320">
        <f t="shared" ref="K1277" si="1636">SUM(K1273:K1276)</f>
        <v>23981</v>
      </c>
      <c r="L1277" s="692">
        <f>SUM(L1273:L1276)</f>
        <v>23040</v>
      </c>
      <c r="M1277" s="693">
        <f>SUM(M1273:M1276)</f>
        <v>941</v>
      </c>
      <c r="N1277" s="339">
        <f>IFERROR(K1277/E1277,"-")</f>
        <v>1.1990499999999999</v>
      </c>
      <c r="O1277" s="345">
        <f t="shared" si="1634"/>
        <v>3.9239397856636507E-2</v>
      </c>
    </row>
    <row r="1278" spans="1:15" ht="23.4" x14ac:dyDescent="0.3">
      <c r="A1278" s="274" t="s">
        <v>103</v>
      </c>
      <c r="B1278" s="1043" t="s">
        <v>17</v>
      </c>
      <c r="C1278" s="269" t="s">
        <v>294</v>
      </c>
      <c r="D1278" s="269"/>
      <c r="E1278" s="270"/>
      <c r="F1278" s="271"/>
      <c r="G1278" s="332">
        <f t="shared" ref="G1278:G1284" si="1637">+H1278+I1278</f>
        <v>0</v>
      </c>
      <c r="H1278" s="272">
        <v>0</v>
      </c>
      <c r="I1278" s="272">
        <v>0</v>
      </c>
      <c r="J1278" s="351" t="str">
        <f>IFERROR(G1278/F1278,"-")</f>
        <v>-</v>
      </c>
      <c r="K1278" s="694">
        <f t="shared" ref="K1278:K1284" si="1638">+L1278+M1278</f>
        <v>0</v>
      </c>
      <c r="L1278" s="527">
        <f t="shared" ref="L1278:L1284" si="1639">+H1278+L1161</f>
        <v>0</v>
      </c>
      <c r="M1278" s="459">
        <f t="shared" ref="M1278:M1284" si="1640">+I1278+M1161</f>
        <v>0</v>
      </c>
      <c r="N1278" s="336" t="str">
        <f t="shared" ref="N1278:N1284" si="1641">IFERROR(K1278/E1278,"-")</f>
        <v>-</v>
      </c>
      <c r="O1278" s="346" t="str">
        <f t="shared" si="1634"/>
        <v>-</v>
      </c>
    </row>
    <row r="1279" spans="1:15" ht="23.4" x14ac:dyDescent="0.3">
      <c r="A1279" s="274" t="s">
        <v>103</v>
      </c>
      <c r="B1279" s="1044"/>
      <c r="C1279" s="275" t="s">
        <v>344</v>
      </c>
      <c r="D1279" s="275" t="s">
        <v>232</v>
      </c>
      <c r="E1279" s="276">
        <v>1600000</v>
      </c>
      <c r="F1279" s="277"/>
      <c r="G1279" s="333">
        <f t="shared" si="1637"/>
        <v>0</v>
      </c>
      <c r="H1279" s="278">
        <v>0</v>
      </c>
      <c r="I1279" s="278">
        <v>0</v>
      </c>
      <c r="J1279" s="351" t="str">
        <f t="shared" ref="J1279:J1284" si="1642">IFERROR(G1279/F1279,"-")</f>
        <v>-</v>
      </c>
      <c r="K1279" s="690">
        <f t="shared" si="1638"/>
        <v>6120</v>
      </c>
      <c r="L1279" s="276">
        <f t="shared" si="1639"/>
        <v>5980</v>
      </c>
      <c r="M1279" s="436">
        <f t="shared" si="1640"/>
        <v>140</v>
      </c>
      <c r="N1279" s="337">
        <f t="shared" si="1641"/>
        <v>3.8249999999999998E-3</v>
      </c>
      <c r="O1279" s="263">
        <f t="shared" si="1634"/>
        <v>2.2875816993464051E-2</v>
      </c>
    </row>
    <row r="1280" spans="1:15" ht="23.4" x14ac:dyDescent="0.3">
      <c r="A1280" s="274" t="s">
        <v>103</v>
      </c>
      <c r="B1280" s="1044"/>
      <c r="C1280" s="275" t="s">
        <v>367</v>
      </c>
      <c r="D1280" s="275" t="s">
        <v>187</v>
      </c>
      <c r="E1280" s="276">
        <v>1000000</v>
      </c>
      <c r="F1280" s="277"/>
      <c r="G1280" s="333">
        <f t="shared" si="1637"/>
        <v>61524</v>
      </c>
      <c r="H1280" s="278">
        <v>61200</v>
      </c>
      <c r="I1280" s="278">
        <v>324</v>
      </c>
      <c r="J1280" s="351" t="str">
        <f t="shared" si="1642"/>
        <v>-</v>
      </c>
      <c r="K1280" s="690">
        <f t="shared" si="1638"/>
        <v>923834</v>
      </c>
      <c r="L1280" s="276">
        <f t="shared" si="1639"/>
        <v>918000</v>
      </c>
      <c r="M1280" s="436">
        <f t="shared" si="1640"/>
        <v>5834</v>
      </c>
      <c r="N1280" s="337">
        <f t="shared" si="1641"/>
        <v>0.92383400000000004</v>
      </c>
      <c r="O1280" s="263">
        <f t="shared" si="1634"/>
        <v>6.3149873245626383E-3</v>
      </c>
    </row>
    <row r="1281" spans="1:15" ht="23.4" x14ac:dyDescent="0.3">
      <c r="A1281" s="274" t="s">
        <v>103</v>
      </c>
      <c r="B1281" s="1044"/>
      <c r="C1281" s="275" t="s">
        <v>530</v>
      </c>
      <c r="D1281" s="275" t="s">
        <v>529</v>
      </c>
      <c r="E1281" s="276"/>
      <c r="F1281" s="277"/>
      <c r="G1281" s="333">
        <f t="shared" si="1637"/>
        <v>0</v>
      </c>
      <c r="H1281" s="278">
        <v>0</v>
      </c>
      <c r="I1281" s="278">
        <v>0</v>
      </c>
      <c r="J1281" s="351" t="str">
        <f t="shared" si="1642"/>
        <v>-</v>
      </c>
      <c r="K1281" s="690">
        <f t="shared" si="1638"/>
        <v>41558</v>
      </c>
      <c r="L1281" s="276">
        <f t="shared" si="1639"/>
        <v>41350</v>
      </c>
      <c r="M1281" s="436">
        <f t="shared" si="1640"/>
        <v>208</v>
      </c>
      <c r="N1281" s="337" t="str">
        <f t="shared" si="1641"/>
        <v>-</v>
      </c>
      <c r="O1281" s="263">
        <f t="shared" si="1634"/>
        <v>5.0050531786900235E-3</v>
      </c>
    </row>
    <row r="1282" spans="1:15" ht="23.4" x14ac:dyDescent="0.3">
      <c r="A1282" s="274" t="s">
        <v>103</v>
      </c>
      <c r="B1282" s="1044"/>
      <c r="C1282" s="275" t="s">
        <v>323</v>
      </c>
      <c r="D1282" s="275" t="s">
        <v>318</v>
      </c>
      <c r="E1282" s="276"/>
      <c r="F1282" s="277"/>
      <c r="G1282" s="333">
        <f t="shared" si="1637"/>
        <v>0</v>
      </c>
      <c r="H1282" s="278">
        <v>0</v>
      </c>
      <c r="I1282" s="278">
        <v>0</v>
      </c>
      <c r="J1282" s="351" t="str">
        <f t="shared" si="1642"/>
        <v>-</v>
      </c>
      <c r="K1282" s="690">
        <f t="shared" si="1638"/>
        <v>0</v>
      </c>
      <c r="L1282" s="276">
        <f t="shared" si="1639"/>
        <v>0</v>
      </c>
      <c r="M1282" s="436">
        <f t="shared" si="1640"/>
        <v>0</v>
      </c>
      <c r="N1282" s="337" t="str">
        <f t="shared" si="1641"/>
        <v>-</v>
      </c>
      <c r="O1282" s="263" t="str">
        <f t="shared" si="1634"/>
        <v>-</v>
      </c>
    </row>
    <row r="1283" spans="1:15" ht="23.4" x14ac:dyDescent="0.3">
      <c r="A1283" s="274" t="s">
        <v>103</v>
      </c>
      <c r="B1283" s="1044"/>
      <c r="C1283" s="275" t="s">
        <v>528</v>
      </c>
      <c r="D1283" s="275" t="s">
        <v>189</v>
      </c>
      <c r="E1283" s="276"/>
      <c r="F1283" s="277"/>
      <c r="G1283" s="333">
        <f t="shared" si="1637"/>
        <v>0</v>
      </c>
      <c r="H1283" s="278">
        <v>0</v>
      </c>
      <c r="I1283" s="278">
        <v>0</v>
      </c>
      <c r="J1283" s="351" t="str">
        <f t="shared" si="1642"/>
        <v>-</v>
      </c>
      <c r="K1283" s="690">
        <f t="shared" si="1638"/>
        <v>33900</v>
      </c>
      <c r="L1283" s="276">
        <f t="shared" si="1639"/>
        <v>33760</v>
      </c>
      <c r="M1283" s="436">
        <f t="shared" si="1640"/>
        <v>140</v>
      </c>
      <c r="N1283" s="337" t="str">
        <f t="shared" si="1641"/>
        <v>-</v>
      </c>
      <c r="O1283" s="263">
        <f t="shared" si="1634"/>
        <v>4.1297935103244837E-3</v>
      </c>
    </row>
    <row r="1284" spans="1:15" ht="24" thickBot="1" x14ac:dyDescent="0.35">
      <c r="A1284" s="274" t="s">
        <v>103</v>
      </c>
      <c r="B1284" s="1045"/>
      <c r="C1284" s="279" t="s">
        <v>341</v>
      </c>
      <c r="D1284" s="279" t="s">
        <v>232</v>
      </c>
      <c r="E1284" s="280"/>
      <c r="F1284" s="281"/>
      <c r="G1284" s="334">
        <f t="shared" si="1637"/>
        <v>0</v>
      </c>
      <c r="H1284" s="278">
        <v>0</v>
      </c>
      <c r="I1284" s="278">
        <v>0</v>
      </c>
      <c r="J1284" s="351" t="str">
        <f t="shared" si="1642"/>
        <v>-</v>
      </c>
      <c r="K1284" s="691">
        <f t="shared" si="1638"/>
        <v>0</v>
      </c>
      <c r="L1284" s="530">
        <f t="shared" si="1639"/>
        <v>0</v>
      </c>
      <c r="M1284" s="462">
        <f t="shared" si="1640"/>
        <v>0</v>
      </c>
      <c r="N1284" s="338" t="str">
        <f t="shared" si="1641"/>
        <v>-</v>
      </c>
      <c r="O1284" s="347" t="str">
        <f t="shared" si="1634"/>
        <v>-</v>
      </c>
    </row>
    <row r="1285" spans="1:15" ht="24" thickBot="1" x14ac:dyDescent="0.35">
      <c r="A1285" s="274" t="s">
        <v>103</v>
      </c>
      <c r="B1285" s="1025" t="s">
        <v>45</v>
      </c>
      <c r="C1285" s="1026"/>
      <c r="D1285" s="1027"/>
      <c r="E1285" s="320">
        <f>SUM(E1278:E1284)</f>
        <v>2600000</v>
      </c>
      <c r="F1285" s="285">
        <v>100000</v>
      </c>
      <c r="G1285" s="320">
        <f>SUM(G1278:G1284)</f>
        <v>61524</v>
      </c>
      <c r="H1285" s="321">
        <f t="shared" ref="H1285:I1285" si="1643">SUM(H1278:H1284)</f>
        <v>61200</v>
      </c>
      <c r="I1285" s="321">
        <f t="shared" si="1643"/>
        <v>324</v>
      </c>
      <c r="J1285" s="345">
        <f>+G1285/F1285</f>
        <v>0.61524000000000001</v>
      </c>
      <c r="K1285" s="320">
        <f>SUM(K1278:K1284)</f>
        <v>1005412</v>
      </c>
      <c r="L1285" s="519">
        <f>SUM(L1278:L1284)</f>
        <v>999090</v>
      </c>
      <c r="M1285" s="689">
        <f t="shared" ref="M1285" si="1644">SUM(M1278:M1284)</f>
        <v>6322</v>
      </c>
      <c r="N1285" s="339">
        <f>IFERROR(K1285/E1285,"-")</f>
        <v>0.38669692307692305</v>
      </c>
      <c r="O1285" s="345">
        <f t="shared" si="1634"/>
        <v>6.2879695090171991E-3</v>
      </c>
    </row>
    <row r="1286" spans="1:15" ht="23.4" x14ac:dyDescent="0.3">
      <c r="A1286" s="274" t="s">
        <v>103</v>
      </c>
      <c r="B1286" s="1043" t="s">
        <v>18</v>
      </c>
      <c r="C1286" s="269" t="s">
        <v>312</v>
      </c>
      <c r="D1286" s="269" t="s">
        <v>92</v>
      </c>
      <c r="E1286" s="270"/>
      <c r="F1286" s="271"/>
      <c r="G1286" s="332">
        <f t="shared" ref="G1286:G1292" si="1645">+H1286+I1286</f>
        <v>0</v>
      </c>
      <c r="H1286" s="272">
        <v>0</v>
      </c>
      <c r="I1286" s="272">
        <v>0</v>
      </c>
      <c r="J1286" s="351" t="str">
        <f>IFERROR(G1286/F1286,"-")</f>
        <v>-</v>
      </c>
      <c r="K1286" s="332">
        <f t="shared" ref="K1286:K1292" si="1646">+L1286+M1286</f>
        <v>0</v>
      </c>
      <c r="L1286" s="272">
        <f t="shared" ref="L1286:L1292" si="1647">+H1286+L1169</f>
        <v>0</v>
      </c>
      <c r="M1286" s="273">
        <f t="shared" ref="M1286:M1292" si="1648">+I1286+M1169</f>
        <v>0</v>
      </c>
      <c r="N1286" s="336" t="str">
        <f t="shared" ref="N1286:N1293" si="1649">IFERROR(K1286/E1286,"-")</f>
        <v>-</v>
      </c>
      <c r="O1286" s="346" t="str">
        <f t="shared" si="1634"/>
        <v>-</v>
      </c>
    </row>
    <row r="1287" spans="1:15" ht="23.4" x14ac:dyDescent="0.3">
      <c r="A1287" s="274" t="s">
        <v>103</v>
      </c>
      <c r="B1287" s="1044"/>
      <c r="C1287" s="275" t="s">
        <v>233</v>
      </c>
      <c r="D1287" s="275" t="s">
        <v>234</v>
      </c>
      <c r="E1287" s="276"/>
      <c r="F1287" s="277"/>
      <c r="G1287" s="333">
        <f t="shared" si="1645"/>
        <v>0</v>
      </c>
      <c r="H1287" s="278">
        <v>0</v>
      </c>
      <c r="I1287" s="278">
        <v>0</v>
      </c>
      <c r="J1287" s="351" t="str">
        <f t="shared" ref="J1287:J1292" si="1650">IFERROR(G1287/F1287,"-")</f>
        <v>-</v>
      </c>
      <c r="K1287" s="333">
        <f t="shared" si="1646"/>
        <v>0</v>
      </c>
      <c r="L1287" s="272">
        <f t="shared" si="1647"/>
        <v>0</v>
      </c>
      <c r="M1287" s="273">
        <f t="shared" si="1648"/>
        <v>0</v>
      </c>
      <c r="N1287" s="337" t="str">
        <f t="shared" si="1649"/>
        <v>-</v>
      </c>
      <c r="O1287" s="263" t="str">
        <f t="shared" si="1634"/>
        <v>-</v>
      </c>
    </row>
    <row r="1288" spans="1:15" ht="23.4" x14ac:dyDescent="0.3">
      <c r="A1288" s="274" t="s">
        <v>103</v>
      </c>
      <c r="B1288" s="1044"/>
      <c r="C1288" s="275" t="s">
        <v>115</v>
      </c>
      <c r="D1288" s="275"/>
      <c r="E1288" s="276"/>
      <c r="F1288" s="277"/>
      <c r="G1288" s="333">
        <f t="shared" si="1645"/>
        <v>0</v>
      </c>
      <c r="H1288" s="278">
        <v>0</v>
      </c>
      <c r="I1288" s="278">
        <v>0</v>
      </c>
      <c r="J1288" s="351" t="str">
        <f t="shared" si="1650"/>
        <v>-</v>
      </c>
      <c r="K1288" s="333">
        <f t="shared" si="1646"/>
        <v>0</v>
      </c>
      <c r="L1288" s="272">
        <f t="shared" si="1647"/>
        <v>0</v>
      </c>
      <c r="M1288" s="273">
        <f t="shared" si="1648"/>
        <v>0</v>
      </c>
      <c r="N1288" s="337" t="str">
        <f t="shared" si="1649"/>
        <v>-</v>
      </c>
      <c r="O1288" s="263" t="str">
        <f t="shared" si="1634"/>
        <v>-</v>
      </c>
    </row>
    <row r="1289" spans="1:15" ht="23.4" x14ac:dyDescent="0.3">
      <c r="A1289" s="274" t="s">
        <v>103</v>
      </c>
      <c r="B1289" s="1044"/>
      <c r="C1289" s="275" t="s">
        <v>122</v>
      </c>
      <c r="D1289" s="275"/>
      <c r="E1289" s="276"/>
      <c r="F1289" s="277"/>
      <c r="G1289" s="333">
        <f t="shared" si="1645"/>
        <v>0</v>
      </c>
      <c r="H1289" s="278">
        <v>0</v>
      </c>
      <c r="I1289" s="278">
        <v>0</v>
      </c>
      <c r="J1289" s="351" t="str">
        <f t="shared" si="1650"/>
        <v>-</v>
      </c>
      <c r="K1289" s="333">
        <f t="shared" si="1646"/>
        <v>0</v>
      </c>
      <c r="L1289" s="272">
        <f t="shared" si="1647"/>
        <v>0</v>
      </c>
      <c r="M1289" s="273">
        <f t="shared" si="1648"/>
        <v>0</v>
      </c>
      <c r="N1289" s="337" t="str">
        <f t="shared" si="1649"/>
        <v>-</v>
      </c>
      <c r="O1289" s="263" t="str">
        <f t="shared" si="1634"/>
        <v>-</v>
      </c>
    </row>
    <row r="1290" spans="1:15" ht="23.4" x14ac:dyDescent="0.3">
      <c r="A1290" s="274" t="s">
        <v>103</v>
      </c>
      <c r="B1290" s="1044"/>
      <c r="C1290" s="275" t="s">
        <v>176</v>
      </c>
      <c r="D1290" s="275" t="s">
        <v>177</v>
      </c>
      <c r="E1290" s="276"/>
      <c r="F1290" s="277"/>
      <c r="G1290" s="333">
        <f t="shared" si="1645"/>
        <v>0</v>
      </c>
      <c r="H1290" s="278">
        <v>0</v>
      </c>
      <c r="I1290" s="278">
        <v>0</v>
      </c>
      <c r="J1290" s="351" t="str">
        <f t="shared" si="1650"/>
        <v>-</v>
      </c>
      <c r="K1290" s="333">
        <f t="shared" si="1646"/>
        <v>0</v>
      </c>
      <c r="L1290" s="272">
        <f t="shared" si="1647"/>
        <v>0</v>
      </c>
      <c r="M1290" s="273">
        <f t="shared" si="1648"/>
        <v>0</v>
      </c>
      <c r="N1290" s="337" t="str">
        <f t="shared" si="1649"/>
        <v>-</v>
      </c>
      <c r="O1290" s="263" t="str">
        <f t="shared" si="1634"/>
        <v>-</v>
      </c>
    </row>
    <row r="1291" spans="1:15" ht="23.4" x14ac:dyDescent="0.3">
      <c r="A1291" s="274" t="s">
        <v>103</v>
      </c>
      <c r="B1291" s="1044"/>
      <c r="C1291" s="275" t="s">
        <v>179</v>
      </c>
      <c r="D1291" s="275" t="s">
        <v>178</v>
      </c>
      <c r="E1291" s="276"/>
      <c r="F1291" s="277"/>
      <c r="G1291" s="333">
        <f t="shared" si="1645"/>
        <v>0</v>
      </c>
      <c r="H1291" s="278">
        <v>0</v>
      </c>
      <c r="I1291" s="278">
        <v>0</v>
      </c>
      <c r="J1291" s="351" t="str">
        <f t="shared" si="1650"/>
        <v>-</v>
      </c>
      <c r="K1291" s="333">
        <f t="shared" si="1646"/>
        <v>0</v>
      </c>
      <c r="L1291" s="272">
        <f t="shared" si="1647"/>
        <v>0</v>
      </c>
      <c r="M1291" s="273">
        <f t="shared" si="1648"/>
        <v>0</v>
      </c>
      <c r="N1291" s="337" t="str">
        <f t="shared" si="1649"/>
        <v>-</v>
      </c>
      <c r="O1291" s="263" t="str">
        <f t="shared" si="1634"/>
        <v>-</v>
      </c>
    </row>
    <row r="1292" spans="1:15" ht="24" thickBot="1" x14ac:dyDescent="0.35">
      <c r="A1292" s="274" t="s">
        <v>103</v>
      </c>
      <c r="B1292" s="1045"/>
      <c r="C1292" s="286" t="s">
        <v>180</v>
      </c>
      <c r="D1292" s="286" t="s">
        <v>107</v>
      </c>
      <c r="E1292" s="280"/>
      <c r="F1292" s="281"/>
      <c r="G1292" s="334">
        <f t="shared" si="1645"/>
        <v>0</v>
      </c>
      <c r="H1292" s="282">
        <v>0</v>
      </c>
      <c r="I1292" s="282">
        <v>0</v>
      </c>
      <c r="J1292" s="351" t="str">
        <f t="shared" si="1650"/>
        <v>-</v>
      </c>
      <c r="K1292" s="334">
        <f t="shared" si="1646"/>
        <v>0</v>
      </c>
      <c r="L1292" s="272">
        <f t="shared" si="1647"/>
        <v>0</v>
      </c>
      <c r="M1292" s="273">
        <f t="shared" si="1648"/>
        <v>0</v>
      </c>
      <c r="N1292" s="338" t="str">
        <f t="shared" si="1649"/>
        <v>-</v>
      </c>
      <c r="O1292" s="347" t="str">
        <f t="shared" si="1634"/>
        <v>-</v>
      </c>
    </row>
    <row r="1293" spans="1:15" ht="24" thickBot="1" x14ac:dyDescent="0.35">
      <c r="A1293" s="274" t="s">
        <v>103</v>
      </c>
      <c r="B1293" s="1025" t="s">
        <v>29</v>
      </c>
      <c r="C1293" s="1083"/>
      <c r="D1293" s="1084"/>
      <c r="E1293" s="366">
        <f t="shared" ref="E1293" si="1651">SUM(E1286:E1292)</f>
        <v>0</v>
      </c>
      <c r="F1293" s="307">
        <v>80000</v>
      </c>
      <c r="G1293" s="366">
        <f>SUM(G1286:G1292)</f>
        <v>0</v>
      </c>
      <c r="H1293" s="365">
        <f t="shared" ref="H1293:I1293" si="1652">SUM(H1286:H1292)</f>
        <v>0</v>
      </c>
      <c r="I1293" s="365">
        <f t="shared" si="1652"/>
        <v>0</v>
      </c>
      <c r="J1293" s="356">
        <f>+G1293/F1293</f>
        <v>0</v>
      </c>
      <c r="K1293" s="366">
        <f t="shared" ref="K1293" si="1653">SUM(K1286:K1292)</f>
        <v>0</v>
      </c>
      <c r="L1293" s="365">
        <f>SUM(L1286:L1292)</f>
        <v>0</v>
      </c>
      <c r="M1293" s="367">
        <f t="shared" ref="M1293" si="1654">SUM(M1286:M1292)</f>
        <v>0</v>
      </c>
      <c r="N1293" s="355" t="str">
        <f t="shared" si="1649"/>
        <v>-</v>
      </c>
      <c r="O1293" s="356" t="str">
        <f t="shared" si="1634"/>
        <v>-</v>
      </c>
    </row>
    <row r="1294" spans="1:15" ht="23.4" x14ac:dyDescent="0.3">
      <c r="A1294" s="252" t="s">
        <v>103</v>
      </c>
      <c r="B1294" s="1037" t="s">
        <v>19</v>
      </c>
      <c r="C1294" s="669" t="s">
        <v>235</v>
      </c>
      <c r="D1294" s="883" t="s">
        <v>177</v>
      </c>
      <c r="E1294" s="912"/>
      <c r="F1294" s="838">
        <v>220000</v>
      </c>
      <c r="G1294" s="457">
        <f t="shared" ref="G1294:G1300" si="1655">+H1294+I1294</f>
        <v>127111</v>
      </c>
      <c r="H1294" s="458">
        <f>42240+84480</f>
        <v>126720</v>
      </c>
      <c r="I1294" s="458">
        <f>175+216</f>
        <v>391</v>
      </c>
      <c r="J1294" s="531">
        <f>IFERROR(G1294/F1294,"-")</f>
        <v>0.57777727272727275</v>
      </c>
      <c r="K1294" s="869">
        <f>+L1294+M1294</f>
        <v>127111</v>
      </c>
      <c r="L1294" s="527">
        <f t="shared" ref="L1294:L1300" si="1656">+H1294+L1177</f>
        <v>126720</v>
      </c>
      <c r="M1294" s="838">
        <f t="shared" ref="M1294:M1300" si="1657">+I1294+M1177</f>
        <v>391</v>
      </c>
      <c r="N1294" s="646" t="str">
        <f>IFERROR(K1294/E1294,"-")</f>
        <v>-</v>
      </c>
      <c r="O1294" s="647">
        <f t="shared" si="1634"/>
        <v>3.0760516399052796E-3</v>
      </c>
    </row>
    <row r="1295" spans="1:15" ht="23.4" x14ac:dyDescent="0.3">
      <c r="A1295" s="252"/>
      <c r="B1295" s="1038"/>
      <c r="C1295" s="840" t="s">
        <v>377</v>
      </c>
      <c r="D1295" s="876" t="s">
        <v>423</v>
      </c>
      <c r="E1295" s="511">
        <v>1000000</v>
      </c>
      <c r="F1295" s="277"/>
      <c r="G1295" s="333">
        <f t="shared" si="1655"/>
        <v>0</v>
      </c>
      <c r="H1295" s="278">
        <v>0</v>
      </c>
      <c r="I1295" s="278">
        <v>0</v>
      </c>
      <c r="J1295" s="352" t="str">
        <f t="shared" ref="J1295:J1300" si="1658">IFERROR(G1295/F1295,"-")</f>
        <v>-</v>
      </c>
      <c r="K1295" s="870">
        <f>+L1295+M1295</f>
        <v>576188</v>
      </c>
      <c r="L1295" s="276">
        <f t="shared" si="1656"/>
        <v>574464</v>
      </c>
      <c r="M1295" s="277">
        <f t="shared" si="1657"/>
        <v>1724</v>
      </c>
      <c r="N1295" s="836">
        <f t="shared" ref="N1295:N1300" si="1659">IFERROR(K1295/E1295,"-")</f>
        <v>0.57618800000000003</v>
      </c>
      <c r="O1295" s="263">
        <f>IFERROR(M1295/K1295,"-")</f>
        <v>2.9920789742236909E-3</v>
      </c>
    </row>
    <row r="1296" spans="1:15" ht="23.4" x14ac:dyDescent="0.3">
      <c r="A1296" s="252"/>
      <c r="B1296" s="1038"/>
      <c r="C1296" s="840" t="s">
        <v>235</v>
      </c>
      <c r="D1296" s="876" t="s">
        <v>522</v>
      </c>
      <c r="E1296" s="511"/>
      <c r="F1296" s="277"/>
      <c r="G1296" s="333">
        <f t="shared" si="1655"/>
        <v>0</v>
      </c>
      <c r="H1296" s="278">
        <v>0</v>
      </c>
      <c r="I1296" s="278">
        <v>0</v>
      </c>
      <c r="J1296" s="352" t="str">
        <f t="shared" si="1658"/>
        <v>-</v>
      </c>
      <c r="K1296" s="870">
        <f t="shared" ref="K1296:K1299" si="1660">+L1296+M1296</f>
        <v>214277</v>
      </c>
      <c r="L1296" s="276">
        <f t="shared" si="1656"/>
        <v>213712</v>
      </c>
      <c r="M1296" s="277">
        <f t="shared" si="1657"/>
        <v>565</v>
      </c>
      <c r="N1296" s="836" t="str">
        <f t="shared" si="1659"/>
        <v>-</v>
      </c>
      <c r="O1296" s="263">
        <f t="shared" ref="O1296:O1357" si="1661">IFERROR(M1296/K1296,"-")</f>
        <v>2.6367738954717491E-3</v>
      </c>
    </row>
    <row r="1297" spans="1:15" ht="23.4" x14ac:dyDescent="0.3">
      <c r="A1297" s="252"/>
      <c r="B1297" s="1038"/>
      <c r="C1297" s="840" t="s">
        <v>377</v>
      </c>
      <c r="D1297" s="876" t="s">
        <v>522</v>
      </c>
      <c r="E1297" s="511"/>
      <c r="F1297" s="277"/>
      <c r="G1297" s="333">
        <f t="shared" si="1655"/>
        <v>0</v>
      </c>
      <c r="H1297" s="278">
        <v>0</v>
      </c>
      <c r="I1297" s="278">
        <v>0</v>
      </c>
      <c r="J1297" s="352" t="str">
        <f t="shared" si="1658"/>
        <v>-</v>
      </c>
      <c r="K1297" s="870">
        <f t="shared" si="1660"/>
        <v>288207</v>
      </c>
      <c r="L1297" s="276">
        <f t="shared" si="1656"/>
        <v>287232</v>
      </c>
      <c r="M1297" s="277">
        <f t="shared" si="1657"/>
        <v>975</v>
      </c>
      <c r="N1297" s="836" t="str">
        <f t="shared" si="1659"/>
        <v>-</v>
      </c>
      <c r="O1297" s="263">
        <f t="shared" si="1661"/>
        <v>3.3829851460929123E-3</v>
      </c>
    </row>
    <row r="1298" spans="1:15" ht="23.4" x14ac:dyDescent="0.3">
      <c r="A1298" s="252"/>
      <c r="B1298" s="1038"/>
      <c r="C1298" s="840" t="s">
        <v>551</v>
      </c>
      <c r="D1298" s="876" t="s">
        <v>522</v>
      </c>
      <c r="E1298" s="511"/>
      <c r="F1298" s="277"/>
      <c r="G1298" s="333">
        <f t="shared" si="1655"/>
        <v>6976</v>
      </c>
      <c r="H1298" s="278">
        <f>4336+2000</f>
        <v>6336</v>
      </c>
      <c r="I1298" s="278">
        <f>640</f>
        <v>640</v>
      </c>
      <c r="J1298" s="352" t="str">
        <f t="shared" si="1658"/>
        <v>-</v>
      </c>
      <c r="K1298" s="870">
        <f t="shared" si="1660"/>
        <v>151526</v>
      </c>
      <c r="L1298" s="276">
        <f t="shared" si="1656"/>
        <v>149952</v>
      </c>
      <c r="M1298" s="277">
        <f t="shared" si="1657"/>
        <v>1574</v>
      </c>
      <c r="N1298" s="836" t="str">
        <f t="shared" si="1659"/>
        <v>-</v>
      </c>
      <c r="O1298" s="263">
        <f t="shared" si="1661"/>
        <v>1.0387656243812942E-2</v>
      </c>
    </row>
    <row r="1299" spans="1:15" ht="23.4" x14ac:dyDescent="0.3">
      <c r="A1299" s="252"/>
      <c r="B1299" s="1038"/>
      <c r="C1299" s="840"/>
      <c r="D1299" s="876"/>
      <c r="E1299" s="511"/>
      <c r="F1299" s="277"/>
      <c r="G1299" s="333">
        <f t="shared" si="1655"/>
        <v>0</v>
      </c>
      <c r="H1299" s="278">
        <v>0</v>
      </c>
      <c r="I1299" s="278">
        <v>0</v>
      </c>
      <c r="J1299" s="352" t="str">
        <f t="shared" si="1658"/>
        <v>-</v>
      </c>
      <c r="K1299" s="870">
        <f t="shared" si="1660"/>
        <v>0</v>
      </c>
      <c r="L1299" s="276">
        <f t="shared" si="1656"/>
        <v>0</v>
      </c>
      <c r="M1299" s="277">
        <f t="shared" si="1657"/>
        <v>0</v>
      </c>
      <c r="N1299" s="836" t="str">
        <f t="shared" si="1659"/>
        <v>-</v>
      </c>
      <c r="O1299" s="263" t="str">
        <f t="shared" si="1661"/>
        <v>-</v>
      </c>
    </row>
    <row r="1300" spans="1:15" ht="24" thickBot="1" x14ac:dyDescent="0.35">
      <c r="A1300" s="252"/>
      <c r="B1300" s="1039"/>
      <c r="C1300" s="670" t="s">
        <v>342</v>
      </c>
      <c r="D1300" s="884"/>
      <c r="E1300" s="913">
        <v>150000</v>
      </c>
      <c r="F1300" s="839"/>
      <c r="G1300" s="460">
        <f t="shared" si="1655"/>
        <v>0</v>
      </c>
      <c r="H1300" s="461">
        <v>0</v>
      </c>
      <c r="I1300" s="461">
        <v>0</v>
      </c>
      <c r="J1300" s="532" t="str">
        <f t="shared" si="1658"/>
        <v>-</v>
      </c>
      <c r="K1300" s="871">
        <f>+L1300+M1300</f>
        <v>0</v>
      </c>
      <c r="L1300" s="530">
        <f t="shared" si="1656"/>
        <v>0</v>
      </c>
      <c r="M1300" s="839">
        <f t="shared" si="1657"/>
        <v>0</v>
      </c>
      <c r="N1300" s="837">
        <f t="shared" si="1659"/>
        <v>0</v>
      </c>
      <c r="O1300" s="264" t="str">
        <f t="shared" si="1661"/>
        <v>-</v>
      </c>
    </row>
    <row r="1301" spans="1:15" ht="24" thickBot="1" x14ac:dyDescent="0.35">
      <c r="A1301" s="274" t="s">
        <v>103</v>
      </c>
      <c r="B1301" s="1040" t="s">
        <v>46</v>
      </c>
      <c r="C1301" s="1041"/>
      <c r="D1301" s="1042"/>
      <c r="E1301" s="513">
        <f>SUM(E1294:E1300)</f>
        <v>1150000</v>
      </c>
      <c r="F1301" s="859">
        <f t="shared" ref="F1301" si="1662">SUM(F1294)</f>
        <v>220000</v>
      </c>
      <c r="G1301" s="513">
        <f>SUM(G1294:G1300)</f>
        <v>134087</v>
      </c>
      <c r="H1301" s="519">
        <f>SUM(H1294:H1300)</f>
        <v>133056</v>
      </c>
      <c r="I1301" s="519">
        <f>SUM(I1294:I1300)</f>
        <v>1031</v>
      </c>
      <c r="J1301" s="520">
        <f>+G1301/F1301</f>
        <v>0.60948636363636366</v>
      </c>
      <c r="K1301" s="835">
        <f>SUM(K1294:K1300)</f>
        <v>1357309</v>
      </c>
      <c r="L1301" s="519">
        <f>SUM(L1294:L1300)</f>
        <v>1352080</v>
      </c>
      <c r="M1301" s="689">
        <f>SUM(M1294:M1300)</f>
        <v>5229</v>
      </c>
      <c r="N1301" s="521">
        <f>IFERROR(K1301/E1301,"-")</f>
        <v>1.180268695652174</v>
      </c>
      <c r="O1301" s="520">
        <f t="shared" si="1661"/>
        <v>3.8524757442851996E-3</v>
      </c>
    </row>
    <row r="1302" spans="1:15" ht="23.4" x14ac:dyDescent="0.3">
      <c r="A1302" s="274" t="s">
        <v>103</v>
      </c>
      <c r="B1302" s="1043" t="s">
        <v>20</v>
      </c>
      <c r="C1302" s="291" t="s">
        <v>317</v>
      </c>
      <c r="D1302" s="291" t="s">
        <v>289</v>
      </c>
      <c r="E1302" s="270"/>
      <c r="F1302" s="271"/>
      <c r="G1302" s="332">
        <f t="shared" ref="G1302:G1304" si="1663">+H1302+I1302</f>
        <v>0</v>
      </c>
      <c r="H1302" s="272">
        <v>0</v>
      </c>
      <c r="I1302" s="272">
        <v>0</v>
      </c>
      <c r="J1302" s="351" t="str">
        <f>IFERROR(G1302/F1302,"-")</f>
        <v>-</v>
      </c>
      <c r="K1302" s="332">
        <f t="shared" ref="K1302:K1304" si="1664">+L1302+M1302</f>
        <v>0</v>
      </c>
      <c r="L1302" s="272">
        <f t="shared" ref="L1302:L1304" si="1665">+H1302+L1185</f>
        <v>0</v>
      </c>
      <c r="M1302" s="273">
        <f t="shared" ref="M1302:M1304" si="1666">+I1302+M1185</f>
        <v>0</v>
      </c>
      <c r="N1302" s="336" t="str">
        <f t="shared" ref="N1302:N1305" si="1667">IFERROR(K1302/E1302,"-")</f>
        <v>-</v>
      </c>
      <c r="O1302" s="346" t="str">
        <f t="shared" si="1661"/>
        <v>-</v>
      </c>
    </row>
    <row r="1303" spans="1:15" ht="23.4" x14ac:dyDescent="0.3">
      <c r="A1303" s="274" t="s">
        <v>103</v>
      </c>
      <c r="B1303" s="1044"/>
      <c r="C1303" s="292" t="s">
        <v>114</v>
      </c>
      <c r="D1303" s="292"/>
      <c r="E1303" s="276"/>
      <c r="F1303" s="277"/>
      <c r="G1303" s="333">
        <f t="shared" si="1663"/>
        <v>0</v>
      </c>
      <c r="H1303" s="278">
        <v>0</v>
      </c>
      <c r="I1303" s="278">
        <v>0</v>
      </c>
      <c r="J1303" s="351" t="str">
        <f t="shared" ref="J1303:J1304" si="1668">IFERROR(G1303/F1303,"-")</f>
        <v>-</v>
      </c>
      <c r="K1303" s="333">
        <f t="shared" si="1664"/>
        <v>0</v>
      </c>
      <c r="L1303" s="272">
        <f t="shared" si="1665"/>
        <v>0</v>
      </c>
      <c r="M1303" s="273">
        <f t="shared" si="1666"/>
        <v>0</v>
      </c>
      <c r="N1303" s="337" t="str">
        <f t="shared" si="1667"/>
        <v>-</v>
      </c>
      <c r="O1303" s="263" t="str">
        <f t="shared" si="1661"/>
        <v>-</v>
      </c>
    </row>
    <row r="1304" spans="1:15" ht="24" thickBot="1" x14ac:dyDescent="0.35">
      <c r="A1304" s="274" t="s">
        <v>103</v>
      </c>
      <c r="B1304" s="1045"/>
      <c r="C1304" s="293" t="s">
        <v>120</v>
      </c>
      <c r="D1304" s="293"/>
      <c r="E1304" s="280"/>
      <c r="F1304" s="281"/>
      <c r="G1304" s="334">
        <f t="shared" si="1663"/>
        <v>0</v>
      </c>
      <c r="H1304" s="282">
        <v>0</v>
      </c>
      <c r="I1304" s="282">
        <v>0</v>
      </c>
      <c r="J1304" s="351" t="str">
        <f t="shared" si="1668"/>
        <v>-</v>
      </c>
      <c r="K1304" s="334">
        <f t="shared" si="1664"/>
        <v>0</v>
      </c>
      <c r="L1304" s="272">
        <f t="shared" si="1665"/>
        <v>0</v>
      </c>
      <c r="M1304" s="273">
        <f t="shared" si="1666"/>
        <v>0</v>
      </c>
      <c r="N1304" s="338" t="str">
        <f t="shared" si="1667"/>
        <v>-</v>
      </c>
      <c r="O1304" s="347" t="str">
        <f t="shared" si="1661"/>
        <v>-</v>
      </c>
    </row>
    <row r="1305" spans="1:15" ht="24" thickBot="1" x14ac:dyDescent="0.35">
      <c r="A1305" s="274" t="s">
        <v>103</v>
      </c>
      <c r="B1305" s="1026" t="s">
        <v>47</v>
      </c>
      <c r="C1305" s="1026"/>
      <c r="D1305" s="1046"/>
      <c r="E1305" s="320">
        <f t="shared" ref="E1305" si="1669">SUM(E1302:E1304)</f>
        <v>0</v>
      </c>
      <c r="F1305" s="285">
        <v>50000</v>
      </c>
      <c r="G1305" s="320">
        <f>SUM(G1302:G1304)</f>
        <v>0</v>
      </c>
      <c r="H1305" s="321">
        <f t="shared" ref="H1305:I1305" si="1670">SUM(H1302:H1304)</f>
        <v>0</v>
      </c>
      <c r="I1305" s="321">
        <f t="shared" si="1670"/>
        <v>0</v>
      </c>
      <c r="J1305" s="345">
        <f>+G1305/F1305</f>
        <v>0</v>
      </c>
      <c r="K1305" s="320">
        <f t="shared" ref="K1305:M1305" si="1671">SUM(K1302:K1304)</f>
        <v>0</v>
      </c>
      <c r="L1305" s="321">
        <f t="shared" si="1671"/>
        <v>0</v>
      </c>
      <c r="M1305" s="322">
        <f t="shared" si="1671"/>
        <v>0</v>
      </c>
      <c r="N1305" s="339" t="str">
        <f t="shared" si="1667"/>
        <v>-</v>
      </c>
      <c r="O1305" s="345" t="str">
        <f t="shared" si="1661"/>
        <v>-</v>
      </c>
    </row>
    <row r="1306" spans="1:15" ht="24" thickBot="1" x14ac:dyDescent="0.35">
      <c r="A1306" s="274" t="s">
        <v>103</v>
      </c>
      <c r="B1306" s="1047" t="s">
        <v>21</v>
      </c>
      <c r="C1306" s="1048"/>
      <c r="D1306" s="1049"/>
      <c r="E1306" s="326">
        <f>+E1277+E1285+E1293+E1301+E1305</f>
        <v>3770000</v>
      </c>
      <c r="F1306" s="327">
        <f>+F1277+F1285+F1293+F1301+F1305</f>
        <v>465000</v>
      </c>
      <c r="G1306" s="326">
        <f>+G1277+G1285+G1293+G1301+G1305</f>
        <v>203150</v>
      </c>
      <c r="H1306" s="324">
        <f>+H1277+H1285+H1293+H1301+H1305</f>
        <v>201616</v>
      </c>
      <c r="I1306" s="324">
        <f>+I1277+I1285+I1293+I1301+I1305</f>
        <v>1534</v>
      </c>
      <c r="J1306" s="349">
        <f>+G1306/F1306</f>
        <v>0.43688172043010753</v>
      </c>
      <c r="K1306" s="326">
        <f>+K1277+K1285+K1293+K1301+K1305</f>
        <v>2386702</v>
      </c>
      <c r="L1306" s="324">
        <f>+L1277+L1285+L1293+L1301+L1305</f>
        <v>2374210</v>
      </c>
      <c r="M1306" s="325">
        <f>+M1277+M1285+M1293+M1301+M1305</f>
        <v>12492</v>
      </c>
      <c r="N1306" s="341">
        <f>IFERROR(K1306/E1306,"-")</f>
        <v>0.63307745358090184</v>
      </c>
      <c r="O1306" s="349">
        <f t="shared" si="1661"/>
        <v>5.2340007256875803E-3</v>
      </c>
    </row>
    <row r="1307" spans="1:15" ht="23.4" x14ac:dyDescent="0.3">
      <c r="A1307" s="274" t="s">
        <v>103</v>
      </c>
      <c r="B1307" s="1043" t="s">
        <v>400</v>
      </c>
      <c r="C1307" s="269" t="s">
        <v>125</v>
      </c>
      <c r="D1307" s="269"/>
      <c r="E1307" s="270"/>
      <c r="F1307" s="271"/>
      <c r="G1307" s="332">
        <f t="shared" ref="G1307:G1310" si="1672">+H1307+I1307</f>
        <v>0</v>
      </c>
      <c r="H1307" s="272">
        <v>0</v>
      </c>
      <c r="I1307" s="272">
        <v>0</v>
      </c>
      <c r="J1307" s="351" t="str">
        <f>IFERROR(G1307/F1307,"-")</f>
        <v>-</v>
      </c>
      <c r="K1307" s="332">
        <f t="shared" ref="K1307:K1310" si="1673">+L1307+M1307</f>
        <v>0</v>
      </c>
      <c r="L1307" s="272">
        <f t="shared" ref="L1307:L1310" si="1674">+H1307+L1190</f>
        <v>0</v>
      </c>
      <c r="M1307" s="273">
        <f t="shared" ref="M1307:M1310" si="1675">+I1307+M1190</f>
        <v>0</v>
      </c>
      <c r="N1307" s="336" t="str">
        <f t="shared" ref="N1307:N1322" si="1676">IFERROR(K1307/E1307,"-")</f>
        <v>-</v>
      </c>
      <c r="O1307" s="346" t="str">
        <f t="shared" si="1661"/>
        <v>-</v>
      </c>
    </row>
    <row r="1308" spans="1:15" ht="23.4" x14ac:dyDescent="0.3">
      <c r="A1308" s="274" t="s">
        <v>103</v>
      </c>
      <c r="B1308" s="1044"/>
      <c r="C1308" s="295" t="s">
        <v>263</v>
      </c>
      <c r="D1308" s="295" t="s">
        <v>181</v>
      </c>
      <c r="E1308" s="276"/>
      <c r="F1308" s="277"/>
      <c r="G1308" s="333">
        <f t="shared" si="1672"/>
        <v>0</v>
      </c>
      <c r="H1308" s="278">
        <v>0</v>
      </c>
      <c r="I1308" s="278">
        <v>0</v>
      </c>
      <c r="J1308" s="351" t="str">
        <f t="shared" ref="J1308:J1310" si="1677">IFERROR(G1308/F1308,"-")</f>
        <v>-</v>
      </c>
      <c r="K1308" s="333">
        <f t="shared" si="1673"/>
        <v>0</v>
      </c>
      <c r="L1308" s="272">
        <f t="shared" si="1674"/>
        <v>0</v>
      </c>
      <c r="M1308" s="273">
        <f t="shared" si="1675"/>
        <v>0</v>
      </c>
      <c r="N1308" s="337" t="str">
        <f t="shared" si="1676"/>
        <v>-</v>
      </c>
      <c r="O1308" s="263" t="str">
        <f t="shared" si="1661"/>
        <v>-</v>
      </c>
    </row>
    <row r="1309" spans="1:15" ht="23.4" x14ac:dyDescent="0.3">
      <c r="A1309" s="274" t="s">
        <v>103</v>
      </c>
      <c r="B1309" s="1044"/>
      <c r="C1309" s="295" t="s">
        <v>362</v>
      </c>
      <c r="D1309" s="295" t="s">
        <v>181</v>
      </c>
      <c r="E1309" s="276"/>
      <c r="F1309" s="277"/>
      <c r="G1309" s="333">
        <f t="shared" si="1672"/>
        <v>0</v>
      </c>
      <c r="H1309" s="278">
        <v>0</v>
      </c>
      <c r="I1309" s="278">
        <v>0</v>
      </c>
      <c r="J1309" s="351" t="str">
        <f t="shared" si="1677"/>
        <v>-</v>
      </c>
      <c r="K1309" s="333">
        <f t="shared" si="1673"/>
        <v>0</v>
      </c>
      <c r="L1309" s="272">
        <f t="shared" si="1674"/>
        <v>0</v>
      </c>
      <c r="M1309" s="273">
        <f t="shared" si="1675"/>
        <v>0</v>
      </c>
      <c r="N1309" s="337" t="str">
        <f t="shared" si="1676"/>
        <v>-</v>
      </c>
      <c r="O1309" s="263" t="str">
        <f t="shared" si="1661"/>
        <v>-</v>
      </c>
    </row>
    <row r="1310" spans="1:15" ht="24" thickBot="1" x14ac:dyDescent="0.35">
      <c r="A1310" s="274" t="s">
        <v>103</v>
      </c>
      <c r="B1310" s="1045"/>
      <c r="C1310" s="279" t="s">
        <v>182</v>
      </c>
      <c r="D1310" s="279" t="s">
        <v>93</v>
      </c>
      <c r="E1310" s="280"/>
      <c r="F1310" s="281"/>
      <c r="G1310" s="334">
        <f t="shared" si="1672"/>
        <v>33750</v>
      </c>
      <c r="H1310" s="278">
        <v>33660</v>
      </c>
      <c r="I1310" s="278">
        <v>90</v>
      </c>
      <c r="J1310" s="351" t="str">
        <f t="shared" si="1677"/>
        <v>-</v>
      </c>
      <c r="K1310" s="334">
        <f t="shared" si="1673"/>
        <v>119090</v>
      </c>
      <c r="L1310" s="272">
        <f t="shared" si="1674"/>
        <v>118800</v>
      </c>
      <c r="M1310" s="273">
        <f t="shared" si="1675"/>
        <v>290</v>
      </c>
      <c r="N1310" s="338" t="str">
        <f t="shared" si="1676"/>
        <v>-</v>
      </c>
      <c r="O1310" s="347">
        <f t="shared" si="1661"/>
        <v>2.4351330926190278E-3</v>
      </c>
    </row>
    <row r="1311" spans="1:15" ht="24" thickBot="1" x14ac:dyDescent="0.35">
      <c r="A1311" s="274" t="s">
        <v>103</v>
      </c>
      <c r="B1311" s="1025" t="s">
        <v>48</v>
      </c>
      <c r="C1311" s="1026"/>
      <c r="D1311" s="1027"/>
      <c r="E1311" s="284">
        <f>SUM(E1307:E1310)</f>
        <v>0</v>
      </c>
      <c r="F1311" s="285">
        <v>80000</v>
      </c>
      <c r="G1311" s="320">
        <f>SUM(G1307:G1310)</f>
        <v>33750</v>
      </c>
      <c r="H1311" s="321">
        <f t="shared" ref="H1311:I1311" si="1678">SUM(H1307:H1310)</f>
        <v>33660</v>
      </c>
      <c r="I1311" s="321">
        <f t="shared" si="1678"/>
        <v>90</v>
      </c>
      <c r="J1311" s="345">
        <f>+G1311/F1311</f>
        <v>0.421875</v>
      </c>
      <c r="K1311" s="320">
        <f t="shared" ref="K1311" si="1679">SUM(K1307:K1310)</f>
        <v>119090</v>
      </c>
      <c r="L1311" s="321">
        <f>SUM(L1307:L1310)</f>
        <v>118800</v>
      </c>
      <c r="M1311" s="322">
        <f t="shared" ref="M1311" si="1680">SUM(M1307:M1310)</f>
        <v>290</v>
      </c>
      <c r="N1311" s="339" t="str">
        <f t="shared" si="1676"/>
        <v>-</v>
      </c>
      <c r="O1311" s="345">
        <f t="shared" si="1661"/>
        <v>2.4351330926190278E-3</v>
      </c>
    </row>
    <row r="1312" spans="1:15" ht="23.4" x14ac:dyDescent="0.3">
      <c r="A1312" s="274" t="s">
        <v>103</v>
      </c>
      <c r="B1312" s="1043" t="s">
        <v>23</v>
      </c>
      <c r="C1312" s="275" t="s">
        <v>500</v>
      </c>
      <c r="D1312" s="296" t="s">
        <v>238</v>
      </c>
      <c r="E1312" s="270">
        <v>10000</v>
      </c>
      <c r="F1312" s="271"/>
      <c r="G1312" s="332">
        <f t="shared" ref="G1312:G1320" si="1681">+H1312+I1312</f>
        <v>0</v>
      </c>
      <c r="H1312" s="272">
        <v>0</v>
      </c>
      <c r="I1312" s="272">
        <v>0</v>
      </c>
      <c r="J1312" s="351" t="str">
        <f>IFERROR(G1312/F1312,"-")</f>
        <v>-</v>
      </c>
      <c r="K1312" s="332">
        <f t="shared" ref="K1312:K1320" si="1682">+L1312+M1312</f>
        <v>0</v>
      </c>
      <c r="L1312" s="272">
        <f t="shared" ref="L1312:L1320" si="1683">+H1312+L1195</f>
        <v>0</v>
      </c>
      <c r="M1312" s="273">
        <f t="shared" ref="M1312:M1320" si="1684">+I1312+M1195</f>
        <v>0</v>
      </c>
      <c r="N1312" s="336">
        <f t="shared" si="1676"/>
        <v>0</v>
      </c>
      <c r="O1312" s="346" t="str">
        <f t="shared" si="1661"/>
        <v>-</v>
      </c>
    </row>
    <row r="1313" spans="1:15" ht="23.4" x14ac:dyDescent="0.3">
      <c r="A1313" s="274" t="s">
        <v>103</v>
      </c>
      <c r="B1313" s="1044"/>
      <c r="C1313" s="275" t="s">
        <v>24</v>
      </c>
      <c r="D1313" s="275" t="s">
        <v>238</v>
      </c>
      <c r="E1313" s="276">
        <v>112000</v>
      </c>
      <c r="F1313" s="277"/>
      <c r="G1313" s="333">
        <f t="shared" si="1681"/>
        <v>0</v>
      </c>
      <c r="H1313" s="278">
        <v>0</v>
      </c>
      <c r="I1313" s="278">
        <v>0</v>
      </c>
      <c r="J1313" s="351" t="str">
        <f t="shared" ref="J1313:J1320" si="1685">IFERROR(G1313/F1313,"-")</f>
        <v>-</v>
      </c>
      <c r="K1313" s="333">
        <f t="shared" si="1682"/>
        <v>0</v>
      </c>
      <c r="L1313" s="272">
        <f t="shared" si="1683"/>
        <v>0</v>
      </c>
      <c r="M1313" s="273">
        <f t="shared" si="1684"/>
        <v>0</v>
      </c>
      <c r="N1313" s="337">
        <f t="shared" si="1676"/>
        <v>0</v>
      </c>
      <c r="O1313" s="263" t="str">
        <f t="shared" si="1661"/>
        <v>-</v>
      </c>
    </row>
    <row r="1314" spans="1:15" ht="23.4" x14ac:dyDescent="0.3">
      <c r="A1314" s="274" t="s">
        <v>103</v>
      </c>
      <c r="B1314" s="1044"/>
      <c r="C1314" s="275" t="s">
        <v>236</v>
      </c>
      <c r="D1314" s="275" t="s">
        <v>238</v>
      </c>
      <c r="E1314" s="276">
        <v>40000</v>
      </c>
      <c r="F1314" s="277"/>
      <c r="G1314" s="333">
        <f t="shared" si="1681"/>
        <v>0</v>
      </c>
      <c r="H1314" s="278">
        <v>0</v>
      </c>
      <c r="I1314" s="278">
        <v>0</v>
      </c>
      <c r="J1314" s="351" t="str">
        <f t="shared" si="1685"/>
        <v>-</v>
      </c>
      <c r="K1314" s="333">
        <f t="shared" si="1682"/>
        <v>0</v>
      </c>
      <c r="L1314" s="272">
        <f t="shared" si="1683"/>
        <v>0</v>
      </c>
      <c r="M1314" s="273">
        <f t="shared" si="1684"/>
        <v>0</v>
      </c>
      <c r="N1314" s="337">
        <f t="shared" si="1676"/>
        <v>0</v>
      </c>
      <c r="O1314" s="263" t="str">
        <f t="shared" si="1661"/>
        <v>-</v>
      </c>
    </row>
    <row r="1315" spans="1:15" ht="23.4" x14ac:dyDescent="0.3">
      <c r="A1315" s="274" t="s">
        <v>103</v>
      </c>
      <c r="B1315" s="1044"/>
      <c r="C1315" s="275" t="s">
        <v>239</v>
      </c>
      <c r="D1315" s="275" t="s">
        <v>238</v>
      </c>
      <c r="E1315" s="276">
        <v>4000</v>
      </c>
      <c r="F1315" s="277"/>
      <c r="G1315" s="333">
        <f t="shared" si="1681"/>
        <v>0</v>
      </c>
      <c r="H1315" s="278">
        <v>0</v>
      </c>
      <c r="I1315" s="278">
        <v>0</v>
      </c>
      <c r="J1315" s="351" t="str">
        <f t="shared" si="1685"/>
        <v>-</v>
      </c>
      <c r="K1315" s="333">
        <f t="shared" si="1682"/>
        <v>0</v>
      </c>
      <c r="L1315" s="272">
        <f t="shared" si="1683"/>
        <v>0</v>
      </c>
      <c r="M1315" s="273">
        <f t="shared" si="1684"/>
        <v>0</v>
      </c>
      <c r="N1315" s="337">
        <f t="shared" si="1676"/>
        <v>0</v>
      </c>
      <c r="O1315" s="263" t="str">
        <f t="shared" si="1661"/>
        <v>-</v>
      </c>
    </row>
    <row r="1316" spans="1:15" ht="23.4" x14ac:dyDescent="0.3">
      <c r="A1316" s="274" t="s">
        <v>103</v>
      </c>
      <c r="B1316" s="1044"/>
      <c r="C1316" s="295" t="s">
        <v>394</v>
      </c>
      <c r="D1316" s="275" t="s">
        <v>238</v>
      </c>
      <c r="E1316" s="276">
        <v>8500</v>
      </c>
      <c r="F1316" s="277"/>
      <c r="G1316" s="333">
        <f t="shared" si="1681"/>
        <v>0</v>
      </c>
      <c r="H1316" s="278">
        <v>0</v>
      </c>
      <c r="I1316" s="278">
        <v>0</v>
      </c>
      <c r="J1316" s="351" t="str">
        <f t="shared" si="1685"/>
        <v>-</v>
      </c>
      <c r="K1316" s="333">
        <f t="shared" si="1682"/>
        <v>0</v>
      </c>
      <c r="L1316" s="272">
        <f t="shared" si="1683"/>
        <v>0</v>
      </c>
      <c r="M1316" s="273">
        <f t="shared" si="1684"/>
        <v>0</v>
      </c>
      <c r="N1316" s="337">
        <f t="shared" si="1676"/>
        <v>0</v>
      </c>
      <c r="O1316" s="263" t="str">
        <f t="shared" si="1661"/>
        <v>-</v>
      </c>
    </row>
    <row r="1317" spans="1:15" ht="23.4" x14ac:dyDescent="0.3">
      <c r="A1317" s="274" t="s">
        <v>103</v>
      </c>
      <c r="B1317" s="1044"/>
      <c r="C1317" s="295" t="s">
        <v>422</v>
      </c>
      <c r="D1317" s="275" t="s">
        <v>238</v>
      </c>
      <c r="E1317" s="276">
        <v>10000</v>
      </c>
      <c r="F1317" s="277"/>
      <c r="G1317" s="333">
        <f t="shared" si="1681"/>
        <v>0</v>
      </c>
      <c r="H1317" s="278">
        <v>0</v>
      </c>
      <c r="I1317" s="278">
        <v>0</v>
      </c>
      <c r="J1317" s="351" t="str">
        <f t="shared" si="1685"/>
        <v>-</v>
      </c>
      <c r="K1317" s="333">
        <f t="shared" si="1682"/>
        <v>0</v>
      </c>
      <c r="L1317" s="272">
        <f t="shared" si="1683"/>
        <v>0</v>
      </c>
      <c r="M1317" s="273">
        <f t="shared" si="1684"/>
        <v>0</v>
      </c>
      <c r="N1317" s="337">
        <f t="shared" si="1676"/>
        <v>0</v>
      </c>
      <c r="O1317" s="263" t="str">
        <f t="shared" si="1661"/>
        <v>-</v>
      </c>
    </row>
    <row r="1318" spans="1:15" ht="23.4" x14ac:dyDescent="0.3">
      <c r="A1318" s="274" t="s">
        <v>103</v>
      </c>
      <c r="B1318" s="1044"/>
      <c r="C1318" s="295" t="s">
        <v>241</v>
      </c>
      <c r="D1318" s="275" t="s">
        <v>243</v>
      </c>
      <c r="E1318" s="276"/>
      <c r="F1318" s="277"/>
      <c r="G1318" s="333">
        <f t="shared" si="1681"/>
        <v>0</v>
      </c>
      <c r="H1318" s="278">
        <v>0</v>
      </c>
      <c r="I1318" s="278">
        <v>0</v>
      </c>
      <c r="J1318" s="351" t="str">
        <f t="shared" si="1685"/>
        <v>-</v>
      </c>
      <c r="K1318" s="333">
        <f t="shared" si="1682"/>
        <v>0</v>
      </c>
      <c r="L1318" s="272">
        <f t="shared" si="1683"/>
        <v>0</v>
      </c>
      <c r="M1318" s="273">
        <f t="shared" si="1684"/>
        <v>0</v>
      </c>
      <c r="N1318" s="337" t="str">
        <f t="shared" si="1676"/>
        <v>-</v>
      </c>
      <c r="O1318" s="263" t="str">
        <f t="shared" si="1661"/>
        <v>-</v>
      </c>
    </row>
    <row r="1319" spans="1:15" ht="23.4" x14ac:dyDescent="0.3">
      <c r="A1319" s="274"/>
      <c r="B1319" s="1045"/>
      <c r="C1319" s="295" t="s">
        <v>546</v>
      </c>
      <c r="D1319" s="275" t="s">
        <v>238</v>
      </c>
      <c r="E1319" s="280">
        <v>6000</v>
      </c>
      <c r="F1319" s="281"/>
      <c r="G1319" s="333">
        <f t="shared" si="1681"/>
        <v>0</v>
      </c>
      <c r="H1319" s="278">
        <v>0</v>
      </c>
      <c r="I1319" s="278">
        <v>0</v>
      </c>
      <c r="J1319" s="351" t="str">
        <f t="shared" si="1685"/>
        <v>-</v>
      </c>
      <c r="K1319" s="333">
        <f t="shared" si="1682"/>
        <v>0</v>
      </c>
      <c r="L1319" s="272">
        <f t="shared" si="1683"/>
        <v>0</v>
      </c>
      <c r="M1319" s="273">
        <f t="shared" si="1684"/>
        <v>0</v>
      </c>
      <c r="N1319" s="337">
        <f t="shared" si="1676"/>
        <v>0</v>
      </c>
      <c r="O1319" s="263" t="str">
        <f t="shared" si="1661"/>
        <v>-</v>
      </c>
    </row>
    <row r="1320" spans="1:15" ht="24" thickBot="1" x14ac:dyDescent="0.35">
      <c r="A1320" s="274" t="s">
        <v>103</v>
      </c>
      <c r="B1320" s="1045"/>
      <c r="C1320" s="295" t="s">
        <v>242</v>
      </c>
      <c r="D1320" s="275" t="s">
        <v>238</v>
      </c>
      <c r="E1320" s="280">
        <v>5000</v>
      </c>
      <c r="F1320" s="281"/>
      <c r="G1320" s="334">
        <f t="shared" si="1681"/>
        <v>0</v>
      </c>
      <c r="H1320" s="278">
        <v>0</v>
      </c>
      <c r="I1320" s="278">
        <v>0</v>
      </c>
      <c r="J1320" s="351" t="str">
        <f t="shared" si="1685"/>
        <v>-</v>
      </c>
      <c r="K1320" s="334">
        <f t="shared" si="1682"/>
        <v>0</v>
      </c>
      <c r="L1320" s="272">
        <f t="shared" si="1683"/>
        <v>0</v>
      </c>
      <c r="M1320" s="273">
        <f t="shared" si="1684"/>
        <v>0</v>
      </c>
      <c r="N1320" s="338">
        <f t="shared" si="1676"/>
        <v>0</v>
      </c>
      <c r="O1320" s="347" t="str">
        <f t="shared" si="1661"/>
        <v>-</v>
      </c>
    </row>
    <row r="1321" spans="1:15" ht="24" thickBot="1" x14ac:dyDescent="0.35">
      <c r="A1321" s="274" t="s">
        <v>103</v>
      </c>
      <c r="B1321" s="1025" t="s">
        <v>49</v>
      </c>
      <c r="C1321" s="1026"/>
      <c r="D1321" s="1027"/>
      <c r="E1321" s="284">
        <f>SUM(E1312:E1320)</f>
        <v>195500</v>
      </c>
      <c r="F1321" s="285">
        <v>14000</v>
      </c>
      <c r="G1321" s="320">
        <f>SUM(G1312:G1320)</f>
        <v>0</v>
      </c>
      <c r="H1321" s="321">
        <f t="shared" ref="H1321:I1321" si="1686">SUM(H1312:H1320)</f>
        <v>0</v>
      </c>
      <c r="I1321" s="321">
        <f t="shared" si="1686"/>
        <v>0</v>
      </c>
      <c r="J1321" s="345">
        <f>+G1322/F1322</f>
        <v>0.35904255319148937</v>
      </c>
      <c r="K1321" s="320">
        <f>SUM(K1312:K1320)</f>
        <v>0</v>
      </c>
      <c r="L1321" s="321">
        <f>+H1321</f>
        <v>0</v>
      </c>
      <c r="M1321" s="322">
        <f>+I1321</f>
        <v>0</v>
      </c>
      <c r="N1321" s="339">
        <f t="shared" si="1676"/>
        <v>0</v>
      </c>
      <c r="O1321" s="345" t="str">
        <f t="shared" si="1661"/>
        <v>-</v>
      </c>
    </row>
    <row r="1322" spans="1:15" ht="24" thickBot="1" x14ac:dyDescent="0.35">
      <c r="A1322" s="274" t="s">
        <v>103</v>
      </c>
      <c r="B1322" s="1047" t="s">
        <v>25</v>
      </c>
      <c r="C1322" s="1048"/>
      <c r="D1322" s="1049"/>
      <c r="E1322" s="326">
        <f t="shared" ref="E1322:F1322" si="1687">+E1311+E1321</f>
        <v>195500</v>
      </c>
      <c r="F1322" s="327">
        <f t="shared" si="1687"/>
        <v>94000</v>
      </c>
      <c r="G1322" s="326">
        <f>+G1311+G1321</f>
        <v>33750</v>
      </c>
      <c r="H1322" s="324">
        <f t="shared" ref="H1322:I1322" si="1688">+H1311+H1321</f>
        <v>33660</v>
      </c>
      <c r="I1322" s="324">
        <f t="shared" si="1688"/>
        <v>90</v>
      </c>
      <c r="J1322" s="349" t="str">
        <f>IFERROR(G1322/#REF!,"-")</f>
        <v>-</v>
      </c>
      <c r="K1322" s="326">
        <f t="shared" ref="K1322" si="1689">+K1311+K1321</f>
        <v>119090</v>
      </c>
      <c r="L1322" s="324">
        <f>+L1311+L1321</f>
        <v>118800</v>
      </c>
      <c r="M1322" s="325">
        <f t="shared" ref="M1322" si="1690">+M1311+M1321</f>
        <v>290</v>
      </c>
      <c r="N1322" s="341">
        <f t="shared" si="1676"/>
        <v>0.60915601023017907</v>
      </c>
      <c r="O1322" s="349">
        <f t="shared" si="1661"/>
        <v>2.4351330926190278E-3</v>
      </c>
    </row>
    <row r="1323" spans="1:15" ht="24" thickBot="1" x14ac:dyDescent="0.35">
      <c r="A1323" s="274" t="s">
        <v>103</v>
      </c>
      <c r="B1323" s="1019" t="s">
        <v>172</v>
      </c>
      <c r="C1323" s="1020"/>
      <c r="D1323" s="1050"/>
      <c r="E1323" s="330">
        <f>+E1306+E1322</f>
        <v>3965500</v>
      </c>
      <c r="F1323" s="331">
        <f t="shared" ref="F1323:I1323" si="1691">+F1306+F1322</f>
        <v>559000</v>
      </c>
      <c r="G1323" s="330">
        <f t="shared" si="1691"/>
        <v>236900</v>
      </c>
      <c r="H1323" s="328">
        <f t="shared" si="1691"/>
        <v>235276</v>
      </c>
      <c r="I1323" s="328">
        <f t="shared" si="1691"/>
        <v>1624</v>
      </c>
      <c r="J1323" s="350">
        <f>+G1323/F1323</f>
        <v>0.42379248658318425</v>
      </c>
      <c r="K1323" s="330">
        <f>+K1306+K1322</f>
        <v>2505792</v>
      </c>
      <c r="L1323" s="328">
        <f t="shared" ref="L1323:M1323" si="1692">+L1306+L1322</f>
        <v>2493010</v>
      </c>
      <c r="M1323" s="329">
        <f t="shared" si="1692"/>
        <v>12782</v>
      </c>
      <c r="N1323" s="342">
        <f>IFERROR(K1323/E1323,"-")</f>
        <v>0.6318981212961795</v>
      </c>
      <c r="O1323" s="350">
        <f t="shared" si="1661"/>
        <v>5.1009820447986106E-3</v>
      </c>
    </row>
    <row r="1324" spans="1:15" ht="23.4" x14ac:dyDescent="0.3">
      <c r="A1324" s="268" t="s">
        <v>101</v>
      </c>
      <c r="B1324" s="1051" t="s">
        <v>26</v>
      </c>
      <c r="C1324" s="893" t="s">
        <v>297</v>
      </c>
      <c r="D1324" s="898" t="s">
        <v>177</v>
      </c>
      <c r="E1324" s="895"/>
      <c r="F1324" s="271"/>
      <c r="G1324" s="332">
        <f t="shared" ref="G1324:G1333" si="1693">+H1324+I1324</f>
        <v>0</v>
      </c>
      <c r="H1324" s="272">
        <v>0</v>
      </c>
      <c r="I1324" s="272">
        <v>0</v>
      </c>
      <c r="J1324" s="351" t="str">
        <f>IFERROR(G1324/F1324,"-")</f>
        <v>-</v>
      </c>
      <c r="K1324" s="332">
        <f t="shared" ref="K1324:K1333" si="1694">+L1324+M1324</f>
        <v>0</v>
      </c>
      <c r="L1324" s="272">
        <f t="shared" ref="L1324:L1333" si="1695">+H1324+L1207</f>
        <v>0</v>
      </c>
      <c r="M1324" s="273">
        <f t="shared" ref="M1324:M1333" si="1696">+I1324+M1207</f>
        <v>0</v>
      </c>
      <c r="N1324" s="336" t="str">
        <f t="shared" ref="N1324:N1342" si="1697">IFERROR(K1324/E1324,"-")</f>
        <v>-</v>
      </c>
      <c r="O1324" s="346" t="str">
        <f t="shared" si="1661"/>
        <v>-</v>
      </c>
    </row>
    <row r="1325" spans="1:15" ht="23.4" x14ac:dyDescent="0.3">
      <c r="A1325" s="274" t="s">
        <v>101</v>
      </c>
      <c r="B1325" s="1051"/>
      <c r="C1325" s="253" t="s">
        <v>424</v>
      </c>
      <c r="D1325" s="899" t="s">
        <v>423</v>
      </c>
      <c r="E1325" s="511">
        <v>314432</v>
      </c>
      <c r="F1325" s="277"/>
      <c r="G1325" s="333">
        <f t="shared" si="1693"/>
        <v>0</v>
      </c>
      <c r="H1325" s="278">
        <v>0</v>
      </c>
      <c r="I1325" s="278">
        <v>0</v>
      </c>
      <c r="J1325" s="351" t="str">
        <f t="shared" ref="J1325:J1333" si="1698">IFERROR(G1325/F1325,"-")</f>
        <v>-</v>
      </c>
      <c r="K1325" s="333">
        <f t="shared" si="1694"/>
        <v>265434</v>
      </c>
      <c r="L1325" s="272">
        <f t="shared" si="1695"/>
        <v>262548</v>
      </c>
      <c r="M1325" s="273">
        <f t="shared" si="1696"/>
        <v>2886</v>
      </c>
      <c r="N1325" s="337">
        <f t="shared" si="1697"/>
        <v>0.84416980460004076</v>
      </c>
      <c r="O1325" s="263">
        <f t="shared" si="1661"/>
        <v>1.0872759330002939E-2</v>
      </c>
    </row>
    <row r="1326" spans="1:15" ht="23.4" x14ac:dyDescent="0.3">
      <c r="A1326" s="274" t="s">
        <v>101</v>
      </c>
      <c r="B1326" s="1051"/>
      <c r="C1326" s="813" t="s">
        <v>27</v>
      </c>
      <c r="D1326" s="899" t="s">
        <v>334</v>
      </c>
      <c r="E1326" s="896">
        <v>932448</v>
      </c>
      <c r="F1326" s="281"/>
      <c r="G1326" s="333">
        <f t="shared" si="1693"/>
        <v>8420</v>
      </c>
      <c r="H1326" s="278">
        <v>7956</v>
      </c>
      <c r="I1326" s="278">
        <v>464</v>
      </c>
      <c r="J1326" s="351" t="str">
        <f t="shared" si="1698"/>
        <v>-</v>
      </c>
      <c r="K1326" s="333">
        <f t="shared" si="1694"/>
        <v>37943</v>
      </c>
      <c r="L1326" s="272">
        <f t="shared" si="1695"/>
        <v>35802</v>
      </c>
      <c r="M1326" s="273">
        <f t="shared" si="1696"/>
        <v>2141</v>
      </c>
      <c r="N1326" s="337">
        <f t="shared" si="1697"/>
        <v>4.0691813377260716E-2</v>
      </c>
      <c r="O1326" s="263">
        <f t="shared" si="1661"/>
        <v>5.6426745381229743E-2</v>
      </c>
    </row>
    <row r="1327" spans="1:15" ht="23.4" x14ac:dyDescent="0.3">
      <c r="A1327" s="274" t="s">
        <v>101</v>
      </c>
      <c r="B1327" s="1051"/>
      <c r="C1327" s="813" t="s">
        <v>27</v>
      </c>
      <c r="D1327" s="900" t="s">
        <v>492</v>
      </c>
      <c r="E1327" s="896"/>
      <c r="F1327" s="281"/>
      <c r="G1327" s="333">
        <f t="shared" si="1693"/>
        <v>0</v>
      </c>
      <c r="H1327" s="278">
        <v>0</v>
      </c>
      <c r="I1327" s="278">
        <v>0</v>
      </c>
      <c r="J1327" s="351" t="str">
        <f t="shared" si="1698"/>
        <v>-</v>
      </c>
      <c r="K1327" s="333">
        <f t="shared" si="1694"/>
        <v>274869</v>
      </c>
      <c r="L1327" s="272">
        <f t="shared" si="1695"/>
        <v>270504</v>
      </c>
      <c r="M1327" s="273">
        <f t="shared" si="1696"/>
        <v>4365</v>
      </c>
      <c r="N1327" s="337" t="str">
        <f t="shared" si="1697"/>
        <v>-</v>
      </c>
      <c r="O1327" s="263">
        <f t="shared" si="1661"/>
        <v>1.588029206640254E-2</v>
      </c>
    </row>
    <row r="1328" spans="1:15" ht="23.4" x14ac:dyDescent="0.3">
      <c r="A1328" s="274" t="s">
        <v>101</v>
      </c>
      <c r="B1328" s="1051"/>
      <c r="C1328" s="893" t="s">
        <v>521</v>
      </c>
      <c r="D1328" s="899" t="s">
        <v>234</v>
      </c>
      <c r="E1328" s="896">
        <v>136768</v>
      </c>
      <c r="F1328" s="281"/>
      <c r="G1328" s="333">
        <f t="shared" si="1693"/>
        <v>0</v>
      </c>
      <c r="H1328" s="278">
        <v>0</v>
      </c>
      <c r="I1328" s="278">
        <v>0</v>
      </c>
      <c r="J1328" s="351" t="str">
        <f t="shared" si="1698"/>
        <v>-</v>
      </c>
      <c r="K1328" s="333">
        <f t="shared" si="1694"/>
        <v>57116</v>
      </c>
      <c r="L1328" s="272">
        <f t="shared" si="1695"/>
        <v>55692</v>
      </c>
      <c r="M1328" s="273">
        <f t="shared" si="1696"/>
        <v>1424</v>
      </c>
      <c r="N1328" s="337">
        <f t="shared" si="1697"/>
        <v>0.41761230697239121</v>
      </c>
      <c r="O1328" s="263">
        <f t="shared" si="1661"/>
        <v>2.4931717907416485E-2</v>
      </c>
    </row>
    <row r="1329" spans="1:15" ht="23.4" x14ac:dyDescent="0.3">
      <c r="A1329" s="274"/>
      <c r="B1329" s="1051"/>
      <c r="C1329" s="813" t="s">
        <v>432</v>
      </c>
      <c r="D1329" s="899" t="s">
        <v>178</v>
      </c>
      <c r="E1329" s="896"/>
      <c r="F1329" s="281"/>
      <c r="G1329" s="334">
        <f t="shared" si="1693"/>
        <v>0</v>
      </c>
      <c r="H1329" s="278">
        <v>0</v>
      </c>
      <c r="I1329" s="278">
        <v>0</v>
      </c>
      <c r="J1329" s="351" t="str">
        <f t="shared" si="1698"/>
        <v>-</v>
      </c>
      <c r="K1329" s="334">
        <f t="shared" si="1694"/>
        <v>0</v>
      </c>
      <c r="L1329" s="272">
        <f t="shared" si="1695"/>
        <v>0</v>
      </c>
      <c r="M1329" s="273">
        <f t="shared" si="1696"/>
        <v>0</v>
      </c>
      <c r="N1329" s="337" t="str">
        <f t="shared" si="1697"/>
        <v>-</v>
      </c>
      <c r="O1329" s="263" t="str">
        <f t="shared" si="1661"/>
        <v>-</v>
      </c>
    </row>
    <row r="1330" spans="1:15" ht="23.4" x14ac:dyDescent="0.3">
      <c r="A1330" s="274"/>
      <c r="B1330" s="1051"/>
      <c r="C1330" s="813" t="s">
        <v>333</v>
      </c>
      <c r="D1330" s="899" t="s">
        <v>94</v>
      </c>
      <c r="E1330" s="896">
        <v>32016</v>
      </c>
      <c r="F1330" s="281"/>
      <c r="G1330" s="334">
        <f t="shared" si="1693"/>
        <v>0</v>
      </c>
      <c r="H1330" s="278">
        <v>0</v>
      </c>
      <c r="I1330" s="278">
        <v>0</v>
      </c>
      <c r="J1330" s="351" t="str">
        <f t="shared" si="1698"/>
        <v>-</v>
      </c>
      <c r="K1330" s="334">
        <f t="shared" si="1694"/>
        <v>0</v>
      </c>
      <c r="L1330" s="272">
        <f t="shared" si="1695"/>
        <v>0</v>
      </c>
      <c r="M1330" s="273">
        <f t="shared" si="1696"/>
        <v>0</v>
      </c>
      <c r="N1330" s="337">
        <f t="shared" si="1697"/>
        <v>0</v>
      </c>
      <c r="O1330" s="263" t="str">
        <f t="shared" si="1661"/>
        <v>-</v>
      </c>
    </row>
    <row r="1331" spans="1:15" ht="23.4" x14ac:dyDescent="0.3">
      <c r="A1331" s="274"/>
      <c r="B1331" s="1051"/>
      <c r="C1331" s="813" t="s">
        <v>433</v>
      </c>
      <c r="D1331" s="899" t="s">
        <v>540</v>
      </c>
      <c r="E1331" s="896"/>
      <c r="F1331" s="281"/>
      <c r="G1331" s="334">
        <f t="shared" si="1693"/>
        <v>0</v>
      </c>
      <c r="H1331" s="278">
        <v>0</v>
      </c>
      <c r="I1331" s="278">
        <v>0</v>
      </c>
      <c r="J1331" s="351" t="str">
        <f t="shared" si="1698"/>
        <v>-</v>
      </c>
      <c r="K1331" s="334">
        <f t="shared" si="1694"/>
        <v>358419</v>
      </c>
      <c r="L1331" s="272">
        <f t="shared" si="1695"/>
        <v>354042</v>
      </c>
      <c r="M1331" s="272">
        <f t="shared" si="1696"/>
        <v>4377</v>
      </c>
      <c r="N1331" s="337" t="str">
        <f t="shared" si="1697"/>
        <v>-</v>
      </c>
      <c r="O1331" s="263">
        <f t="shared" si="1661"/>
        <v>1.2211964209486663E-2</v>
      </c>
    </row>
    <row r="1332" spans="1:15" ht="23.4" x14ac:dyDescent="0.3">
      <c r="A1332" s="274"/>
      <c r="B1332" s="1051"/>
      <c r="C1332" s="813" t="s">
        <v>382</v>
      </c>
      <c r="D1332" s="899" t="s">
        <v>366</v>
      </c>
      <c r="E1332" s="896"/>
      <c r="F1332" s="281"/>
      <c r="G1332" s="334">
        <f t="shared" si="1693"/>
        <v>0</v>
      </c>
      <c r="H1332" s="278">
        <v>0</v>
      </c>
      <c r="I1332" s="278">
        <v>0</v>
      </c>
      <c r="J1332" s="351" t="str">
        <f t="shared" si="1698"/>
        <v>-</v>
      </c>
      <c r="K1332" s="334">
        <f t="shared" si="1694"/>
        <v>0</v>
      </c>
      <c r="L1332" s="272">
        <f t="shared" si="1695"/>
        <v>0</v>
      </c>
      <c r="M1332" s="273">
        <f t="shared" si="1696"/>
        <v>0</v>
      </c>
      <c r="N1332" s="337" t="str">
        <f t="shared" si="1697"/>
        <v>-</v>
      </c>
      <c r="O1332" s="263" t="str">
        <f t="shared" si="1661"/>
        <v>-</v>
      </c>
    </row>
    <row r="1333" spans="1:15" ht="24" thickBot="1" x14ac:dyDescent="0.35">
      <c r="A1333" s="274" t="s">
        <v>101</v>
      </c>
      <c r="B1333" s="1051"/>
      <c r="C1333" s="894" t="s">
        <v>290</v>
      </c>
      <c r="D1333" s="901" t="s">
        <v>289</v>
      </c>
      <c r="E1333" s="896"/>
      <c r="F1333" s="281"/>
      <c r="G1333" s="334">
        <f t="shared" si="1693"/>
        <v>0</v>
      </c>
      <c r="H1333" s="278">
        <v>0</v>
      </c>
      <c r="I1333" s="278">
        <v>0</v>
      </c>
      <c r="J1333" s="351" t="str">
        <f t="shared" si="1698"/>
        <v>-</v>
      </c>
      <c r="K1333" s="334">
        <f t="shared" si="1694"/>
        <v>0</v>
      </c>
      <c r="L1333" s="272">
        <f t="shared" si="1695"/>
        <v>0</v>
      </c>
      <c r="M1333" s="273">
        <f t="shared" si="1696"/>
        <v>0</v>
      </c>
      <c r="N1333" s="337" t="str">
        <f t="shared" si="1697"/>
        <v>-</v>
      </c>
      <c r="O1333" s="347" t="str">
        <f t="shared" si="1661"/>
        <v>-</v>
      </c>
    </row>
    <row r="1334" spans="1:15" ht="24" thickBot="1" x14ac:dyDescent="0.35">
      <c r="A1334" s="274" t="s">
        <v>101</v>
      </c>
      <c r="B1334" s="1052"/>
      <c r="C1334" s="301"/>
      <c r="D1334" s="897" t="s">
        <v>52</v>
      </c>
      <c r="E1334" s="284">
        <f>SUM(E1324:E1333)</f>
        <v>1415664</v>
      </c>
      <c r="F1334" s="285">
        <v>160000</v>
      </c>
      <c r="G1334" s="320">
        <f>SUM(G1324:G1333)</f>
        <v>8420</v>
      </c>
      <c r="H1334" s="321">
        <f>SUM(H1324:H1333)</f>
        <v>7956</v>
      </c>
      <c r="I1334" s="321">
        <f>SUM(I1324:I1333)</f>
        <v>464</v>
      </c>
      <c r="J1334" s="345">
        <f>+G1334/F1334</f>
        <v>5.2624999999999998E-2</v>
      </c>
      <c r="K1334" s="320">
        <f>SUM(K1324:K1333)</f>
        <v>993781</v>
      </c>
      <c r="L1334" s="321">
        <f>SUM(L1324:L1333)</f>
        <v>978588</v>
      </c>
      <c r="M1334" s="322">
        <f>SUM(M1324:M1333)</f>
        <v>15193</v>
      </c>
      <c r="N1334" s="339">
        <f t="shared" si="1697"/>
        <v>0.70198931384848384</v>
      </c>
      <c r="O1334" s="345">
        <f t="shared" si="1661"/>
        <v>1.5288076548052337E-2</v>
      </c>
    </row>
    <row r="1335" spans="1:15" ht="23.4" x14ac:dyDescent="0.3">
      <c r="A1335" s="274" t="s">
        <v>101</v>
      </c>
      <c r="B1335" s="1053" t="s">
        <v>28</v>
      </c>
      <c r="C1335" s="299" t="s">
        <v>27</v>
      </c>
      <c r="D1335" s="297" t="s">
        <v>492</v>
      </c>
      <c r="E1335" s="270"/>
      <c r="F1335" s="271"/>
      <c r="G1335" s="332">
        <f t="shared" ref="G1335:G1339" si="1699">+H1335+I1335</f>
        <v>0</v>
      </c>
      <c r="H1335" s="272">
        <v>0</v>
      </c>
      <c r="I1335" s="272">
        <v>0</v>
      </c>
      <c r="J1335" s="351" t="str">
        <f>IFERROR(G1335/F1335,"-")</f>
        <v>-</v>
      </c>
      <c r="K1335" s="332">
        <f t="shared" ref="K1335:K1341" si="1700">+L1335+M1335</f>
        <v>170343</v>
      </c>
      <c r="L1335" s="272">
        <f t="shared" ref="L1335:L1341" si="1701">+H1335+L1218</f>
        <v>167076</v>
      </c>
      <c r="M1335" s="273">
        <f t="shared" ref="M1335:M1341" si="1702">+I1335+M1218</f>
        <v>3267</v>
      </c>
      <c r="N1335" s="336" t="str">
        <f t="shared" si="1697"/>
        <v>-</v>
      </c>
      <c r="O1335" s="346">
        <f t="shared" si="1661"/>
        <v>1.9178950705341577E-2</v>
      </c>
    </row>
    <row r="1336" spans="1:15" ht="23.4" x14ac:dyDescent="0.3">
      <c r="A1336" s="274" t="s">
        <v>101</v>
      </c>
      <c r="B1336" s="1051"/>
      <c r="C1336" s="299" t="s">
        <v>385</v>
      </c>
      <c r="D1336" s="299" t="s">
        <v>334</v>
      </c>
      <c r="E1336" s="276"/>
      <c r="F1336" s="277"/>
      <c r="G1336" s="333">
        <f t="shared" si="1699"/>
        <v>0</v>
      </c>
      <c r="H1336" s="278">
        <v>0</v>
      </c>
      <c r="I1336" s="278">
        <v>0</v>
      </c>
      <c r="J1336" s="351" t="str">
        <f t="shared" ref="J1336:J1341" si="1703">IFERROR(G1336/F1336,"-")</f>
        <v>-</v>
      </c>
      <c r="K1336" s="333">
        <f t="shared" si="1700"/>
        <v>96975</v>
      </c>
      <c r="L1336" s="272">
        <f t="shared" si="1701"/>
        <v>95472</v>
      </c>
      <c r="M1336" s="273">
        <f t="shared" si="1702"/>
        <v>1503</v>
      </c>
      <c r="N1336" s="337" t="str">
        <f t="shared" si="1697"/>
        <v>-</v>
      </c>
      <c r="O1336" s="263">
        <f t="shared" si="1661"/>
        <v>1.5498839907192575E-2</v>
      </c>
    </row>
    <row r="1337" spans="1:15" ht="23.4" x14ac:dyDescent="0.3">
      <c r="A1337" s="274" t="s">
        <v>101</v>
      </c>
      <c r="B1337" s="1051"/>
      <c r="C1337" s="299" t="s">
        <v>27</v>
      </c>
      <c r="D1337" s="299" t="s">
        <v>334</v>
      </c>
      <c r="E1337" s="276"/>
      <c r="F1337" s="277"/>
      <c r="G1337" s="333">
        <f t="shared" si="1699"/>
        <v>0</v>
      </c>
      <c r="H1337" s="278">
        <v>0</v>
      </c>
      <c r="I1337" s="278">
        <v>0</v>
      </c>
      <c r="J1337" s="351" t="str">
        <f t="shared" si="1703"/>
        <v>-</v>
      </c>
      <c r="K1337" s="333">
        <f t="shared" si="1700"/>
        <v>0</v>
      </c>
      <c r="L1337" s="272">
        <f t="shared" si="1701"/>
        <v>0</v>
      </c>
      <c r="M1337" s="273">
        <f t="shared" si="1702"/>
        <v>0</v>
      </c>
      <c r="N1337" s="337" t="str">
        <f t="shared" si="1697"/>
        <v>-</v>
      </c>
      <c r="O1337" s="263" t="str">
        <f t="shared" si="1661"/>
        <v>-</v>
      </c>
    </row>
    <row r="1338" spans="1:15" ht="23.4" x14ac:dyDescent="0.3">
      <c r="A1338" s="274"/>
      <c r="B1338" s="1051"/>
      <c r="C1338" s="299" t="s">
        <v>460</v>
      </c>
      <c r="D1338" s="299" t="s">
        <v>334</v>
      </c>
      <c r="E1338" s="280"/>
      <c r="F1338" s="281"/>
      <c r="G1338" s="333">
        <f t="shared" si="1699"/>
        <v>0</v>
      </c>
      <c r="H1338" s="278">
        <v>0</v>
      </c>
      <c r="I1338" s="278">
        <v>0</v>
      </c>
      <c r="J1338" s="351" t="str">
        <f t="shared" si="1703"/>
        <v>-</v>
      </c>
      <c r="K1338" s="333">
        <f t="shared" si="1700"/>
        <v>4348</v>
      </c>
      <c r="L1338" s="272">
        <f t="shared" si="1701"/>
        <v>3978</v>
      </c>
      <c r="M1338" s="273">
        <f t="shared" si="1702"/>
        <v>370</v>
      </c>
      <c r="N1338" s="337" t="str">
        <f t="shared" si="1697"/>
        <v>-</v>
      </c>
      <c r="O1338" s="263">
        <f t="shared" si="1661"/>
        <v>8.5096596136154556E-2</v>
      </c>
    </row>
    <row r="1339" spans="1:15" ht="23.4" x14ac:dyDescent="0.3">
      <c r="A1339" s="274" t="s">
        <v>101</v>
      </c>
      <c r="B1339" s="1051"/>
      <c r="C1339" s="299" t="s">
        <v>433</v>
      </c>
      <c r="D1339" s="299" t="s">
        <v>540</v>
      </c>
      <c r="E1339" s="280"/>
      <c r="F1339" s="281"/>
      <c r="G1339" s="334">
        <f t="shared" si="1699"/>
        <v>0</v>
      </c>
      <c r="H1339" s="278">
        <v>0</v>
      </c>
      <c r="I1339" s="278">
        <v>0</v>
      </c>
      <c r="J1339" s="351" t="str">
        <f t="shared" si="1703"/>
        <v>-</v>
      </c>
      <c r="K1339" s="334">
        <f t="shared" si="1700"/>
        <v>128335</v>
      </c>
      <c r="L1339" s="272">
        <f t="shared" si="1701"/>
        <v>127296</v>
      </c>
      <c r="M1339" s="702">
        <f t="shared" si="1702"/>
        <v>1039</v>
      </c>
      <c r="N1339" s="338" t="str">
        <f t="shared" si="1697"/>
        <v>-</v>
      </c>
      <c r="O1339" s="347">
        <f t="shared" si="1661"/>
        <v>8.0959987532629452E-3</v>
      </c>
    </row>
    <row r="1340" spans="1:15" ht="23.4" x14ac:dyDescent="0.3">
      <c r="A1340" s="274"/>
      <c r="B1340" s="1051"/>
      <c r="C1340" s="299" t="s">
        <v>458</v>
      </c>
      <c r="D1340" s="300" t="s">
        <v>280</v>
      </c>
      <c r="E1340" s="280">
        <v>200000</v>
      </c>
      <c r="F1340" s="281"/>
      <c r="G1340" s="334"/>
      <c r="H1340" s="278">
        <v>0</v>
      </c>
      <c r="I1340" s="278">
        <v>0</v>
      </c>
      <c r="J1340" s="351" t="str">
        <f t="shared" si="1703"/>
        <v>-</v>
      </c>
      <c r="K1340" s="334">
        <f t="shared" si="1700"/>
        <v>0</v>
      </c>
      <c r="L1340" s="272">
        <f t="shared" si="1701"/>
        <v>0</v>
      </c>
      <c r="M1340" s="272">
        <f t="shared" si="1702"/>
        <v>0</v>
      </c>
      <c r="N1340" s="338">
        <f t="shared" si="1697"/>
        <v>0</v>
      </c>
      <c r="O1340" s="347" t="str">
        <f t="shared" si="1661"/>
        <v>-</v>
      </c>
    </row>
    <row r="1341" spans="1:15" ht="24" thickBot="1" x14ac:dyDescent="0.35">
      <c r="A1341" s="274" t="s">
        <v>101</v>
      </c>
      <c r="B1341" s="1051"/>
      <c r="C1341" s="299" t="s">
        <v>27</v>
      </c>
      <c r="D1341" s="300" t="s">
        <v>234</v>
      </c>
      <c r="E1341" s="280">
        <v>250000</v>
      </c>
      <c r="F1341" s="281"/>
      <c r="G1341" s="334">
        <f t="shared" ref="G1341" si="1704">+H1341+I1341</f>
        <v>0</v>
      </c>
      <c r="H1341" s="278">
        <v>0</v>
      </c>
      <c r="I1341" s="278">
        <v>0</v>
      </c>
      <c r="J1341" s="351" t="str">
        <f t="shared" si="1703"/>
        <v>-</v>
      </c>
      <c r="K1341" s="334">
        <f t="shared" si="1700"/>
        <v>0</v>
      </c>
      <c r="L1341" s="272">
        <f t="shared" si="1701"/>
        <v>0</v>
      </c>
      <c r="M1341" s="702">
        <f t="shared" si="1702"/>
        <v>0</v>
      </c>
      <c r="N1341" s="338">
        <f t="shared" si="1697"/>
        <v>0</v>
      </c>
      <c r="O1341" s="347" t="str">
        <f t="shared" si="1661"/>
        <v>-</v>
      </c>
    </row>
    <row r="1342" spans="1:15" ht="24" thickBot="1" x14ac:dyDescent="0.35">
      <c r="A1342" s="274" t="s">
        <v>101</v>
      </c>
      <c r="B1342" s="1051"/>
      <c r="C1342" s="304"/>
      <c r="D1342" s="305" t="s">
        <v>52</v>
      </c>
      <c r="E1342" s="306">
        <f>SUM(E1335:E1341)</f>
        <v>450000</v>
      </c>
      <c r="F1342" s="307">
        <v>80000</v>
      </c>
      <c r="G1342" s="366">
        <f>SUM(G1335:G1341)</f>
        <v>0</v>
      </c>
      <c r="H1342" s="365">
        <f>SUM(H1335:H1341)</f>
        <v>0</v>
      </c>
      <c r="I1342" s="365">
        <f>SUM(I1335:I1341)</f>
        <v>0</v>
      </c>
      <c r="J1342" s="356">
        <f>+G1342/F1342</f>
        <v>0</v>
      </c>
      <c r="K1342" s="366">
        <f>SUM(K1335:K1341)</f>
        <v>400001</v>
      </c>
      <c r="L1342" s="365">
        <f>SUM(L1335:L1341)</f>
        <v>393822</v>
      </c>
      <c r="M1342" s="367">
        <f>SUM(M1335:M1341)</f>
        <v>6179</v>
      </c>
      <c r="N1342" s="355">
        <f t="shared" si="1697"/>
        <v>0.88889111111111108</v>
      </c>
      <c r="O1342" s="356">
        <f t="shared" si="1661"/>
        <v>1.5447461381346547E-2</v>
      </c>
    </row>
    <row r="1343" spans="1:15" ht="24" thickBot="1" x14ac:dyDescent="0.35">
      <c r="A1343" s="926" t="s">
        <v>101</v>
      </c>
      <c r="B1343" s="1054" t="s">
        <v>162</v>
      </c>
      <c r="C1343" s="1055"/>
      <c r="D1343" s="1056"/>
      <c r="E1343" s="308">
        <f>+E1342+E1334</f>
        <v>1865664</v>
      </c>
      <c r="F1343" s="309">
        <f>+F1342+F1334</f>
        <v>240000</v>
      </c>
      <c r="G1343" s="369">
        <f>+G1334+G1342</f>
        <v>8420</v>
      </c>
      <c r="H1343" s="368">
        <f>+H1334+H1342</f>
        <v>7956</v>
      </c>
      <c r="I1343" s="368">
        <f>+I1334+I1342</f>
        <v>464</v>
      </c>
      <c r="J1343" s="358">
        <f>+G1343/F1343</f>
        <v>3.5083333333333334E-2</v>
      </c>
      <c r="K1343" s="369">
        <f>+K1334+K1342</f>
        <v>1393782</v>
      </c>
      <c r="L1343" s="368">
        <f>+L1334+L1342</f>
        <v>1372410</v>
      </c>
      <c r="M1343" s="370">
        <f>+M1334+M1342</f>
        <v>21372</v>
      </c>
      <c r="N1343" s="357">
        <f>IFERROR(K1343/E1343,"-")</f>
        <v>0.74707021199958834</v>
      </c>
      <c r="O1343" s="358">
        <f t="shared" si="1661"/>
        <v>1.5333818344619173E-2</v>
      </c>
    </row>
    <row r="1344" spans="1:15" ht="23.4" x14ac:dyDescent="0.3">
      <c r="A1344" s="274" t="s">
        <v>101</v>
      </c>
      <c r="B1344" s="1051" t="s">
        <v>30</v>
      </c>
      <c r="C1344" s="303" t="s">
        <v>446</v>
      </c>
      <c r="D1344" s="299" t="s">
        <v>522</v>
      </c>
      <c r="E1344" s="270">
        <v>225000</v>
      </c>
      <c r="F1344" s="271"/>
      <c r="G1344" s="332">
        <f t="shared" ref="G1344:G1346" si="1705">+H1344+I1344</f>
        <v>0</v>
      </c>
      <c r="H1344" s="272">
        <v>0</v>
      </c>
      <c r="I1344" s="272">
        <v>0</v>
      </c>
      <c r="J1344" s="351" t="str">
        <f>IFERROR(G1344/F1344,"-")</f>
        <v>-</v>
      </c>
      <c r="K1344" s="332">
        <f t="shared" ref="K1344:K1346" si="1706">+L1344+M1344</f>
        <v>0</v>
      </c>
      <c r="L1344" s="272">
        <f t="shared" ref="L1344:L1346" si="1707">+H1344+L1227</f>
        <v>0</v>
      </c>
      <c r="M1344" s="273">
        <f t="shared" ref="M1344:M1346" si="1708">+I1344+M1227</f>
        <v>0</v>
      </c>
      <c r="N1344" s="336">
        <f t="shared" ref="N1344:N1357" si="1709">IFERROR(K1344/E1344,"-")</f>
        <v>0</v>
      </c>
      <c r="O1344" s="346" t="str">
        <f t="shared" si="1661"/>
        <v>-</v>
      </c>
    </row>
    <row r="1345" spans="1:15" ht="23.4" x14ac:dyDescent="0.3">
      <c r="A1345" s="274" t="s">
        <v>101</v>
      </c>
      <c r="B1345" s="1051"/>
      <c r="C1345" s="300" t="s">
        <v>548</v>
      </c>
      <c r="D1345" s="303" t="s">
        <v>522</v>
      </c>
      <c r="E1345" s="276">
        <v>125000</v>
      </c>
      <c r="F1345" s="277"/>
      <c r="G1345" s="333">
        <f t="shared" si="1705"/>
        <v>0</v>
      </c>
      <c r="H1345" s="278">
        <v>0</v>
      </c>
      <c r="I1345" s="278">
        <v>0</v>
      </c>
      <c r="J1345" s="351" t="str">
        <f t="shared" ref="J1345:J1346" si="1710">IFERROR(G1345/F1345,"-")</f>
        <v>-</v>
      </c>
      <c r="K1345" s="333">
        <f t="shared" si="1706"/>
        <v>0</v>
      </c>
      <c r="L1345" s="272">
        <f t="shared" si="1707"/>
        <v>0</v>
      </c>
      <c r="M1345" s="273">
        <f t="shared" si="1708"/>
        <v>0</v>
      </c>
      <c r="N1345" s="337">
        <f t="shared" si="1709"/>
        <v>0</v>
      </c>
      <c r="O1345" s="263" t="str">
        <f t="shared" si="1661"/>
        <v>-</v>
      </c>
    </row>
    <row r="1346" spans="1:15" ht="24" thickBot="1" x14ac:dyDescent="0.35">
      <c r="A1346" s="274" t="s">
        <v>101</v>
      </c>
      <c r="B1346" s="1051"/>
      <c r="C1346" s="300" t="s">
        <v>291</v>
      </c>
      <c r="D1346" s="300" t="s">
        <v>366</v>
      </c>
      <c r="E1346" s="280"/>
      <c r="F1346" s="281"/>
      <c r="G1346" s="334">
        <f t="shared" si="1705"/>
        <v>0</v>
      </c>
      <c r="H1346" s="282">
        <v>0</v>
      </c>
      <c r="I1346" s="282">
        <v>0</v>
      </c>
      <c r="J1346" s="351" t="str">
        <f t="shared" si="1710"/>
        <v>-</v>
      </c>
      <c r="K1346" s="334">
        <f t="shared" si="1706"/>
        <v>51611</v>
      </c>
      <c r="L1346" s="272">
        <f t="shared" si="1707"/>
        <v>50544</v>
      </c>
      <c r="M1346" s="273">
        <f t="shared" si="1708"/>
        <v>1067</v>
      </c>
      <c r="N1346" s="338" t="str">
        <f t="shared" si="1709"/>
        <v>-</v>
      </c>
      <c r="O1346" s="347">
        <f t="shared" si="1661"/>
        <v>2.0673887349596017E-2</v>
      </c>
    </row>
    <row r="1347" spans="1:15" ht="24" thickBot="1" x14ac:dyDescent="0.35">
      <c r="A1347" s="274" t="s">
        <v>101</v>
      </c>
      <c r="B1347" s="1051"/>
      <c r="C1347" s="301"/>
      <c r="D1347" s="302" t="s">
        <v>50</v>
      </c>
      <c r="E1347" s="284">
        <f>SUM(E1344:E1346)</f>
        <v>350000</v>
      </c>
      <c r="F1347" s="285">
        <v>50000</v>
      </c>
      <c r="G1347" s="320">
        <f>SUM(G1344:G1346)</f>
        <v>0</v>
      </c>
      <c r="H1347" s="321">
        <f>SUM(H1344:H1346)</f>
        <v>0</v>
      </c>
      <c r="I1347" s="321">
        <f>SUM(I1344:I1346)</f>
        <v>0</v>
      </c>
      <c r="J1347" s="345">
        <f>+G1347/F1347</f>
        <v>0</v>
      </c>
      <c r="K1347" s="320">
        <f>SUM(K1344:K1346)</f>
        <v>51611</v>
      </c>
      <c r="L1347" s="321">
        <f>SUM(L1344:L1346)</f>
        <v>50544</v>
      </c>
      <c r="M1347" s="322">
        <f>SUM(M1344:M1346)</f>
        <v>1067</v>
      </c>
      <c r="N1347" s="339">
        <f t="shared" si="1709"/>
        <v>0.14746000000000001</v>
      </c>
      <c r="O1347" s="345">
        <f t="shared" si="1661"/>
        <v>2.0673887349596017E-2</v>
      </c>
    </row>
    <row r="1348" spans="1:15" ht="23.4" x14ac:dyDescent="0.3">
      <c r="A1348" s="274" t="s">
        <v>101</v>
      </c>
      <c r="B1348" s="1051"/>
      <c r="C1348" s="297" t="s">
        <v>434</v>
      </c>
      <c r="D1348" s="297" t="s">
        <v>92</v>
      </c>
      <c r="E1348" s="270"/>
      <c r="F1348" s="271"/>
      <c r="G1348" s="332">
        <f t="shared" ref="G1348:G1350" si="1711">+H1348+I1348</f>
        <v>0</v>
      </c>
      <c r="H1348" s="272">
        <v>0</v>
      </c>
      <c r="I1348" s="272">
        <v>0</v>
      </c>
      <c r="J1348" s="351" t="str">
        <f>IFERROR(G1348/F1348,"-")</f>
        <v>-</v>
      </c>
      <c r="K1348" s="332">
        <f t="shared" ref="K1348:K1353" si="1712">+L1348+M1348</f>
        <v>0</v>
      </c>
      <c r="L1348" s="272">
        <f t="shared" ref="L1348:L1353" si="1713">+H1348+L1231</f>
        <v>0</v>
      </c>
      <c r="M1348" s="273">
        <f t="shared" ref="M1348:M1353" si="1714">+I1348+M1231</f>
        <v>0</v>
      </c>
      <c r="N1348" s="336" t="str">
        <f t="shared" si="1709"/>
        <v>-</v>
      </c>
      <c r="O1348" s="346" t="str">
        <f t="shared" si="1661"/>
        <v>-</v>
      </c>
    </row>
    <row r="1349" spans="1:15" ht="23.4" x14ac:dyDescent="0.3">
      <c r="A1349" s="274"/>
      <c r="B1349" s="1051"/>
      <c r="C1349" s="303" t="s">
        <v>449</v>
      </c>
      <c r="D1349" s="299" t="s">
        <v>334</v>
      </c>
      <c r="E1349" s="270"/>
      <c r="F1349" s="271"/>
      <c r="G1349" s="332">
        <f t="shared" si="1711"/>
        <v>0</v>
      </c>
      <c r="H1349" s="272">
        <v>0</v>
      </c>
      <c r="I1349" s="272">
        <v>0</v>
      </c>
      <c r="J1349" s="351" t="str">
        <f t="shared" ref="J1349:J1353" si="1715">IFERROR(G1349/F1349,"-")</f>
        <v>-</v>
      </c>
      <c r="K1349" s="332">
        <f t="shared" si="1712"/>
        <v>0</v>
      </c>
      <c r="L1349" s="272">
        <f t="shared" si="1713"/>
        <v>0</v>
      </c>
      <c r="M1349" s="273">
        <f t="shared" si="1714"/>
        <v>0</v>
      </c>
      <c r="N1349" s="337" t="str">
        <f t="shared" si="1709"/>
        <v>-</v>
      </c>
      <c r="O1349" s="346" t="str">
        <f t="shared" si="1661"/>
        <v>-</v>
      </c>
    </row>
    <row r="1350" spans="1:15" ht="23.4" x14ac:dyDescent="0.3">
      <c r="A1350" s="274"/>
      <c r="B1350" s="1051"/>
      <c r="C1350" s="303" t="s">
        <v>452</v>
      </c>
      <c r="D1350" s="299" t="s">
        <v>334</v>
      </c>
      <c r="E1350" s="270"/>
      <c r="F1350" s="271"/>
      <c r="G1350" s="332">
        <f t="shared" si="1711"/>
        <v>0</v>
      </c>
      <c r="H1350" s="272">
        <v>0</v>
      </c>
      <c r="I1350" s="272">
        <v>0</v>
      </c>
      <c r="J1350" s="351" t="str">
        <f t="shared" si="1715"/>
        <v>-</v>
      </c>
      <c r="K1350" s="332">
        <f t="shared" si="1712"/>
        <v>0</v>
      </c>
      <c r="L1350" s="272">
        <f t="shared" si="1713"/>
        <v>0</v>
      </c>
      <c r="M1350" s="273">
        <f t="shared" si="1714"/>
        <v>0</v>
      </c>
      <c r="N1350" s="337" t="str">
        <f t="shared" si="1709"/>
        <v>-</v>
      </c>
      <c r="O1350" s="346" t="str">
        <f t="shared" si="1661"/>
        <v>-</v>
      </c>
    </row>
    <row r="1351" spans="1:15" ht="23.4" x14ac:dyDescent="0.3">
      <c r="A1351" s="274" t="s">
        <v>101</v>
      </c>
      <c r="B1351" s="1051"/>
      <c r="C1351" s="303" t="s">
        <v>501</v>
      </c>
      <c r="D1351" s="300" t="s">
        <v>423</v>
      </c>
      <c r="E1351" s="276"/>
      <c r="F1351" s="277"/>
      <c r="G1351" s="333">
        <f t="shared" ref="G1351:G1352" si="1716">+H1351+I1351</f>
        <v>0</v>
      </c>
      <c r="H1351" s="278">
        <v>0</v>
      </c>
      <c r="I1351" s="272">
        <v>0</v>
      </c>
      <c r="J1351" s="351" t="str">
        <f t="shared" si="1715"/>
        <v>-</v>
      </c>
      <c r="K1351" s="333">
        <f t="shared" si="1712"/>
        <v>8116</v>
      </c>
      <c r="L1351" s="272">
        <f t="shared" si="1713"/>
        <v>7488</v>
      </c>
      <c r="M1351" s="273">
        <f t="shared" si="1714"/>
        <v>628</v>
      </c>
      <c r="N1351" s="337" t="str">
        <f t="shared" si="1709"/>
        <v>-</v>
      </c>
      <c r="O1351" s="263">
        <f t="shared" si="1661"/>
        <v>7.737801872843765E-2</v>
      </c>
    </row>
    <row r="1352" spans="1:15" ht="23.4" x14ac:dyDescent="0.3">
      <c r="A1352" s="274"/>
      <c r="B1352" s="1051"/>
      <c r="C1352" s="300" t="s">
        <v>459</v>
      </c>
      <c r="D1352" s="300" t="s">
        <v>366</v>
      </c>
      <c r="E1352" s="280"/>
      <c r="F1352" s="281"/>
      <c r="G1352" s="334">
        <f t="shared" si="1716"/>
        <v>51261</v>
      </c>
      <c r="H1352" s="282">
        <v>50544</v>
      </c>
      <c r="I1352" s="278">
        <v>717</v>
      </c>
      <c r="J1352" s="351" t="str">
        <f t="shared" si="1715"/>
        <v>-</v>
      </c>
      <c r="K1352" s="333">
        <f t="shared" si="1712"/>
        <v>51261</v>
      </c>
      <c r="L1352" s="272">
        <f t="shared" si="1713"/>
        <v>50544</v>
      </c>
      <c r="M1352" s="272">
        <f t="shared" si="1714"/>
        <v>717</v>
      </c>
      <c r="N1352" s="337" t="str">
        <f t="shared" si="1709"/>
        <v>-</v>
      </c>
      <c r="O1352" s="263">
        <f t="shared" si="1661"/>
        <v>1.3987241762743607E-2</v>
      </c>
    </row>
    <row r="1353" spans="1:15" ht="24" thickBot="1" x14ac:dyDescent="0.35">
      <c r="A1353" s="274" t="s">
        <v>101</v>
      </c>
      <c r="B1353" s="1051"/>
      <c r="C1353" s="300" t="s">
        <v>435</v>
      </c>
      <c r="D1353" s="300" t="s">
        <v>423</v>
      </c>
      <c r="E1353" s="280"/>
      <c r="F1353" s="281"/>
      <c r="G1353" s="334">
        <f t="shared" ref="G1353" si="1717">+H1353+I1353</f>
        <v>0</v>
      </c>
      <c r="H1353" s="282">
        <v>0</v>
      </c>
      <c r="I1353" s="272">
        <v>0</v>
      </c>
      <c r="J1353" s="351" t="str">
        <f t="shared" si="1715"/>
        <v>-</v>
      </c>
      <c r="K1353" s="334">
        <f t="shared" si="1712"/>
        <v>0</v>
      </c>
      <c r="L1353" s="272">
        <f t="shared" si="1713"/>
        <v>0</v>
      </c>
      <c r="M1353" s="273">
        <f t="shared" si="1714"/>
        <v>0</v>
      </c>
      <c r="N1353" s="338" t="str">
        <f t="shared" si="1709"/>
        <v>-</v>
      </c>
      <c r="O1353" s="347" t="str">
        <f t="shared" si="1661"/>
        <v>-</v>
      </c>
    </row>
    <row r="1354" spans="1:15" ht="24" thickBot="1" x14ac:dyDescent="0.35">
      <c r="A1354" s="274" t="s">
        <v>101</v>
      </c>
      <c r="B1354" s="1051"/>
      <c r="C1354" s="304"/>
      <c r="D1354" s="305" t="s">
        <v>51</v>
      </c>
      <c r="E1354" s="306">
        <f>SUM(E1348:E1353)</f>
        <v>0</v>
      </c>
      <c r="F1354" s="307">
        <v>50000</v>
      </c>
      <c r="G1354" s="366">
        <f>SUM(G1348:G1353)</f>
        <v>51261</v>
      </c>
      <c r="H1354" s="365">
        <f t="shared" ref="H1354:I1354" si="1718">SUM(H1348:H1353)</f>
        <v>50544</v>
      </c>
      <c r="I1354" s="365">
        <f t="shared" si="1718"/>
        <v>717</v>
      </c>
      <c r="J1354" s="356">
        <f>+G1354/F1354</f>
        <v>1.02522</v>
      </c>
      <c r="K1354" s="366">
        <f t="shared" ref="K1354:M1354" si="1719">SUM(K1348:K1353)</f>
        <v>59377</v>
      </c>
      <c r="L1354" s="365">
        <f t="shared" si="1719"/>
        <v>58032</v>
      </c>
      <c r="M1354" s="367">
        <f t="shared" si="1719"/>
        <v>1345</v>
      </c>
      <c r="N1354" s="355" t="str">
        <f t="shared" si="1709"/>
        <v>-</v>
      </c>
      <c r="O1354" s="356">
        <f t="shared" si="1661"/>
        <v>2.2651868568637688E-2</v>
      </c>
    </row>
    <row r="1355" spans="1:15" ht="24" thickBot="1" x14ac:dyDescent="0.35">
      <c r="A1355" s="274" t="s">
        <v>101</v>
      </c>
      <c r="B1355" s="1054" t="s">
        <v>163</v>
      </c>
      <c r="C1355" s="1055"/>
      <c r="D1355" s="1056"/>
      <c r="E1355" s="308">
        <f>+E1354+E1347</f>
        <v>350000</v>
      </c>
      <c r="F1355" s="309">
        <v>50000</v>
      </c>
      <c r="G1355" s="369">
        <f>+G1347+G1354</f>
        <v>51261</v>
      </c>
      <c r="H1355" s="368">
        <f t="shared" ref="H1355:I1355" si="1720">+H1347+H1354</f>
        <v>50544</v>
      </c>
      <c r="I1355" s="368">
        <f t="shared" si="1720"/>
        <v>717</v>
      </c>
      <c r="J1355" s="358">
        <f>+G1355/F1355</f>
        <v>1.02522</v>
      </c>
      <c r="K1355" s="369">
        <f t="shared" ref="K1355:M1355" si="1721">+K1347+K1354</f>
        <v>110988</v>
      </c>
      <c r="L1355" s="368">
        <f t="shared" si="1721"/>
        <v>108576</v>
      </c>
      <c r="M1355" s="370">
        <f t="shared" si="1721"/>
        <v>2412</v>
      </c>
      <c r="N1355" s="357">
        <f t="shared" si="1709"/>
        <v>0.31710857142857141</v>
      </c>
      <c r="O1355" s="358">
        <f t="shared" si="1661"/>
        <v>2.173207914369121E-2</v>
      </c>
    </row>
    <row r="1356" spans="1:15" ht="24" thickBot="1" x14ac:dyDescent="0.35">
      <c r="A1356" s="274" t="s">
        <v>101</v>
      </c>
      <c r="B1356" s="598" t="s">
        <v>32</v>
      </c>
      <c r="C1356" s="922"/>
      <c r="D1356" s="310" t="s">
        <v>32</v>
      </c>
      <c r="E1356" s="287">
        <v>0</v>
      </c>
      <c r="F1356" s="288">
        <v>110000</v>
      </c>
      <c r="G1356" s="335">
        <f t="shared" ref="G1356" si="1722">+H1356+I1356</f>
        <v>0</v>
      </c>
      <c r="H1356" s="289">
        <v>0</v>
      </c>
      <c r="I1356" s="289">
        <v>0</v>
      </c>
      <c r="J1356" s="354">
        <f>IFERROR(G1356/F1356,"-")</f>
        <v>0</v>
      </c>
      <c r="K1356" s="335">
        <f>+L1356+M1356</f>
        <v>0</v>
      </c>
      <c r="L1356" s="289">
        <f>+H1356+L1239</f>
        <v>0</v>
      </c>
      <c r="M1356" s="290">
        <f>+I1356+M1239</f>
        <v>0</v>
      </c>
      <c r="N1356" s="340" t="str">
        <f t="shared" si="1709"/>
        <v>-</v>
      </c>
      <c r="O1356" s="348" t="str">
        <f t="shared" si="1661"/>
        <v>-</v>
      </c>
    </row>
    <row r="1357" spans="1:15" ht="24" thickBot="1" x14ac:dyDescent="0.35">
      <c r="A1357" s="274" t="s">
        <v>101</v>
      </c>
      <c r="B1357" s="1047" t="s">
        <v>21</v>
      </c>
      <c r="C1357" s="1048"/>
      <c r="D1357" s="1049"/>
      <c r="E1357" s="326">
        <f>+E1343+E1355+E1356</f>
        <v>2215664</v>
      </c>
      <c r="F1357" s="327">
        <f>+F1343+F1355+F1356</f>
        <v>400000</v>
      </c>
      <c r="G1357" s="326">
        <f>+G1343+G1355+G1356</f>
        <v>59681</v>
      </c>
      <c r="H1357" s="324">
        <f>+H1343+H1355+H1356</f>
        <v>58500</v>
      </c>
      <c r="I1357" s="324">
        <f>+I1343+I1355+I1356</f>
        <v>1181</v>
      </c>
      <c r="J1357" s="349">
        <f>+G1357/F1357</f>
        <v>0.14920249999999999</v>
      </c>
      <c r="K1357" s="326">
        <f>+K1343+K1355+K1356</f>
        <v>1504770</v>
      </c>
      <c r="L1357" s="324">
        <f>+L1343+L1355+L1356</f>
        <v>1480986</v>
      </c>
      <c r="M1357" s="325">
        <f>+M1343+M1355+M1356</f>
        <v>23784</v>
      </c>
      <c r="N1357" s="341">
        <f t="shared" si="1709"/>
        <v>0.67915080987008858</v>
      </c>
      <c r="O1357" s="349">
        <f t="shared" si="1661"/>
        <v>1.5805737753942464E-2</v>
      </c>
    </row>
    <row r="1358" spans="1:15" ht="24" thickBot="1" x14ac:dyDescent="0.35">
      <c r="A1358" s="274" t="s">
        <v>101</v>
      </c>
      <c r="B1358" s="1019" t="s">
        <v>171</v>
      </c>
      <c r="C1358" s="1020"/>
      <c r="D1358" s="1021"/>
      <c r="E1358" s="330">
        <f>+E1357</f>
        <v>2215664</v>
      </c>
      <c r="F1358" s="331">
        <f t="shared" ref="F1358:I1358" si="1723">+F1357</f>
        <v>400000</v>
      </c>
      <c r="G1358" s="330">
        <f t="shared" si="1723"/>
        <v>59681</v>
      </c>
      <c r="H1358" s="328">
        <f t="shared" si="1723"/>
        <v>58500</v>
      </c>
      <c r="I1358" s="328">
        <f t="shared" si="1723"/>
        <v>1181</v>
      </c>
      <c r="J1358" s="872">
        <f>+G1358/F1358</f>
        <v>0.14920249999999999</v>
      </c>
      <c r="K1358" s="330">
        <f>+K1357</f>
        <v>1504770</v>
      </c>
      <c r="L1358" s="328">
        <f t="shared" ref="L1358" si="1724">+L1357</f>
        <v>1480986</v>
      </c>
      <c r="M1358" s="329">
        <f>+M1357</f>
        <v>23784</v>
      </c>
      <c r="N1358" s="342">
        <f t="shared" ref="N1358:O1358" si="1725">+N1357</f>
        <v>0.67915080987008858</v>
      </c>
      <c r="O1358" s="350">
        <f t="shared" si="1725"/>
        <v>1.5805737753942464E-2</v>
      </c>
    </row>
    <row r="1359" spans="1:15" ht="23.4" x14ac:dyDescent="0.3">
      <c r="A1359" s="268" t="s">
        <v>102</v>
      </c>
      <c r="B1359" s="1022" t="s">
        <v>401</v>
      </c>
      <c r="C1359" s="311" t="s">
        <v>113</v>
      </c>
      <c r="D1359" s="311"/>
      <c r="E1359" s="270"/>
      <c r="F1359" s="271"/>
      <c r="G1359" s="332">
        <f t="shared" ref="G1359:G1361" si="1726">+H1359+I1359</f>
        <v>0</v>
      </c>
      <c r="H1359" s="272">
        <v>0</v>
      </c>
      <c r="I1359" s="272">
        <v>0</v>
      </c>
      <c r="J1359" s="351" t="str">
        <f>IFERROR(G1359/F1359,"-")</f>
        <v>-</v>
      </c>
      <c r="K1359" s="332">
        <f t="shared" ref="K1359:K1361" si="1727">+L1359+M1359</f>
        <v>0</v>
      </c>
      <c r="L1359" s="272">
        <f t="shared" ref="L1359:L1361" si="1728">+H1359+L1242</f>
        <v>0</v>
      </c>
      <c r="M1359" s="273">
        <f t="shared" ref="M1359:M1361" si="1729">+I1359+M1242</f>
        <v>0</v>
      </c>
      <c r="N1359" s="336" t="str">
        <f t="shared" ref="N1359:N1366" si="1730">IFERROR(K1359/E1359,"-")</f>
        <v>-</v>
      </c>
      <c r="O1359" s="346" t="str">
        <f t="shared" ref="O1359:O1384" si="1731">IFERROR(M1359/K1359,"-")</f>
        <v>-</v>
      </c>
    </row>
    <row r="1360" spans="1:15" ht="23.4" x14ac:dyDescent="0.3">
      <c r="A1360" s="274" t="s">
        <v>102</v>
      </c>
      <c r="B1360" s="1023"/>
      <c r="C1360" s="312" t="s">
        <v>247</v>
      </c>
      <c r="D1360" s="312"/>
      <c r="E1360" s="276">
        <v>2000</v>
      </c>
      <c r="F1360" s="277"/>
      <c r="G1360" s="333">
        <f t="shared" si="1726"/>
        <v>0</v>
      </c>
      <c r="H1360" s="278">
        <v>0</v>
      </c>
      <c r="I1360" s="278">
        <v>0</v>
      </c>
      <c r="J1360" s="351" t="str">
        <f t="shared" ref="J1360:J1361" si="1732">IFERROR(G1360/F1360,"-")</f>
        <v>-</v>
      </c>
      <c r="K1360" s="333">
        <f t="shared" si="1727"/>
        <v>9638</v>
      </c>
      <c r="L1360" s="272">
        <f t="shared" si="1728"/>
        <v>9149</v>
      </c>
      <c r="M1360" s="273">
        <f t="shared" si="1729"/>
        <v>489</v>
      </c>
      <c r="N1360" s="337">
        <f t="shared" si="1730"/>
        <v>4.819</v>
      </c>
      <c r="O1360" s="263">
        <f t="shared" si="1731"/>
        <v>5.0736667358373108E-2</v>
      </c>
    </row>
    <row r="1361" spans="1:15" ht="24" thickBot="1" x14ac:dyDescent="0.35">
      <c r="A1361" s="274" t="s">
        <v>102</v>
      </c>
      <c r="B1361" s="1024"/>
      <c r="C1361" s="313" t="s">
        <v>33</v>
      </c>
      <c r="D1361" s="313"/>
      <c r="E1361" s="280"/>
      <c r="F1361" s="281"/>
      <c r="G1361" s="334">
        <f t="shared" si="1726"/>
        <v>0</v>
      </c>
      <c r="H1361" s="282">
        <v>0</v>
      </c>
      <c r="I1361" s="282">
        <v>0</v>
      </c>
      <c r="J1361" s="351" t="str">
        <f t="shared" si="1732"/>
        <v>-</v>
      </c>
      <c r="K1361" s="334">
        <f t="shared" si="1727"/>
        <v>0</v>
      </c>
      <c r="L1361" s="272">
        <f t="shared" si="1728"/>
        <v>0</v>
      </c>
      <c r="M1361" s="273">
        <f t="shared" si="1729"/>
        <v>0</v>
      </c>
      <c r="N1361" s="338" t="str">
        <f t="shared" si="1730"/>
        <v>-</v>
      </c>
      <c r="O1361" s="347" t="str">
        <f t="shared" si="1731"/>
        <v>-</v>
      </c>
    </row>
    <row r="1362" spans="1:15" ht="24" thickBot="1" x14ac:dyDescent="0.35">
      <c r="A1362" s="274" t="s">
        <v>102</v>
      </c>
      <c r="B1362" s="1025" t="s">
        <v>34</v>
      </c>
      <c r="C1362" s="1026"/>
      <c r="D1362" s="1027"/>
      <c r="E1362" s="284">
        <f>SUM(E1359:E1361)</f>
        <v>2000</v>
      </c>
      <c r="F1362" s="285">
        <v>6500</v>
      </c>
      <c r="G1362" s="320">
        <f>SUM(G1359:G1361)</f>
        <v>0</v>
      </c>
      <c r="H1362" s="321">
        <f t="shared" ref="H1362:I1362" si="1733">SUM(H1359:H1361)</f>
        <v>0</v>
      </c>
      <c r="I1362" s="321">
        <f t="shared" si="1733"/>
        <v>0</v>
      </c>
      <c r="J1362" s="345">
        <f>IFERROR(G1362/F1362,"-")</f>
        <v>0</v>
      </c>
      <c r="K1362" s="320">
        <f t="shared" ref="K1362:M1362" si="1734">SUM(K1359:K1361)</f>
        <v>9638</v>
      </c>
      <c r="L1362" s="321">
        <f t="shared" si="1734"/>
        <v>9149</v>
      </c>
      <c r="M1362" s="322">
        <f t="shared" si="1734"/>
        <v>489</v>
      </c>
      <c r="N1362" s="339">
        <f t="shared" si="1730"/>
        <v>4.819</v>
      </c>
      <c r="O1362" s="345">
        <f t="shared" si="1731"/>
        <v>5.0736667358373108E-2</v>
      </c>
    </row>
    <row r="1363" spans="1:15" ht="23.4" x14ac:dyDescent="0.3">
      <c r="A1363" s="274" t="s">
        <v>102</v>
      </c>
      <c r="B1363" s="1022" t="s">
        <v>35</v>
      </c>
      <c r="C1363" s="311" t="s">
        <v>113</v>
      </c>
      <c r="D1363" s="311"/>
      <c r="E1363" s="270">
        <v>116160</v>
      </c>
      <c r="F1363" s="271"/>
      <c r="G1363" s="332">
        <f t="shared" ref="G1363:G1366" si="1735">+H1363+I1363</f>
        <v>0</v>
      </c>
      <c r="H1363" s="272">
        <v>0</v>
      </c>
      <c r="I1363" s="272">
        <v>0</v>
      </c>
      <c r="J1363" s="351" t="str">
        <f>IFERROR(G1363/F1363,"-")</f>
        <v>-</v>
      </c>
      <c r="K1363" s="332">
        <f t="shared" ref="K1363:K1366" si="1736">+L1363+M1363</f>
        <v>0</v>
      </c>
      <c r="L1363" s="272">
        <f t="shared" ref="L1363:L1366" si="1737">+H1363+L1246</f>
        <v>0</v>
      </c>
      <c r="M1363" s="273">
        <f t="shared" ref="M1363:M1366" si="1738">+I1363+M1246</f>
        <v>0</v>
      </c>
      <c r="N1363" s="336">
        <f t="shared" si="1730"/>
        <v>0</v>
      </c>
      <c r="O1363" s="346" t="str">
        <f t="shared" si="1731"/>
        <v>-</v>
      </c>
    </row>
    <row r="1364" spans="1:15" ht="23.4" x14ac:dyDescent="0.3">
      <c r="A1364" s="274" t="s">
        <v>102</v>
      </c>
      <c r="B1364" s="1023"/>
      <c r="C1364" s="312" t="s">
        <v>247</v>
      </c>
      <c r="D1364" s="312"/>
      <c r="E1364" s="276"/>
      <c r="F1364" s="277"/>
      <c r="G1364" s="333">
        <f t="shared" si="1735"/>
        <v>0</v>
      </c>
      <c r="H1364" s="278">
        <v>0</v>
      </c>
      <c r="I1364" s="278">
        <v>0</v>
      </c>
      <c r="J1364" s="351" t="str">
        <f t="shared" ref="J1364:J1366" si="1739">IFERROR(G1364/F1364,"-")</f>
        <v>-</v>
      </c>
      <c r="K1364" s="333">
        <f t="shared" si="1736"/>
        <v>0</v>
      </c>
      <c r="L1364" s="272">
        <f t="shared" si="1737"/>
        <v>0</v>
      </c>
      <c r="M1364" s="273">
        <f t="shared" si="1738"/>
        <v>0</v>
      </c>
      <c r="N1364" s="337" t="str">
        <f t="shared" si="1730"/>
        <v>-</v>
      </c>
      <c r="O1364" s="263" t="str">
        <f t="shared" si="1731"/>
        <v>-</v>
      </c>
    </row>
    <row r="1365" spans="1:15" ht="23.4" x14ac:dyDescent="0.3">
      <c r="A1365" s="274" t="s">
        <v>102</v>
      </c>
      <c r="B1365" s="1023"/>
      <c r="C1365" s="312" t="s">
        <v>496</v>
      </c>
      <c r="D1365" s="312"/>
      <c r="E1365" s="276">
        <v>20000</v>
      </c>
      <c r="F1365" s="277"/>
      <c r="G1365" s="333">
        <f t="shared" si="1735"/>
        <v>0</v>
      </c>
      <c r="H1365" s="278">
        <v>0</v>
      </c>
      <c r="I1365" s="278">
        <v>0</v>
      </c>
      <c r="J1365" s="351" t="str">
        <f t="shared" si="1739"/>
        <v>-</v>
      </c>
      <c r="K1365" s="333">
        <f t="shared" si="1736"/>
        <v>0</v>
      </c>
      <c r="L1365" s="272">
        <f t="shared" si="1737"/>
        <v>0</v>
      </c>
      <c r="M1365" s="273">
        <f t="shared" si="1738"/>
        <v>0</v>
      </c>
      <c r="N1365" s="337">
        <f t="shared" si="1730"/>
        <v>0</v>
      </c>
      <c r="O1365" s="263" t="str">
        <f t="shared" si="1731"/>
        <v>-</v>
      </c>
    </row>
    <row r="1366" spans="1:15" ht="24" thickBot="1" x14ac:dyDescent="0.35">
      <c r="A1366" s="274" t="s">
        <v>102</v>
      </c>
      <c r="B1366" s="1024"/>
      <c r="C1366" s="313" t="s">
        <v>36</v>
      </c>
      <c r="D1366" s="313"/>
      <c r="E1366" s="280"/>
      <c r="F1366" s="281"/>
      <c r="G1366" s="334">
        <f t="shared" si="1735"/>
        <v>0</v>
      </c>
      <c r="H1366" s="278">
        <v>0</v>
      </c>
      <c r="I1366" s="278">
        <v>0</v>
      </c>
      <c r="J1366" s="351" t="str">
        <f t="shared" si="1739"/>
        <v>-</v>
      </c>
      <c r="K1366" s="334">
        <f t="shared" si="1736"/>
        <v>0</v>
      </c>
      <c r="L1366" s="272">
        <f t="shared" si="1737"/>
        <v>0</v>
      </c>
      <c r="M1366" s="273">
        <f t="shared" si="1738"/>
        <v>0</v>
      </c>
      <c r="N1366" s="338" t="str">
        <f t="shared" si="1730"/>
        <v>-</v>
      </c>
      <c r="O1366" s="347" t="str">
        <f t="shared" si="1731"/>
        <v>-</v>
      </c>
    </row>
    <row r="1367" spans="1:15" ht="24" thickBot="1" x14ac:dyDescent="0.35">
      <c r="A1367" s="274" t="s">
        <v>102</v>
      </c>
      <c r="B1367" s="1025" t="s">
        <v>37</v>
      </c>
      <c r="C1367" s="1026"/>
      <c r="D1367" s="1027"/>
      <c r="E1367" s="284">
        <f>SUM(E1363:E1366)</f>
        <v>136160</v>
      </c>
      <c r="F1367" s="285">
        <v>6500</v>
      </c>
      <c r="G1367" s="320">
        <f>SUM(G1363:G1366)</f>
        <v>0</v>
      </c>
      <c r="H1367" s="321">
        <f t="shared" ref="H1367:I1367" si="1740">SUM(H1363:H1366)</f>
        <v>0</v>
      </c>
      <c r="I1367" s="321">
        <f t="shared" si="1740"/>
        <v>0</v>
      </c>
      <c r="J1367" s="345">
        <f>IFERROR(G1367/F1367,"-")</f>
        <v>0</v>
      </c>
      <c r="K1367" s="320">
        <f t="shared" ref="K1367:M1367" si="1741">SUM(K1363:K1366)</f>
        <v>0</v>
      </c>
      <c r="L1367" s="321">
        <f t="shared" si="1741"/>
        <v>0</v>
      </c>
      <c r="M1367" s="322">
        <f t="shared" si="1741"/>
        <v>0</v>
      </c>
      <c r="N1367" s="339">
        <f>IFERROR(K1367/E1367,"-")</f>
        <v>0</v>
      </c>
      <c r="O1367" s="345" t="str">
        <f t="shared" si="1731"/>
        <v>-</v>
      </c>
    </row>
    <row r="1368" spans="1:15" ht="23.4" x14ac:dyDescent="0.3">
      <c r="A1368" s="274" t="s">
        <v>102</v>
      </c>
      <c r="B1368" s="1022" t="s">
        <v>402</v>
      </c>
      <c r="C1368" s="314" t="s">
        <v>116</v>
      </c>
      <c r="D1368" s="314"/>
      <c r="E1368" s="270">
        <v>31000</v>
      </c>
      <c r="F1368" s="271"/>
      <c r="G1368" s="332">
        <f t="shared" ref="G1368:G1369" si="1742">+H1368+I1368</f>
        <v>0</v>
      </c>
      <c r="H1368" s="272">
        <v>0</v>
      </c>
      <c r="I1368" s="272">
        <v>0</v>
      </c>
      <c r="J1368" s="351" t="str">
        <f>IFERROR(G1368/F1368,"-")</f>
        <v>-</v>
      </c>
      <c r="K1368" s="332">
        <f t="shared" ref="K1368:K1369" si="1743">+L1368+M1368</f>
        <v>0</v>
      </c>
      <c r="L1368" s="272">
        <f t="shared" ref="L1368:L1369" si="1744">+H1368+L1251</f>
        <v>0</v>
      </c>
      <c r="M1368" s="273">
        <f t="shared" ref="M1368:M1369" si="1745">+I1368+M1251</f>
        <v>0</v>
      </c>
      <c r="N1368" s="336">
        <f t="shared" ref="N1368:N1384" si="1746">IFERROR(K1368/E1368,"-")</f>
        <v>0</v>
      </c>
      <c r="O1368" s="346" t="str">
        <f t="shared" si="1731"/>
        <v>-</v>
      </c>
    </row>
    <row r="1369" spans="1:15" ht="24" thickBot="1" x14ac:dyDescent="0.35">
      <c r="A1369" s="274" t="s">
        <v>102</v>
      </c>
      <c r="B1369" s="1024"/>
      <c r="C1369" s="286" t="s">
        <v>132</v>
      </c>
      <c r="D1369" s="286"/>
      <c r="E1369" s="280"/>
      <c r="F1369" s="281"/>
      <c r="G1369" s="334">
        <f t="shared" si="1742"/>
        <v>0</v>
      </c>
      <c r="H1369" s="282">
        <v>0</v>
      </c>
      <c r="I1369" s="282">
        <v>0</v>
      </c>
      <c r="J1369" s="351" t="str">
        <f>IFERROR(G1369/F1369,"-")</f>
        <v>-</v>
      </c>
      <c r="K1369" s="334">
        <f t="shared" si="1743"/>
        <v>22797</v>
      </c>
      <c r="L1369" s="272">
        <f t="shared" si="1744"/>
        <v>21790</v>
      </c>
      <c r="M1369" s="273">
        <f t="shared" si="1745"/>
        <v>1007</v>
      </c>
      <c r="N1369" s="338" t="str">
        <f t="shared" si="1746"/>
        <v>-</v>
      </c>
      <c r="O1369" s="347">
        <f t="shared" si="1731"/>
        <v>4.4172478834934421E-2</v>
      </c>
    </row>
    <row r="1370" spans="1:15" ht="24" thickBot="1" x14ac:dyDescent="0.35">
      <c r="A1370" s="926" t="s">
        <v>102</v>
      </c>
      <c r="B1370" s="1025" t="s">
        <v>38</v>
      </c>
      <c r="C1370" s="1026"/>
      <c r="D1370" s="1027"/>
      <c r="E1370" s="284">
        <f>SUM(E1368:E1369)</f>
        <v>31000</v>
      </c>
      <c r="F1370" s="285">
        <v>2800</v>
      </c>
      <c r="G1370" s="320">
        <f>SUM(G1368:G1369)</f>
        <v>0</v>
      </c>
      <c r="H1370" s="321">
        <f t="shared" ref="H1370:I1370" si="1747">SUM(H1368:H1369)</f>
        <v>0</v>
      </c>
      <c r="I1370" s="321">
        <f t="shared" si="1747"/>
        <v>0</v>
      </c>
      <c r="J1370" s="345" t="str">
        <f>IFERROR(G1370/F1360,"-")</f>
        <v>-</v>
      </c>
      <c r="K1370" s="320">
        <f t="shared" ref="K1370:M1370" si="1748">SUM(K1368:K1369)</f>
        <v>22797</v>
      </c>
      <c r="L1370" s="321">
        <f t="shared" si="1748"/>
        <v>21790</v>
      </c>
      <c r="M1370" s="322">
        <f t="shared" si="1748"/>
        <v>1007</v>
      </c>
      <c r="N1370" s="339">
        <f t="shared" si="1746"/>
        <v>0.73538709677419356</v>
      </c>
      <c r="O1370" s="345">
        <f t="shared" si="1731"/>
        <v>4.4172478834934421E-2</v>
      </c>
    </row>
    <row r="1371" spans="1:15" ht="23.4" x14ac:dyDescent="0.3">
      <c r="A1371" s="274" t="s">
        <v>102</v>
      </c>
      <c r="B1371" s="1022" t="s">
        <v>403</v>
      </c>
      <c r="C1371" s="269" t="s">
        <v>306</v>
      </c>
      <c r="D1371" s="269"/>
      <c r="E1371" s="270">
        <v>978200</v>
      </c>
      <c r="F1371" s="315"/>
      <c r="G1371" s="332">
        <f t="shared" ref="G1371:G1375" si="1749">+H1371+I1371</f>
        <v>40727</v>
      </c>
      <c r="H1371" s="272">
        <v>40320</v>
      </c>
      <c r="I1371" s="272">
        <v>407</v>
      </c>
      <c r="J1371" s="371" t="str">
        <f>IFERROR(G1371/F1371,"-")</f>
        <v>-</v>
      </c>
      <c r="K1371" s="332">
        <f t="shared" ref="K1371:K1375" si="1750">+L1371+M1371</f>
        <v>343344</v>
      </c>
      <c r="L1371" s="272">
        <f t="shared" ref="L1371:L1375" si="1751">+H1371+L1254</f>
        <v>341004</v>
      </c>
      <c r="M1371" s="272">
        <f t="shared" ref="M1371:M1375" si="1752">+I1371+M1254</f>
        <v>2340</v>
      </c>
      <c r="N1371" s="359">
        <f t="shared" si="1746"/>
        <v>0.35099570639950928</v>
      </c>
      <c r="O1371" s="360">
        <f t="shared" si="1731"/>
        <v>6.8153222424157693E-3</v>
      </c>
    </row>
    <row r="1372" spans="1:15" ht="23.4" x14ac:dyDescent="0.3">
      <c r="A1372" s="274" t="s">
        <v>102</v>
      </c>
      <c r="B1372" s="1023"/>
      <c r="C1372" s="269" t="s">
        <v>307</v>
      </c>
      <c r="D1372" s="275"/>
      <c r="E1372" s="276"/>
      <c r="F1372" s="316"/>
      <c r="G1372" s="333">
        <f t="shared" si="1749"/>
        <v>0</v>
      </c>
      <c r="H1372" s="278">
        <v>0</v>
      </c>
      <c r="I1372" s="278">
        <v>0</v>
      </c>
      <c r="J1372" s="371" t="str">
        <f t="shared" ref="J1372:J1375" si="1753">IFERROR(G1372/F1372,"-")</f>
        <v>-</v>
      </c>
      <c r="K1372" s="333">
        <f t="shared" si="1750"/>
        <v>0</v>
      </c>
      <c r="L1372" s="272">
        <f t="shared" si="1751"/>
        <v>0</v>
      </c>
      <c r="M1372" s="273">
        <f t="shared" si="1752"/>
        <v>0</v>
      </c>
      <c r="N1372" s="361" t="str">
        <f t="shared" si="1746"/>
        <v>-</v>
      </c>
      <c r="O1372" s="362" t="str">
        <f t="shared" si="1731"/>
        <v>-</v>
      </c>
    </row>
    <row r="1373" spans="1:15" ht="23.4" x14ac:dyDescent="0.3">
      <c r="A1373" s="274" t="s">
        <v>102</v>
      </c>
      <c r="B1373" s="1023"/>
      <c r="C1373" s="275" t="s">
        <v>499</v>
      </c>
      <c r="D1373" s="275"/>
      <c r="E1373" s="276">
        <f>70000+15000</f>
        <v>85000</v>
      </c>
      <c r="F1373" s="316"/>
      <c r="G1373" s="333">
        <f t="shared" si="1749"/>
        <v>0</v>
      </c>
      <c r="H1373" s="278">
        <v>0</v>
      </c>
      <c r="I1373" s="278">
        <v>0</v>
      </c>
      <c r="J1373" s="371" t="str">
        <f t="shared" si="1753"/>
        <v>-</v>
      </c>
      <c r="K1373" s="333">
        <f t="shared" si="1750"/>
        <v>49665</v>
      </c>
      <c r="L1373" s="272">
        <f t="shared" si="1751"/>
        <v>49032</v>
      </c>
      <c r="M1373" s="273">
        <f t="shared" si="1752"/>
        <v>633</v>
      </c>
      <c r="N1373" s="361">
        <f t="shared" si="1746"/>
        <v>0.58429411764705885</v>
      </c>
      <c r="O1373" s="362">
        <f t="shared" si="1731"/>
        <v>1.2745394140742978E-2</v>
      </c>
    </row>
    <row r="1374" spans="1:15" ht="23.4" x14ac:dyDescent="0.3">
      <c r="A1374" s="274" t="s">
        <v>102</v>
      </c>
      <c r="B1374" s="1023"/>
      <c r="C1374" s="275" t="s">
        <v>157</v>
      </c>
      <c r="D1374" s="275"/>
      <c r="E1374" s="276">
        <v>60040</v>
      </c>
      <c r="F1374" s="316"/>
      <c r="G1374" s="333">
        <f t="shared" si="1749"/>
        <v>0</v>
      </c>
      <c r="H1374" s="278">
        <v>0</v>
      </c>
      <c r="I1374" s="278">
        <v>0</v>
      </c>
      <c r="J1374" s="371" t="str">
        <f t="shared" si="1753"/>
        <v>-</v>
      </c>
      <c r="K1374" s="333">
        <f t="shared" si="1750"/>
        <v>0</v>
      </c>
      <c r="L1374" s="272">
        <f t="shared" si="1751"/>
        <v>0</v>
      </c>
      <c r="M1374" s="273">
        <f t="shared" si="1752"/>
        <v>0</v>
      </c>
      <c r="N1374" s="361">
        <f t="shared" si="1746"/>
        <v>0</v>
      </c>
      <c r="O1374" s="362" t="str">
        <f t="shared" si="1731"/>
        <v>-</v>
      </c>
    </row>
    <row r="1375" spans="1:15" ht="24" thickBot="1" x14ac:dyDescent="0.35">
      <c r="A1375" s="274" t="s">
        <v>102</v>
      </c>
      <c r="B1375" s="1024"/>
      <c r="C1375" s="279" t="s">
        <v>158</v>
      </c>
      <c r="D1375" s="279"/>
      <c r="E1375" s="280"/>
      <c r="F1375" s="317"/>
      <c r="G1375" s="334">
        <f t="shared" si="1749"/>
        <v>0</v>
      </c>
      <c r="H1375" s="278">
        <v>0</v>
      </c>
      <c r="I1375" s="278">
        <v>0</v>
      </c>
      <c r="J1375" s="371" t="str">
        <f t="shared" si="1753"/>
        <v>-</v>
      </c>
      <c r="K1375" s="334">
        <f t="shared" si="1750"/>
        <v>0</v>
      </c>
      <c r="L1375" s="272">
        <f t="shared" si="1751"/>
        <v>0</v>
      </c>
      <c r="M1375" s="273">
        <f t="shared" si="1752"/>
        <v>0</v>
      </c>
      <c r="N1375" s="363" t="str">
        <f t="shared" si="1746"/>
        <v>-</v>
      </c>
      <c r="O1375" s="364" t="str">
        <f t="shared" si="1731"/>
        <v>-</v>
      </c>
    </row>
    <row r="1376" spans="1:15" ht="24" thickBot="1" x14ac:dyDescent="0.35">
      <c r="A1376" s="274" t="s">
        <v>102</v>
      </c>
      <c r="B1376" s="1025" t="s">
        <v>39</v>
      </c>
      <c r="C1376" s="1026"/>
      <c r="D1376" s="1027"/>
      <c r="E1376" s="320">
        <f>SUM(E1371:E1375)</f>
        <v>1123240</v>
      </c>
      <c r="F1376" s="285">
        <v>25000</v>
      </c>
      <c r="G1376" s="320">
        <f>SUM(G1371:G1375)</f>
        <v>40727</v>
      </c>
      <c r="H1376" s="321">
        <f>SUM(H1371:H1375)</f>
        <v>40320</v>
      </c>
      <c r="I1376" s="321">
        <f>SUM(I1371:I1375)</f>
        <v>407</v>
      </c>
      <c r="J1376" s="345">
        <f>IFERROR(G1376/F1376,"-")</f>
        <v>1.6290800000000001</v>
      </c>
      <c r="K1376" s="320">
        <f>SUM(K1371:K1375)</f>
        <v>393009</v>
      </c>
      <c r="L1376" s="321">
        <f>SUM(L1371:L1375)</f>
        <v>390036</v>
      </c>
      <c r="M1376" s="322">
        <f>SUM(M1371:M1375)</f>
        <v>2973</v>
      </c>
      <c r="N1376" s="339">
        <f t="shared" si="1746"/>
        <v>0.34988871478935935</v>
      </c>
      <c r="O1376" s="345">
        <f t="shared" si="1731"/>
        <v>7.564712258497897E-3</v>
      </c>
    </row>
    <row r="1377" spans="1:15" ht="23.4" x14ac:dyDescent="0.3">
      <c r="A1377" s="274" t="s">
        <v>102</v>
      </c>
      <c r="B1377" s="1022" t="s">
        <v>404</v>
      </c>
      <c r="C1377" s="269" t="s">
        <v>186</v>
      </c>
      <c r="D1377" s="269"/>
      <c r="E1377" s="270"/>
      <c r="F1377" s="271"/>
      <c r="G1377" s="332">
        <f t="shared" ref="G1377:G1379" si="1754">+H1377+I1377</f>
        <v>0</v>
      </c>
      <c r="H1377" s="272">
        <v>0</v>
      </c>
      <c r="I1377" s="272">
        <v>0</v>
      </c>
      <c r="J1377" s="351" t="str">
        <f>IFERROR(G1377/F1377,"-")</f>
        <v>-</v>
      </c>
      <c r="K1377" s="332">
        <f t="shared" ref="K1377:K1379" si="1755">+L1377+M1377</f>
        <v>0</v>
      </c>
      <c r="L1377" s="272">
        <f t="shared" ref="L1377:L1379" si="1756">+H1377+L1260</f>
        <v>0</v>
      </c>
      <c r="M1377" s="273">
        <f t="shared" ref="M1377:M1379" si="1757">+I1377+M1260</f>
        <v>0</v>
      </c>
      <c r="N1377" s="336" t="str">
        <f t="shared" si="1746"/>
        <v>-</v>
      </c>
      <c r="O1377" s="346" t="str">
        <f t="shared" si="1731"/>
        <v>-</v>
      </c>
    </row>
    <row r="1378" spans="1:15" ht="23.4" x14ac:dyDescent="0.3">
      <c r="A1378" s="274" t="s">
        <v>102</v>
      </c>
      <c r="B1378" s="1023"/>
      <c r="C1378" s="275" t="s">
        <v>497</v>
      </c>
      <c r="D1378" s="275"/>
      <c r="E1378" s="276"/>
      <c r="F1378" s="277"/>
      <c r="G1378" s="333">
        <f t="shared" si="1754"/>
        <v>0</v>
      </c>
      <c r="H1378" s="278">
        <v>0</v>
      </c>
      <c r="I1378" s="278">
        <v>0</v>
      </c>
      <c r="J1378" s="351" t="str">
        <f t="shared" ref="J1378:J1379" si="1758">IFERROR(G1378/F1378,"-")</f>
        <v>-</v>
      </c>
      <c r="K1378" s="333">
        <f t="shared" si="1755"/>
        <v>11826</v>
      </c>
      <c r="L1378" s="714">
        <f t="shared" si="1756"/>
        <v>11400</v>
      </c>
      <c r="M1378" s="273">
        <f t="shared" si="1757"/>
        <v>426</v>
      </c>
      <c r="N1378" s="361" t="str">
        <f t="shared" si="1746"/>
        <v>-</v>
      </c>
      <c r="O1378" s="362">
        <f t="shared" si="1731"/>
        <v>3.6022323693556568E-2</v>
      </c>
    </row>
    <row r="1379" spans="1:15" ht="24" thickBot="1" x14ac:dyDescent="0.35">
      <c r="A1379" s="274" t="s">
        <v>102</v>
      </c>
      <c r="B1379" s="1024"/>
      <c r="C1379" s="279" t="s">
        <v>498</v>
      </c>
      <c r="D1379" s="279"/>
      <c r="E1379" s="280"/>
      <c r="F1379" s="281"/>
      <c r="G1379" s="334">
        <f t="shared" si="1754"/>
        <v>0</v>
      </c>
      <c r="H1379" s="278">
        <v>0</v>
      </c>
      <c r="I1379" s="278">
        <v>0</v>
      </c>
      <c r="J1379" s="351" t="str">
        <f t="shared" si="1758"/>
        <v>-</v>
      </c>
      <c r="K1379" s="334">
        <f t="shared" si="1755"/>
        <v>0</v>
      </c>
      <c r="L1379" s="272">
        <f t="shared" si="1756"/>
        <v>0</v>
      </c>
      <c r="M1379" s="273">
        <f t="shared" si="1757"/>
        <v>0</v>
      </c>
      <c r="N1379" s="363" t="str">
        <f t="shared" si="1746"/>
        <v>-</v>
      </c>
      <c r="O1379" s="364" t="str">
        <f t="shared" si="1731"/>
        <v>-</v>
      </c>
    </row>
    <row r="1380" spans="1:15" ht="24" thickBot="1" x14ac:dyDescent="0.35">
      <c r="A1380" s="274" t="s">
        <v>102</v>
      </c>
      <c r="B1380" s="1034" t="s">
        <v>41</v>
      </c>
      <c r="C1380" s="1035"/>
      <c r="D1380" s="1036"/>
      <c r="E1380" s="320">
        <f>SUM(E1377:E1379)</f>
        <v>0</v>
      </c>
      <c r="F1380" s="285"/>
      <c r="G1380" s="320">
        <f>SUM(G1377:G1379)</f>
        <v>0</v>
      </c>
      <c r="H1380" s="321">
        <f t="shared" ref="H1380:I1380" si="1759">SUM(H1377:H1379)</f>
        <v>0</v>
      </c>
      <c r="I1380" s="321">
        <f t="shared" si="1759"/>
        <v>0</v>
      </c>
      <c r="J1380" s="345" t="str">
        <f>IFERROR(G1380/F1380,"-")</f>
        <v>-</v>
      </c>
      <c r="K1380" s="320">
        <f t="shared" ref="K1380:M1380" si="1760">SUM(K1377:K1379)</f>
        <v>11826</v>
      </c>
      <c r="L1380" s="365">
        <f t="shared" si="1760"/>
        <v>11400</v>
      </c>
      <c r="M1380" s="367">
        <f t="shared" si="1760"/>
        <v>426</v>
      </c>
      <c r="N1380" s="339" t="str">
        <f t="shared" si="1746"/>
        <v>-</v>
      </c>
      <c r="O1380" s="345">
        <f t="shared" si="1731"/>
        <v>3.6022323693556568E-2</v>
      </c>
    </row>
    <row r="1381" spans="1:15" ht="24" thickBot="1" x14ac:dyDescent="0.35">
      <c r="A1381" s="274" t="s">
        <v>102</v>
      </c>
      <c r="B1381" s="1022" t="s">
        <v>42</v>
      </c>
      <c r="C1381" s="269" t="s">
        <v>160</v>
      </c>
      <c r="D1381" s="269"/>
      <c r="E1381" s="270"/>
      <c r="F1381" s="271"/>
      <c r="G1381" s="332">
        <f t="shared" ref="G1381:G1382" si="1761">+H1381+I1381</f>
        <v>0</v>
      </c>
      <c r="H1381" s="272">
        <v>0</v>
      </c>
      <c r="I1381" s="272">
        <v>0</v>
      </c>
      <c r="J1381" s="371" t="str">
        <f>IFERROR(G1381/F1381,"-")</f>
        <v>-</v>
      </c>
      <c r="K1381" s="695">
        <f t="shared" ref="K1381:K1382" si="1762">+L1381+M1381</f>
        <v>0</v>
      </c>
      <c r="L1381" s="688">
        <f t="shared" ref="L1381:L1382" si="1763">+H1381+L1264</f>
        <v>0</v>
      </c>
      <c r="M1381" s="688">
        <f t="shared" ref="M1381:M1382" si="1764">+I1381+M1264</f>
        <v>0</v>
      </c>
      <c r="N1381" s="359" t="str">
        <f t="shared" si="1746"/>
        <v>-</v>
      </c>
      <c r="O1381" s="360" t="str">
        <f t="shared" si="1731"/>
        <v>-</v>
      </c>
    </row>
    <row r="1382" spans="1:15" ht="24" thickBot="1" x14ac:dyDescent="0.35">
      <c r="A1382" s="274" t="s">
        <v>102</v>
      </c>
      <c r="B1382" s="1024"/>
      <c r="C1382" s="279" t="s">
        <v>161</v>
      </c>
      <c r="D1382" s="279"/>
      <c r="E1382" s="280"/>
      <c r="F1382" s="281"/>
      <c r="G1382" s="334">
        <f t="shared" si="1761"/>
        <v>0</v>
      </c>
      <c r="H1382" s="282">
        <v>0</v>
      </c>
      <c r="I1382" s="282">
        <v>0</v>
      </c>
      <c r="J1382" s="373" t="str">
        <f>IFERROR(G1382/F1382,"-")</f>
        <v>-</v>
      </c>
      <c r="K1382" s="696">
        <f t="shared" si="1762"/>
        <v>0</v>
      </c>
      <c r="L1382" s="688">
        <f t="shared" si="1763"/>
        <v>0</v>
      </c>
      <c r="M1382" s="688">
        <f t="shared" si="1764"/>
        <v>0</v>
      </c>
      <c r="N1382" s="363" t="str">
        <f t="shared" si="1746"/>
        <v>-</v>
      </c>
      <c r="O1382" s="364" t="str">
        <f t="shared" si="1731"/>
        <v>-</v>
      </c>
    </row>
    <row r="1383" spans="1:15" ht="24" thickBot="1" x14ac:dyDescent="0.35">
      <c r="A1383" s="274" t="s">
        <v>102</v>
      </c>
      <c r="B1383" s="1034" t="s">
        <v>43</v>
      </c>
      <c r="C1383" s="1035"/>
      <c r="D1383" s="1036"/>
      <c r="E1383" s="284">
        <f>SUM(E1381:E1382)</f>
        <v>0</v>
      </c>
      <c r="F1383" s="285">
        <v>25000</v>
      </c>
      <c r="G1383" s="320">
        <f>SUM(G1381:G1382)</f>
        <v>0</v>
      </c>
      <c r="H1383" s="321">
        <f t="shared" ref="H1383:I1383" si="1765">SUM(H1381:H1382)</f>
        <v>0</v>
      </c>
      <c r="I1383" s="321">
        <f t="shared" si="1765"/>
        <v>0</v>
      </c>
      <c r="J1383" s="345">
        <f>IFERROR(G1383/F1383,"-")</f>
        <v>0</v>
      </c>
      <c r="K1383" s="760">
        <f t="shared" ref="K1383:M1383" si="1766">SUM(K1381:K1382)</f>
        <v>0</v>
      </c>
      <c r="L1383" s="761">
        <f t="shared" si="1766"/>
        <v>0</v>
      </c>
      <c r="M1383" s="761">
        <f t="shared" si="1766"/>
        <v>0</v>
      </c>
      <c r="N1383" s="339" t="str">
        <f t="shared" si="1746"/>
        <v>-</v>
      </c>
      <c r="O1383" s="345" t="str">
        <f t="shared" si="1731"/>
        <v>-</v>
      </c>
    </row>
    <row r="1384" spans="1:15" ht="24" thickBot="1" x14ac:dyDescent="0.35">
      <c r="A1384" s="274" t="s">
        <v>102</v>
      </c>
      <c r="B1384" s="1028" t="s">
        <v>25</v>
      </c>
      <c r="C1384" s="1029"/>
      <c r="D1384" s="1030"/>
      <c r="E1384" s="326">
        <f t="shared" ref="E1384:F1384" si="1767">+E1362+E1367+E1370+E1376+E1380+E1383</f>
        <v>1292400</v>
      </c>
      <c r="F1384" s="327">
        <f t="shared" si="1767"/>
        <v>65800</v>
      </c>
      <c r="G1384" s="326">
        <f>+G1362+G1367+G1370+G1376+G1380+G1383</f>
        <v>40727</v>
      </c>
      <c r="H1384" s="324">
        <f>+H1362+H1367+H1370+H1376+H1380+H1383</f>
        <v>40320</v>
      </c>
      <c r="I1384" s="324">
        <f t="shared" ref="I1384" si="1768">+I1362+I1367+I1370+I1376+I1380+I1383</f>
        <v>407</v>
      </c>
      <c r="J1384" s="349">
        <f>IFERROR(G1384/F1384,"-")</f>
        <v>0.618951367781155</v>
      </c>
      <c r="K1384" s="326">
        <f>+K1362+K1367+K1370+K1376+K1380+K1383</f>
        <v>437270</v>
      </c>
      <c r="L1384" s="759">
        <f t="shared" ref="L1384:M1384" si="1769">+L1362+L1367+L1370+L1376+L1380+L1383</f>
        <v>432375</v>
      </c>
      <c r="M1384" s="325">
        <f t="shared" si="1769"/>
        <v>4895</v>
      </c>
      <c r="N1384" s="341">
        <f t="shared" si="1746"/>
        <v>0.33833952336737855</v>
      </c>
      <c r="O1384" s="349">
        <f t="shared" si="1731"/>
        <v>1.1194456514281794E-2</v>
      </c>
    </row>
    <row r="1385" spans="1:15" ht="24" thickBot="1" x14ac:dyDescent="0.35">
      <c r="A1385" s="318" t="s">
        <v>102</v>
      </c>
      <c r="B1385" s="1020" t="s">
        <v>173</v>
      </c>
      <c r="C1385" s="1020"/>
      <c r="D1385" s="1021"/>
      <c r="E1385" s="330">
        <f>+E1384</f>
        <v>1292400</v>
      </c>
      <c r="F1385" s="331">
        <f t="shared" ref="F1385:I1385" si="1770">+F1384</f>
        <v>65800</v>
      </c>
      <c r="G1385" s="330">
        <f t="shared" si="1770"/>
        <v>40727</v>
      </c>
      <c r="H1385" s="328">
        <f t="shared" si="1770"/>
        <v>40320</v>
      </c>
      <c r="I1385" s="328">
        <f t="shared" si="1770"/>
        <v>407</v>
      </c>
      <c r="J1385" s="350">
        <f>+G1385/F1385</f>
        <v>0.618951367781155</v>
      </c>
      <c r="K1385" s="330">
        <f t="shared" ref="K1385:O1385" si="1771">+K1384</f>
        <v>437270</v>
      </c>
      <c r="L1385" s="328">
        <f t="shared" si="1771"/>
        <v>432375</v>
      </c>
      <c r="M1385" s="329">
        <f t="shared" si="1771"/>
        <v>4895</v>
      </c>
      <c r="N1385" s="342">
        <f t="shared" si="1771"/>
        <v>0.33833952336737855</v>
      </c>
      <c r="O1385" s="350">
        <f t="shared" si="1771"/>
        <v>1.1194456514281794E-2</v>
      </c>
    </row>
    <row r="1386" spans="1:15" ht="24.6" thickBot="1" x14ac:dyDescent="0.35">
      <c r="A1386" s="319"/>
      <c r="B1386" s="1031" t="s">
        <v>174</v>
      </c>
      <c r="C1386" s="1032"/>
      <c r="D1386" s="1033"/>
      <c r="E1386" s="374">
        <f>+E1323+E1358+E1385</f>
        <v>7473564</v>
      </c>
      <c r="F1386" s="374">
        <f>+F1323+F1358+F1385</f>
        <v>1024800</v>
      </c>
      <c r="G1386" s="374">
        <f>+G1323+G1358+G1385</f>
        <v>337308</v>
      </c>
      <c r="H1386" s="374">
        <f>+H1323+H1358+H1385</f>
        <v>334096</v>
      </c>
      <c r="I1386" s="374">
        <f>+I1323+I1358+I1385</f>
        <v>3212</v>
      </c>
      <c r="J1386" s="375">
        <f>IFERROR(G1386/F1386,"-")</f>
        <v>0.32914519906323186</v>
      </c>
      <c r="K1386" s="374">
        <f>+K1323+K1358+K1385</f>
        <v>4447832</v>
      </c>
      <c r="L1386" s="374">
        <f>+L1323+L1358+L1385</f>
        <v>4406371</v>
      </c>
      <c r="M1386" s="374">
        <f>+M1323+M1358+M1385</f>
        <v>41461</v>
      </c>
      <c r="N1386" s="375">
        <f>IFERROR(K1386/E1386,"-")</f>
        <v>0.59514202327028976</v>
      </c>
      <c r="O1386" s="375">
        <f>IFERROR(M1386/K1386,"-")</f>
        <v>9.3216200611893618E-3</v>
      </c>
    </row>
    <row r="1387" spans="1:15" ht="23.4" x14ac:dyDescent="0.3">
      <c r="A1387" s="1057" t="s">
        <v>1</v>
      </c>
      <c r="B1387" s="1060" t="s">
        <v>2</v>
      </c>
      <c r="C1387" s="1063" t="s">
        <v>396</v>
      </c>
      <c r="D1387" s="1063" t="s">
        <v>397</v>
      </c>
      <c r="E1387" s="1066" t="s">
        <v>4</v>
      </c>
      <c r="F1387" s="1067"/>
      <c r="G1387" s="1067"/>
      <c r="H1387" s="1067"/>
      <c r="I1387" s="1067"/>
      <c r="J1387" s="1067"/>
      <c r="K1387" s="1067"/>
      <c r="L1387" s="1067"/>
      <c r="M1387" s="1067"/>
      <c r="N1387" s="1067"/>
      <c r="O1387" s="1068"/>
    </row>
    <row r="1388" spans="1:15" ht="23.4" x14ac:dyDescent="0.3">
      <c r="A1388" s="1058"/>
      <c r="B1388" s="1061"/>
      <c r="C1388" s="1064"/>
      <c r="D1388" s="1064"/>
      <c r="E1388" s="1069" t="s">
        <v>7</v>
      </c>
      <c r="F1388" s="1071" t="s">
        <v>108</v>
      </c>
      <c r="G1388" s="1073" t="s">
        <v>561</v>
      </c>
      <c r="H1388" s="1074"/>
      <c r="I1388" s="1074"/>
      <c r="J1388" s="1075"/>
      <c r="K1388" s="1076" t="s">
        <v>398</v>
      </c>
      <c r="L1388" s="1077"/>
      <c r="M1388" s="1078"/>
      <c r="N1388" s="1079" t="s">
        <v>399</v>
      </c>
      <c r="O1388" s="1081" t="s">
        <v>164</v>
      </c>
    </row>
    <row r="1389" spans="1:15" ht="41.4" thickBot="1" x14ac:dyDescent="0.35">
      <c r="A1389" s="1059"/>
      <c r="B1389" s="1062"/>
      <c r="C1389" s="1065"/>
      <c r="D1389" s="1065"/>
      <c r="E1389" s="1070"/>
      <c r="F1389" s="1072"/>
      <c r="G1389" s="452" t="s">
        <v>13</v>
      </c>
      <c r="H1389" s="453" t="s">
        <v>14</v>
      </c>
      <c r="I1389" s="453" t="s">
        <v>15</v>
      </c>
      <c r="J1389" s="454" t="s">
        <v>166</v>
      </c>
      <c r="K1389" s="680" t="s">
        <v>13</v>
      </c>
      <c r="L1389" s="678" t="s">
        <v>14</v>
      </c>
      <c r="M1389" s="679" t="s">
        <v>15</v>
      </c>
      <c r="N1389" s="1080"/>
      <c r="O1389" s="1082"/>
    </row>
    <row r="1390" spans="1:15" ht="23.4" x14ac:dyDescent="0.3">
      <c r="A1390" s="268" t="s">
        <v>103</v>
      </c>
      <c r="B1390" s="1043" t="s">
        <v>16</v>
      </c>
      <c r="C1390" s="269" t="s">
        <v>549</v>
      </c>
      <c r="D1390" s="269" t="s">
        <v>369</v>
      </c>
      <c r="E1390" s="270">
        <v>20000</v>
      </c>
      <c r="F1390" s="271"/>
      <c r="G1390" s="332">
        <f>+H1390+I1390</f>
        <v>3690</v>
      </c>
      <c r="H1390" s="272">
        <f>3068+320+192</f>
        <v>3580</v>
      </c>
      <c r="I1390" s="272">
        <f>110+0</f>
        <v>110</v>
      </c>
      <c r="J1390" s="352" t="str">
        <f>IFERROR(G1390/F1390,"-")</f>
        <v>-</v>
      </c>
      <c r="K1390" s="694">
        <f>+L1390+M1390</f>
        <v>19671</v>
      </c>
      <c r="L1390" s="527">
        <f>+H1390+L1273</f>
        <v>18620</v>
      </c>
      <c r="M1390" s="459">
        <f>+I1390+M1273</f>
        <v>1051</v>
      </c>
      <c r="N1390" s="336">
        <f>IFERROR(K1390/E1390,"-")</f>
        <v>0.98355000000000004</v>
      </c>
      <c r="O1390" s="343">
        <f t="shared" ref="O1390:O1391" si="1772">IFERROR(M1390/K1390,"-")</f>
        <v>5.3428905495399318E-2</v>
      </c>
    </row>
    <row r="1391" spans="1:15" ht="23.4" x14ac:dyDescent="0.3">
      <c r="A1391" s="274" t="s">
        <v>103</v>
      </c>
      <c r="B1391" s="1044"/>
      <c r="C1391" s="275" t="s">
        <v>376</v>
      </c>
      <c r="D1391" s="275" t="s">
        <v>375</v>
      </c>
      <c r="E1391" s="276"/>
      <c r="F1391" s="277"/>
      <c r="G1391" s="333">
        <f t="shared" ref="G1391:G1393" si="1773">+H1391+I1391</f>
        <v>0</v>
      </c>
      <c r="H1391" s="278"/>
      <c r="I1391" s="278"/>
      <c r="J1391" s="352" t="str">
        <f t="shared" ref="J1391:J1393" si="1774">IFERROR(G1391/F1391,"-")</f>
        <v>-</v>
      </c>
      <c r="K1391" s="690">
        <f t="shared" ref="K1391:K1393" si="1775">+L1391+M1391</f>
        <v>0</v>
      </c>
      <c r="L1391" s="276">
        <f t="shared" ref="L1391:L1393" si="1776">+H1391+L1274</f>
        <v>0</v>
      </c>
      <c r="M1391" s="436">
        <f t="shared" ref="M1391:M1393" si="1777">+I1391+M1274</f>
        <v>0</v>
      </c>
      <c r="N1391" s="337" t="str">
        <f t="shared" ref="N1391:N1393" si="1778">IFERROR(K1391/E1391,"-")</f>
        <v>-</v>
      </c>
      <c r="O1391" s="265" t="str">
        <f t="shared" si="1772"/>
        <v>-</v>
      </c>
    </row>
    <row r="1392" spans="1:15" ht="23.4" x14ac:dyDescent="0.3">
      <c r="A1392" s="274" t="s">
        <v>103</v>
      </c>
      <c r="B1392" s="1044"/>
      <c r="C1392" s="573" t="s">
        <v>431</v>
      </c>
      <c r="D1392" s="573" t="s">
        <v>366</v>
      </c>
      <c r="E1392" s="720"/>
      <c r="F1392" s="721"/>
      <c r="G1392" s="333">
        <f t="shared" si="1773"/>
        <v>0</v>
      </c>
      <c r="H1392" s="722"/>
      <c r="I1392" s="722"/>
      <c r="J1392" s="352" t="str">
        <f t="shared" si="1774"/>
        <v>-</v>
      </c>
      <c r="K1392" s="690">
        <f t="shared" si="1775"/>
        <v>8000</v>
      </c>
      <c r="L1392" s="276">
        <f t="shared" si="1776"/>
        <v>8000</v>
      </c>
      <c r="M1392" s="436">
        <f t="shared" si="1777"/>
        <v>0</v>
      </c>
      <c r="N1392" s="337" t="str">
        <f t="shared" si="1778"/>
        <v>-</v>
      </c>
      <c r="O1392" s="265">
        <f>IFERROR(M1392/K1392,"-")</f>
        <v>0</v>
      </c>
    </row>
    <row r="1393" spans="1:15" ht="24" thickBot="1" x14ac:dyDescent="0.35">
      <c r="A1393" s="274" t="s">
        <v>103</v>
      </c>
      <c r="B1393" s="1045"/>
      <c r="C1393" s="279" t="s">
        <v>428</v>
      </c>
      <c r="D1393" s="279" t="s">
        <v>374</v>
      </c>
      <c r="E1393" s="280"/>
      <c r="F1393" s="281"/>
      <c r="G1393" s="334">
        <f t="shared" si="1773"/>
        <v>0</v>
      </c>
      <c r="H1393" s="272"/>
      <c r="I1393" s="272"/>
      <c r="J1393" s="352" t="str">
        <f t="shared" si="1774"/>
        <v>-</v>
      </c>
      <c r="K1393" s="691">
        <f t="shared" si="1775"/>
        <v>0</v>
      </c>
      <c r="L1393" s="530">
        <f t="shared" si="1776"/>
        <v>0</v>
      </c>
      <c r="M1393" s="462">
        <f t="shared" si="1777"/>
        <v>0</v>
      </c>
      <c r="N1393" s="338" t="str">
        <f t="shared" si="1778"/>
        <v>-</v>
      </c>
      <c r="O1393" s="344" t="str">
        <f t="shared" ref="O1393:O1411" si="1779">IFERROR(M1393/K1393,"-")</f>
        <v>-</v>
      </c>
    </row>
    <row r="1394" spans="1:15" ht="24" thickBot="1" x14ac:dyDescent="0.35">
      <c r="A1394" s="274" t="s">
        <v>103</v>
      </c>
      <c r="B1394" s="1025" t="s">
        <v>44</v>
      </c>
      <c r="C1394" s="1026"/>
      <c r="D1394" s="1027"/>
      <c r="E1394" s="320">
        <f>SUM(E1390:E1393)</f>
        <v>20000</v>
      </c>
      <c r="F1394" s="285">
        <v>15000</v>
      </c>
      <c r="G1394" s="320">
        <f>SUM(G1390:G1393)</f>
        <v>3690</v>
      </c>
      <c r="H1394" s="321">
        <f t="shared" ref="H1394:I1394" si="1780">SUM(H1390:H1393)</f>
        <v>3580</v>
      </c>
      <c r="I1394" s="321">
        <f t="shared" si="1780"/>
        <v>110</v>
      </c>
      <c r="J1394" s="345">
        <f>+G1394/F1394</f>
        <v>0.246</v>
      </c>
      <c r="K1394" s="320">
        <f t="shared" ref="K1394" si="1781">SUM(K1390:K1393)</f>
        <v>27671</v>
      </c>
      <c r="L1394" s="692">
        <f>SUM(L1390:L1393)</f>
        <v>26620</v>
      </c>
      <c r="M1394" s="693">
        <f>SUM(M1390:M1393)</f>
        <v>1051</v>
      </c>
      <c r="N1394" s="339">
        <f>IFERROR(K1394/E1394,"-")</f>
        <v>1.3835500000000001</v>
      </c>
      <c r="O1394" s="345">
        <f t="shared" si="1779"/>
        <v>3.7982002818835604E-2</v>
      </c>
    </row>
    <row r="1395" spans="1:15" ht="23.4" x14ac:dyDescent="0.3">
      <c r="A1395" s="274" t="s">
        <v>103</v>
      </c>
      <c r="B1395" s="1043" t="s">
        <v>17</v>
      </c>
      <c r="C1395" s="269" t="s">
        <v>294</v>
      </c>
      <c r="D1395" s="269"/>
      <c r="E1395" s="270"/>
      <c r="F1395" s="271"/>
      <c r="G1395" s="332">
        <f t="shared" ref="G1395:G1401" si="1782">+H1395+I1395</f>
        <v>0</v>
      </c>
      <c r="H1395" s="272">
        <v>0</v>
      </c>
      <c r="I1395" s="272">
        <v>0</v>
      </c>
      <c r="J1395" s="351" t="str">
        <f>IFERROR(G1395/F1395,"-")</f>
        <v>-</v>
      </c>
      <c r="K1395" s="694">
        <f t="shared" ref="K1395:K1401" si="1783">+L1395+M1395</f>
        <v>0</v>
      </c>
      <c r="L1395" s="527">
        <f t="shared" ref="L1395:L1401" si="1784">+H1395+L1278</f>
        <v>0</v>
      </c>
      <c r="M1395" s="459">
        <f t="shared" ref="M1395:M1401" si="1785">+I1395+M1278</f>
        <v>0</v>
      </c>
      <c r="N1395" s="336" t="str">
        <f t="shared" ref="N1395:N1401" si="1786">IFERROR(K1395/E1395,"-")</f>
        <v>-</v>
      </c>
      <c r="O1395" s="346" t="str">
        <f t="shared" si="1779"/>
        <v>-</v>
      </c>
    </row>
    <row r="1396" spans="1:15" ht="23.4" x14ac:dyDescent="0.3">
      <c r="A1396" s="274" t="s">
        <v>103</v>
      </c>
      <c r="B1396" s="1044"/>
      <c r="C1396" s="275" t="s">
        <v>344</v>
      </c>
      <c r="D1396" s="275" t="s">
        <v>232</v>
      </c>
      <c r="E1396" s="276">
        <v>1600000</v>
      </c>
      <c r="F1396" s="277"/>
      <c r="G1396" s="333">
        <f t="shared" si="1782"/>
        <v>0</v>
      </c>
      <c r="H1396" s="278">
        <v>0</v>
      </c>
      <c r="I1396" s="278">
        <v>0</v>
      </c>
      <c r="J1396" s="351" t="str">
        <f t="shared" ref="J1396:J1401" si="1787">IFERROR(G1396/F1396,"-")</f>
        <v>-</v>
      </c>
      <c r="K1396" s="690">
        <f t="shared" si="1783"/>
        <v>6120</v>
      </c>
      <c r="L1396" s="276">
        <f t="shared" si="1784"/>
        <v>5980</v>
      </c>
      <c r="M1396" s="436">
        <f t="shared" si="1785"/>
        <v>140</v>
      </c>
      <c r="N1396" s="337">
        <f t="shared" si="1786"/>
        <v>3.8249999999999998E-3</v>
      </c>
      <c r="O1396" s="263">
        <f t="shared" si="1779"/>
        <v>2.2875816993464051E-2</v>
      </c>
    </row>
    <row r="1397" spans="1:15" ht="23.4" x14ac:dyDescent="0.3">
      <c r="A1397" s="274" t="s">
        <v>103</v>
      </c>
      <c r="B1397" s="1044"/>
      <c r="C1397" s="275" t="s">
        <v>367</v>
      </c>
      <c r="D1397" s="275" t="s">
        <v>187</v>
      </c>
      <c r="E1397" s="276">
        <v>1000000</v>
      </c>
      <c r="F1397" s="277"/>
      <c r="G1397" s="333">
        <f t="shared" si="1782"/>
        <v>92386</v>
      </c>
      <c r="H1397" s="278">
        <v>91800</v>
      </c>
      <c r="I1397" s="278">
        <v>586</v>
      </c>
      <c r="J1397" s="351" t="str">
        <f t="shared" si="1787"/>
        <v>-</v>
      </c>
      <c r="K1397" s="690">
        <f t="shared" si="1783"/>
        <v>1016220</v>
      </c>
      <c r="L1397" s="276">
        <f t="shared" si="1784"/>
        <v>1009800</v>
      </c>
      <c r="M1397" s="436">
        <f t="shared" si="1785"/>
        <v>6420</v>
      </c>
      <c r="N1397" s="337">
        <f t="shared" si="1786"/>
        <v>1.0162199999999999</v>
      </c>
      <c r="O1397" s="263">
        <f t="shared" si="1779"/>
        <v>6.3175296687725101E-3</v>
      </c>
    </row>
    <row r="1398" spans="1:15" ht="23.4" x14ac:dyDescent="0.3">
      <c r="A1398" s="274" t="s">
        <v>103</v>
      </c>
      <c r="B1398" s="1044"/>
      <c r="C1398" s="275" t="s">
        <v>530</v>
      </c>
      <c r="D1398" s="275" t="s">
        <v>529</v>
      </c>
      <c r="E1398" s="276"/>
      <c r="F1398" s="277"/>
      <c r="G1398" s="333">
        <f t="shared" si="1782"/>
        <v>0</v>
      </c>
      <c r="H1398" s="278">
        <v>0</v>
      </c>
      <c r="I1398" s="278">
        <v>0</v>
      </c>
      <c r="J1398" s="351" t="str">
        <f t="shared" si="1787"/>
        <v>-</v>
      </c>
      <c r="K1398" s="690">
        <f t="shared" si="1783"/>
        <v>41558</v>
      </c>
      <c r="L1398" s="276">
        <f t="shared" si="1784"/>
        <v>41350</v>
      </c>
      <c r="M1398" s="436">
        <f t="shared" si="1785"/>
        <v>208</v>
      </c>
      <c r="N1398" s="337" t="str">
        <f t="shared" si="1786"/>
        <v>-</v>
      </c>
      <c r="O1398" s="263">
        <f t="shared" si="1779"/>
        <v>5.0050531786900235E-3</v>
      </c>
    </row>
    <row r="1399" spans="1:15" ht="23.4" x14ac:dyDescent="0.3">
      <c r="A1399" s="274" t="s">
        <v>103</v>
      </c>
      <c r="B1399" s="1044"/>
      <c r="C1399" s="275" t="s">
        <v>323</v>
      </c>
      <c r="D1399" s="275" t="s">
        <v>318</v>
      </c>
      <c r="E1399" s="276"/>
      <c r="F1399" s="277"/>
      <c r="G1399" s="333">
        <f t="shared" si="1782"/>
        <v>0</v>
      </c>
      <c r="H1399" s="278">
        <v>0</v>
      </c>
      <c r="I1399" s="278">
        <v>0</v>
      </c>
      <c r="J1399" s="351" t="str">
        <f t="shared" si="1787"/>
        <v>-</v>
      </c>
      <c r="K1399" s="690">
        <f t="shared" si="1783"/>
        <v>0</v>
      </c>
      <c r="L1399" s="276">
        <f t="shared" si="1784"/>
        <v>0</v>
      </c>
      <c r="M1399" s="436">
        <f t="shared" si="1785"/>
        <v>0</v>
      </c>
      <c r="N1399" s="337" t="str">
        <f t="shared" si="1786"/>
        <v>-</v>
      </c>
      <c r="O1399" s="263" t="str">
        <f t="shared" si="1779"/>
        <v>-</v>
      </c>
    </row>
    <row r="1400" spans="1:15" ht="23.4" x14ac:dyDescent="0.3">
      <c r="A1400" s="274" t="s">
        <v>103</v>
      </c>
      <c r="B1400" s="1044"/>
      <c r="C1400" s="275" t="s">
        <v>528</v>
      </c>
      <c r="D1400" s="275" t="s">
        <v>189</v>
      </c>
      <c r="E1400" s="276"/>
      <c r="F1400" s="277"/>
      <c r="G1400" s="333">
        <f t="shared" si="1782"/>
        <v>0</v>
      </c>
      <c r="H1400" s="278">
        <v>0</v>
      </c>
      <c r="I1400" s="278">
        <v>0</v>
      </c>
      <c r="J1400" s="351" t="str">
        <f t="shared" si="1787"/>
        <v>-</v>
      </c>
      <c r="K1400" s="690">
        <f t="shared" si="1783"/>
        <v>33900</v>
      </c>
      <c r="L1400" s="276">
        <f t="shared" si="1784"/>
        <v>33760</v>
      </c>
      <c r="M1400" s="436">
        <f t="shared" si="1785"/>
        <v>140</v>
      </c>
      <c r="N1400" s="337" t="str">
        <f t="shared" si="1786"/>
        <v>-</v>
      </c>
      <c r="O1400" s="263">
        <f t="shared" si="1779"/>
        <v>4.1297935103244837E-3</v>
      </c>
    </row>
    <row r="1401" spans="1:15" ht="24" thickBot="1" x14ac:dyDescent="0.35">
      <c r="A1401" s="274" t="s">
        <v>103</v>
      </c>
      <c r="B1401" s="1045"/>
      <c r="C1401" s="279" t="s">
        <v>341</v>
      </c>
      <c r="D1401" s="279" t="s">
        <v>232</v>
      </c>
      <c r="E1401" s="280"/>
      <c r="F1401" s="281"/>
      <c r="G1401" s="334">
        <f t="shared" si="1782"/>
        <v>0</v>
      </c>
      <c r="H1401" s="278">
        <v>0</v>
      </c>
      <c r="I1401" s="278">
        <v>0</v>
      </c>
      <c r="J1401" s="351" t="str">
        <f t="shared" si="1787"/>
        <v>-</v>
      </c>
      <c r="K1401" s="691">
        <f t="shared" si="1783"/>
        <v>0</v>
      </c>
      <c r="L1401" s="530">
        <f t="shared" si="1784"/>
        <v>0</v>
      </c>
      <c r="M1401" s="462">
        <f t="shared" si="1785"/>
        <v>0</v>
      </c>
      <c r="N1401" s="338" t="str">
        <f t="shared" si="1786"/>
        <v>-</v>
      </c>
      <c r="O1401" s="347" t="str">
        <f t="shared" si="1779"/>
        <v>-</v>
      </c>
    </row>
    <row r="1402" spans="1:15" ht="24" thickBot="1" x14ac:dyDescent="0.35">
      <c r="A1402" s="274" t="s">
        <v>103</v>
      </c>
      <c r="B1402" s="1025" t="s">
        <v>45</v>
      </c>
      <c r="C1402" s="1026"/>
      <c r="D1402" s="1027"/>
      <c r="E1402" s="320">
        <f>SUM(E1395:E1401)</f>
        <v>2600000</v>
      </c>
      <c r="F1402" s="285">
        <v>100000</v>
      </c>
      <c r="G1402" s="320">
        <f>SUM(G1395:G1401)</f>
        <v>92386</v>
      </c>
      <c r="H1402" s="321">
        <f t="shared" ref="H1402:I1402" si="1788">SUM(H1395:H1401)</f>
        <v>91800</v>
      </c>
      <c r="I1402" s="321">
        <f t="shared" si="1788"/>
        <v>586</v>
      </c>
      <c r="J1402" s="345">
        <f>+G1402/F1402</f>
        <v>0.92386000000000001</v>
      </c>
      <c r="K1402" s="320">
        <f>SUM(K1395:K1401)</f>
        <v>1097798</v>
      </c>
      <c r="L1402" s="519">
        <f>SUM(L1395:L1401)</f>
        <v>1090890</v>
      </c>
      <c r="M1402" s="689">
        <f t="shared" ref="M1402" si="1789">SUM(M1395:M1401)</f>
        <v>6908</v>
      </c>
      <c r="N1402" s="339">
        <f>IFERROR(K1402/E1402,"-")</f>
        <v>0.42222999999999999</v>
      </c>
      <c r="O1402" s="345">
        <f t="shared" si="1779"/>
        <v>6.2925966343534969E-3</v>
      </c>
    </row>
    <row r="1403" spans="1:15" ht="23.4" x14ac:dyDescent="0.3">
      <c r="A1403" s="274" t="s">
        <v>103</v>
      </c>
      <c r="B1403" s="1043" t="s">
        <v>18</v>
      </c>
      <c r="C1403" s="269" t="s">
        <v>312</v>
      </c>
      <c r="D1403" s="269" t="s">
        <v>92</v>
      </c>
      <c r="E1403" s="270"/>
      <c r="F1403" s="271"/>
      <c r="G1403" s="332">
        <f t="shared" ref="G1403:G1409" si="1790">+H1403+I1403</f>
        <v>0</v>
      </c>
      <c r="H1403" s="272">
        <v>0</v>
      </c>
      <c r="I1403" s="272">
        <v>0</v>
      </c>
      <c r="J1403" s="351" t="str">
        <f>IFERROR(G1403/F1403,"-")</f>
        <v>-</v>
      </c>
      <c r="K1403" s="332">
        <f t="shared" ref="K1403:K1409" si="1791">+L1403+M1403</f>
        <v>0</v>
      </c>
      <c r="L1403" s="272">
        <f t="shared" ref="L1403:L1409" si="1792">+H1403+L1286</f>
        <v>0</v>
      </c>
      <c r="M1403" s="273">
        <f t="shared" ref="M1403:M1409" si="1793">+I1403+M1286</f>
        <v>0</v>
      </c>
      <c r="N1403" s="336" t="str">
        <f t="shared" ref="N1403:N1410" si="1794">IFERROR(K1403/E1403,"-")</f>
        <v>-</v>
      </c>
      <c r="O1403" s="346" t="str">
        <f t="shared" si="1779"/>
        <v>-</v>
      </c>
    </row>
    <row r="1404" spans="1:15" ht="23.4" x14ac:dyDescent="0.3">
      <c r="A1404" s="274" t="s">
        <v>103</v>
      </c>
      <c r="B1404" s="1044"/>
      <c r="C1404" s="275" t="s">
        <v>233</v>
      </c>
      <c r="D1404" s="275" t="s">
        <v>234</v>
      </c>
      <c r="E1404" s="276"/>
      <c r="F1404" s="277"/>
      <c r="G1404" s="333">
        <f t="shared" si="1790"/>
        <v>0</v>
      </c>
      <c r="H1404" s="278">
        <v>0</v>
      </c>
      <c r="I1404" s="278">
        <v>0</v>
      </c>
      <c r="J1404" s="351" t="str">
        <f t="shared" ref="J1404:J1409" si="1795">IFERROR(G1404/F1404,"-")</f>
        <v>-</v>
      </c>
      <c r="K1404" s="333">
        <f t="shared" si="1791"/>
        <v>0</v>
      </c>
      <c r="L1404" s="272">
        <f t="shared" si="1792"/>
        <v>0</v>
      </c>
      <c r="M1404" s="273">
        <f t="shared" si="1793"/>
        <v>0</v>
      </c>
      <c r="N1404" s="337" t="str">
        <f t="shared" si="1794"/>
        <v>-</v>
      </c>
      <c r="O1404" s="263" t="str">
        <f t="shared" si="1779"/>
        <v>-</v>
      </c>
    </row>
    <row r="1405" spans="1:15" ht="23.4" x14ac:dyDescent="0.3">
      <c r="A1405" s="274" t="s">
        <v>103</v>
      </c>
      <c r="B1405" s="1044"/>
      <c r="C1405" s="275" t="s">
        <v>115</v>
      </c>
      <c r="D1405" s="275"/>
      <c r="E1405" s="276"/>
      <c r="F1405" s="277"/>
      <c r="G1405" s="333">
        <f t="shared" si="1790"/>
        <v>0</v>
      </c>
      <c r="H1405" s="278">
        <v>0</v>
      </c>
      <c r="I1405" s="278">
        <v>0</v>
      </c>
      <c r="J1405" s="351" t="str">
        <f t="shared" si="1795"/>
        <v>-</v>
      </c>
      <c r="K1405" s="333">
        <f t="shared" si="1791"/>
        <v>0</v>
      </c>
      <c r="L1405" s="272">
        <f t="shared" si="1792"/>
        <v>0</v>
      </c>
      <c r="M1405" s="273">
        <f t="shared" si="1793"/>
        <v>0</v>
      </c>
      <c r="N1405" s="337" t="str">
        <f t="shared" si="1794"/>
        <v>-</v>
      </c>
      <c r="O1405" s="263" t="str">
        <f t="shared" si="1779"/>
        <v>-</v>
      </c>
    </row>
    <row r="1406" spans="1:15" ht="23.4" x14ac:dyDescent="0.3">
      <c r="A1406" s="274" t="s">
        <v>103</v>
      </c>
      <c r="B1406" s="1044"/>
      <c r="C1406" s="275" t="s">
        <v>122</v>
      </c>
      <c r="D1406" s="275"/>
      <c r="E1406" s="276"/>
      <c r="F1406" s="277"/>
      <c r="G1406" s="333">
        <f t="shared" si="1790"/>
        <v>0</v>
      </c>
      <c r="H1406" s="278">
        <v>0</v>
      </c>
      <c r="I1406" s="278">
        <v>0</v>
      </c>
      <c r="J1406" s="351" t="str">
        <f t="shared" si="1795"/>
        <v>-</v>
      </c>
      <c r="K1406" s="333">
        <f t="shared" si="1791"/>
        <v>0</v>
      </c>
      <c r="L1406" s="272">
        <f t="shared" si="1792"/>
        <v>0</v>
      </c>
      <c r="M1406" s="273">
        <f t="shared" si="1793"/>
        <v>0</v>
      </c>
      <c r="N1406" s="337" t="str">
        <f t="shared" si="1794"/>
        <v>-</v>
      </c>
      <c r="O1406" s="263" t="str">
        <f t="shared" si="1779"/>
        <v>-</v>
      </c>
    </row>
    <row r="1407" spans="1:15" ht="23.4" x14ac:dyDescent="0.3">
      <c r="A1407" s="274" t="s">
        <v>103</v>
      </c>
      <c r="B1407" s="1044"/>
      <c r="C1407" s="275" t="s">
        <v>176</v>
      </c>
      <c r="D1407" s="275" t="s">
        <v>177</v>
      </c>
      <c r="E1407" s="276"/>
      <c r="F1407" s="277"/>
      <c r="G1407" s="333">
        <f t="shared" si="1790"/>
        <v>0</v>
      </c>
      <c r="H1407" s="278">
        <v>0</v>
      </c>
      <c r="I1407" s="278">
        <v>0</v>
      </c>
      <c r="J1407" s="351" t="str">
        <f t="shared" si="1795"/>
        <v>-</v>
      </c>
      <c r="K1407" s="333">
        <f t="shared" si="1791"/>
        <v>0</v>
      </c>
      <c r="L1407" s="272">
        <f t="shared" si="1792"/>
        <v>0</v>
      </c>
      <c r="M1407" s="273">
        <f t="shared" si="1793"/>
        <v>0</v>
      </c>
      <c r="N1407" s="337" t="str">
        <f t="shared" si="1794"/>
        <v>-</v>
      </c>
      <c r="O1407" s="263" t="str">
        <f t="shared" si="1779"/>
        <v>-</v>
      </c>
    </row>
    <row r="1408" spans="1:15" ht="23.4" x14ac:dyDescent="0.3">
      <c r="A1408" s="274" t="s">
        <v>103</v>
      </c>
      <c r="B1408" s="1044"/>
      <c r="C1408" s="275" t="s">
        <v>179</v>
      </c>
      <c r="D1408" s="275" t="s">
        <v>178</v>
      </c>
      <c r="E1408" s="276"/>
      <c r="F1408" s="277"/>
      <c r="G1408" s="333">
        <f t="shared" si="1790"/>
        <v>0</v>
      </c>
      <c r="H1408" s="278">
        <v>0</v>
      </c>
      <c r="I1408" s="278">
        <v>0</v>
      </c>
      <c r="J1408" s="351" t="str">
        <f t="shared" si="1795"/>
        <v>-</v>
      </c>
      <c r="K1408" s="333">
        <f t="shared" si="1791"/>
        <v>0</v>
      </c>
      <c r="L1408" s="272">
        <f t="shared" si="1792"/>
        <v>0</v>
      </c>
      <c r="M1408" s="273">
        <f t="shared" si="1793"/>
        <v>0</v>
      </c>
      <c r="N1408" s="337" t="str">
        <f t="shared" si="1794"/>
        <v>-</v>
      </c>
      <c r="O1408" s="263" t="str">
        <f t="shared" si="1779"/>
        <v>-</v>
      </c>
    </row>
    <row r="1409" spans="1:15" ht="24" thickBot="1" x14ac:dyDescent="0.35">
      <c r="A1409" s="274" t="s">
        <v>103</v>
      </c>
      <c r="B1409" s="1045"/>
      <c r="C1409" s="286" t="s">
        <v>180</v>
      </c>
      <c r="D1409" s="286" t="s">
        <v>107</v>
      </c>
      <c r="E1409" s="280"/>
      <c r="F1409" s="281"/>
      <c r="G1409" s="334">
        <f t="shared" si="1790"/>
        <v>0</v>
      </c>
      <c r="H1409" s="282">
        <v>0</v>
      </c>
      <c r="I1409" s="282">
        <v>0</v>
      </c>
      <c r="J1409" s="351" t="str">
        <f t="shared" si="1795"/>
        <v>-</v>
      </c>
      <c r="K1409" s="334">
        <f t="shared" si="1791"/>
        <v>0</v>
      </c>
      <c r="L1409" s="272">
        <f t="shared" si="1792"/>
        <v>0</v>
      </c>
      <c r="M1409" s="273">
        <f t="shared" si="1793"/>
        <v>0</v>
      </c>
      <c r="N1409" s="338" t="str">
        <f t="shared" si="1794"/>
        <v>-</v>
      </c>
      <c r="O1409" s="347" t="str">
        <f t="shared" si="1779"/>
        <v>-</v>
      </c>
    </row>
    <row r="1410" spans="1:15" ht="24" thickBot="1" x14ac:dyDescent="0.35">
      <c r="A1410" s="274" t="s">
        <v>103</v>
      </c>
      <c r="B1410" s="1025" t="s">
        <v>29</v>
      </c>
      <c r="C1410" s="1083"/>
      <c r="D1410" s="1084"/>
      <c r="E1410" s="366">
        <f t="shared" ref="E1410" si="1796">SUM(E1403:E1409)</f>
        <v>0</v>
      </c>
      <c r="F1410" s="307">
        <v>80000</v>
      </c>
      <c r="G1410" s="366">
        <f>SUM(G1403:G1409)</f>
        <v>0</v>
      </c>
      <c r="H1410" s="365">
        <f t="shared" ref="H1410:I1410" si="1797">SUM(H1403:H1409)</f>
        <v>0</v>
      </c>
      <c r="I1410" s="365">
        <f t="shared" si="1797"/>
        <v>0</v>
      </c>
      <c r="J1410" s="356">
        <f>+G1410/F1410</f>
        <v>0</v>
      </c>
      <c r="K1410" s="366">
        <f t="shared" ref="K1410" si="1798">SUM(K1403:K1409)</f>
        <v>0</v>
      </c>
      <c r="L1410" s="365">
        <f>SUM(L1403:L1409)</f>
        <v>0</v>
      </c>
      <c r="M1410" s="367">
        <f t="shared" ref="M1410" si="1799">SUM(M1403:M1409)</f>
        <v>0</v>
      </c>
      <c r="N1410" s="355" t="str">
        <f t="shared" si="1794"/>
        <v>-</v>
      </c>
      <c r="O1410" s="356" t="str">
        <f t="shared" si="1779"/>
        <v>-</v>
      </c>
    </row>
    <row r="1411" spans="1:15" ht="23.4" x14ac:dyDescent="0.3">
      <c r="A1411" s="252" t="s">
        <v>103</v>
      </c>
      <c r="B1411" s="1037" t="s">
        <v>19</v>
      </c>
      <c r="C1411" s="669" t="s">
        <v>235</v>
      </c>
      <c r="D1411" s="883" t="s">
        <v>177</v>
      </c>
      <c r="E1411" s="912"/>
      <c r="F1411" s="838">
        <v>220000</v>
      </c>
      <c r="G1411" s="457">
        <f t="shared" ref="G1411:G1417" si="1800">+H1411+I1411</f>
        <v>152447</v>
      </c>
      <c r="H1411" s="458">
        <v>152064</v>
      </c>
      <c r="I1411" s="458">
        <v>383</v>
      </c>
      <c r="J1411" s="531">
        <f>IFERROR(G1411/F1411,"-")</f>
        <v>0.69294090909090911</v>
      </c>
      <c r="K1411" s="869">
        <f>+L1411+M1411</f>
        <v>279558</v>
      </c>
      <c r="L1411" s="527">
        <f t="shared" ref="L1411:L1417" si="1801">+H1411+L1294</f>
        <v>278784</v>
      </c>
      <c r="M1411" s="838">
        <f t="shared" ref="M1411:M1417" si="1802">+I1411+M1294</f>
        <v>774</v>
      </c>
      <c r="N1411" s="646" t="str">
        <f>IFERROR(K1411/E1411,"-")</f>
        <v>-</v>
      </c>
      <c r="O1411" s="647">
        <f t="shared" si="1779"/>
        <v>2.768656235915266E-3</v>
      </c>
    </row>
    <row r="1412" spans="1:15" ht="23.4" x14ac:dyDescent="0.3">
      <c r="A1412" s="252"/>
      <c r="B1412" s="1038"/>
      <c r="C1412" s="840" t="s">
        <v>377</v>
      </c>
      <c r="D1412" s="876" t="s">
        <v>423</v>
      </c>
      <c r="E1412" s="511">
        <v>1000000</v>
      </c>
      <c r="F1412" s="277"/>
      <c r="G1412" s="333">
        <f t="shared" si="1800"/>
        <v>0</v>
      </c>
      <c r="H1412" s="278">
        <v>0</v>
      </c>
      <c r="I1412" s="278">
        <v>0</v>
      </c>
      <c r="J1412" s="352" t="str">
        <f t="shared" ref="J1412:J1417" si="1803">IFERROR(G1412/F1412,"-")</f>
        <v>-</v>
      </c>
      <c r="K1412" s="870">
        <f>+L1412+M1412</f>
        <v>576188</v>
      </c>
      <c r="L1412" s="276">
        <f t="shared" si="1801"/>
        <v>574464</v>
      </c>
      <c r="M1412" s="277">
        <f t="shared" si="1802"/>
        <v>1724</v>
      </c>
      <c r="N1412" s="836">
        <f t="shared" ref="N1412:N1417" si="1804">IFERROR(K1412/E1412,"-")</f>
        <v>0.57618800000000003</v>
      </c>
      <c r="O1412" s="263">
        <f>IFERROR(M1412/K1412,"-")</f>
        <v>2.9920789742236909E-3</v>
      </c>
    </row>
    <row r="1413" spans="1:15" ht="23.4" x14ac:dyDescent="0.3">
      <c r="A1413" s="252"/>
      <c r="B1413" s="1038"/>
      <c r="C1413" s="840" t="s">
        <v>235</v>
      </c>
      <c r="D1413" s="876" t="s">
        <v>522</v>
      </c>
      <c r="E1413" s="511"/>
      <c r="F1413" s="277"/>
      <c r="G1413" s="333">
        <f t="shared" si="1800"/>
        <v>0</v>
      </c>
      <c r="H1413" s="278">
        <v>0</v>
      </c>
      <c r="I1413" s="278">
        <v>0</v>
      </c>
      <c r="J1413" s="352" t="str">
        <f t="shared" si="1803"/>
        <v>-</v>
      </c>
      <c r="K1413" s="870">
        <f t="shared" ref="K1413:K1416" si="1805">+L1413+M1413</f>
        <v>214277</v>
      </c>
      <c r="L1413" s="276">
        <f t="shared" si="1801"/>
        <v>213712</v>
      </c>
      <c r="M1413" s="277">
        <f t="shared" si="1802"/>
        <v>565</v>
      </c>
      <c r="N1413" s="836" t="str">
        <f t="shared" si="1804"/>
        <v>-</v>
      </c>
      <c r="O1413" s="263">
        <f t="shared" ref="O1413:O1474" si="1806">IFERROR(M1413/K1413,"-")</f>
        <v>2.6367738954717491E-3</v>
      </c>
    </row>
    <row r="1414" spans="1:15" ht="23.4" x14ac:dyDescent="0.3">
      <c r="A1414" s="252"/>
      <c r="B1414" s="1038"/>
      <c r="C1414" s="840" t="s">
        <v>377</v>
      </c>
      <c r="D1414" s="876" t="s">
        <v>522</v>
      </c>
      <c r="E1414" s="511"/>
      <c r="F1414" s="277"/>
      <c r="G1414" s="333">
        <f t="shared" si="1800"/>
        <v>0</v>
      </c>
      <c r="H1414" s="278">
        <v>0</v>
      </c>
      <c r="I1414" s="278">
        <v>0</v>
      </c>
      <c r="J1414" s="352" t="str">
        <f t="shared" si="1803"/>
        <v>-</v>
      </c>
      <c r="K1414" s="870">
        <f t="shared" si="1805"/>
        <v>288207</v>
      </c>
      <c r="L1414" s="276">
        <f t="shared" si="1801"/>
        <v>287232</v>
      </c>
      <c r="M1414" s="277">
        <f t="shared" si="1802"/>
        <v>975</v>
      </c>
      <c r="N1414" s="836" t="str">
        <f t="shared" si="1804"/>
        <v>-</v>
      </c>
      <c r="O1414" s="263">
        <f t="shared" si="1806"/>
        <v>3.3829851460929123E-3</v>
      </c>
    </row>
    <row r="1415" spans="1:15" ht="23.4" x14ac:dyDescent="0.3">
      <c r="A1415" s="252"/>
      <c r="B1415" s="1038"/>
      <c r="C1415" s="840" t="s">
        <v>551</v>
      </c>
      <c r="D1415" s="876" t="s">
        <v>522</v>
      </c>
      <c r="E1415" s="511"/>
      <c r="F1415" s="277"/>
      <c r="G1415" s="333">
        <f t="shared" si="1800"/>
        <v>0</v>
      </c>
      <c r="H1415" s="278">
        <v>0</v>
      </c>
      <c r="I1415" s="278">
        <v>0</v>
      </c>
      <c r="J1415" s="352" t="str">
        <f t="shared" si="1803"/>
        <v>-</v>
      </c>
      <c r="K1415" s="870">
        <f t="shared" si="1805"/>
        <v>151526</v>
      </c>
      <c r="L1415" s="276">
        <f t="shared" si="1801"/>
        <v>149952</v>
      </c>
      <c r="M1415" s="277">
        <f t="shared" si="1802"/>
        <v>1574</v>
      </c>
      <c r="N1415" s="836" t="str">
        <f t="shared" si="1804"/>
        <v>-</v>
      </c>
      <c r="O1415" s="263">
        <f t="shared" si="1806"/>
        <v>1.0387656243812942E-2</v>
      </c>
    </row>
    <row r="1416" spans="1:15" ht="23.4" x14ac:dyDescent="0.3">
      <c r="A1416" s="252"/>
      <c r="B1416" s="1038"/>
      <c r="C1416" s="840"/>
      <c r="D1416" s="876"/>
      <c r="E1416" s="511"/>
      <c r="F1416" s="277"/>
      <c r="G1416" s="333">
        <f t="shared" si="1800"/>
        <v>0</v>
      </c>
      <c r="H1416" s="278">
        <v>0</v>
      </c>
      <c r="I1416" s="278">
        <v>0</v>
      </c>
      <c r="J1416" s="352" t="str">
        <f t="shared" si="1803"/>
        <v>-</v>
      </c>
      <c r="K1416" s="870">
        <f t="shared" si="1805"/>
        <v>0</v>
      </c>
      <c r="L1416" s="276">
        <f t="shared" si="1801"/>
        <v>0</v>
      </c>
      <c r="M1416" s="277">
        <f t="shared" si="1802"/>
        <v>0</v>
      </c>
      <c r="N1416" s="836" t="str">
        <f t="shared" si="1804"/>
        <v>-</v>
      </c>
      <c r="O1416" s="263" t="str">
        <f t="shared" si="1806"/>
        <v>-</v>
      </c>
    </row>
    <row r="1417" spans="1:15" ht="24" thickBot="1" x14ac:dyDescent="0.35">
      <c r="A1417" s="252"/>
      <c r="B1417" s="1039"/>
      <c r="C1417" s="670" t="s">
        <v>342</v>
      </c>
      <c r="D1417" s="884"/>
      <c r="E1417" s="913">
        <v>150000</v>
      </c>
      <c r="F1417" s="839"/>
      <c r="G1417" s="460">
        <f t="shared" si="1800"/>
        <v>0</v>
      </c>
      <c r="H1417" s="461">
        <v>0</v>
      </c>
      <c r="I1417" s="461">
        <v>0</v>
      </c>
      <c r="J1417" s="532" t="str">
        <f t="shared" si="1803"/>
        <v>-</v>
      </c>
      <c r="K1417" s="871">
        <f>+L1417+M1417</f>
        <v>0</v>
      </c>
      <c r="L1417" s="530">
        <f t="shared" si="1801"/>
        <v>0</v>
      </c>
      <c r="M1417" s="839">
        <f t="shared" si="1802"/>
        <v>0</v>
      </c>
      <c r="N1417" s="837">
        <f t="shared" si="1804"/>
        <v>0</v>
      </c>
      <c r="O1417" s="264" t="str">
        <f t="shared" si="1806"/>
        <v>-</v>
      </c>
    </row>
    <row r="1418" spans="1:15" ht="24" thickBot="1" x14ac:dyDescent="0.35">
      <c r="A1418" s="274" t="s">
        <v>103</v>
      </c>
      <c r="B1418" s="1040" t="s">
        <v>46</v>
      </c>
      <c r="C1418" s="1041"/>
      <c r="D1418" s="1042"/>
      <c r="E1418" s="513">
        <f>SUM(E1411:E1417)</f>
        <v>1150000</v>
      </c>
      <c r="F1418" s="859">
        <f t="shared" ref="F1418" si="1807">SUM(F1411)</f>
        <v>220000</v>
      </c>
      <c r="G1418" s="513">
        <f>SUM(G1411:G1417)</f>
        <v>152447</v>
      </c>
      <c r="H1418" s="519">
        <f>SUM(H1411:H1417)</f>
        <v>152064</v>
      </c>
      <c r="I1418" s="519">
        <f>SUM(I1411:I1417)</f>
        <v>383</v>
      </c>
      <c r="J1418" s="520">
        <f>+G1418/F1418</f>
        <v>0.69294090909090911</v>
      </c>
      <c r="K1418" s="835">
        <f>SUM(K1411:K1417)</f>
        <v>1509756</v>
      </c>
      <c r="L1418" s="519">
        <f>SUM(L1411:L1417)</f>
        <v>1504144</v>
      </c>
      <c r="M1418" s="689">
        <f>SUM(M1411:M1417)</f>
        <v>5612</v>
      </c>
      <c r="N1418" s="521">
        <f>IFERROR(K1418/E1418,"-")</f>
        <v>1.3128313043478261</v>
      </c>
      <c r="O1418" s="520">
        <f t="shared" si="1806"/>
        <v>3.717156944565877E-3</v>
      </c>
    </row>
    <row r="1419" spans="1:15" ht="23.4" x14ac:dyDescent="0.3">
      <c r="A1419" s="274" t="s">
        <v>103</v>
      </c>
      <c r="B1419" s="1043" t="s">
        <v>20</v>
      </c>
      <c r="C1419" s="291" t="s">
        <v>317</v>
      </c>
      <c r="D1419" s="291" t="s">
        <v>289</v>
      </c>
      <c r="E1419" s="270"/>
      <c r="F1419" s="271"/>
      <c r="G1419" s="332">
        <f t="shared" ref="G1419:G1421" si="1808">+H1419+I1419</f>
        <v>0</v>
      </c>
      <c r="H1419" s="272">
        <v>0</v>
      </c>
      <c r="I1419" s="272">
        <v>0</v>
      </c>
      <c r="J1419" s="351" t="str">
        <f>IFERROR(G1419/F1419,"-")</f>
        <v>-</v>
      </c>
      <c r="K1419" s="332">
        <f t="shared" ref="K1419:K1421" si="1809">+L1419+M1419</f>
        <v>0</v>
      </c>
      <c r="L1419" s="272">
        <f t="shared" ref="L1419:L1421" si="1810">+H1419+L1302</f>
        <v>0</v>
      </c>
      <c r="M1419" s="273">
        <f t="shared" ref="M1419:M1421" si="1811">+I1419+M1302</f>
        <v>0</v>
      </c>
      <c r="N1419" s="336" t="str">
        <f t="shared" ref="N1419:N1422" si="1812">IFERROR(K1419/E1419,"-")</f>
        <v>-</v>
      </c>
      <c r="O1419" s="346" t="str">
        <f t="shared" si="1806"/>
        <v>-</v>
      </c>
    </row>
    <row r="1420" spans="1:15" ht="23.4" x14ac:dyDescent="0.3">
      <c r="A1420" s="274" t="s">
        <v>103</v>
      </c>
      <c r="B1420" s="1044"/>
      <c r="C1420" s="292" t="s">
        <v>114</v>
      </c>
      <c r="D1420" s="292"/>
      <c r="E1420" s="276"/>
      <c r="F1420" s="277"/>
      <c r="G1420" s="333">
        <f t="shared" si="1808"/>
        <v>0</v>
      </c>
      <c r="H1420" s="278">
        <v>0</v>
      </c>
      <c r="I1420" s="278">
        <v>0</v>
      </c>
      <c r="J1420" s="351" t="str">
        <f t="shared" ref="J1420:J1421" si="1813">IFERROR(G1420/F1420,"-")</f>
        <v>-</v>
      </c>
      <c r="K1420" s="333">
        <f t="shared" si="1809"/>
        <v>0</v>
      </c>
      <c r="L1420" s="272">
        <f t="shared" si="1810"/>
        <v>0</v>
      </c>
      <c r="M1420" s="273">
        <f t="shared" si="1811"/>
        <v>0</v>
      </c>
      <c r="N1420" s="337" t="str">
        <f t="shared" si="1812"/>
        <v>-</v>
      </c>
      <c r="O1420" s="263" t="str">
        <f t="shared" si="1806"/>
        <v>-</v>
      </c>
    </row>
    <row r="1421" spans="1:15" ht="24" thickBot="1" x14ac:dyDescent="0.35">
      <c r="A1421" s="274" t="s">
        <v>103</v>
      </c>
      <c r="B1421" s="1045"/>
      <c r="C1421" s="293" t="s">
        <v>120</v>
      </c>
      <c r="D1421" s="293"/>
      <c r="E1421" s="280"/>
      <c r="F1421" s="281"/>
      <c r="G1421" s="334">
        <f t="shared" si="1808"/>
        <v>0</v>
      </c>
      <c r="H1421" s="282">
        <v>0</v>
      </c>
      <c r="I1421" s="282">
        <v>0</v>
      </c>
      <c r="J1421" s="351" t="str">
        <f t="shared" si="1813"/>
        <v>-</v>
      </c>
      <c r="K1421" s="334">
        <f t="shared" si="1809"/>
        <v>0</v>
      </c>
      <c r="L1421" s="272">
        <f t="shared" si="1810"/>
        <v>0</v>
      </c>
      <c r="M1421" s="273">
        <f t="shared" si="1811"/>
        <v>0</v>
      </c>
      <c r="N1421" s="338" t="str">
        <f t="shared" si="1812"/>
        <v>-</v>
      </c>
      <c r="O1421" s="347" t="str">
        <f t="shared" si="1806"/>
        <v>-</v>
      </c>
    </row>
    <row r="1422" spans="1:15" ht="24" thickBot="1" x14ac:dyDescent="0.35">
      <c r="A1422" s="274" t="s">
        <v>103</v>
      </c>
      <c r="B1422" s="1026" t="s">
        <v>47</v>
      </c>
      <c r="C1422" s="1026"/>
      <c r="D1422" s="1046"/>
      <c r="E1422" s="320">
        <f t="shared" ref="E1422" si="1814">SUM(E1419:E1421)</f>
        <v>0</v>
      </c>
      <c r="F1422" s="285">
        <v>50000</v>
      </c>
      <c r="G1422" s="320">
        <f>SUM(G1419:G1421)</f>
        <v>0</v>
      </c>
      <c r="H1422" s="321">
        <f t="shared" ref="H1422:I1422" si="1815">SUM(H1419:H1421)</f>
        <v>0</v>
      </c>
      <c r="I1422" s="321">
        <f t="shared" si="1815"/>
        <v>0</v>
      </c>
      <c r="J1422" s="345">
        <f>+G1422/F1422</f>
        <v>0</v>
      </c>
      <c r="K1422" s="320">
        <f t="shared" ref="K1422:M1422" si="1816">SUM(K1419:K1421)</f>
        <v>0</v>
      </c>
      <c r="L1422" s="321">
        <f t="shared" si="1816"/>
        <v>0</v>
      </c>
      <c r="M1422" s="322">
        <f t="shared" si="1816"/>
        <v>0</v>
      </c>
      <c r="N1422" s="339" t="str">
        <f t="shared" si="1812"/>
        <v>-</v>
      </c>
      <c r="O1422" s="345" t="str">
        <f t="shared" si="1806"/>
        <v>-</v>
      </c>
    </row>
    <row r="1423" spans="1:15" ht="24" thickBot="1" x14ac:dyDescent="0.35">
      <c r="A1423" s="274" t="s">
        <v>103</v>
      </c>
      <c r="B1423" s="1047" t="s">
        <v>21</v>
      </c>
      <c r="C1423" s="1048"/>
      <c r="D1423" s="1049"/>
      <c r="E1423" s="326">
        <f>+E1394+E1402+E1410+E1418+E1422</f>
        <v>3770000</v>
      </c>
      <c r="F1423" s="327">
        <f>+F1394+F1402+F1410+F1418+F1422</f>
        <v>465000</v>
      </c>
      <c r="G1423" s="326">
        <f>+G1394+G1402+G1410+G1418+G1422</f>
        <v>248523</v>
      </c>
      <c r="H1423" s="324">
        <f>+H1394+H1402+H1410+H1418+H1422</f>
        <v>247444</v>
      </c>
      <c r="I1423" s="324">
        <f>+I1394+I1402+I1410+I1418+I1422</f>
        <v>1079</v>
      </c>
      <c r="J1423" s="349">
        <f>+G1423/F1423</f>
        <v>0.53445806451612898</v>
      </c>
      <c r="K1423" s="326">
        <f>+K1394+K1402+K1410+K1418+K1422</f>
        <v>2635225</v>
      </c>
      <c r="L1423" s="324">
        <f>+L1394+L1402+L1410+L1418+L1422</f>
        <v>2621654</v>
      </c>
      <c r="M1423" s="325">
        <f>+M1394+M1402+M1410+M1418+M1422</f>
        <v>13571</v>
      </c>
      <c r="N1423" s="341">
        <f>IFERROR(K1423/E1423,"-")</f>
        <v>0.69899867374005309</v>
      </c>
      <c r="O1423" s="349">
        <f t="shared" si="1806"/>
        <v>5.1498448899050366E-3</v>
      </c>
    </row>
    <row r="1424" spans="1:15" ht="23.4" x14ac:dyDescent="0.3">
      <c r="A1424" s="274" t="s">
        <v>103</v>
      </c>
      <c r="B1424" s="1043" t="s">
        <v>400</v>
      </c>
      <c r="C1424" s="269" t="s">
        <v>125</v>
      </c>
      <c r="D1424" s="269"/>
      <c r="E1424" s="270"/>
      <c r="F1424" s="271"/>
      <c r="G1424" s="332">
        <f t="shared" ref="G1424:G1427" si="1817">+H1424+I1424</f>
        <v>0</v>
      </c>
      <c r="H1424" s="272">
        <v>0</v>
      </c>
      <c r="I1424" s="272">
        <v>0</v>
      </c>
      <c r="J1424" s="351" t="str">
        <f>IFERROR(G1424/F1424,"-")</f>
        <v>-</v>
      </c>
      <c r="K1424" s="332">
        <f t="shared" ref="K1424:K1427" si="1818">+L1424+M1424</f>
        <v>0</v>
      </c>
      <c r="L1424" s="272">
        <f t="shared" ref="L1424:L1427" si="1819">+H1424+L1307</f>
        <v>0</v>
      </c>
      <c r="M1424" s="273">
        <f t="shared" ref="M1424:M1427" si="1820">+I1424+M1307</f>
        <v>0</v>
      </c>
      <c r="N1424" s="336" t="str">
        <f t="shared" ref="N1424:N1439" si="1821">IFERROR(K1424/E1424,"-")</f>
        <v>-</v>
      </c>
      <c r="O1424" s="346" t="str">
        <f t="shared" si="1806"/>
        <v>-</v>
      </c>
    </row>
    <row r="1425" spans="1:15" ht="23.4" x14ac:dyDescent="0.3">
      <c r="A1425" s="274" t="s">
        <v>103</v>
      </c>
      <c r="B1425" s="1044"/>
      <c r="C1425" s="295" t="s">
        <v>263</v>
      </c>
      <c r="D1425" s="295" t="s">
        <v>181</v>
      </c>
      <c r="E1425" s="276"/>
      <c r="F1425" s="277"/>
      <c r="G1425" s="333">
        <f t="shared" si="1817"/>
        <v>0</v>
      </c>
      <c r="H1425" s="278">
        <v>0</v>
      </c>
      <c r="I1425" s="278">
        <v>0</v>
      </c>
      <c r="J1425" s="351" t="str">
        <f t="shared" ref="J1425:J1427" si="1822">IFERROR(G1425/F1425,"-")</f>
        <v>-</v>
      </c>
      <c r="K1425" s="333">
        <f t="shared" si="1818"/>
        <v>0</v>
      </c>
      <c r="L1425" s="272">
        <f t="shared" si="1819"/>
        <v>0</v>
      </c>
      <c r="M1425" s="273">
        <f t="shared" si="1820"/>
        <v>0</v>
      </c>
      <c r="N1425" s="337" t="str">
        <f t="shared" si="1821"/>
        <v>-</v>
      </c>
      <c r="O1425" s="263" t="str">
        <f t="shared" si="1806"/>
        <v>-</v>
      </c>
    </row>
    <row r="1426" spans="1:15" ht="23.4" x14ac:dyDescent="0.3">
      <c r="A1426" s="274" t="s">
        <v>103</v>
      </c>
      <c r="B1426" s="1044"/>
      <c r="C1426" s="295" t="s">
        <v>362</v>
      </c>
      <c r="D1426" s="295" t="s">
        <v>181</v>
      </c>
      <c r="E1426" s="276"/>
      <c r="F1426" s="277"/>
      <c r="G1426" s="333">
        <f t="shared" si="1817"/>
        <v>0</v>
      </c>
      <c r="H1426" s="278">
        <v>0</v>
      </c>
      <c r="I1426" s="278">
        <v>0</v>
      </c>
      <c r="J1426" s="351" t="str">
        <f t="shared" si="1822"/>
        <v>-</v>
      </c>
      <c r="K1426" s="333">
        <f t="shared" si="1818"/>
        <v>0</v>
      </c>
      <c r="L1426" s="272">
        <f t="shared" si="1819"/>
        <v>0</v>
      </c>
      <c r="M1426" s="273">
        <f t="shared" si="1820"/>
        <v>0</v>
      </c>
      <c r="N1426" s="337" t="str">
        <f t="shared" si="1821"/>
        <v>-</v>
      </c>
      <c r="O1426" s="263" t="str">
        <f t="shared" si="1806"/>
        <v>-</v>
      </c>
    </row>
    <row r="1427" spans="1:15" ht="24" thickBot="1" x14ac:dyDescent="0.35">
      <c r="A1427" s="274" t="s">
        <v>103</v>
      </c>
      <c r="B1427" s="1045"/>
      <c r="C1427" s="279" t="s">
        <v>182</v>
      </c>
      <c r="D1427" s="279" t="s">
        <v>93</v>
      </c>
      <c r="E1427" s="280"/>
      <c r="F1427" s="281"/>
      <c r="G1427" s="334">
        <f t="shared" si="1817"/>
        <v>5940</v>
      </c>
      <c r="H1427" s="278">
        <v>5940</v>
      </c>
      <c r="I1427" s="278">
        <v>0</v>
      </c>
      <c r="J1427" s="351" t="str">
        <f t="shared" si="1822"/>
        <v>-</v>
      </c>
      <c r="K1427" s="334">
        <f t="shared" si="1818"/>
        <v>125030</v>
      </c>
      <c r="L1427" s="272">
        <f t="shared" si="1819"/>
        <v>124740</v>
      </c>
      <c r="M1427" s="273">
        <f t="shared" si="1820"/>
        <v>290</v>
      </c>
      <c r="N1427" s="338" t="str">
        <f t="shared" si="1821"/>
        <v>-</v>
      </c>
      <c r="O1427" s="347">
        <f t="shared" si="1806"/>
        <v>2.3194433335999359E-3</v>
      </c>
    </row>
    <row r="1428" spans="1:15" ht="24" thickBot="1" x14ac:dyDescent="0.35">
      <c r="A1428" s="274" t="s">
        <v>103</v>
      </c>
      <c r="B1428" s="1025" t="s">
        <v>48</v>
      </c>
      <c r="C1428" s="1026"/>
      <c r="D1428" s="1027"/>
      <c r="E1428" s="284">
        <f>SUM(E1424:E1427)</f>
        <v>0</v>
      </c>
      <c r="F1428" s="285">
        <v>80000</v>
      </c>
      <c r="G1428" s="320">
        <f>SUM(G1424:G1427)</f>
        <v>5940</v>
      </c>
      <c r="H1428" s="321">
        <f t="shared" ref="H1428:I1428" si="1823">SUM(H1424:H1427)</f>
        <v>5940</v>
      </c>
      <c r="I1428" s="321">
        <f t="shared" si="1823"/>
        <v>0</v>
      </c>
      <c r="J1428" s="345">
        <f>+G1428/F1428</f>
        <v>7.4249999999999997E-2</v>
      </c>
      <c r="K1428" s="320">
        <f t="shared" ref="K1428" si="1824">SUM(K1424:K1427)</f>
        <v>125030</v>
      </c>
      <c r="L1428" s="321">
        <f>SUM(L1424:L1427)</f>
        <v>124740</v>
      </c>
      <c r="M1428" s="322">
        <f t="shared" ref="M1428" si="1825">SUM(M1424:M1427)</f>
        <v>290</v>
      </c>
      <c r="N1428" s="339" t="str">
        <f t="shared" si="1821"/>
        <v>-</v>
      </c>
      <c r="O1428" s="345">
        <f t="shared" si="1806"/>
        <v>2.3194433335999359E-3</v>
      </c>
    </row>
    <row r="1429" spans="1:15" ht="23.4" x14ac:dyDescent="0.3">
      <c r="A1429" s="274" t="s">
        <v>103</v>
      </c>
      <c r="B1429" s="1043" t="s">
        <v>23</v>
      </c>
      <c r="C1429" s="275" t="s">
        <v>500</v>
      </c>
      <c r="D1429" s="296" t="s">
        <v>238</v>
      </c>
      <c r="E1429" s="270">
        <v>10000</v>
      </c>
      <c r="F1429" s="271"/>
      <c r="G1429" s="332">
        <f t="shared" ref="G1429:G1437" si="1826">+H1429+I1429</f>
        <v>0</v>
      </c>
      <c r="H1429" s="272">
        <v>0</v>
      </c>
      <c r="I1429" s="272">
        <v>0</v>
      </c>
      <c r="J1429" s="351" t="str">
        <f>IFERROR(G1429/F1429,"-")</f>
        <v>-</v>
      </c>
      <c r="K1429" s="332">
        <f t="shared" ref="K1429:K1437" si="1827">+L1429+M1429</f>
        <v>0</v>
      </c>
      <c r="L1429" s="272">
        <f t="shared" ref="L1429:L1437" si="1828">+H1429+L1312</f>
        <v>0</v>
      </c>
      <c r="M1429" s="273">
        <f t="shared" ref="M1429:M1437" si="1829">+I1429+M1312</f>
        <v>0</v>
      </c>
      <c r="N1429" s="336">
        <f t="shared" si="1821"/>
        <v>0</v>
      </c>
      <c r="O1429" s="346" t="str">
        <f t="shared" si="1806"/>
        <v>-</v>
      </c>
    </row>
    <row r="1430" spans="1:15" ht="23.4" x14ac:dyDescent="0.3">
      <c r="A1430" s="274" t="s">
        <v>103</v>
      </c>
      <c r="B1430" s="1044"/>
      <c r="C1430" s="275" t="s">
        <v>24</v>
      </c>
      <c r="D1430" s="275" t="s">
        <v>238</v>
      </c>
      <c r="E1430" s="276">
        <v>112000</v>
      </c>
      <c r="F1430" s="277"/>
      <c r="G1430" s="333">
        <f t="shared" si="1826"/>
        <v>0</v>
      </c>
      <c r="H1430" s="278">
        <v>0</v>
      </c>
      <c r="I1430" s="278">
        <v>0</v>
      </c>
      <c r="J1430" s="351" t="str">
        <f t="shared" ref="J1430:J1437" si="1830">IFERROR(G1430/F1430,"-")</f>
        <v>-</v>
      </c>
      <c r="K1430" s="333">
        <f t="shared" si="1827"/>
        <v>0</v>
      </c>
      <c r="L1430" s="272">
        <f t="shared" si="1828"/>
        <v>0</v>
      </c>
      <c r="M1430" s="273">
        <f t="shared" si="1829"/>
        <v>0</v>
      </c>
      <c r="N1430" s="337">
        <f t="shared" si="1821"/>
        <v>0</v>
      </c>
      <c r="O1430" s="263" t="str">
        <f t="shared" si="1806"/>
        <v>-</v>
      </c>
    </row>
    <row r="1431" spans="1:15" ht="23.4" x14ac:dyDescent="0.3">
      <c r="A1431" s="274" t="s">
        <v>103</v>
      </c>
      <c r="B1431" s="1044"/>
      <c r="C1431" s="275" t="s">
        <v>236</v>
      </c>
      <c r="D1431" s="275" t="s">
        <v>238</v>
      </c>
      <c r="E1431" s="276">
        <v>40000</v>
      </c>
      <c r="F1431" s="277"/>
      <c r="G1431" s="333">
        <f t="shared" si="1826"/>
        <v>0</v>
      </c>
      <c r="H1431" s="278">
        <v>0</v>
      </c>
      <c r="I1431" s="278">
        <v>0</v>
      </c>
      <c r="J1431" s="351" t="str">
        <f t="shared" si="1830"/>
        <v>-</v>
      </c>
      <c r="K1431" s="333">
        <f t="shared" si="1827"/>
        <v>0</v>
      </c>
      <c r="L1431" s="272">
        <f t="shared" si="1828"/>
        <v>0</v>
      </c>
      <c r="M1431" s="273">
        <f t="shared" si="1829"/>
        <v>0</v>
      </c>
      <c r="N1431" s="337">
        <f t="shared" si="1821"/>
        <v>0</v>
      </c>
      <c r="O1431" s="263" t="str">
        <f t="shared" si="1806"/>
        <v>-</v>
      </c>
    </row>
    <row r="1432" spans="1:15" ht="23.4" x14ac:dyDescent="0.3">
      <c r="A1432" s="274" t="s">
        <v>103</v>
      </c>
      <c r="B1432" s="1044"/>
      <c r="C1432" s="275" t="s">
        <v>239</v>
      </c>
      <c r="D1432" s="275" t="s">
        <v>238</v>
      </c>
      <c r="E1432" s="276">
        <v>4000</v>
      </c>
      <c r="F1432" s="277"/>
      <c r="G1432" s="333">
        <f t="shared" si="1826"/>
        <v>0</v>
      </c>
      <c r="H1432" s="278">
        <v>0</v>
      </c>
      <c r="I1432" s="278">
        <v>0</v>
      </c>
      <c r="J1432" s="351" t="str">
        <f t="shared" si="1830"/>
        <v>-</v>
      </c>
      <c r="K1432" s="333">
        <f t="shared" si="1827"/>
        <v>0</v>
      </c>
      <c r="L1432" s="272">
        <f t="shared" si="1828"/>
        <v>0</v>
      </c>
      <c r="M1432" s="273">
        <f t="shared" si="1829"/>
        <v>0</v>
      </c>
      <c r="N1432" s="337">
        <f t="shared" si="1821"/>
        <v>0</v>
      </c>
      <c r="O1432" s="263" t="str">
        <f t="shared" si="1806"/>
        <v>-</v>
      </c>
    </row>
    <row r="1433" spans="1:15" ht="23.4" x14ac:dyDescent="0.3">
      <c r="A1433" s="274" t="s">
        <v>103</v>
      </c>
      <c r="B1433" s="1044"/>
      <c r="C1433" s="295" t="s">
        <v>394</v>
      </c>
      <c r="D1433" s="275" t="s">
        <v>238</v>
      </c>
      <c r="E1433" s="276">
        <v>8500</v>
      </c>
      <c r="F1433" s="277"/>
      <c r="G1433" s="333">
        <f t="shared" si="1826"/>
        <v>0</v>
      </c>
      <c r="H1433" s="278">
        <v>0</v>
      </c>
      <c r="I1433" s="278">
        <v>0</v>
      </c>
      <c r="J1433" s="351" t="str">
        <f t="shared" si="1830"/>
        <v>-</v>
      </c>
      <c r="K1433" s="333">
        <f t="shared" si="1827"/>
        <v>0</v>
      </c>
      <c r="L1433" s="272">
        <f t="shared" si="1828"/>
        <v>0</v>
      </c>
      <c r="M1433" s="273">
        <f t="shared" si="1829"/>
        <v>0</v>
      </c>
      <c r="N1433" s="337">
        <f t="shared" si="1821"/>
        <v>0</v>
      </c>
      <c r="O1433" s="263" t="str">
        <f t="shared" si="1806"/>
        <v>-</v>
      </c>
    </row>
    <row r="1434" spans="1:15" ht="23.4" x14ac:dyDescent="0.3">
      <c r="A1434" s="274" t="s">
        <v>103</v>
      </c>
      <c r="B1434" s="1044"/>
      <c r="C1434" s="295" t="s">
        <v>422</v>
      </c>
      <c r="D1434" s="275" t="s">
        <v>238</v>
      </c>
      <c r="E1434" s="276">
        <v>10000</v>
      </c>
      <c r="F1434" s="277"/>
      <c r="G1434" s="333">
        <f t="shared" si="1826"/>
        <v>0</v>
      </c>
      <c r="H1434" s="278">
        <v>0</v>
      </c>
      <c r="I1434" s="278">
        <v>0</v>
      </c>
      <c r="J1434" s="351" t="str">
        <f t="shared" si="1830"/>
        <v>-</v>
      </c>
      <c r="K1434" s="333">
        <f t="shared" si="1827"/>
        <v>0</v>
      </c>
      <c r="L1434" s="272">
        <f t="shared" si="1828"/>
        <v>0</v>
      </c>
      <c r="M1434" s="273">
        <f t="shared" si="1829"/>
        <v>0</v>
      </c>
      <c r="N1434" s="337">
        <f t="shared" si="1821"/>
        <v>0</v>
      </c>
      <c r="O1434" s="263" t="str">
        <f t="shared" si="1806"/>
        <v>-</v>
      </c>
    </row>
    <row r="1435" spans="1:15" ht="23.4" x14ac:dyDescent="0.3">
      <c r="A1435" s="274" t="s">
        <v>103</v>
      </c>
      <c r="B1435" s="1044"/>
      <c r="C1435" s="295" t="s">
        <v>241</v>
      </c>
      <c r="D1435" s="275" t="s">
        <v>243</v>
      </c>
      <c r="E1435" s="276"/>
      <c r="F1435" s="277"/>
      <c r="G1435" s="333">
        <f t="shared" si="1826"/>
        <v>0</v>
      </c>
      <c r="H1435" s="278">
        <v>0</v>
      </c>
      <c r="I1435" s="278">
        <v>0</v>
      </c>
      <c r="J1435" s="351" t="str">
        <f t="shared" si="1830"/>
        <v>-</v>
      </c>
      <c r="K1435" s="333">
        <f t="shared" si="1827"/>
        <v>0</v>
      </c>
      <c r="L1435" s="272">
        <f t="shared" si="1828"/>
        <v>0</v>
      </c>
      <c r="M1435" s="273">
        <f t="shared" si="1829"/>
        <v>0</v>
      </c>
      <c r="N1435" s="337" t="str">
        <f t="shared" si="1821"/>
        <v>-</v>
      </c>
      <c r="O1435" s="263" t="str">
        <f t="shared" si="1806"/>
        <v>-</v>
      </c>
    </row>
    <row r="1436" spans="1:15" ht="23.4" x14ac:dyDescent="0.3">
      <c r="A1436" s="274"/>
      <c r="B1436" s="1045"/>
      <c r="C1436" s="295" t="s">
        <v>546</v>
      </c>
      <c r="D1436" s="275" t="s">
        <v>238</v>
      </c>
      <c r="E1436" s="280">
        <v>6000</v>
      </c>
      <c r="F1436" s="281"/>
      <c r="G1436" s="333">
        <f t="shared" si="1826"/>
        <v>0</v>
      </c>
      <c r="H1436" s="278">
        <v>0</v>
      </c>
      <c r="I1436" s="278">
        <v>0</v>
      </c>
      <c r="J1436" s="351" t="str">
        <f t="shared" si="1830"/>
        <v>-</v>
      </c>
      <c r="K1436" s="333">
        <f t="shared" si="1827"/>
        <v>0</v>
      </c>
      <c r="L1436" s="272">
        <f t="shared" si="1828"/>
        <v>0</v>
      </c>
      <c r="M1436" s="273">
        <f t="shared" si="1829"/>
        <v>0</v>
      </c>
      <c r="N1436" s="337">
        <f t="shared" si="1821"/>
        <v>0</v>
      </c>
      <c r="O1436" s="263" t="str">
        <f t="shared" si="1806"/>
        <v>-</v>
      </c>
    </row>
    <row r="1437" spans="1:15" ht="24" thickBot="1" x14ac:dyDescent="0.35">
      <c r="A1437" s="274" t="s">
        <v>103</v>
      </c>
      <c r="B1437" s="1045"/>
      <c r="C1437" s="295" t="s">
        <v>242</v>
      </c>
      <c r="D1437" s="275" t="s">
        <v>238</v>
      </c>
      <c r="E1437" s="280">
        <v>5000</v>
      </c>
      <c r="F1437" s="281"/>
      <c r="G1437" s="334">
        <f t="shared" si="1826"/>
        <v>0</v>
      </c>
      <c r="H1437" s="278">
        <v>0</v>
      </c>
      <c r="I1437" s="278">
        <v>0</v>
      </c>
      <c r="J1437" s="351" t="str">
        <f t="shared" si="1830"/>
        <v>-</v>
      </c>
      <c r="K1437" s="334">
        <f t="shared" si="1827"/>
        <v>0</v>
      </c>
      <c r="L1437" s="272">
        <f t="shared" si="1828"/>
        <v>0</v>
      </c>
      <c r="M1437" s="273">
        <f t="shared" si="1829"/>
        <v>0</v>
      </c>
      <c r="N1437" s="338">
        <f t="shared" si="1821"/>
        <v>0</v>
      </c>
      <c r="O1437" s="347" t="str">
        <f t="shared" si="1806"/>
        <v>-</v>
      </c>
    </row>
    <row r="1438" spans="1:15" ht="24" thickBot="1" x14ac:dyDescent="0.35">
      <c r="A1438" s="274" t="s">
        <v>103</v>
      </c>
      <c r="B1438" s="1025" t="s">
        <v>49</v>
      </c>
      <c r="C1438" s="1026"/>
      <c r="D1438" s="1027"/>
      <c r="E1438" s="284">
        <f>SUM(E1429:E1437)</f>
        <v>195500</v>
      </c>
      <c r="F1438" s="285">
        <v>14000</v>
      </c>
      <c r="G1438" s="320">
        <f>SUM(G1429:G1437)</f>
        <v>0</v>
      </c>
      <c r="H1438" s="321">
        <f t="shared" ref="H1438:I1438" si="1831">SUM(H1429:H1437)</f>
        <v>0</v>
      </c>
      <c r="I1438" s="321">
        <f t="shared" si="1831"/>
        <v>0</v>
      </c>
      <c r="J1438" s="345">
        <f>+G1439/F1439</f>
        <v>6.319148936170213E-2</v>
      </c>
      <c r="K1438" s="320">
        <f>SUM(K1429:K1437)</f>
        <v>0</v>
      </c>
      <c r="L1438" s="321">
        <f>+H1438</f>
        <v>0</v>
      </c>
      <c r="M1438" s="322">
        <f>+I1438</f>
        <v>0</v>
      </c>
      <c r="N1438" s="339">
        <f t="shared" si="1821"/>
        <v>0</v>
      </c>
      <c r="O1438" s="345" t="str">
        <f t="shared" si="1806"/>
        <v>-</v>
      </c>
    </row>
    <row r="1439" spans="1:15" ht="24" thickBot="1" x14ac:dyDescent="0.35">
      <c r="A1439" s="274" t="s">
        <v>103</v>
      </c>
      <c r="B1439" s="1047" t="s">
        <v>25</v>
      </c>
      <c r="C1439" s="1048"/>
      <c r="D1439" s="1049"/>
      <c r="E1439" s="326">
        <f t="shared" ref="E1439:F1439" si="1832">+E1428+E1438</f>
        <v>195500</v>
      </c>
      <c r="F1439" s="327">
        <f t="shared" si="1832"/>
        <v>94000</v>
      </c>
      <c r="G1439" s="326">
        <f>+G1428+G1438</f>
        <v>5940</v>
      </c>
      <c r="H1439" s="324">
        <f t="shared" ref="H1439:I1439" si="1833">+H1428+H1438</f>
        <v>5940</v>
      </c>
      <c r="I1439" s="324">
        <f t="shared" si="1833"/>
        <v>0</v>
      </c>
      <c r="J1439" s="349" t="str">
        <f>IFERROR(G1439/#REF!,"-")</f>
        <v>-</v>
      </c>
      <c r="K1439" s="326">
        <f t="shared" ref="K1439" si="1834">+K1428+K1438</f>
        <v>125030</v>
      </c>
      <c r="L1439" s="324">
        <f>+L1428+L1438</f>
        <v>124740</v>
      </c>
      <c r="M1439" s="325">
        <f t="shared" ref="M1439" si="1835">+M1428+M1438</f>
        <v>290</v>
      </c>
      <c r="N1439" s="341">
        <f t="shared" si="1821"/>
        <v>0.63953964194373403</v>
      </c>
      <c r="O1439" s="349">
        <f t="shared" si="1806"/>
        <v>2.3194433335999359E-3</v>
      </c>
    </row>
    <row r="1440" spans="1:15" ht="24" thickBot="1" x14ac:dyDescent="0.35">
      <c r="A1440" s="274" t="s">
        <v>103</v>
      </c>
      <c r="B1440" s="1019" t="s">
        <v>172</v>
      </c>
      <c r="C1440" s="1020"/>
      <c r="D1440" s="1050"/>
      <c r="E1440" s="330">
        <f>+E1423+E1439</f>
        <v>3965500</v>
      </c>
      <c r="F1440" s="331">
        <f t="shared" ref="F1440:I1440" si="1836">+F1423+F1439</f>
        <v>559000</v>
      </c>
      <c r="G1440" s="330">
        <f t="shared" si="1836"/>
        <v>254463</v>
      </c>
      <c r="H1440" s="328">
        <f t="shared" si="1836"/>
        <v>253384</v>
      </c>
      <c r="I1440" s="328">
        <f t="shared" si="1836"/>
        <v>1079</v>
      </c>
      <c r="J1440" s="350">
        <f>+G1440/F1440</f>
        <v>0.45521109123434705</v>
      </c>
      <c r="K1440" s="330">
        <f>+K1423+K1439</f>
        <v>2760255</v>
      </c>
      <c r="L1440" s="328">
        <f t="shared" ref="L1440:M1440" si="1837">+L1423+L1439</f>
        <v>2746394</v>
      </c>
      <c r="M1440" s="329">
        <f t="shared" si="1837"/>
        <v>13861</v>
      </c>
      <c r="N1440" s="342">
        <f>IFERROR(K1440/E1440,"-")</f>
        <v>0.69606733072752491</v>
      </c>
      <c r="O1440" s="350">
        <f t="shared" si="1806"/>
        <v>5.0216374936373634E-3</v>
      </c>
    </row>
    <row r="1441" spans="1:15" ht="23.4" x14ac:dyDescent="0.3">
      <c r="A1441" s="268" t="s">
        <v>101</v>
      </c>
      <c r="B1441" s="1051" t="s">
        <v>26</v>
      </c>
      <c r="C1441" s="893" t="s">
        <v>297</v>
      </c>
      <c r="D1441" s="898" t="s">
        <v>177</v>
      </c>
      <c r="E1441" s="895"/>
      <c r="F1441" s="271"/>
      <c r="G1441" s="332">
        <f t="shared" ref="G1441:G1450" si="1838">+H1441+I1441</f>
        <v>0</v>
      </c>
      <c r="H1441" s="272">
        <v>0</v>
      </c>
      <c r="I1441" s="272">
        <v>0</v>
      </c>
      <c r="J1441" s="351" t="str">
        <f>IFERROR(G1441/F1441,"-")</f>
        <v>-</v>
      </c>
      <c r="K1441" s="332">
        <f t="shared" ref="K1441:K1450" si="1839">+L1441+M1441</f>
        <v>0</v>
      </c>
      <c r="L1441" s="272">
        <f t="shared" ref="L1441:L1450" si="1840">+H1441+L1324</f>
        <v>0</v>
      </c>
      <c r="M1441" s="273">
        <f t="shared" ref="M1441:M1450" si="1841">+I1441+M1324</f>
        <v>0</v>
      </c>
      <c r="N1441" s="336" t="str">
        <f t="shared" ref="N1441:N1459" si="1842">IFERROR(K1441/E1441,"-")</f>
        <v>-</v>
      </c>
      <c r="O1441" s="346" t="str">
        <f t="shared" si="1806"/>
        <v>-</v>
      </c>
    </row>
    <row r="1442" spans="1:15" ht="23.4" x14ac:dyDescent="0.3">
      <c r="A1442" s="274" t="s">
        <v>101</v>
      </c>
      <c r="B1442" s="1051"/>
      <c r="C1442" s="253" t="s">
        <v>424</v>
      </c>
      <c r="D1442" s="899" t="s">
        <v>423</v>
      </c>
      <c r="E1442" s="511">
        <v>314432</v>
      </c>
      <c r="F1442" s="277"/>
      <c r="G1442" s="333">
        <f t="shared" si="1838"/>
        <v>0</v>
      </c>
      <c r="H1442" s="278">
        <v>0</v>
      </c>
      <c r="I1442" s="278">
        <v>0</v>
      </c>
      <c r="J1442" s="351" t="str">
        <f t="shared" ref="J1442:J1450" si="1843">IFERROR(G1442/F1442,"-")</f>
        <v>-</v>
      </c>
      <c r="K1442" s="333">
        <f t="shared" si="1839"/>
        <v>265434</v>
      </c>
      <c r="L1442" s="272">
        <f t="shared" si="1840"/>
        <v>262548</v>
      </c>
      <c r="M1442" s="273">
        <f t="shared" si="1841"/>
        <v>2886</v>
      </c>
      <c r="N1442" s="337">
        <f t="shared" si="1842"/>
        <v>0.84416980460004076</v>
      </c>
      <c r="O1442" s="263">
        <f t="shared" si="1806"/>
        <v>1.0872759330002939E-2</v>
      </c>
    </row>
    <row r="1443" spans="1:15" ht="23.4" x14ac:dyDescent="0.3">
      <c r="A1443" s="274" t="s">
        <v>101</v>
      </c>
      <c r="B1443" s="1051"/>
      <c r="C1443" s="813" t="s">
        <v>27</v>
      </c>
      <c r="D1443" s="899" t="s">
        <v>334</v>
      </c>
      <c r="E1443" s="896">
        <v>932448</v>
      </c>
      <c r="F1443" s="281"/>
      <c r="G1443" s="333">
        <f t="shared" si="1838"/>
        <v>0</v>
      </c>
      <c r="H1443" s="278">
        <v>0</v>
      </c>
      <c r="I1443" s="278">
        <v>0</v>
      </c>
      <c r="J1443" s="351" t="str">
        <f t="shared" si="1843"/>
        <v>-</v>
      </c>
      <c r="K1443" s="333">
        <f t="shared" si="1839"/>
        <v>37943</v>
      </c>
      <c r="L1443" s="272">
        <f t="shared" si="1840"/>
        <v>35802</v>
      </c>
      <c r="M1443" s="273">
        <f t="shared" si="1841"/>
        <v>2141</v>
      </c>
      <c r="N1443" s="337">
        <f t="shared" si="1842"/>
        <v>4.0691813377260716E-2</v>
      </c>
      <c r="O1443" s="263">
        <f t="shared" si="1806"/>
        <v>5.6426745381229743E-2</v>
      </c>
    </row>
    <row r="1444" spans="1:15" ht="23.4" x14ac:dyDescent="0.3">
      <c r="A1444" s="274" t="s">
        <v>101</v>
      </c>
      <c r="B1444" s="1051"/>
      <c r="C1444" s="813" t="s">
        <v>27</v>
      </c>
      <c r="D1444" s="900" t="s">
        <v>492</v>
      </c>
      <c r="E1444" s="896"/>
      <c r="F1444" s="281"/>
      <c r="G1444" s="333">
        <f t="shared" si="1838"/>
        <v>0</v>
      </c>
      <c r="H1444" s="278">
        <v>0</v>
      </c>
      <c r="I1444" s="278">
        <v>0</v>
      </c>
      <c r="J1444" s="351" t="str">
        <f t="shared" si="1843"/>
        <v>-</v>
      </c>
      <c r="K1444" s="333">
        <f t="shared" si="1839"/>
        <v>274869</v>
      </c>
      <c r="L1444" s="272">
        <f t="shared" si="1840"/>
        <v>270504</v>
      </c>
      <c r="M1444" s="273">
        <f t="shared" si="1841"/>
        <v>4365</v>
      </c>
      <c r="N1444" s="337" t="str">
        <f t="shared" si="1842"/>
        <v>-</v>
      </c>
      <c r="O1444" s="263">
        <f t="shared" si="1806"/>
        <v>1.588029206640254E-2</v>
      </c>
    </row>
    <row r="1445" spans="1:15" ht="23.4" x14ac:dyDescent="0.3">
      <c r="A1445" s="274" t="s">
        <v>101</v>
      </c>
      <c r="B1445" s="1051"/>
      <c r="C1445" s="893" t="s">
        <v>521</v>
      </c>
      <c r="D1445" s="899" t="s">
        <v>234</v>
      </c>
      <c r="E1445" s="896">
        <v>136768</v>
      </c>
      <c r="F1445" s="281"/>
      <c r="G1445" s="333">
        <f t="shared" si="1838"/>
        <v>0</v>
      </c>
      <c r="H1445" s="278">
        <v>0</v>
      </c>
      <c r="I1445" s="278">
        <v>0</v>
      </c>
      <c r="J1445" s="351" t="str">
        <f t="shared" si="1843"/>
        <v>-</v>
      </c>
      <c r="K1445" s="333">
        <f t="shared" si="1839"/>
        <v>57116</v>
      </c>
      <c r="L1445" s="272">
        <f t="shared" si="1840"/>
        <v>55692</v>
      </c>
      <c r="M1445" s="273">
        <f t="shared" si="1841"/>
        <v>1424</v>
      </c>
      <c r="N1445" s="337">
        <f t="shared" si="1842"/>
        <v>0.41761230697239121</v>
      </c>
      <c r="O1445" s="263">
        <f t="shared" si="1806"/>
        <v>2.4931717907416485E-2</v>
      </c>
    </row>
    <row r="1446" spans="1:15" ht="23.4" x14ac:dyDescent="0.3">
      <c r="A1446" s="274"/>
      <c r="B1446" s="1051"/>
      <c r="C1446" s="813" t="s">
        <v>432</v>
      </c>
      <c r="D1446" s="899" t="s">
        <v>178</v>
      </c>
      <c r="E1446" s="896"/>
      <c r="F1446" s="281"/>
      <c r="G1446" s="334">
        <f t="shared" si="1838"/>
        <v>0</v>
      </c>
      <c r="H1446" s="278">
        <v>0</v>
      </c>
      <c r="I1446" s="278">
        <v>0</v>
      </c>
      <c r="J1446" s="351" t="str">
        <f t="shared" si="1843"/>
        <v>-</v>
      </c>
      <c r="K1446" s="334">
        <f t="shared" si="1839"/>
        <v>0</v>
      </c>
      <c r="L1446" s="272">
        <f t="shared" si="1840"/>
        <v>0</v>
      </c>
      <c r="M1446" s="273">
        <f t="shared" si="1841"/>
        <v>0</v>
      </c>
      <c r="N1446" s="337" t="str">
        <f t="shared" si="1842"/>
        <v>-</v>
      </c>
      <c r="O1446" s="263" t="str">
        <f t="shared" si="1806"/>
        <v>-</v>
      </c>
    </row>
    <row r="1447" spans="1:15" ht="23.4" x14ac:dyDescent="0.3">
      <c r="A1447" s="274"/>
      <c r="B1447" s="1051"/>
      <c r="C1447" s="813" t="s">
        <v>333</v>
      </c>
      <c r="D1447" s="899" t="s">
        <v>94</v>
      </c>
      <c r="E1447" s="896">
        <v>32016</v>
      </c>
      <c r="F1447" s="281"/>
      <c r="G1447" s="334">
        <f t="shared" si="1838"/>
        <v>0</v>
      </c>
      <c r="H1447" s="278">
        <v>0</v>
      </c>
      <c r="I1447" s="278">
        <v>0</v>
      </c>
      <c r="J1447" s="351" t="str">
        <f t="shared" si="1843"/>
        <v>-</v>
      </c>
      <c r="K1447" s="334">
        <f t="shared" si="1839"/>
        <v>0</v>
      </c>
      <c r="L1447" s="272">
        <f t="shared" si="1840"/>
        <v>0</v>
      </c>
      <c r="M1447" s="273">
        <f t="shared" si="1841"/>
        <v>0</v>
      </c>
      <c r="N1447" s="337">
        <f t="shared" si="1842"/>
        <v>0</v>
      </c>
      <c r="O1447" s="263" t="str">
        <f t="shared" si="1806"/>
        <v>-</v>
      </c>
    </row>
    <row r="1448" spans="1:15" ht="23.4" x14ac:dyDescent="0.3">
      <c r="A1448" s="274"/>
      <c r="B1448" s="1051"/>
      <c r="C1448" s="813" t="s">
        <v>433</v>
      </c>
      <c r="D1448" s="899" t="s">
        <v>540</v>
      </c>
      <c r="E1448" s="896"/>
      <c r="F1448" s="281"/>
      <c r="G1448" s="334">
        <f t="shared" si="1838"/>
        <v>0</v>
      </c>
      <c r="H1448" s="278">
        <v>0</v>
      </c>
      <c r="I1448" s="278">
        <v>0</v>
      </c>
      <c r="J1448" s="351" t="str">
        <f t="shared" si="1843"/>
        <v>-</v>
      </c>
      <c r="K1448" s="334">
        <f t="shared" si="1839"/>
        <v>358419</v>
      </c>
      <c r="L1448" s="272">
        <f t="shared" si="1840"/>
        <v>354042</v>
      </c>
      <c r="M1448" s="272">
        <f t="shared" si="1841"/>
        <v>4377</v>
      </c>
      <c r="N1448" s="337" t="str">
        <f t="shared" si="1842"/>
        <v>-</v>
      </c>
      <c r="O1448" s="263">
        <f t="shared" si="1806"/>
        <v>1.2211964209486663E-2</v>
      </c>
    </row>
    <row r="1449" spans="1:15" ht="23.4" x14ac:dyDescent="0.3">
      <c r="A1449" s="274"/>
      <c r="B1449" s="1051"/>
      <c r="C1449" s="813" t="s">
        <v>382</v>
      </c>
      <c r="D1449" s="899" t="s">
        <v>366</v>
      </c>
      <c r="E1449" s="896"/>
      <c r="F1449" s="281"/>
      <c r="G1449" s="334">
        <f t="shared" si="1838"/>
        <v>169547</v>
      </c>
      <c r="H1449" s="278">
        <f>75582+15912+47736+27846</f>
        <v>167076</v>
      </c>
      <c r="I1449" s="278">
        <f>656+563+552+700</f>
        <v>2471</v>
      </c>
      <c r="J1449" s="351" t="str">
        <f t="shared" si="1843"/>
        <v>-</v>
      </c>
      <c r="K1449" s="334">
        <f t="shared" si="1839"/>
        <v>169547</v>
      </c>
      <c r="L1449" s="272">
        <f t="shared" si="1840"/>
        <v>167076</v>
      </c>
      <c r="M1449" s="273">
        <f t="shared" si="1841"/>
        <v>2471</v>
      </c>
      <c r="N1449" s="337" t="str">
        <f t="shared" si="1842"/>
        <v>-</v>
      </c>
      <c r="O1449" s="263">
        <f t="shared" si="1806"/>
        <v>1.4574129887287891E-2</v>
      </c>
    </row>
    <row r="1450" spans="1:15" ht="24" thickBot="1" x14ac:dyDescent="0.35">
      <c r="A1450" s="274" t="s">
        <v>101</v>
      </c>
      <c r="B1450" s="1051"/>
      <c r="C1450" s="894" t="s">
        <v>290</v>
      </c>
      <c r="D1450" s="901" t="s">
        <v>289</v>
      </c>
      <c r="E1450" s="896"/>
      <c r="F1450" s="281"/>
      <c r="G1450" s="334">
        <f t="shared" si="1838"/>
        <v>0</v>
      </c>
      <c r="H1450" s="278">
        <v>0</v>
      </c>
      <c r="I1450" s="278">
        <v>0</v>
      </c>
      <c r="J1450" s="351" t="str">
        <f t="shared" si="1843"/>
        <v>-</v>
      </c>
      <c r="K1450" s="334">
        <f t="shared" si="1839"/>
        <v>0</v>
      </c>
      <c r="L1450" s="272">
        <f t="shared" si="1840"/>
        <v>0</v>
      </c>
      <c r="M1450" s="273">
        <f t="shared" si="1841"/>
        <v>0</v>
      </c>
      <c r="N1450" s="337" t="str">
        <f t="shared" si="1842"/>
        <v>-</v>
      </c>
      <c r="O1450" s="347" t="str">
        <f t="shared" si="1806"/>
        <v>-</v>
      </c>
    </row>
    <row r="1451" spans="1:15" ht="24" thickBot="1" x14ac:dyDescent="0.35">
      <c r="A1451" s="274" t="s">
        <v>101</v>
      </c>
      <c r="B1451" s="1052"/>
      <c r="C1451" s="301"/>
      <c r="D1451" s="897" t="s">
        <v>52</v>
      </c>
      <c r="E1451" s="284">
        <f>SUM(E1441:E1450)</f>
        <v>1415664</v>
      </c>
      <c r="F1451" s="285">
        <v>160000</v>
      </c>
      <c r="G1451" s="320">
        <f>SUM(G1441:G1450)</f>
        <v>169547</v>
      </c>
      <c r="H1451" s="321">
        <f>SUM(H1441:H1450)</f>
        <v>167076</v>
      </c>
      <c r="I1451" s="321">
        <f>SUM(I1441:I1450)</f>
        <v>2471</v>
      </c>
      <c r="J1451" s="345">
        <f>+G1451/F1451</f>
        <v>1.0596687499999999</v>
      </c>
      <c r="K1451" s="320">
        <f>SUM(K1441:K1450)</f>
        <v>1163328</v>
      </c>
      <c r="L1451" s="321">
        <f>SUM(L1441:L1450)</f>
        <v>1145664</v>
      </c>
      <c r="M1451" s="322">
        <f>SUM(M1441:M1450)</f>
        <v>17664</v>
      </c>
      <c r="N1451" s="339">
        <f t="shared" si="1842"/>
        <v>0.82175431458312143</v>
      </c>
      <c r="O1451" s="345">
        <f t="shared" si="1806"/>
        <v>1.518402376629807E-2</v>
      </c>
    </row>
    <row r="1452" spans="1:15" ht="23.4" x14ac:dyDescent="0.3">
      <c r="A1452" s="274" t="s">
        <v>101</v>
      </c>
      <c r="B1452" s="1053" t="s">
        <v>28</v>
      </c>
      <c r="C1452" s="299" t="s">
        <v>27</v>
      </c>
      <c r="D1452" s="297" t="s">
        <v>492</v>
      </c>
      <c r="E1452" s="270"/>
      <c r="F1452" s="271"/>
      <c r="G1452" s="332">
        <f t="shared" ref="G1452:G1456" si="1844">+H1452+I1452</f>
        <v>0</v>
      </c>
      <c r="H1452" s="272">
        <v>0</v>
      </c>
      <c r="I1452" s="272">
        <v>0</v>
      </c>
      <c r="J1452" s="351" t="str">
        <f>IFERROR(G1452/F1452,"-")</f>
        <v>-</v>
      </c>
      <c r="K1452" s="332">
        <f t="shared" ref="K1452:K1458" si="1845">+L1452+M1452</f>
        <v>170343</v>
      </c>
      <c r="L1452" s="272">
        <f t="shared" ref="L1452:L1458" si="1846">+H1452+L1335</f>
        <v>167076</v>
      </c>
      <c r="M1452" s="273">
        <f t="shared" ref="M1452:M1458" si="1847">+I1452+M1335</f>
        <v>3267</v>
      </c>
      <c r="N1452" s="336" t="str">
        <f t="shared" si="1842"/>
        <v>-</v>
      </c>
      <c r="O1452" s="346">
        <f t="shared" si="1806"/>
        <v>1.9178950705341577E-2</v>
      </c>
    </row>
    <row r="1453" spans="1:15" ht="23.4" x14ac:dyDescent="0.3">
      <c r="A1453" s="274" t="s">
        <v>101</v>
      </c>
      <c r="B1453" s="1051"/>
      <c r="C1453" s="299" t="s">
        <v>385</v>
      </c>
      <c r="D1453" s="299" t="s">
        <v>334</v>
      </c>
      <c r="E1453" s="276"/>
      <c r="F1453" s="277"/>
      <c r="G1453" s="333">
        <f t="shared" si="1844"/>
        <v>0</v>
      </c>
      <c r="H1453" s="278">
        <v>0</v>
      </c>
      <c r="I1453" s="278">
        <v>0</v>
      </c>
      <c r="J1453" s="351" t="str">
        <f t="shared" ref="J1453:J1458" si="1848">IFERROR(G1453/F1453,"-")</f>
        <v>-</v>
      </c>
      <c r="K1453" s="333">
        <f t="shared" si="1845"/>
        <v>96975</v>
      </c>
      <c r="L1453" s="272">
        <f t="shared" si="1846"/>
        <v>95472</v>
      </c>
      <c r="M1453" s="273">
        <f t="shared" si="1847"/>
        <v>1503</v>
      </c>
      <c r="N1453" s="337" t="str">
        <f t="shared" si="1842"/>
        <v>-</v>
      </c>
      <c r="O1453" s="263">
        <f t="shared" si="1806"/>
        <v>1.5498839907192575E-2</v>
      </c>
    </row>
    <row r="1454" spans="1:15" ht="23.4" x14ac:dyDescent="0.3">
      <c r="A1454" s="274" t="s">
        <v>101</v>
      </c>
      <c r="B1454" s="1051"/>
      <c r="C1454" s="299" t="s">
        <v>27</v>
      </c>
      <c r="D1454" s="299" t="s">
        <v>334</v>
      </c>
      <c r="E1454" s="276"/>
      <c r="F1454" s="277"/>
      <c r="G1454" s="333">
        <f t="shared" si="1844"/>
        <v>0</v>
      </c>
      <c r="H1454" s="278">
        <v>0</v>
      </c>
      <c r="I1454" s="278">
        <v>0</v>
      </c>
      <c r="J1454" s="351" t="str">
        <f t="shared" si="1848"/>
        <v>-</v>
      </c>
      <c r="K1454" s="333">
        <f t="shared" si="1845"/>
        <v>0</v>
      </c>
      <c r="L1454" s="272">
        <f t="shared" si="1846"/>
        <v>0</v>
      </c>
      <c r="M1454" s="273">
        <f t="shared" si="1847"/>
        <v>0</v>
      </c>
      <c r="N1454" s="337" t="str">
        <f t="shared" si="1842"/>
        <v>-</v>
      </c>
      <c r="O1454" s="263" t="str">
        <f t="shared" si="1806"/>
        <v>-</v>
      </c>
    </row>
    <row r="1455" spans="1:15" ht="23.4" x14ac:dyDescent="0.3">
      <c r="A1455" s="274"/>
      <c r="B1455" s="1051"/>
      <c r="C1455" s="299" t="s">
        <v>460</v>
      </c>
      <c r="D1455" s="299" t="s">
        <v>334</v>
      </c>
      <c r="E1455" s="280"/>
      <c r="F1455" s="281"/>
      <c r="G1455" s="333">
        <f t="shared" si="1844"/>
        <v>0</v>
      </c>
      <c r="H1455" s="278">
        <v>0</v>
      </c>
      <c r="I1455" s="278">
        <v>0</v>
      </c>
      <c r="J1455" s="351" t="str">
        <f t="shared" si="1848"/>
        <v>-</v>
      </c>
      <c r="K1455" s="333">
        <f t="shared" si="1845"/>
        <v>4348</v>
      </c>
      <c r="L1455" s="272">
        <f t="shared" si="1846"/>
        <v>3978</v>
      </c>
      <c r="M1455" s="273">
        <f t="shared" si="1847"/>
        <v>370</v>
      </c>
      <c r="N1455" s="337" t="str">
        <f t="shared" si="1842"/>
        <v>-</v>
      </c>
      <c r="O1455" s="263">
        <f t="shared" si="1806"/>
        <v>8.5096596136154556E-2</v>
      </c>
    </row>
    <row r="1456" spans="1:15" ht="23.4" x14ac:dyDescent="0.3">
      <c r="A1456" s="274" t="s">
        <v>101</v>
      </c>
      <c r="B1456" s="1051"/>
      <c r="C1456" s="299" t="s">
        <v>433</v>
      </c>
      <c r="D1456" s="299" t="s">
        <v>540</v>
      </c>
      <c r="E1456" s="280"/>
      <c r="F1456" s="281"/>
      <c r="G1456" s="334">
        <f t="shared" si="1844"/>
        <v>0</v>
      </c>
      <c r="H1456" s="278">
        <v>0</v>
      </c>
      <c r="I1456" s="278">
        <v>0</v>
      </c>
      <c r="J1456" s="351" t="str">
        <f t="shared" si="1848"/>
        <v>-</v>
      </c>
      <c r="K1456" s="334">
        <f t="shared" si="1845"/>
        <v>128335</v>
      </c>
      <c r="L1456" s="272">
        <f t="shared" si="1846"/>
        <v>127296</v>
      </c>
      <c r="M1456" s="702">
        <f t="shared" si="1847"/>
        <v>1039</v>
      </c>
      <c r="N1456" s="338" t="str">
        <f t="shared" si="1842"/>
        <v>-</v>
      </c>
      <c r="O1456" s="347">
        <f t="shared" si="1806"/>
        <v>8.0959987532629452E-3</v>
      </c>
    </row>
    <row r="1457" spans="1:15" ht="23.4" x14ac:dyDescent="0.3">
      <c r="A1457" s="274"/>
      <c r="B1457" s="1051"/>
      <c r="C1457" s="299" t="s">
        <v>458</v>
      </c>
      <c r="D1457" s="300" t="s">
        <v>280</v>
      </c>
      <c r="E1457" s="280">
        <v>200000</v>
      </c>
      <c r="F1457" s="281"/>
      <c r="G1457" s="334"/>
      <c r="H1457" s="278">
        <v>0</v>
      </c>
      <c r="I1457" s="278">
        <v>0</v>
      </c>
      <c r="J1457" s="351" t="str">
        <f t="shared" si="1848"/>
        <v>-</v>
      </c>
      <c r="K1457" s="334">
        <f t="shared" si="1845"/>
        <v>0</v>
      </c>
      <c r="L1457" s="272">
        <f t="shared" si="1846"/>
        <v>0</v>
      </c>
      <c r="M1457" s="272">
        <f t="shared" si="1847"/>
        <v>0</v>
      </c>
      <c r="N1457" s="338">
        <f t="shared" si="1842"/>
        <v>0</v>
      </c>
      <c r="O1457" s="347" t="str">
        <f t="shared" si="1806"/>
        <v>-</v>
      </c>
    </row>
    <row r="1458" spans="1:15" ht="24" thickBot="1" x14ac:dyDescent="0.35">
      <c r="A1458" s="274" t="s">
        <v>101</v>
      </c>
      <c r="B1458" s="1051"/>
      <c r="C1458" s="299" t="s">
        <v>27</v>
      </c>
      <c r="D1458" s="300" t="s">
        <v>234</v>
      </c>
      <c r="E1458" s="280">
        <v>250000</v>
      </c>
      <c r="F1458" s="281"/>
      <c r="G1458" s="334">
        <f t="shared" ref="G1458" si="1849">+H1458+I1458</f>
        <v>0</v>
      </c>
      <c r="H1458" s="278">
        <v>0</v>
      </c>
      <c r="I1458" s="278">
        <v>0</v>
      </c>
      <c r="J1458" s="351" t="str">
        <f t="shared" si="1848"/>
        <v>-</v>
      </c>
      <c r="K1458" s="334">
        <f t="shared" si="1845"/>
        <v>0</v>
      </c>
      <c r="L1458" s="272">
        <f t="shared" si="1846"/>
        <v>0</v>
      </c>
      <c r="M1458" s="702">
        <f t="shared" si="1847"/>
        <v>0</v>
      </c>
      <c r="N1458" s="338">
        <f t="shared" si="1842"/>
        <v>0</v>
      </c>
      <c r="O1458" s="347" t="str">
        <f t="shared" si="1806"/>
        <v>-</v>
      </c>
    </row>
    <row r="1459" spans="1:15" ht="24" thickBot="1" x14ac:dyDescent="0.35">
      <c r="A1459" s="274" t="s">
        <v>101</v>
      </c>
      <c r="B1459" s="1051"/>
      <c r="C1459" s="304"/>
      <c r="D1459" s="305" t="s">
        <v>52</v>
      </c>
      <c r="E1459" s="306">
        <f>SUM(E1452:E1458)</f>
        <v>450000</v>
      </c>
      <c r="F1459" s="307">
        <v>80000</v>
      </c>
      <c r="G1459" s="366">
        <f>SUM(G1452:G1458)</f>
        <v>0</v>
      </c>
      <c r="H1459" s="365">
        <f>SUM(H1452:H1458)</f>
        <v>0</v>
      </c>
      <c r="I1459" s="365">
        <f>SUM(I1452:I1458)</f>
        <v>0</v>
      </c>
      <c r="J1459" s="356">
        <f>+G1459/F1459</f>
        <v>0</v>
      </c>
      <c r="K1459" s="366">
        <f>SUM(K1452:K1458)</f>
        <v>400001</v>
      </c>
      <c r="L1459" s="365">
        <f>SUM(L1452:L1458)</f>
        <v>393822</v>
      </c>
      <c r="M1459" s="367">
        <f>SUM(M1452:M1458)</f>
        <v>6179</v>
      </c>
      <c r="N1459" s="355">
        <f t="shared" si="1842"/>
        <v>0.88889111111111108</v>
      </c>
      <c r="O1459" s="356">
        <f t="shared" si="1806"/>
        <v>1.5447461381346547E-2</v>
      </c>
    </row>
    <row r="1460" spans="1:15" ht="24" thickBot="1" x14ac:dyDescent="0.35">
      <c r="A1460" s="945" t="s">
        <v>101</v>
      </c>
      <c r="B1460" s="1054" t="s">
        <v>162</v>
      </c>
      <c r="C1460" s="1055"/>
      <c r="D1460" s="1056"/>
      <c r="E1460" s="308">
        <f>+E1459+E1451</f>
        <v>1865664</v>
      </c>
      <c r="F1460" s="309">
        <f>+F1459+F1451</f>
        <v>240000</v>
      </c>
      <c r="G1460" s="369">
        <f>+G1451+G1459</f>
        <v>169547</v>
      </c>
      <c r="H1460" s="368">
        <f>+H1451+H1459</f>
        <v>167076</v>
      </c>
      <c r="I1460" s="368">
        <f>+I1451+I1459</f>
        <v>2471</v>
      </c>
      <c r="J1460" s="358">
        <f>+G1460/F1460</f>
        <v>0.70644583333333333</v>
      </c>
      <c r="K1460" s="369">
        <f>+K1451+K1459</f>
        <v>1563329</v>
      </c>
      <c r="L1460" s="368">
        <f>+L1451+L1459</f>
        <v>1539486</v>
      </c>
      <c r="M1460" s="370">
        <f>+M1451+M1459</f>
        <v>23843</v>
      </c>
      <c r="N1460" s="357">
        <f>IFERROR(K1460/E1460,"-")</f>
        <v>0.83794777623409145</v>
      </c>
      <c r="O1460" s="358">
        <f t="shared" si="1806"/>
        <v>1.5251428202253012E-2</v>
      </c>
    </row>
    <row r="1461" spans="1:15" ht="23.4" x14ac:dyDescent="0.3">
      <c r="A1461" s="274" t="s">
        <v>101</v>
      </c>
      <c r="B1461" s="1051" t="s">
        <v>30</v>
      </c>
      <c r="C1461" s="303" t="s">
        <v>446</v>
      </c>
      <c r="D1461" s="299" t="s">
        <v>492</v>
      </c>
      <c r="E1461" s="270">
        <v>225000</v>
      </c>
      <c r="F1461" s="271"/>
      <c r="G1461" s="332">
        <f t="shared" ref="G1461:G1463" si="1850">+H1461+I1461</f>
        <v>36713</v>
      </c>
      <c r="H1461" s="272">
        <f>11232+24336</f>
        <v>35568</v>
      </c>
      <c r="I1461" s="272">
        <f>522+623</f>
        <v>1145</v>
      </c>
      <c r="J1461" s="351" t="str">
        <f>IFERROR(G1461/F1461,"-")</f>
        <v>-</v>
      </c>
      <c r="K1461" s="332">
        <f t="shared" ref="K1461:K1463" si="1851">+L1461+M1461</f>
        <v>36713</v>
      </c>
      <c r="L1461" s="272">
        <f t="shared" ref="L1461:L1463" si="1852">+H1461+L1344</f>
        <v>35568</v>
      </c>
      <c r="M1461" s="273">
        <f t="shared" ref="M1461:M1463" si="1853">+I1461+M1344</f>
        <v>1145</v>
      </c>
      <c r="N1461" s="336">
        <f t="shared" ref="N1461:N1474" si="1854">IFERROR(K1461/E1461,"-")</f>
        <v>0.16316888888888889</v>
      </c>
      <c r="O1461" s="346">
        <f t="shared" si="1806"/>
        <v>3.1187862609974668E-2</v>
      </c>
    </row>
    <row r="1462" spans="1:15" ht="23.4" x14ac:dyDescent="0.3">
      <c r="A1462" s="274" t="s">
        <v>101</v>
      </c>
      <c r="B1462" s="1051"/>
      <c r="C1462" s="300" t="s">
        <v>548</v>
      </c>
      <c r="D1462" s="303" t="s">
        <v>522</v>
      </c>
      <c r="E1462" s="276">
        <v>125000</v>
      </c>
      <c r="F1462" s="277"/>
      <c r="G1462" s="333">
        <f t="shared" si="1850"/>
        <v>0</v>
      </c>
      <c r="H1462" s="278">
        <v>0</v>
      </c>
      <c r="I1462" s="278">
        <v>0</v>
      </c>
      <c r="J1462" s="351" t="str">
        <f t="shared" ref="J1462:J1463" si="1855">IFERROR(G1462/F1462,"-")</f>
        <v>-</v>
      </c>
      <c r="K1462" s="333">
        <f t="shared" si="1851"/>
        <v>0</v>
      </c>
      <c r="L1462" s="272">
        <f t="shared" si="1852"/>
        <v>0</v>
      </c>
      <c r="M1462" s="273">
        <f t="shared" si="1853"/>
        <v>0</v>
      </c>
      <c r="N1462" s="337">
        <f t="shared" si="1854"/>
        <v>0</v>
      </c>
      <c r="O1462" s="263" t="str">
        <f t="shared" si="1806"/>
        <v>-</v>
      </c>
    </row>
    <row r="1463" spans="1:15" ht="24" thickBot="1" x14ac:dyDescent="0.35">
      <c r="A1463" s="274" t="s">
        <v>101</v>
      </c>
      <c r="B1463" s="1051"/>
      <c r="C1463" s="300" t="s">
        <v>291</v>
      </c>
      <c r="D1463" s="300" t="s">
        <v>366</v>
      </c>
      <c r="E1463" s="280"/>
      <c r="F1463" s="281"/>
      <c r="G1463" s="334">
        <f t="shared" si="1850"/>
        <v>0</v>
      </c>
      <c r="H1463" s="282">
        <v>0</v>
      </c>
      <c r="I1463" s="282">
        <v>0</v>
      </c>
      <c r="J1463" s="351" t="str">
        <f t="shared" si="1855"/>
        <v>-</v>
      </c>
      <c r="K1463" s="334">
        <f t="shared" si="1851"/>
        <v>51611</v>
      </c>
      <c r="L1463" s="272">
        <f t="shared" si="1852"/>
        <v>50544</v>
      </c>
      <c r="M1463" s="273">
        <f t="shared" si="1853"/>
        <v>1067</v>
      </c>
      <c r="N1463" s="338" t="str">
        <f t="shared" si="1854"/>
        <v>-</v>
      </c>
      <c r="O1463" s="347">
        <f t="shared" si="1806"/>
        <v>2.0673887349596017E-2</v>
      </c>
    </row>
    <row r="1464" spans="1:15" ht="24" thickBot="1" x14ac:dyDescent="0.35">
      <c r="A1464" s="274" t="s">
        <v>101</v>
      </c>
      <c r="B1464" s="1051"/>
      <c r="C1464" s="301"/>
      <c r="D1464" s="302" t="s">
        <v>50</v>
      </c>
      <c r="E1464" s="284">
        <f>SUM(E1461:E1463)</f>
        <v>350000</v>
      </c>
      <c r="F1464" s="285">
        <v>50000</v>
      </c>
      <c r="G1464" s="320">
        <f>SUM(G1461:G1463)</f>
        <v>36713</v>
      </c>
      <c r="H1464" s="321">
        <f>SUM(H1461:H1463)</f>
        <v>35568</v>
      </c>
      <c r="I1464" s="321">
        <f>SUM(I1461:I1463)</f>
        <v>1145</v>
      </c>
      <c r="J1464" s="345">
        <f>+G1464/F1464</f>
        <v>0.73426000000000002</v>
      </c>
      <c r="K1464" s="320">
        <f>SUM(K1461:K1463)</f>
        <v>88324</v>
      </c>
      <c r="L1464" s="321">
        <f>SUM(L1461:L1463)</f>
        <v>86112</v>
      </c>
      <c r="M1464" s="322">
        <f>SUM(M1461:M1463)</f>
        <v>2212</v>
      </c>
      <c r="N1464" s="339">
        <f t="shared" si="1854"/>
        <v>0.2523542857142857</v>
      </c>
      <c r="O1464" s="345">
        <f t="shared" si="1806"/>
        <v>2.5044155608894524E-2</v>
      </c>
    </row>
    <row r="1465" spans="1:15" ht="23.4" x14ac:dyDescent="0.3">
      <c r="A1465" s="274" t="s">
        <v>101</v>
      </c>
      <c r="B1465" s="1051"/>
      <c r="C1465" s="297" t="s">
        <v>434</v>
      </c>
      <c r="D1465" s="297" t="s">
        <v>92</v>
      </c>
      <c r="E1465" s="270"/>
      <c r="F1465" s="271"/>
      <c r="G1465" s="332">
        <f t="shared" ref="G1465:G1470" si="1856">+H1465+I1465</f>
        <v>0</v>
      </c>
      <c r="H1465" s="272">
        <v>0</v>
      </c>
      <c r="I1465" s="272">
        <v>0</v>
      </c>
      <c r="J1465" s="351" t="str">
        <f>IFERROR(G1465/F1465,"-")</f>
        <v>-</v>
      </c>
      <c r="K1465" s="332">
        <f t="shared" ref="K1465:K1470" si="1857">+L1465+M1465</f>
        <v>0</v>
      </c>
      <c r="L1465" s="272">
        <f t="shared" ref="L1465:L1470" si="1858">+H1465+L1348</f>
        <v>0</v>
      </c>
      <c r="M1465" s="273">
        <f t="shared" ref="M1465:M1470" si="1859">+I1465+M1348</f>
        <v>0</v>
      </c>
      <c r="N1465" s="336" t="str">
        <f t="shared" si="1854"/>
        <v>-</v>
      </c>
      <c r="O1465" s="346" t="str">
        <f t="shared" si="1806"/>
        <v>-</v>
      </c>
    </row>
    <row r="1466" spans="1:15" ht="23.4" x14ac:dyDescent="0.3">
      <c r="A1466" s="274"/>
      <c r="B1466" s="1051"/>
      <c r="C1466" s="303" t="s">
        <v>449</v>
      </c>
      <c r="D1466" s="299" t="s">
        <v>334</v>
      </c>
      <c r="E1466" s="270"/>
      <c r="F1466" s="271"/>
      <c r="G1466" s="332">
        <f t="shared" si="1856"/>
        <v>0</v>
      </c>
      <c r="H1466" s="272">
        <v>0</v>
      </c>
      <c r="I1466" s="272">
        <v>0</v>
      </c>
      <c r="J1466" s="351" t="str">
        <f t="shared" ref="J1466:J1470" si="1860">IFERROR(G1466/F1466,"-")</f>
        <v>-</v>
      </c>
      <c r="K1466" s="332">
        <f t="shared" si="1857"/>
        <v>0</v>
      </c>
      <c r="L1466" s="272">
        <f t="shared" si="1858"/>
        <v>0</v>
      </c>
      <c r="M1466" s="273">
        <f t="shared" si="1859"/>
        <v>0</v>
      </c>
      <c r="N1466" s="337" t="str">
        <f t="shared" si="1854"/>
        <v>-</v>
      </c>
      <c r="O1466" s="346" t="str">
        <f t="shared" si="1806"/>
        <v>-</v>
      </c>
    </row>
    <row r="1467" spans="1:15" ht="23.4" x14ac:dyDescent="0.3">
      <c r="A1467" s="274"/>
      <c r="B1467" s="1051"/>
      <c r="C1467" s="303" t="s">
        <v>452</v>
      </c>
      <c r="D1467" s="299" t="s">
        <v>334</v>
      </c>
      <c r="E1467" s="270"/>
      <c r="F1467" s="271"/>
      <c r="G1467" s="332">
        <f t="shared" si="1856"/>
        <v>0</v>
      </c>
      <c r="H1467" s="272">
        <v>0</v>
      </c>
      <c r="I1467" s="272">
        <v>0</v>
      </c>
      <c r="J1467" s="351" t="str">
        <f t="shared" si="1860"/>
        <v>-</v>
      </c>
      <c r="K1467" s="332">
        <f t="shared" si="1857"/>
        <v>0</v>
      </c>
      <c r="L1467" s="272">
        <f t="shared" si="1858"/>
        <v>0</v>
      </c>
      <c r="M1467" s="273">
        <f t="shared" si="1859"/>
        <v>0</v>
      </c>
      <c r="N1467" s="337" t="str">
        <f t="shared" si="1854"/>
        <v>-</v>
      </c>
      <c r="O1467" s="346" t="str">
        <f t="shared" si="1806"/>
        <v>-</v>
      </c>
    </row>
    <row r="1468" spans="1:15" ht="23.4" x14ac:dyDescent="0.3">
      <c r="A1468" s="274" t="s">
        <v>101</v>
      </c>
      <c r="B1468" s="1051"/>
      <c r="C1468" s="303" t="s">
        <v>501</v>
      </c>
      <c r="D1468" s="300" t="s">
        <v>423</v>
      </c>
      <c r="E1468" s="276"/>
      <c r="F1468" s="277"/>
      <c r="G1468" s="333">
        <f t="shared" si="1856"/>
        <v>0</v>
      </c>
      <c r="H1468" s="278">
        <v>0</v>
      </c>
      <c r="I1468" s="272">
        <v>0</v>
      </c>
      <c r="J1468" s="351" t="str">
        <f t="shared" si="1860"/>
        <v>-</v>
      </c>
      <c r="K1468" s="333">
        <f t="shared" si="1857"/>
        <v>8116</v>
      </c>
      <c r="L1468" s="272">
        <f t="shared" si="1858"/>
        <v>7488</v>
      </c>
      <c r="M1468" s="273">
        <f t="shared" si="1859"/>
        <v>628</v>
      </c>
      <c r="N1468" s="337" t="str">
        <f t="shared" si="1854"/>
        <v>-</v>
      </c>
      <c r="O1468" s="263">
        <f t="shared" si="1806"/>
        <v>7.737801872843765E-2</v>
      </c>
    </row>
    <row r="1469" spans="1:15" ht="23.4" x14ac:dyDescent="0.3">
      <c r="A1469" s="274"/>
      <c r="B1469" s="1051"/>
      <c r="C1469" s="300" t="s">
        <v>459</v>
      </c>
      <c r="D1469" s="300" t="s">
        <v>366</v>
      </c>
      <c r="E1469" s="280"/>
      <c r="F1469" s="281"/>
      <c r="G1469" s="334">
        <f t="shared" si="1856"/>
        <v>26964</v>
      </c>
      <c r="H1469" s="282">
        <v>26208</v>
      </c>
      <c r="I1469" s="278">
        <v>756</v>
      </c>
      <c r="J1469" s="351" t="str">
        <f t="shared" si="1860"/>
        <v>-</v>
      </c>
      <c r="K1469" s="333">
        <f t="shared" si="1857"/>
        <v>78225</v>
      </c>
      <c r="L1469" s="272">
        <f t="shared" si="1858"/>
        <v>76752</v>
      </c>
      <c r="M1469" s="272">
        <f t="shared" si="1859"/>
        <v>1473</v>
      </c>
      <c r="N1469" s="337" t="str">
        <f t="shared" si="1854"/>
        <v>-</v>
      </c>
      <c r="O1469" s="263">
        <f t="shared" si="1806"/>
        <v>1.8830297219558964E-2</v>
      </c>
    </row>
    <row r="1470" spans="1:15" ht="24" thickBot="1" x14ac:dyDescent="0.35">
      <c r="A1470" s="274" t="s">
        <v>101</v>
      </c>
      <c r="B1470" s="1051"/>
      <c r="C1470" s="300" t="s">
        <v>435</v>
      </c>
      <c r="D1470" s="300" t="s">
        <v>423</v>
      </c>
      <c r="E1470" s="280"/>
      <c r="F1470" s="281"/>
      <c r="G1470" s="334">
        <f t="shared" si="1856"/>
        <v>0</v>
      </c>
      <c r="H1470" s="282">
        <v>0</v>
      </c>
      <c r="I1470" s="272">
        <v>0</v>
      </c>
      <c r="J1470" s="351" t="str">
        <f t="shared" si="1860"/>
        <v>-</v>
      </c>
      <c r="K1470" s="334">
        <f t="shared" si="1857"/>
        <v>0</v>
      </c>
      <c r="L1470" s="272">
        <f t="shared" si="1858"/>
        <v>0</v>
      </c>
      <c r="M1470" s="273">
        <f t="shared" si="1859"/>
        <v>0</v>
      </c>
      <c r="N1470" s="338" t="str">
        <f t="shared" si="1854"/>
        <v>-</v>
      </c>
      <c r="O1470" s="347" t="str">
        <f t="shared" si="1806"/>
        <v>-</v>
      </c>
    </row>
    <row r="1471" spans="1:15" ht="24" thickBot="1" x14ac:dyDescent="0.35">
      <c r="A1471" s="274" t="s">
        <v>101</v>
      </c>
      <c r="B1471" s="1051"/>
      <c r="C1471" s="304"/>
      <c r="D1471" s="305" t="s">
        <v>51</v>
      </c>
      <c r="E1471" s="306">
        <f>SUM(E1465:E1470)</f>
        <v>0</v>
      </c>
      <c r="F1471" s="307">
        <v>50000</v>
      </c>
      <c r="G1471" s="366">
        <f>SUM(G1465:G1470)</f>
        <v>26964</v>
      </c>
      <c r="H1471" s="365">
        <f t="shared" ref="H1471:I1471" si="1861">SUM(H1465:H1470)</f>
        <v>26208</v>
      </c>
      <c r="I1471" s="365">
        <f t="shared" si="1861"/>
        <v>756</v>
      </c>
      <c r="J1471" s="356">
        <f>+G1471/F1471</f>
        <v>0.53927999999999998</v>
      </c>
      <c r="K1471" s="366">
        <f t="shared" ref="K1471:M1471" si="1862">SUM(K1465:K1470)</f>
        <v>86341</v>
      </c>
      <c r="L1471" s="365">
        <f t="shared" si="1862"/>
        <v>84240</v>
      </c>
      <c r="M1471" s="367">
        <f t="shared" si="1862"/>
        <v>2101</v>
      </c>
      <c r="N1471" s="355" t="str">
        <f t="shared" si="1854"/>
        <v>-</v>
      </c>
      <c r="O1471" s="356">
        <f t="shared" si="1806"/>
        <v>2.4333746424062729E-2</v>
      </c>
    </row>
    <row r="1472" spans="1:15" ht="24" thickBot="1" x14ac:dyDescent="0.35">
      <c r="A1472" s="274" t="s">
        <v>101</v>
      </c>
      <c r="B1472" s="1054" t="s">
        <v>163</v>
      </c>
      <c r="C1472" s="1055"/>
      <c r="D1472" s="1056"/>
      <c r="E1472" s="308">
        <f>+E1471+E1464</f>
        <v>350000</v>
      </c>
      <c r="F1472" s="309">
        <v>50000</v>
      </c>
      <c r="G1472" s="369">
        <f>+G1464+G1471</f>
        <v>63677</v>
      </c>
      <c r="H1472" s="368">
        <f t="shared" ref="H1472:I1472" si="1863">+H1464+H1471</f>
        <v>61776</v>
      </c>
      <c r="I1472" s="368">
        <f t="shared" si="1863"/>
        <v>1901</v>
      </c>
      <c r="J1472" s="358">
        <f>+G1472/F1472</f>
        <v>1.2735399999999999</v>
      </c>
      <c r="K1472" s="369">
        <f t="shared" ref="K1472:M1472" si="1864">+K1464+K1471</f>
        <v>174665</v>
      </c>
      <c r="L1472" s="368">
        <f t="shared" si="1864"/>
        <v>170352</v>
      </c>
      <c r="M1472" s="370">
        <f t="shared" si="1864"/>
        <v>4313</v>
      </c>
      <c r="N1472" s="357">
        <f t="shared" si="1854"/>
        <v>0.49904285714285712</v>
      </c>
      <c r="O1472" s="358">
        <f t="shared" si="1806"/>
        <v>2.4692983711676639E-2</v>
      </c>
    </row>
    <row r="1473" spans="1:15" ht="24" thickBot="1" x14ac:dyDescent="0.35">
      <c r="A1473" s="274" t="s">
        <v>101</v>
      </c>
      <c r="B1473" s="598" t="s">
        <v>32</v>
      </c>
      <c r="C1473" s="941"/>
      <c r="D1473" s="310" t="s">
        <v>32</v>
      </c>
      <c r="E1473" s="287">
        <v>0</v>
      </c>
      <c r="F1473" s="288">
        <v>110000</v>
      </c>
      <c r="G1473" s="335">
        <f t="shared" ref="G1473" si="1865">+H1473+I1473</f>
        <v>0</v>
      </c>
      <c r="H1473" s="289">
        <v>0</v>
      </c>
      <c r="I1473" s="289">
        <v>0</v>
      </c>
      <c r="J1473" s="354">
        <f>IFERROR(G1473/F1473,"-")</f>
        <v>0</v>
      </c>
      <c r="K1473" s="335">
        <f>+L1473+M1473</f>
        <v>0</v>
      </c>
      <c r="L1473" s="289">
        <f>+H1473+L1356</f>
        <v>0</v>
      </c>
      <c r="M1473" s="290">
        <f>+I1473+M1356</f>
        <v>0</v>
      </c>
      <c r="N1473" s="340" t="str">
        <f t="shared" si="1854"/>
        <v>-</v>
      </c>
      <c r="O1473" s="348" t="str">
        <f t="shared" si="1806"/>
        <v>-</v>
      </c>
    </row>
    <row r="1474" spans="1:15" ht="24" thickBot="1" x14ac:dyDescent="0.35">
      <c r="A1474" s="274" t="s">
        <v>101</v>
      </c>
      <c r="B1474" s="1047" t="s">
        <v>21</v>
      </c>
      <c r="C1474" s="1048"/>
      <c r="D1474" s="1049"/>
      <c r="E1474" s="326">
        <f>+E1460+E1472+E1473</f>
        <v>2215664</v>
      </c>
      <c r="F1474" s="327">
        <f>+F1460+F1472+F1473</f>
        <v>400000</v>
      </c>
      <c r="G1474" s="326">
        <f>+G1460+G1472+G1473</f>
        <v>233224</v>
      </c>
      <c r="H1474" s="324">
        <f>+H1460+H1472+H1473</f>
        <v>228852</v>
      </c>
      <c r="I1474" s="324">
        <f>+I1460+I1472+I1473</f>
        <v>4372</v>
      </c>
      <c r="J1474" s="349">
        <f>+G1474/F1474</f>
        <v>0.58306000000000002</v>
      </c>
      <c r="K1474" s="326">
        <f>+K1460+K1472+K1473</f>
        <v>1737994</v>
      </c>
      <c r="L1474" s="324">
        <f>+L1460+L1472+L1473</f>
        <v>1709838</v>
      </c>
      <c r="M1474" s="325">
        <f>+M1460+M1472+M1473</f>
        <v>28156</v>
      </c>
      <c r="N1474" s="341">
        <f t="shared" si="1854"/>
        <v>0.78441225745419885</v>
      </c>
      <c r="O1474" s="349">
        <f t="shared" si="1806"/>
        <v>1.6200286076936975E-2</v>
      </c>
    </row>
    <row r="1475" spans="1:15" ht="24" thickBot="1" x14ac:dyDescent="0.35">
      <c r="A1475" s="274" t="s">
        <v>101</v>
      </c>
      <c r="B1475" s="1019" t="s">
        <v>171</v>
      </c>
      <c r="C1475" s="1020"/>
      <c r="D1475" s="1021"/>
      <c r="E1475" s="330">
        <f>+E1474</f>
        <v>2215664</v>
      </c>
      <c r="F1475" s="331">
        <f t="shared" ref="F1475:I1475" si="1866">+F1474</f>
        <v>400000</v>
      </c>
      <c r="G1475" s="330">
        <f t="shared" si="1866"/>
        <v>233224</v>
      </c>
      <c r="H1475" s="328">
        <f t="shared" si="1866"/>
        <v>228852</v>
      </c>
      <c r="I1475" s="328">
        <f t="shared" si="1866"/>
        <v>4372</v>
      </c>
      <c r="J1475" s="872">
        <f>+G1475/F1475</f>
        <v>0.58306000000000002</v>
      </c>
      <c r="K1475" s="330">
        <f>+K1474</f>
        <v>1737994</v>
      </c>
      <c r="L1475" s="328">
        <f t="shared" ref="L1475" si="1867">+L1474</f>
        <v>1709838</v>
      </c>
      <c r="M1475" s="329">
        <f>+M1474</f>
        <v>28156</v>
      </c>
      <c r="N1475" s="342">
        <f t="shared" ref="N1475:O1475" si="1868">+N1474</f>
        <v>0.78441225745419885</v>
      </c>
      <c r="O1475" s="350">
        <f t="shared" si="1868"/>
        <v>1.6200286076936975E-2</v>
      </c>
    </row>
    <row r="1476" spans="1:15" ht="23.4" x14ac:dyDescent="0.3">
      <c r="A1476" s="268" t="s">
        <v>102</v>
      </c>
      <c r="B1476" s="1022" t="s">
        <v>401</v>
      </c>
      <c r="C1476" s="311" t="s">
        <v>113</v>
      </c>
      <c r="D1476" s="311"/>
      <c r="E1476" s="270"/>
      <c r="F1476" s="271"/>
      <c r="G1476" s="332">
        <f t="shared" ref="G1476:G1478" si="1869">+H1476+I1476</f>
        <v>0</v>
      </c>
      <c r="H1476" s="272">
        <v>0</v>
      </c>
      <c r="I1476" s="272">
        <v>0</v>
      </c>
      <c r="J1476" s="351" t="str">
        <f>IFERROR(G1476/F1476,"-")</f>
        <v>-</v>
      </c>
      <c r="K1476" s="332">
        <f t="shared" ref="K1476:K1478" si="1870">+L1476+M1476</f>
        <v>0</v>
      </c>
      <c r="L1476" s="272">
        <f t="shared" ref="L1476:L1478" si="1871">+H1476+L1359</f>
        <v>0</v>
      </c>
      <c r="M1476" s="273">
        <f t="shared" ref="M1476:M1478" si="1872">+I1476+M1359</f>
        <v>0</v>
      </c>
      <c r="N1476" s="336" t="str">
        <f t="shared" ref="N1476:N1483" si="1873">IFERROR(K1476/E1476,"-")</f>
        <v>-</v>
      </c>
      <c r="O1476" s="346" t="str">
        <f t="shared" ref="O1476:O1501" si="1874">IFERROR(M1476/K1476,"-")</f>
        <v>-</v>
      </c>
    </row>
    <row r="1477" spans="1:15" ht="23.4" x14ac:dyDescent="0.3">
      <c r="A1477" s="274" t="s">
        <v>102</v>
      </c>
      <c r="B1477" s="1023"/>
      <c r="C1477" s="312" t="s">
        <v>247</v>
      </c>
      <c r="D1477" s="312"/>
      <c r="E1477" s="276">
        <v>2000</v>
      </c>
      <c r="F1477" s="277"/>
      <c r="G1477" s="333">
        <f t="shared" si="1869"/>
        <v>0</v>
      </c>
      <c r="H1477" s="278">
        <v>0</v>
      </c>
      <c r="I1477" s="278">
        <v>0</v>
      </c>
      <c r="J1477" s="351" t="str">
        <f t="shared" ref="J1477:J1478" si="1875">IFERROR(G1477/F1477,"-")</f>
        <v>-</v>
      </c>
      <c r="K1477" s="333">
        <f t="shared" si="1870"/>
        <v>9638</v>
      </c>
      <c r="L1477" s="272">
        <f t="shared" si="1871"/>
        <v>9149</v>
      </c>
      <c r="M1477" s="273">
        <f t="shared" si="1872"/>
        <v>489</v>
      </c>
      <c r="N1477" s="337">
        <f t="shared" si="1873"/>
        <v>4.819</v>
      </c>
      <c r="O1477" s="263">
        <f t="shared" si="1874"/>
        <v>5.0736667358373108E-2</v>
      </c>
    </row>
    <row r="1478" spans="1:15" ht="24" thickBot="1" x14ac:dyDescent="0.35">
      <c r="A1478" s="274" t="s">
        <v>102</v>
      </c>
      <c r="B1478" s="1024"/>
      <c r="C1478" s="313" t="s">
        <v>33</v>
      </c>
      <c r="D1478" s="313"/>
      <c r="E1478" s="280"/>
      <c r="F1478" s="281"/>
      <c r="G1478" s="334">
        <f t="shared" si="1869"/>
        <v>0</v>
      </c>
      <c r="H1478" s="282">
        <v>0</v>
      </c>
      <c r="I1478" s="282">
        <v>0</v>
      </c>
      <c r="J1478" s="351" t="str">
        <f t="shared" si="1875"/>
        <v>-</v>
      </c>
      <c r="K1478" s="334">
        <f t="shared" si="1870"/>
        <v>0</v>
      </c>
      <c r="L1478" s="272">
        <f t="shared" si="1871"/>
        <v>0</v>
      </c>
      <c r="M1478" s="273">
        <f t="shared" si="1872"/>
        <v>0</v>
      </c>
      <c r="N1478" s="338" t="str">
        <f t="shared" si="1873"/>
        <v>-</v>
      </c>
      <c r="O1478" s="347" t="str">
        <f t="shared" si="1874"/>
        <v>-</v>
      </c>
    </row>
    <row r="1479" spans="1:15" ht="24" thickBot="1" x14ac:dyDescent="0.35">
      <c r="A1479" s="274" t="s">
        <v>102</v>
      </c>
      <c r="B1479" s="1025" t="s">
        <v>34</v>
      </c>
      <c r="C1479" s="1026"/>
      <c r="D1479" s="1027"/>
      <c r="E1479" s="284">
        <f>SUM(E1476:E1478)</f>
        <v>2000</v>
      </c>
      <c r="F1479" s="285">
        <v>6500</v>
      </c>
      <c r="G1479" s="320">
        <f>SUM(G1476:G1478)</f>
        <v>0</v>
      </c>
      <c r="H1479" s="321">
        <f t="shared" ref="H1479:I1479" si="1876">SUM(H1476:H1478)</f>
        <v>0</v>
      </c>
      <c r="I1479" s="321">
        <f t="shared" si="1876"/>
        <v>0</v>
      </c>
      <c r="J1479" s="345">
        <f>IFERROR(G1479/F1479,"-")</f>
        <v>0</v>
      </c>
      <c r="K1479" s="320">
        <f t="shared" ref="K1479:M1479" si="1877">SUM(K1476:K1478)</f>
        <v>9638</v>
      </c>
      <c r="L1479" s="321">
        <f t="shared" si="1877"/>
        <v>9149</v>
      </c>
      <c r="M1479" s="322">
        <f t="shared" si="1877"/>
        <v>489</v>
      </c>
      <c r="N1479" s="339">
        <f t="shared" si="1873"/>
        <v>4.819</v>
      </c>
      <c r="O1479" s="345">
        <f t="shared" si="1874"/>
        <v>5.0736667358373108E-2</v>
      </c>
    </row>
    <row r="1480" spans="1:15" ht="23.4" x14ac:dyDescent="0.3">
      <c r="A1480" s="274" t="s">
        <v>102</v>
      </c>
      <c r="B1480" s="1022" t="s">
        <v>35</v>
      </c>
      <c r="C1480" s="311" t="s">
        <v>113</v>
      </c>
      <c r="D1480" s="311"/>
      <c r="E1480" s="270">
        <v>116160</v>
      </c>
      <c r="F1480" s="271"/>
      <c r="G1480" s="332">
        <f t="shared" ref="G1480:G1483" si="1878">+H1480+I1480</f>
        <v>0</v>
      </c>
      <c r="H1480" s="272">
        <v>0</v>
      </c>
      <c r="I1480" s="272">
        <v>0</v>
      </c>
      <c r="J1480" s="351" t="str">
        <f>IFERROR(G1480/F1480,"-")</f>
        <v>-</v>
      </c>
      <c r="K1480" s="332">
        <f t="shared" ref="K1480:K1483" si="1879">+L1480+M1480</f>
        <v>0</v>
      </c>
      <c r="L1480" s="272">
        <f t="shared" ref="L1480:L1483" si="1880">+H1480+L1363</f>
        <v>0</v>
      </c>
      <c r="M1480" s="273">
        <f t="shared" ref="M1480:M1483" si="1881">+I1480+M1363</f>
        <v>0</v>
      </c>
      <c r="N1480" s="336">
        <f t="shared" si="1873"/>
        <v>0</v>
      </c>
      <c r="O1480" s="346" t="str">
        <f t="shared" si="1874"/>
        <v>-</v>
      </c>
    </row>
    <row r="1481" spans="1:15" ht="23.4" x14ac:dyDescent="0.3">
      <c r="A1481" s="274" t="s">
        <v>102</v>
      </c>
      <c r="B1481" s="1023"/>
      <c r="C1481" s="312" t="s">
        <v>247</v>
      </c>
      <c r="D1481" s="312"/>
      <c r="E1481" s="276"/>
      <c r="F1481" s="277"/>
      <c r="G1481" s="333">
        <f t="shared" si="1878"/>
        <v>2492</v>
      </c>
      <c r="H1481" s="278">
        <v>1600</v>
      </c>
      <c r="I1481" s="278">
        <v>892</v>
      </c>
      <c r="J1481" s="351" t="str">
        <f t="shared" ref="J1481:J1483" si="1882">IFERROR(G1481/F1481,"-")</f>
        <v>-</v>
      </c>
      <c r="K1481" s="333">
        <f t="shared" si="1879"/>
        <v>2492</v>
      </c>
      <c r="L1481" s="272">
        <f t="shared" si="1880"/>
        <v>1600</v>
      </c>
      <c r="M1481" s="273">
        <f t="shared" si="1881"/>
        <v>892</v>
      </c>
      <c r="N1481" s="337" t="str">
        <f t="shared" si="1873"/>
        <v>-</v>
      </c>
      <c r="O1481" s="263">
        <f t="shared" si="1874"/>
        <v>0.3579454253611557</v>
      </c>
    </row>
    <row r="1482" spans="1:15" ht="23.4" x14ac:dyDescent="0.3">
      <c r="A1482" s="274" t="s">
        <v>102</v>
      </c>
      <c r="B1482" s="1023"/>
      <c r="C1482" s="312" t="s">
        <v>496</v>
      </c>
      <c r="D1482" s="312"/>
      <c r="E1482" s="276">
        <v>20000</v>
      </c>
      <c r="F1482" s="277"/>
      <c r="G1482" s="333">
        <f t="shared" si="1878"/>
        <v>0</v>
      </c>
      <c r="H1482" s="278">
        <v>0</v>
      </c>
      <c r="I1482" s="278">
        <v>0</v>
      </c>
      <c r="J1482" s="351" t="str">
        <f t="shared" si="1882"/>
        <v>-</v>
      </c>
      <c r="K1482" s="333">
        <f t="shared" si="1879"/>
        <v>0</v>
      </c>
      <c r="L1482" s="272">
        <f t="shared" si="1880"/>
        <v>0</v>
      </c>
      <c r="M1482" s="273">
        <f t="shared" si="1881"/>
        <v>0</v>
      </c>
      <c r="N1482" s="337">
        <f t="shared" si="1873"/>
        <v>0</v>
      </c>
      <c r="O1482" s="263" t="str">
        <f t="shared" si="1874"/>
        <v>-</v>
      </c>
    </row>
    <row r="1483" spans="1:15" ht="24" thickBot="1" x14ac:dyDescent="0.35">
      <c r="A1483" s="274" t="s">
        <v>102</v>
      </c>
      <c r="B1483" s="1024"/>
      <c r="C1483" s="313" t="s">
        <v>36</v>
      </c>
      <c r="D1483" s="313"/>
      <c r="E1483" s="280"/>
      <c r="F1483" s="281"/>
      <c r="G1483" s="334">
        <f t="shared" si="1878"/>
        <v>0</v>
      </c>
      <c r="H1483" s="278">
        <v>0</v>
      </c>
      <c r="I1483" s="278">
        <v>0</v>
      </c>
      <c r="J1483" s="351" t="str">
        <f t="shared" si="1882"/>
        <v>-</v>
      </c>
      <c r="K1483" s="334">
        <f t="shared" si="1879"/>
        <v>0</v>
      </c>
      <c r="L1483" s="272">
        <f t="shared" si="1880"/>
        <v>0</v>
      </c>
      <c r="M1483" s="273">
        <f t="shared" si="1881"/>
        <v>0</v>
      </c>
      <c r="N1483" s="338" t="str">
        <f t="shared" si="1873"/>
        <v>-</v>
      </c>
      <c r="O1483" s="347" t="str">
        <f t="shared" si="1874"/>
        <v>-</v>
      </c>
    </row>
    <row r="1484" spans="1:15" ht="24" thickBot="1" x14ac:dyDescent="0.35">
      <c r="A1484" s="274" t="s">
        <v>102</v>
      </c>
      <c r="B1484" s="1025" t="s">
        <v>37</v>
      </c>
      <c r="C1484" s="1026"/>
      <c r="D1484" s="1027"/>
      <c r="E1484" s="284">
        <f>SUM(E1480:E1483)</f>
        <v>136160</v>
      </c>
      <c r="F1484" s="285">
        <v>6500</v>
      </c>
      <c r="G1484" s="320">
        <f>SUM(G1480:G1483)</f>
        <v>2492</v>
      </c>
      <c r="H1484" s="321">
        <f t="shared" ref="H1484:I1484" si="1883">SUM(H1480:H1483)</f>
        <v>1600</v>
      </c>
      <c r="I1484" s="321">
        <f t="shared" si="1883"/>
        <v>892</v>
      </c>
      <c r="J1484" s="345">
        <f>IFERROR(G1484/F1484,"-")</f>
        <v>0.38338461538461538</v>
      </c>
      <c r="K1484" s="320">
        <f t="shared" ref="K1484:M1484" si="1884">SUM(K1480:K1483)</f>
        <v>2492</v>
      </c>
      <c r="L1484" s="321">
        <f t="shared" si="1884"/>
        <v>1600</v>
      </c>
      <c r="M1484" s="322">
        <f t="shared" si="1884"/>
        <v>892</v>
      </c>
      <c r="N1484" s="339">
        <f>IFERROR(K1484/E1484,"-")</f>
        <v>1.8301997649823737E-2</v>
      </c>
      <c r="O1484" s="345">
        <f t="shared" si="1874"/>
        <v>0.3579454253611557</v>
      </c>
    </row>
    <row r="1485" spans="1:15" ht="23.4" x14ac:dyDescent="0.3">
      <c r="A1485" s="274" t="s">
        <v>102</v>
      </c>
      <c r="B1485" s="1022" t="s">
        <v>402</v>
      </c>
      <c r="C1485" s="314" t="s">
        <v>116</v>
      </c>
      <c r="D1485" s="314"/>
      <c r="E1485" s="270">
        <v>31000</v>
      </c>
      <c r="F1485" s="271"/>
      <c r="G1485" s="332">
        <f t="shared" ref="G1485:G1486" si="1885">+H1485+I1485</f>
        <v>0</v>
      </c>
      <c r="H1485" s="272">
        <v>0</v>
      </c>
      <c r="I1485" s="272">
        <v>0</v>
      </c>
      <c r="J1485" s="351" t="str">
        <f>IFERROR(G1485/F1485,"-")</f>
        <v>-</v>
      </c>
      <c r="K1485" s="332">
        <f t="shared" ref="K1485:K1486" si="1886">+L1485+M1485</f>
        <v>0</v>
      </c>
      <c r="L1485" s="272">
        <f t="shared" ref="L1485:L1486" si="1887">+H1485+L1368</f>
        <v>0</v>
      </c>
      <c r="M1485" s="273">
        <f t="shared" ref="M1485:M1486" si="1888">+I1485+M1368</f>
        <v>0</v>
      </c>
      <c r="N1485" s="336">
        <f t="shared" ref="N1485:N1501" si="1889">IFERROR(K1485/E1485,"-")</f>
        <v>0</v>
      </c>
      <c r="O1485" s="346" t="str">
        <f t="shared" si="1874"/>
        <v>-</v>
      </c>
    </row>
    <row r="1486" spans="1:15" ht="24" thickBot="1" x14ac:dyDescent="0.35">
      <c r="A1486" s="274" t="s">
        <v>102</v>
      </c>
      <c r="B1486" s="1024"/>
      <c r="C1486" s="286" t="s">
        <v>132</v>
      </c>
      <c r="D1486" s="286"/>
      <c r="E1486" s="280"/>
      <c r="F1486" s="281"/>
      <c r="G1486" s="334">
        <f t="shared" si="1885"/>
        <v>0</v>
      </c>
      <c r="H1486" s="282">
        <v>0</v>
      </c>
      <c r="I1486" s="282">
        <v>0</v>
      </c>
      <c r="J1486" s="351" t="str">
        <f>IFERROR(G1486/F1486,"-")</f>
        <v>-</v>
      </c>
      <c r="K1486" s="334">
        <f t="shared" si="1886"/>
        <v>22797</v>
      </c>
      <c r="L1486" s="272">
        <f t="shared" si="1887"/>
        <v>21790</v>
      </c>
      <c r="M1486" s="273">
        <f t="shared" si="1888"/>
        <v>1007</v>
      </c>
      <c r="N1486" s="338" t="str">
        <f t="shared" si="1889"/>
        <v>-</v>
      </c>
      <c r="O1486" s="347">
        <f t="shared" si="1874"/>
        <v>4.4172478834934421E-2</v>
      </c>
    </row>
    <row r="1487" spans="1:15" ht="24" thickBot="1" x14ac:dyDescent="0.35">
      <c r="A1487" s="945" t="s">
        <v>102</v>
      </c>
      <c r="B1487" s="1025" t="s">
        <v>38</v>
      </c>
      <c r="C1487" s="1026"/>
      <c r="D1487" s="1027"/>
      <c r="E1487" s="284">
        <f>SUM(E1485:E1486)</f>
        <v>31000</v>
      </c>
      <c r="F1487" s="285">
        <v>2800</v>
      </c>
      <c r="G1487" s="320">
        <f>SUM(G1485:G1486)</f>
        <v>0</v>
      </c>
      <c r="H1487" s="321">
        <f t="shared" ref="H1487:I1487" si="1890">SUM(H1485:H1486)</f>
        <v>0</v>
      </c>
      <c r="I1487" s="321">
        <f t="shared" si="1890"/>
        <v>0</v>
      </c>
      <c r="J1487" s="345" t="str">
        <f>IFERROR(G1487/F1477,"-")</f>
        <v>-</v>
      </c>
      <c r="K1487" s="320">
        <f t="shared" ref="K1487:M1487" si="1891">SUM(K1485:K1486)</f>
        <v>22797</v>
      </c>
      <c r="L1487" s="321">
        <f t="shared" si="1891"/>
        <v>21790</v>
      </c>
      <c r="M1487" s="322">
        <f t="shared" si="1891"/>
        <v>1007</v>
      </c>
      <c r="N1487" s="339">
        <f t="shared" si="1889"/>
        <v>0.73538709677419356</v>
      </c>
      <c r="O1487" s="345">
        <f t="shared" si="1874"/>
        <v>4.4172478834934421E-2</v>
      </c>
    </row>
    <row r="1488" spans="1:15" ht="23.4" x14ac:dyDescent="0.3">
      <c r="A1488" s="274" t="s">
        <v>102</v>
      </c>
      <c r="B1488" s="1022" t="s">
        <v>403</v>
      </c>
      <c r="C1488" s="269" t="s">
        <v>306</v>
      </c>
      <c r="D1488" s="269"/>
      <c r="E1488" s="270">
        <v>978200</v>
      </c>
      <c r="F1488" s="315"/>
      <c r="G1488" s="332">
        <f t="shared" ref="G1488:G1492" si="1892">+H1488+I1488</f>
        <v>8394</v>
      </c>
      <c r="H1488" s="272">
        <v>7956</v>
      </c>
      <c r="I1488" s="272">
        <v>438</v>
      </c>
      <c r="J1488" s="371" t="str">
        <f>IFERROR(G1488/F1488,"-")</f>
        <v>-</v>
      </c>
      <c r="K1488" s="332">
        <f t="shared" ref="K1488:K1492" si="1893">+L1488+M1488</f>
        <v>351738</v>
      </c>
      <c r="L1488" s="272">
        <f t="shared" ref="L1488:L1492" si="1894">+H1488+L1371</f>
        <v>348960</v>
      </c>
      <c r="M1488" s="272">
        <f t="shared" ref="M1488:M1492" si="1895">+I1488+M1371</f>
        <v>2778</v>
      </c>
      <c r="N1488" s="359">
        <f t="shared" si="1889"/>
        <v>0.359576773665917</v>
      </c>
      <c r="O1488" s="360">
        <f t="shared" si="1874"/>
        <v>7.8979240229943883E-3</v>
      </c>
    </row>
    <row r="1489" spans="1:15" ht="23.4" x14ac:dyDescent="0.3">
      <c r="A1489" s="274" t="s">
        <v>102</v>
      </c>
      <c r="B1489" s="1023"/>
      <c r="C1489" s="269" t="s">
        <v>307</v>
      </c>
      <c r="D1489" s="275"/>
      <c r="E1489" s="276"/>
      <c r="F1489" s="316"/>
      <c r="G1489" s="333">
        <f t="shared" si="1892"/>
        <v>0</v>
      </c>
      <c r="H1489" s="278">
        <v>0</v>
      </c>
      <c r="I1489" s="278">
        <v>0</v>
      </c>
      <c r="J1489" s="371" t="str">
        <f t="shared" ref="J1489:J1492" si="1896">IFERROR(G1489/F1489,"-")</f>
        <v>-</v>
      </c>
      <c r="K1489" s="333">
        <f t="shared" si="1893"/>
        <v>0</v>
      </c>
      <c r="L1489" s="272">
        <f t="shared" si="1894"/>
        <v>0</v>
      </c>
      <c r="M1489" s="273">
        <f t="shared" si="1895"/>
        <v>0</v>
      </c>
      <c r="N1489" s="361" t="str">
        <f t="shared" si="1889"/>
        <v>-</v>
      </c>
      <c r="O1489" s="362" t="str">
        <f t="shared" si="1874"/>
        <v>-</v>
      </c>
    </row>
    <row r="1490" spans="1:15" ht="23.4" x14ac:dyDescent="0.3">
      <c r="A1490" s="274" t="s">
        <v>102</v>
      </c>
      <c r="B1490" s="1023"/>
      <c r="C1490" s="275" t="s">
        <v>499</v>
      </c>
      <c r="D1490" s="275"/>
      <c r="E1490" s="276">
        <f>70000+15000</f>
        <v>85000</v>
      </c>
      <c r="F1490" s="316"/>
      <c r="G1490" s="333">
        <f t="shared" si="1892"/>
        <v>0</v>
      </c>
      <c r="H1490" s="278">
        <v>0</v>
      </c>
      <c r="I1490" s="278">
        <v>0</v>
      </c>
      <c r="J1490" s="371" t="str">
        <f t="shared" si="1896"/>
        <v>-</v>
      </c>
      <c r="K1490" s="333">
        <f t="shared" si="1893"/>
        <v>49665</v>
      </c>
      <c r="L1490" s="272">
        <f t="shared" si="1894"/>
        <v>49032</v>
      </c>
      <c r="M1490" s="273">
        <f t="shared" si="1895"/>
        <v>633</v>
      </c>
      <c r="N1490" s="361">
        <f t="shared" si="1889"/>
        <v>0.58429411764705885</v>
      </c>
      <c r="O1490" s="362">
        <f t="shared" si="1874"/>
        <v>1.2745394140742978E-2</v>
      </c>
    </row>
    <row r="1491" spans="1:15" ht="23.4" x14ac:dyDescent="0.3">
      <c r="A1491" s="274" t="s">
        <v>102</v>
      </c>
      <c r="B1491" s="1023"/>
      <c r="C1491" s="275" t="s">
        <v>157</v>
      </c>
      <c r="D1491" s="275"/>
      <c r="E1491" s="276">
        <v>60040</v>
      </c>
      <c r="F1491" s="316"/>
      <c r="G1491" s="333">
        <f t="shared" si="1892"/>
        <v>0</v>
      </c>
      <c r="H1491" s="278">
        <v>0</v>
      </c>
      <c r="I1491" s="278">
        <v>0</v>
      </c>
      <c r="J1491" s="371" t="str">
        <f t="shared" si="1896"/>
        <v>-</v>
      </c>
      <c r="K1491" s="333">
        <f t="shared" si="1893"/>
        <v>0</v>
      </c>
      <c r="L1491" s="272">
        <f t="shared" si="1894"/>
        <v>0</v>
      </c>
      <c r="M1491" s="273">
        <f t="shared" si="1895"/>
        <v>0</v>
      </c>
      <c r="N1491" s="361">
        <f t="shared" si="1889"/>
        <v>0</v>
      </c>
      <c r="O1491" s="362" t="str">
        <f t="shared" si="1874"/>
        <v>-</v>
      </c>
    </row>
    <row r="1492" spans="1:15" ht="24" thickBot="1" x14ac:dyDescent="0.35">
      <c r="A1492" s="274" t="s">
        <v>102</v>
      </c>
      <c r="B1492" s="1024"/>
      <c r="C1492" s="279" t="s">
        <v>158</v>
      </c>
      <c r="D1492" s="279"/>
      <c r="E1492" s="280"/>
      <c r="F1492" s="317"/>
      <c r="G1492" s="334">
        <f t="shared" si="1892"/>
        <v>0</v>
      </c>
      <c r="H1492" s="278">
        <v>0</v>
      </c>
      <c r="I1492" s="278">
        <v>0</v>
      </c>
      <c r="J1492" s="371" t="str">
        <f t="shared" si="1896"/>
        <v>-</v>
      </c>
      <c r="K1492" s="334">
        <f t="shared" si="1893"/>
        <v>0</v>
      </c>
      <c r="L1492" s="272">
        <f t="shared" si="1894"/>
        <v>0</v>
      </c>
      <c r="M1492" s="273">
        <f t="shared" si="1895"/>
        <v>0</v>
      </c>
      <c r="N1492" s="363" t="str">
        <f t="shared" si="1889"/>
        <v>-</v>
      </c>
      <c r="O1492" s="364" t="str">
        <f t="shared" si="1874"/>
        <v>-</v>
      </c>
    </row>
    <row r="1493" spans="1:15" ht="24" thickBot="1" x14ac:dyDescent="0.35">
      <c r="A1493" s="274" t="s">
        <v>102</v>
      </c>
      <c r="B1493" s="1025" t="s">
        <v>39</v>
      </c>
      <c r="C1493" s="1026"/>
      <c r="D1493" s="1027"/>
      <c r="E1493" s="320">
        <f>SUM(E1488:E1492)</f>
        <v>1123240</v>
      </c>
      <c r="F1493" s="285">
        <v>25000</v>
      </c>
      <c r="G1493" s="320">
        <f>SUM(G1488:G1492)</f>
        <v>8394</v>
      </c>
      <c r="H1493" s="321">
        <f>SUM(H1488:H1492)</f>
        <v>7956</v>
      </c>
      <c r="I1493" s="321">
        <f>SUM(I1488:I1492)</f>
        <v>438</v>
      </c>
      <c r="J1493" s="345">
        <f>IFERROR(G1493/F1493,"-")</f>
        <v>0.33576</v>
      </c>
      <c r="K1493" s="320">
        <f>SUM(K1488:K1492)</f>
        <v>401403</v>
      </c>
      <c r="L1493" s="321">
        <f>SUM(L1488:L1492)</f>
        <v>397992</v>
      </c>
      <c r="M1493" s="322">
        <f>SUM(M1488:M1492)</f>
        <v>3411</v>
      </c>
      <c r="N1493" s="339">
        <f t="shared" si="1889"/>
        <v>0.35736173925430004</v>
      </c>
      <c r="O1493" s="345">
        <f t="shared" si="1874"/>
        <v>8.4976943371125775E-3</v>
      </c>
    </row>
    <row r="1494" spans="1:15" ht="23.4" x14ac:dyDescent="0.3">
      <c r="A1494" s="274" t="s">
        <v>102</v>
      </c>
      <c r="B1494" s="1022" t="s">
        <v>404</v>
      </c>
      <c r="C1494" s="269" t="s">
        <v>186</v>
      </c>
      <c r="D1494" s="269"/>
      <c r="E1494" s="270"/>
      <c r="F1494" s="271"/>
      <c r="G1494" s="332">
        <f t="shared" ref="G1494:G1496" si="1897">+H1494+I1494</f>
        <v>0</v>
      </c>
      <c r="H1494" s="272">
        <v>0</v>
      </c>
      <c r="I1494" s="272">
        <v>0</v>
      </c>
      <c r="J1494" s="351" t="str">
        <f>IFERROR(G1494/F1494,"-")</f>
        <v>-</v>
      </c>
      <c r="K1494" s="332">
        <f t="shared" ref="K1494:K1496" si="1898">+L1494+M1494</f>
        <v>0</v>
      </c>
      <c r="L1494" s="272">
        <f t="shared" ref="L1494:L1496" si="1899">+H1494+L1377</f>
        <v>0</v>
      </c>
      <c r="M1494" s="273">
        <f t="shared" ref="M1494:M1496" si="1900">+I1494+M1377</f>
        <v>0</v>
      </c>
      <c r="N1494" s="336" t="str">
        <f t="shared" si="1889"/>
        <v>-</v>
      </c>
      <c r="O1494" s="346" t="str">
        <f t="shared" si="1874"/>
        <v>-</v>
      </c>
    </row>
    <row r="1495" spans="1:15" ht="23.4" x14ac:dyDescent="0.3">
      <c r="A1495" s="274" t="s">
        <v>102</v>
      </c>
      <c r="B1495" s="1023"/>
      <c r="C1495" s="275" t="s">
        <v>497</v>
      </c>
      <c r="D1495" s="275"/>
      <c r="E1495" s="276"/>
      <c r="F1495" s="277"/>
      <c r="G1495" s="333">
        <f t="shared" si="1897"/>
        <v>0</v>
      </c>
      <c r="H1495" s="278">
        <v>0</v>
      </c>
      <c r="I1495" s="278">
        <v>0</v>
      </c>
      <c r="J1495" s="351" t="str">
        <f t="shared" ref="J1495:J1496" si="1901">IFERROR(G1495/F1495,"-")</f>
        <v>-</v>
      </c>
      <c r="K1495" s="333">
        <f t="shared" si="1898"/>
        <v>11826</v>
      </c>
      <c r="L1495" s="714">
        <f t="shared" si="1899"/>
        <v>11400</v>
      </c>
      <c r="M1495" s="273">
        <f t="shared" si="1900"/>
        <v>426</v>
      </c>
      <c r="N1495" s="361" t="str">
        <f t="shared" si="1889"/>
        <v>-</v>
      </c>
      <c r="O1495" s="362">
        <f t="shared" si="1874"/>
        <v>3.6022323693556568E-2</v>
      </c>
    </row>
    <row r="1496" spans="1:15" ht="24" thickBot="1" x14ac:dyDescent="0.35">
      <c r="A1496" s="274" t="s">
        <v>102</v>
      </c>
      <c r="B1496" s="1024"/>
      <c r="C1496" s="279" t="s">
        <v>498</v>
      </c>
      <c r="D1496" s="279"/>
      <c r="E1496" s="280"/>
      <c r="F1496" s="281"/>
      <c r="G1496" s="334">
        <f t="shared" si="1897"/>
        <v>0</v>
      </c>
      <c r="H1496" s="278">
        <v>0</v>
      </c>
      <c r="I1496" s="278">
        <v>0</v>
      </c>
      <c r="J1496" s="351" t="str">
        <f t="shared" si="1901"/>
        <v>-</v>
      </c>
      <c r="K1496" s="334">
        <f t="shared" si="1898"/>
        <v>0</v>
      </c>
      <c r="L1496" s="272">
        <f t="shared" si="1899"/>
        <v>0</v>
      </c>
      <c r="M1496" s="273">
        <f t="shared" si="1900"/>
        <v>0</v>
      </c>
      <c r="N1496" s="363" t="str">
        <f t="shared" si="1889"/>
        <v>-</v>
      </c>
      <c r="O1496" s="364" t="str">
        <f t="shared" si="1874"/>
        <v>-</v>
      </c>
    </row>
    <row r="1497" spans="1:15" ht="24" thickBot="1" x14ac:dyDescent="0.35">
      <c r="A1497" s="274" t="s">
        <v>102</v>
      </c>
      <c r="B1497" s="1034" t="s">
        <v>41</v>
      </c>
      <c r="C1497" s="1035"/>
      <c r="D1497" s="1036"/>
      <c r="E1497" s="320">
        <f>SUM(E1494:E1496)</f>
        <v>0</v>
      </c>
      <c r="F1497" s="285"/>
      <c r="G1497" s="320">
        <f>SUM(G1494:G1496)</f>
        <v>0</v>
      </c>
      <c r="H1497" s="321">
        <f t="shared" ref="H1497:I1497" si="1902">SUM(H1494:H1496)</f>
        <v>0</v>
      </c>
      <c r="I1497" s="321">
        <f t="shared" si="1902"/>
        <v>0</v>
      </c>
      <c r="J1497" s="345" t="str">
        <f>IFERROR(G1497/F1497,"-")</f>
        <v>-</v>
      </c>
      <c r="K1497" s="320">
        <f t="shared" ref="K1497:M1497" si="1903">SUM(K1494:K1496)</f>
        <v>11826</v>
      </c>
      <c r="L1497" s="365">
        <f t="shared" si="1903"/>
        <v>11400</v>
      </c>
      <c r="M1497" s="367">
        <f t="shared" si="1903"/>
        <v>426</v>
      </c>
      <c r="N1497" s="339" t="str">
        <f t="shared" si="1889"/>
        <v>-</v>
      </c>
      <c r="O1497" s="345">
        <f t="shared" si="1874"/>
        <v>3.6022323693556568E-2</v>
      </c>
    </row>
    <row r="1498" spans="1:15" ht="24" thickBot="1" x14ac:dyDescent="0.35">
      <c r="A1498" s="274" t="s">
        <v>102</v>
      </c>
      <c r="B1498" s="1022" t="s">
        <v>42</v>
      </c>
      <c r="C1498" s="269" t="s">
        <v>160</v>
      </c>
      <c r="D1498" s="269"/>
      <c r="E1498" s="270"/>
      <c r="F1498" s="271"/>
      <c r="G1498" s="332">
        <f t="shared" ref="G1498:G1499" si="1904">+H1498+I1498</f>
        <v>0</v>
      </c>
      <c r="H1498" s="272">
        <v>0</v>
      </c>
      <c r="I1498" s="272">
        <v>0</v>
      </c>
      <c r="J1498" s="371" t="str">
        <f>IFERROR(G1498/F1498,"-")</f>
        <v>-</v>
      </c>
      <c r="K1498" s="695">
        <f t="shared" ref="K1498:K1499" si="1905">+L1498+M1498</f>
        <v>0</v>
      </c>
      <c r="L1498" s="688">
        <f t="shared" ref="L1498:L1499" si="1906">+H1498+L1381</f>
        <v>0</v>
      </c>
      <c r="M1498" s="688">
        <f t="shared" ref="M1498:M1499" si="1907">+I1498+M1381</f>
        <v>0</v>
      </c>
      <c r="N1498" s="359" t="str">
        <f t="shared" si="1889"/>
        <v>-</v>
      </c>
      <c r="O1498" s="360" t="str">
        <f t="shared" si="1874"/>
        <v>-</v>
      </c>
    </row>
    <row r="1499" spans="1:15" ht="24" thickBot="1" x14ac:dyDescent="0.35">
      <c r="A1499" s="274" t="s">
        <v>102</v>
      </c>
      <c r="B1499" s="1024"/>
      <c r="C1499" s="279" t="s">
        <v>161</v>
      </c>
      <c r="D1499" s="279"/>
      <c r="E1499" s="280"/>
      <c r="F1499" s="281"/>
      <c r="G1499" s="334">
        <f t="shared" si="1904"/>
        <v>0</v>
      </c>
      <c r="H1499" s="282">
        <v>0</v>
      </c>
      <c r="I1499" s="282">
        <v>0</v>
      </c>
      <c r="J1499" s="373" t="str">
        <f>IFERROR(G1499/F1499,"-")</f>
        <v>-</v>
      </c>
      <c r="K1499" s="696">
        <f t="shared" si="1905"/>
        <v>0</v>
      </c>
      <c r="L1499" s="688">
        <f t="shared" si="1906"/>
        <v>0</v>
      </c>
      <c r="M1499" s="688">
        <f t="shared" si="1907"/>
        <v>0</v>
      </c>
      <c r="N1499" s="363" t="str">
        <f t="shared" si="1889"/>
        <v>-</v>
      </c>
      <c r="O1499" s="364" t="str">
        <f t="shared" si="1874"/>
        <v>-</v>
      </c>
    </row>
    <row r="1500" spans="1:15" ht="24" thickBot="1" x14ac:dyDescent="0.35">
      <c r="A1500" s="274" t="s">
        <v>102</v>
      </c>
      <c r="B1500" s="1034" t="s">
        <v>43</v>
      </c>
      <c r="C1500" s="1035"/>
      <c r="D1500" s="1036"/>
      <c r="E1500" s="284">
        <f>SUM(E1498:E1499)</f>
        <v>0</v>
      </c>
      <c r="F1500" s="285">
        <v>25000</v>
      </c>
      <c r="G1500" s="320">
        <f>SUM(G1498:G1499)</f>
        <v>0</v>
      </c>
      <c r="H1500" s="321">
        <f t="shared" ref="H1500:I1500" si="1908">SUM(H1498:H1499)</f>
        <v>0</v>
      </c>
      <c r="I1500" s="321">
        <f t="shared" si="1908"/>
        <v>0</v>
      </c>
      <c r="J1500" s="345">
        <f>IFERROR(G1500/F1500,"-")</f>
        <v>0</v>
      </c>
      <c r="K1500" s="760">
        <f t="shared" ref="K1500:M1500" si="1909">SUM(K1498:K1499)</f>
        <v>0</v>
      </c>
      <c r="L1500" s="761">
        <f t="shared" si="1909"/>
        <v>0</v>
      </c>
      <c r="M1500" s="761">
        <f t="shared" si="1909"/>
        <v>0</v>
      </c>
      <c r="N1500" s="339" t="str">
        <f t="shared" si="1889"/>
        <v>-</v>
      </c>
      <c r="O1500" s="345" t="str">
        <f t="shared" si="1874"/>
        <v>-</v>
      </c>
    </row>
    <row r="1501" spans="1:15" ht="24" thickBot="1" x14ac:dyDescent="0.35">
      <c r="A1501" s="274" t="s">
        <v>102</v>
      </c>
      <c r="B1501" s="1028" t="s">
        <v>25</v>
      </c>
      <c r="C1501" s="1029"/>
      <c r="D1501" s="1030"/>
      <c r="E1501" s="326">
        <f t="shared" ref="E1501:F1501" si="1910">+E1479+E1484+E1487+E1493+E1497+E1500</f>
        <v>1292400</v>
      </c>
      <c r="F1501" s="327">
        <f t="shared" si="1910"/>
        <v>65800</v>
      </c>
      <c r="G1501" s="326">
        <f>+G1479+G1484+G1487+G1493+G1497+G1500</f>
        <v>10886</v>
      </c>
      <c r="H1501" s="324">
        <f>+H1479+H1484+H1487+H1493+H1497+H1500</f>
        <v>9556</v>
      </c>
      <c r="I1501" s="324">
        <f t="shared" ref="I1501" si="1911">+I1479+I1484+I1487+I1493+I1497+I1500</f>
        <v>1330</v>
      </c>
      <c r="J1501" s="349">
        <f>IFERROR(G1501/F1501,"-")</f>
        <v>0.16544072948328267</v>
      </c>
      <c r="K1501" s="326">
        <f>+K1479+K1484+K1487+K1493+K1497+K1500</f>
        <v>448156</v>
      </c>
      <c r="L1501" s="759">
        <f t="shared" ref="L1501:M1501" si="1912">+L1479+L1484+L1487+L1493+L1497+L1500</f>
        <v>441931</v>
      </c>
      <c r="M1501" s="325">
        <f t="shared" si="1912"/>
        <v>6225</v>
      </c>
      <c r="N1501" s="341">
        <f t="shared" si="1889"/>
        <v>0.34676261219436705</v>
      </c>
      <c r="O1501" s="349">
        <f t="shared" si="1874"/>
        <v>1.3890252501361134E-2</v>
      </c>
    </row>
    <row r="1502" spans="1:15" ht="24" thickBot="1" x14ac:dyDescent="0.35">
      <c r="A1502" s="318" t="s">
        <v>102</v>
      </c>
      <c r="B1502" s="1020" t="s">
        <v>173</v>
      </c>
      <c r="C1502" s="1020"/>
      <c r="D1502" s="1021"/>
      <c r="E1502" s="330">
        <f>+E1501</f>
        <v>1292400</v>
      </c>
      <c r="F1502" s="331">
        <f t="shared" ref="F1502:I1502" si="1913">+F1501</f>
        <v>65800</v>
      </c>
      <c r="G1502" s="330">
        <f t="shared" si="1913"/>
        <v>10886</v>
      </c>
      <c r="H1502" s="328">
        <f t="shared" si="1913"/>
        <v>9556</v>
      </c>
      <c r="I1502" s="328">
        <f t="shared" si="1913"/>
        <v>1330</v>
      </c>
      <c r="J1502" s="350">
        <f>+G1502/F1502</f>
        <v>0.16544072948328267</v>
      </c>
      <c r="K1502" s="330">
        <f t="shared" ref="K1502:O1502" si="1914">+K1501</f>
        <v>448156</v>
      </c>
      <c r="L1502" s="328">
        <f t="shared" si="1914"/>
        <v>441931</v>
      </c>
      <c r="M1502" s="329">
        <f t="shared" si="1914"/>
        <v>6225</v>
      </c>
      <c r="N1502" s="342">
        <f t="shared" si="1914"/>
        <v>0.34676261219436705</v>
      </c>
      <c r="O1502" s="350">
        <f t="shared" si="1914"/>
        <v>1.3890252501361134E-2</v>
      </c>
    </row>
    <row r="1503" spans="1:15" ht="24.6" thickBot="1" x14ac:dyDescent="0.35">
      <c r="A1503" s="319"/>
      <c r="B1503" s="1031" t="s">
        <v>174</v>
      </c>
      <c r="C1503" s="1032"/>
      <c r="D1503" s="1033"/>
      <c r="E1503" s="374">
        <f>+E1440+E1475+E1502</f>
        <v>7473564</v>
      </c>
      <c r="F1503" s="374">
        <f>+F1440+F1475+F1502</f>
        <v>1024800</v>
      </c>
      <c r="G1503" s="374">
        <f>+G1440+G1475+G1502</f>
        <v>498573</v>
      </c>
      <c r="H1503" s="374">
        <f>+H1440+H1475+H1502</f>
        <v>491792</v>
      </c>
      <c r="I1503" s="374">
        <f>+I1440+I1475+I1502</f>
        <v>6781</v>
      </c>
      <c r="J1503" s="375">
        <f>IFERROR(G1503/F1503,"-")</f>
        <v>0.48650761124121777</v>
      </c>
      <c r="K1503" s="374">
        <f>+K1440+K1475+K1502</f>
        <v>4946405</v>
      </c>
      <c r="L1503" s="374">
        <f>+L1440+L1475+L1502</f>
        <v>4898163</v>
      </c>
      <c r="M1503" s="374">
        <f>+M1440+M1475+M1502</f>
        <v>48242</v>
      </c>
      <c r="N1503" s="375">
        <f>IFERROR(K1503/E1503,"-")</f>
        <v>0.66185356812358864</v>
      </c>
      <c r="O1503" s="375">
        <f>IFERROR(M1503/K1503,"-")</f>
        <v>9.752941782971673E-3</v>
      </c>
    </row>
    <row r="1504" spans="1:15" ht="23.4" x14ac:dyDescent="0.3">
      <c r="A1504" s="1057" t="s">
        <v>1</v>
      </c>
      <c r="B1504" s="1060" t="s">
        <v>2</v>
      </c>
      <c r="C1504" s="1063" t="s">
        <v>396</v>
      </c>
      <c r="D1504" s="1063" t="s">
        <v>397</v>
      </c>
      <c r="E1504" s="1066" t="s">
        <v>4</v>
      </c>
      <c r="F1504" s="1067"/>
      <c r="G1504" s="1067"/>
      <c r="H1504" s="1067"/>
      <c r="I1504" s="1067"/>
      <c r="J1504" s="1067"/>
      <c r="K1504" s="1067"/>
      <c r="L1504" s="1067"/>
      <c r="M1504" s="1067"/>
      <c r="N1504" s="1067"/>
      <c r="O1504" s="1068"/>
    </row>
    <row r="1505" spans="1:15" ht="23.4" x14ac:dyDescent="0.3">
      <c r="A1505" s="1058"/>
      <c r="B1505" s="1061"/>
      <c r="C1505" s="1064"/>
      <c r="D1505" s="1064"/>
      <c r="E1505" s="1069" t="s">
        <v>7</v>
      </c>
      <c r="F1505" s="1071" t="s">
        <v>108</v>
      </c>
      <c r="G1505" s="1073" t="s">
        <v>565</v>
      </c>
      <c r="H1505" s="1074"/>
      <c r="I1505" s="1074"/>
      <c r="J1505" s="1075"/>
      <c r="K1505" s="1076" t="s">
        <v>398</v>
      </c>
      <c r="L1505" s="1077"/>
      <c r="M1505" s="1078"/>
      <c r="N1505" s="1079" t="s">
        <v>399</v>
      </c>
      <c r="O1505" s="1081" t="s">
        <v>164</v>
      </c>
    </row>
    <row r="1506" spans="1:15" ht="41.4" thickBot="1" x14ac:dyDescent="0.35">
      <c r="A1506" s="1059"/>
      <c r="B1506" s="1062"/>
      <c r="C1506" s="1065"/>
      <c r="D1506" s="1065"/>
      <c r="E1506" s="1070"/>
      <c r="F1506" s="1072"/>
      <c r="G1506" s="452" t="s">
        <v>13</v>
      </c>
      <c r="H1506" s="453" t="s">
        <v>14</v>
      </c>
      <c r="I1506" s="453" t="s">
        <v>15</v>
      </c>
      <c r="J1506" s="454" t="s">
        <v>166</v>
      </c>
      <c r="K1506" s="680" t="s">
        <v>13</v>
      </c>
      <c r="L1506" s="678" t="s">
        <v>14</v>
      </c>
      <c r="M1506" s="679" t="s">
        <v>15</v>
      </c>
      <c r="N1506" s="1080"/>
      <c r="O1506" s="1082"/>
    </row>
    <row r="1507" spans="1:15" ht="23.4" x14ac:dyDescent="0.3">
      <c r="A1507" s="268" t="s">
        <v>103</v>
      </c>
      <c r="B1507" s="1043" t="s">
        <v>16</v>
      </c>
      <c r="C1507" s="269" t="s">
        <v>549</v>
      </c>
      <c r="D1507" s="269" t="s">
        <v>369</v>
      </c>
      <c r="E1507" s="270">
        <v>20000</v>
      </c>
      <c r="F1507" s="271"/>
      <c r="G1507" s="332">
        <f>+H1507+I1507</f>
        <v>0</v>
      </c>
      <c r="H1507" s="272">
        <v>0</v>
      </c>
      <c r="I1507" s="272">
        <v>0</v>
      </c>
      <c r="J1507" s="352" t="str">
        <f>IFERROR(G1507/F1507,"-")</f>
        <v>-</v>
      </c>
      <c r="K1507" s="694">
        <f>+L1507+M1507</f>
        <v>19671</v>
      </c>
      <c r="L1507" s="527">
        <f>+H1507+L1390</f>
        <v>18620</v>
      </c>
      <c r="M1507" s="459">
        <f>+I1507+M1390</f>
        <v>1051</v>
      </c>
      <c r="N1507" s="336">
        <f>IFERROR(K1507/E1507,"-")</f>
        <v>0.98355000000000004</v>
      </c>
      <c r="O1507" s="343">
        <f t="shared" ref="O1507:O1508" si="1915">IFERROR(M1507/K1507,"-")</f>
        <v>5.3428905495399318E-2</v>
      </c>
    </row>
    <row r="1508" spans="1:15" ht="23.4" x14ac:dyDescent="0.3">
      <c r="A1508" s="274" t="s">
        <v>103</v>
      </c>
      <c r="B1508" s="1044"/>
      <c r="C1508" s="275" t="s">
        <v>376</v>
      </c>
      <c r="D1508" s="275" t="s">
        <v>375</v>
      </c>
      <c r="E1508" s="276"/>
      <c r="F1508" s="277"/>
      <c r="G1508" s="333">
        <f t="shared" ref="G1508:G1510" si="1916">+H1508+I1508</f>
        <v>0</v>
      </c>
      <c r="H1508" s="278"/>
      <c r="I1508" s="278"/>
      <c r="J1508" s="352" t="str">
        <f t="shared" ref="J1508:J1510" si="1917">IFERROR(G1508/F1508,"-")</f>
        <v>-</v>
      </c>
      <c r="K1508" s="690">
        <f t="shared" ref="K1508:K1510" si="1918">+L1508+M1508</f>
        <v>0</v>
      </c>
      <c r="L1508" s="276">
        <f t="shared" ref="L1508:L1510" si="1919">+H1508+L1391</f>
        <v>0</v>
      </c>
      <c r="M1508" s="436">
        <f t="shared" ref="M1508:M1510" si="1920">+I1508+M1391</f>
        <v>0</v>
      </c>
      <c r="N1508" s="337" t="str">
        <f t="shared" ref="N1508:N1510" si="1921">IFERROR(K1508/E1508,"-")</f>
        <v>-</v>
      </c>
      <c r="O1508" s="265" t="str">
        <f t="shared" si="1915"/>
        <v>-</v>
      </c>
    </row>
    <row r="1509" spans="1:15" ht="23.4" x14ac:dyDescent="0.3">
      <c r="A1509" s="274" t="s">
        <v>103</v>
      </c>
      <c r="B1509" s="1044"/>
      <c r="C1509" s="573" t="s">
        <v>431</v>
      </c>
      <c r="D1509" s="573" t="s">
        <v>366</v>
      </c>
      <c r="E1509" s="720"/>
      <c r="F1509" s="721"/>
      <c r="G1509" s="333">
        <f t="shared" si="1916"/>
        <v>0</v>
      </c>
      <c r="H1509" s="722"/>
      <c r="I1509" s="722"/>
      <c r="J1509" s="352" t="str">
        <f t="shared" si="1917"/>
        <v>-</v>
      </c>
      <c r="K1509" s="690">
        <f t="shared" si="1918"/>
        <v>8000</v>
      </c>
      <c r="L1509" s="276">
        <f t="shared" si="1919"/>
        <v>8000</v>
      </c>
      <c r="M1509" s="436">
        <f t="shared" si="1920"/>
        <v>0</v>
      </c>
      <c r="N1509" s="337" t="str">
        <f t="shared" si="1921"/>
        <v>-</v>
      </c>
      <c r="O1509" s="265">
        <f>IFERROR(M1509/K1509,"-")</f>
        <v>0</v>
      </c>
    </row>
    <row r="1510" spans="1:15" ht="24" thickBot="1" x14ac:dyDescent="0.35">
      <c r="A1510" s="274" t="s">
        <v>103</v>
      </c>
      <c r="B1510" s="1045"/>
      <c r="C1510" s="279" t="s">
        <v>428</v>
      </c>
      <c r="D1510" s="279" t="s">
        <v>374</v>
      </c>
      <c r="E1510" s="280"/>
      <c r="F1510" s="281"/>
      <c r="G1510" s="334">
        <f t="shared" si="1916"/>
        <v>0</v>
      </c>
      <c r="H1510" s="272"/>
      <c r="I1510" s="272"/>
      <c r="J1510" s="352" t="str">
        <f t="shared" si="1917"/>
        <v>-</v>
      </c>
      <c r="K1510" s="691">
        <f t="shared" si="1918"/>
        <v>0</v>
      </c>
      <c r="L1510" s="530">
        <f t="shared" si="1919"/>
        <v>0</v>
      </c>
      <c r="M1510" s="462">
        <f t="shared" si="1920"/>
        <v>0</v>
      </c>
      <c r="N1510" s="338" t="str">
        <f t="shared" si="1921"/>
        <v>-</v>
      </c>
      <c r="O1510" s="344" t="str">
        <f t="shared" ref="O1510:O1528" si="1922">IFERROR(M1510/K1510,"-")</f>
        <v>-</v>
      </c>
    </row>
    <row r="1511" spans="1:15" ht="24" thickBot="1" x14ac:dyDescent="0.35">
      <c r="A1511" s="274" t="s">
        <v>103</v>
      </c>
      <c r="B1511" s="1025" t="s">
        <v>44</v>
      </c>
      <c r="C1511" s="1026"/>
      <c r="D1511" s="1027"/>
      <c r="E1511" s="320">
        <f>SUM(E1507:E1510)</f>
        <v>20000</v>
      </c>
      <c r="F1511" s="285">
        <v>15000</v>
      </c>
      <c r="G1511" s="320">
        <f>SUM(G1507:G1510)</f>
        <v>0</v>
      </c>
      <c r="H1511" s="321">
        <f t="shared" ref="H1511:I1511" si="1923">SUM(H1507:H1510)</f>
        <v>0</v>
      </c>
      <c r="I1511" s="321">
        <f t="shared" si="1923"/>
        <v>0</v>
      </c>
      <c r="J1511" s="345">
        <f>+G1511/F1511</f>
        <v>0</v>
      </c>
      <c r="K1511" s="320">
        <f t="shared" ref="K1511" si="1924">SUM(K1507:K1510)</f>
        <v>27671</v>
      </c>
      <c r="L1511" s="692">
        <f>SUM(L1507:L1510)</f>
        <v>26620</v>
      </c>
      <c r="M1511" s="693">
        <f>SUM(M1507:M1510)</f>
        <v>1051</v>
      </c>
      <c r="N1511" s="339">
        <f>IFERROR(K1511/E1511,"-")</f>
        <v>1.3835500000000001</v>
      </c>
      <c r="O1511" s="345">
        <f t="shared" si="1922"/>
        <v>3.7982002818835604E-2</v>
      </c>
    </row>
    <row r="1512" spans="1:15" ht="23.4" x14ac:dyDescent="0.3">
      <c r="A1512" s="274" t="s">
        <v>103</v>
      </c>
      <c r="B1512" s="1043" t="s">
        <v>17</v>
      </c>
      <c r="C1512" s="269" t="s">
        <v>294</v>
      </c>
      <c r="D1512" s="269"/>
      <c r="E1512" s="270"/>
      <c r="F1512" s="271"/>
      <c r="G1512" s="332">
        <f t="shared" ref="G1512:G1518" si="1925">+H1512+I1512</f>
        <v>0</v>
      </c>
      <c r="H1512" s="272">
        <v>0</v>
      </c>
      <c r="I1512" s="272">
        <v>0</v>
      </c>
      <c r="J1512" s="351" t="str">
        <f>IFERROR(G1512/F1512,"-")</f>
        <v>-</v>
      </c>
      <c r="K1512" s="694">
        <f t="shared" ref="K1512:K1518" si="1926">+L1512+M1512</f>
        <v>0</v>
      </c>
      <c r="L1512" s="527">
        <f t="shared" ref="L1512:L1518" si="1927">+H1512+L1395</f>
        <v>0</v>
      </c>
      <c r="M1512" s="459">
        <f t="shared" ref="M1512:M1518" si="1928">+I1512+M1395</f>
        <v>0</v>
      </c>
      <c r="N1512" s="336" t="str">
        <f t="shared" ref="N1512:N1518" si="1929">IFERROR(K1512/E1512,"-")</f>
        <v>-</v>
      </c>
      <c r="O1512" s="346" t="str">
        <f t="shared" si="1922"/>
        <v>-</v>
      </c>
    </row>
    <row r="1513" spans="1:15" ht="23.4" x14ac:dyDescent="0.3">
      <c r="A1513" s="274" t="s">
        <v>103</v>
      </c>
      <c r="B1513" s="1044"/>
      <c r="C1513" s="275" t="s">
        <v>344</v>
      </c>
      <c r="D1513" s="275" t="s">
        <v>232</v>
      </c>
      <c r="E1513" s="276">
        <v>1600000</v>
      </c>
      <c r="F1513" s="277"/>
      <c r="G1513" s="333">
        <f t="shared" si="1925"/>
        <v>0</v>
      </c>
      <c r="H1513" s="278">
        <v>0</v>
      </c>
      <c r="I1513" s="278">
        <v>0</v>
      </c>
      <c r="J1513" s="351" t="str">
        <f t="shared" ref="J1513:J1518" si="1930">IFERROR(G1513/F1513,"-")</f>
        <v>-</v>
      </c>
      <c r="K1513" s="690">
        <f t="shared" si="1926"/>
        <v>6120</v>
      </c>
      <c r="L1513" s="276">
        <f t="shared" si="1927"/>
        <v>5980</v>
      </c>
      <c r="M1513" s="436">
        <f t="shared" si="1928"/>
        <v>140</v>
      </c>
      <c r="N1513" s="337">
        <f t="shared" si="1929"/>
        <v>3.8249999999999998E-3</v>
      </c>
      <c r="O1513" s="263">
        <f t="shared" si="1922"/>
        <v>2.2875816993464051E-2</v>
      </c>
    </row>
    <row r="1514" spans="1:15" ht="23.4" x14ac:dyDescent="0.3">
      <c r="A1514" s="274" t="s">
        <v>103</v>
      </c>
      <c r="B1514" s="1044"/>
      <c r="C1514" s="275" t="s">
        <v>367</v>
      </c>
      <c r="D1514" s="275" t="s">
        <v>187</v>
      </c>
      <c r="E1514" s="276">
        <v>1000000</v>
      </c>
      <c r="F1514" s="277"/>
      <c r="G1514" s="333">
        <f t="shared" si="1925"/>
        <v>92017</v>
      </c>
      <c r="H1514" s="278">
        <v>91800</v>
      </c>
      <c r="I1514" s="278">
        <v>217</v>
      </c>
      <c r="J1514" s="351" t="str">
        <f t="shared" si="1930"/>
        <v>-</v>
      </c>
      <c r="K1514" s="690">
        <f t="shared" si="1926"/>
        <v>1108237</v>
      </c>
      <c r="L1514" s="276">
        <f t="shared" si="1927"/>
        <v>1101600</v>
      </c>
      <c r="M1514" s="436">
        <f t="shared" si="1928"/>
        <v>6637</v>
      </c>
      <c r="N1514" s="337">
        <f t="shared" si="1929"/>
        <v>1.1082369999999999</v>
      </c>
      <c r="O1514" s="263">
        <f t="shared" si="1922"/>
        <v>5.9887912062131111E-3</v>
      </c>
    </row>
    <row r="1515" spans="1:15" ht="23.4" x14ac:dyDescent="0.3">
      <c r="A1515" s="274" t="s">
        <v>103</v>
      </c>
      <c r="B1515" s="1044"/>
      <c r="C1515" s="275" t="s">
        <v>530</v>
      </c>
      <c r="D1515" s="275" t="s">
        <v>529</v>
      </c>
      <c r="E1515" s="276"/>
      <c r="F1515" s="277"/>
      <c r="G1515" s="333">
        <f t="shared" si="1925"/>
        <v>0</v>
      </c>
      <c r="H1515" s="278">
        <v>0</v>
      </c>
      <c r="I1515" s="278">
        <v>0</v>
      </c>
      <c r="J1515" s="351" t="str">
        <f t="shared" si="1930"/>
        <v>-</v>
      </c>
      <c r="K1515" s="690">
        <f t="shared" si="1926"/>
        <v>41558</v>
      </c>
      <c r="L1515" s="276">
        <f t="shared" si="1927"/>
        <v>41350</v>
      </c>
      <c r="M1515" s="436">
        <f t="shared" si="1928"/>
        <v>208</v>
      </c>
      <c r="N1515" s="337" t="str">
        <f t="shared" si="1929"/>
        <v>-</v>
      </c>
      <c r="O1515" s="263">
        <f t="shared" si="1922"/>
        <v>5.0050531786900235E-3</v>
      </c>
    </row>
    <row r="1516" spans="1:15" ht="23.4" x14ac:dyDescent="0.3">
      <c r="A1516" s="274" t="s">
        <v>103</v>
      </c>
      <c r="B1516" s="1044"/>
      <c r="C1516" s="275" t="s">
        <v>323</v>
      </c>
      <c r="D1516" s="275" t="s">
        <v>318</v>
      </c>
      <c r="E1516" s="276"/>
      <c r="F1516" s="277"/>
      <c r="G1516" s="333">
        <f t="shared" si="1925"/>
        <v>0</v>
      </c>
      <c r="H1516" s="278">
        <v>0</v>
      </c>
      <c r="I1516" s="278">
        <v>0</v>
      </c>
      <c r="J1516" s="351" t="str">
        <f t="shared" si="1930"/>
        <v>-</v>
      </c>
      <c r="K1516" s="690">
        <f t="shared" si="1926"/>
        <v>0</v>
      </c>
      <c r="L1516" s="276">
        <f t="shared" si="1927"/>
        <v>0</v>
      </c>
      <c r="M1516" s="436">
        <f t="shared" si="1928"/>
        <v>0</v>
      </c>
      <c r="N1516" s="337" t="str">
        <f t="shared" si="1929"/>
        <v>-</v>
      </c>
      <c r="O1516" s="263" t="str">
        <f t="shared" si="1922"/>
        <v>-</v>
      </c>
    </row>
    <row r="1517" spans="1:15" ht="23.4" x14ac:dyDescent="0.3">
      <c r="A1517" s="274" t="s">
        <v>103</v>
      </c>
      <c r="B1517" s="1044"/>
      <c r="C1517" s="275" t="s">
        <v>528</v>
      </c>
      <c r="D1517" s="275" t="s">
        <v>189</v>
      </c>
      <c r="E1517" s="276"/>
      <c r="F1517" s="277"/>
      <c r="G1517" s="333">
        <f t="shared" si="1925"/>
        <v>0</v>
      </c>
      <c r="H1517" s="278">
        <v>0</v>
      </c>
      <c r="I1517" s="278">
        <v>0</v>
      </c>
      <c r="J1517" s="351" t="str">
        <f t="shared" si="1930"/>
        <v>-</v>
      </c>
      <c r="K1517" s="690">
        <f t="shared" si="1926"/>
        <v>33900</v>
      </c>
      <c r="L1517" s="276">
        <f t="shared" si="1927"/>
        <v>33760</v>
      </c>
      <c r="M1517" s="436">
        <f t="shared" si="1928"/>
        <v>140</v>
      </c>
      <c r="N1517" s="337" t="str">
        <f t="shared" si="1929"/>
        <v>-</v>
      </c>
      <c r="O1517" s="263">
        <f t="shared" si="1922"/>
        <v>4.1297935103244837E-3</v>
      </c>
    </row>
    <row r="1518" spans="1:15" ht="24" thickBot="1" x14ac:dyDescent="0.35">
      <c r="A1518" s="274" t="s">
        <v>103</v>
      </c>
      <c r="B1518" s="1045"/>
      <c r="C1518" s="279" t="s">
        <v>341</v>
      </c>
      <c r="D1518" s="279" t="s">
        <v>232</v>
      </c>
      <c r="E1518" s="280"/>
      <c r="F1518" s="281"/>
      <c r="G1518" s="334">
        <f t="shared" si="1925"/>
        <v>0</v>
      </c>
      <c r="H1518" s="278">
        <v>0</v>
      </c>
      <c r="I1518" s="278">
        <v>0</v>
      </c>
      <c r="J1518" s="351" t="str">
        <f t="shared" si="1930"/>
        <v>-</v>
      </c>
      <c r="K1518" s="691">
        <f t="shared" si="1926"/>
        <v>0</v>
      </c>
      <c r="L1518" s="530">
        <f t="shared" si="1927"/>
        <v>0</v>
      </c>
      <c r="M1518" s="462">
        <f t="shared" si="1928"/>
        <v>0</v>
      </c>
      <c r="N1518" s="338" t="str">
        <f t="shared" si="1929"/>
        <v>-</v>
      </c>
      <c r="O1518" s="347" t="str">
        <f t="shared" si="1922"/>
        <v>-</v>
      </c>
    </row>
    <row r="1519" spans="1:15" ht="24" thickBot="1" x14ac:dyDescent="0.35">
      <c r="A1519" s="274" t="s">
        <v>103</v>
      </c>
      <c r="B1519" s="1025" t="s">
        <v>45</v>
      </c>
      <c r="C1519" s="1026"/>
      <c r="D1519" s="1027"/>
      <c r="E1519" s="320">
        <f>SUM(E1512:E1518)</f>
        <v>2600000</v>
      </c>
      <c r="F1519" s="285">
        <v>100000</v>
      </c>
      <c r="G1519" s="320">
        <f>SUM(G1512:G1518)</f>
        <v>92017</v>
      </c>
      <c r="H1519" s="321">
        <f t="shared" ref="H1519:I1519" si="1931">SUM(H1512:H1518)</f>
        <v>91800</v>
      </c>
      <c r="I1519" s="321">
        <f t="shared" si="1931"/>
        <v>217</v>
      </c>
      <c r="J1519" s="345">
        <f>+G1519/F1519</f>
        <v>0.92017000000000004</v>
      </c>
      <c r="K1519" s="320">
        <f>SUM(K1512:K1518)</f>
        <v>1189815</v>
      </c>
      <c r="L1519" s="519">
        <f>SUM(L1512:L1518)</f>
        <v>1182690</v>
      </c>
      <c r="M1519" s="689">
        <f t="shared" ref="M1519" si="1932">SUM(M1512:M1518)</f>
        <v>7125</v>
      </c>
      <c r="N1519" s="339">
        <f>IFERROR(K1519/E1519,"-")</f>
        <v>0.45762115384615387</v>
      </c>
      <c r="O1519" s="345">
        <f t="shared" si="1922"/>
        <v>5.9883259162138653E-3</v>
      </c>
    </row>
    <row r="1520" spans="1:15" ht="23.4" x14ac:dyDescent="0.3">
      <c r="A1520" s="274" t="s">
        <v>103</v>
      </c>
      <c r="B1520" s="1043" t="s">
        <v>18</v>
      </c>
      <c r="C1520" s="269" t="s">
        <v>312</v>
      </c>
      <c r="D1520" s="269" t="s">
        <v>92</v>
      </c>
      <c r="E1520" s="270"/>
      <c r="F1520" s="271"/>
      <c r="G1520" s="332">
        <f t="shared" ref="G1520:G1526" si="1933">+H1520+I1520</f>
        <v>0</v>
      </c>
      <c r="H1520" s="272">
        <v>0</v>
      </c>
      <c r="I1520" s="272">
        <v>0</v>
      </c>
      <c r="J1520" s="351" t="str">
        <f>IFERROR(G1520/F1520,"-")</f>
        <v>-</v>
      </c>
      <c r="K1520" s="332">
        <f t="shared" ref="K1520:K1526" si="1934">+L1520+M1520</f>
        <v>0</v>
      </c>
      <c r="L1520" s="272">
        <f t="shared" ref="L1520:L1526" si="1935">+H1520+L1403</f>
        <v>0</v>
      </c>
      <c r="M1520" s="273">
        <f t="shared" ref="M1520:M1526" si="1936">+I1520+M1403</f>
        <v>0</v>
      </c>
      <c r="N1520" s="336" t="str">
        <f t="shared" ref="N1520:N1527" si="1937">IFERROR(K1520/E1520,"-")</f>
        <v>-</v>
      </c>
      <c r="O1520" s="346" t="str">
        <f t="shared" si="1922"/>
        <v>-</v>
      </c>
    </row>
    <row r="1521" spans="1:15" ht="23.4" x14ac:dyDescent="0.3">
      <c r="A1521" s="274" t="s">
        <v>103</v>
      </c>
      <c r="B1521" s="1044"/>
      <c r="C1521" s="275" t="s">
        <v>233</v>
      </c>
      <c r="D1521" s="275" t="s">
        <v>234</v>
      </c>
      <c r="E1521" s="276"/>
      <c r="F1521" s="277"/>
      <c r="G1521" s="333">
        <f t="shared" si="1933"/>
        <v>0</v>
      </c>
      <c r="H1521" s="278">
        <v>0</v>
      </c>
      <c r="I1521" s="278">
        <v>0</v>
      </c>
      <c r="J1521" s="351" t="str">
        <f t="shared" ref="J1521:J1526" si="1938">IFERROR(G1521/F1521,"-")</f>
        <v>-</v>
      </c>
      <c r="K1521" s="333">
        <f t="shared" si="1934"/>
        <v>0</v>
      </c>
      <c r="L1521" s="272">
        <f t="shared" si="1935"/>
        <v>0</v>
      </c>
      <c r="M1521" s="273">
        <f t="shared" si="1936"/>
        <v>0</v>
      </c>
      <c r="N1521" s="337" t="str">
        <f t="shared" si="1937"/>
        <v>-</v>
      </c>
      <c r="O1521" s="263" t="str">
        <f t="shared" si="1922"/>
        <v>-</v>
      </c>
    </row>
    <row r="1522" spans="1:15" ht="23.4" x14ac:dyDescent="0.3">
      <c r="A1522" s="274" t="s">
        <v>103</v>
      </c>
      <c r="B1522" s="1044"/>
      <c r="C1522" s="275" t="s">
        <v>115</v>
      </c>
      <c r="D1522" s="275"/>
      <c r="E1522" s="276"/>
      <c r="F1522" s="277"/>
      <c r="G1522" s="333">
        <f t="shared" si="1933"/>
        <v>0</v>
      </c>
      <c r="H1522" s="278">
        <v>0</v>
      </c>
      <c r="I1522" s="278">
        <v>0</v>
      </c>
      <c r="J1522" s="351" t="str">
        <f t="shared" si="1938"/>
        <v>-</v>
      </c>
      <c r="K1522" s="333">
        <f t="shared" si="1934"/>
        <v>0</v>
      </c>
      <c r="L1522" s="272">
        <f t="shared" si="1935"/>
        <v>0</v>
      </c>
      <c r="M1522" s="273">
        <f t="shared" si="1936"/>
        <v>0</v>
      </c>
      <c r="N1522" s="337" t="str">
        <f t="shared" si="1937"/>
        <v>-</v>
      </c>
      <c r="O1522" s="263" t="str">
        <f t="shared" si="1922"/>
        <v>-</v>
      </c>
    </row>
    <row r="1523" spans="1:15" ht="23.4" x14ac:dyDescent="0.3">
      <c r="A1523" s="274" t="s">
        <v>103</v>
      </c>
      <c r="B1523" s="1044"/>
      <c r="C1523" s="275" t="s">
        <v>122</v>
      </c>
      <c r="D1523" s="275"/>
      <c r="E1523" s="276"/>
      <c r="F1523" s="277"/>
      <c r="G1523" s="333">
        <f t="shared" si="1933"/>
        <v>0</v>
      </c>
      <c r="H1523" s="278">
        <v>0</v>
      </c>
      <c r="I1523" s="278">
        <v>0</v>
      </c>
      <c r="J1523" s="351" t="str">
        <f t="shared" si="1938"/>
        <v>-</v>
      </c>
      <c r="K1523" s="333">
        <f t="shared" si="1934"/>
        <v>0</v>
      </c>
      <c r="L1523" s="272">
        <f t="shared" si="1935"/>
        <v>0</v>
      </c>
      <c r="M1523" s="273">
        <f t="shared" si="1936"/>
        <v>0</v>
      </c>
      <c r="N1523" s="337" t="str">
        <f t="shared" si="1937"/>
        <v>-</v>
      </c>
      <c r="O1523" s="263" t="str">
        <f t="shared" si="1922"/>
        <v>-</v>
      </c>
    </row>
    <row r="1524" spans="1:15" ht="23.4" x14ac:dyDescent="0.3">
      <c r="A1524" s="274" t="s">
        <v>103</v>
      </c>
      <c r="B1524" s="1044"/>
      <c r="C1524" s="275" t="s">
        <v>176</v>
      </c>
      <c r="D1524" s="275" t="s">
        <v>177</v>
      </c>
      <c r="E1524" s="276"/>
      <c r="F1524" s="277"/>
      <c r="G1524" s="333">
        <f t="shared" si="1933"/>
        <v>0</v>
      </c>
      <c r="H1524" s="278">
        <v>0</v>
      </c>
      <c r="I1524" s="278">
        <v>0</v>
      </c>
      <c r="J1524" s="351" t="str">
        <f t="shared" si="1938"/>
        <v>-</v>
      </c>
      <c r="K1524" s="333">
        <f t="shared" si="1934"/>
        <v>0</v>
      </c>
      <c r="L1524" s="272">
        <f t="shared" si="1935"/>
        <v>0</v>
      </c>
      <c r="M1524" s="273">
        <f t="shared" si="1936"/>
        <v>0</v>
      </c>
      <c r="N1524" s="337" t="str">
        <f t="shared" si="1937"/>
        <v>-</v>
      </c>
      <c r="O1524" s="263" t="str">
        <f t="shared" si="1922"/>
        <v>-</v>
      </c>
    </row>
    <row r="1525" spans="1:15" ht="23.4" x14ac:dyDescent="0.3">
      <c r="A1525" s="274" t="s">
        <v>103</v>
      </c>
      <c r="B1525" s="1044"/>
      <c r="C1525" s="275" t="s">
        <v>179</v>
      </c>
      <c r="D1525" s="275" t="s">
        <v>178</v>
      </c>
      <c r="E1525" s="276"/>
      <c r="F1525" s="277"/>
      <c r="G1525" s="333">
        <f t="shared" si="1933"/>
        <v>0</v>
      </c>
      <c r="H1525" s="278">
        <v>0</v>
      </c>
      <c r="I1525" s="278">
        <v>0</v>
      </c>
      <c r="J1525" s="351" t="str">
        <f t="shared" si="1938"/>
        <v>-</v>
      </c>
      <c r="K1525" s="333">
        <f t="shared" si="1934"/>
        <v>0</v>
      </c>
      <c r="L1525" s="272">
        <f t="shared" si="1935"/>
        <v>0</v>
      </c>
      <c r="M1525" s="273">
        <f t="shared" si="1936"/>
        <v>0</v>
      </c>
      <c r="N1525" s="337" t="str">
        <f t="shared" si="1937"/>
        <v>-</v>
      </c>
      <c r="O1525" s="263" t="str">
        <f t="shared" si="1922"/>
        <v>-</v>
      </c>
    </row>
    <row r="1526" spans="1:15" ht="24" thickBot="1" x14ac:dyDescent="0.35">
      <c r="A1526" s="274" t="s">
        <v>103</v>
      </c>
      <c r="B1526" s="1045"/>
      <c r="C1526" s="286" t="s">
        <v>180</v>
      </c>
      <c r="D1526" s="286" t="s">
        <v>107</v>
      </c>
      <c r="E1526" s="280"/>
      <c r="F1526" s="281"/>
      <c r="G1526" s="334">
        <f t="shared" si="1933"/>
        <v>0</v>
      </c>
      <c r="H1526" s="282">
        <v>0</v>
      </c>
      <c r="I1526" s="282">
        <v>0</v>
      </c>
      <c r="J1526" s="351" t="str">
        <f t="shared" si="1938"/>
        <v>-</v>
      </c>
      <c r="K1526" s="334">
        <f t="shared" si="1934"/>
        <v>0</v>
      </c>
      <c r="L1526" s="272">
        <f t="shared" si="1935"/>
        <v>0</v>
      </c>
      <c r="M1526" s="273">
        <f t="shared" si="1936"/>
        <v>0</v>
      </c>
      <c r="N1526" s="338" t="str">
        <f t="shared" si="1937"/>
        <v>-</v>
      </c>
      <c r="O1526" s="347" t="str">
        <f t="shared" si="1922"/>
        <v>-</v>
      </c>
    </row>
    <row r="1527" spans="1:15" ht="24" thickBot="1" x14ac:dyDescent="0.35">
      <c r="A1527" s="274" t="s">
        <v>103</v>
      </c>
      <c r="B1527" s="1025" t="s">
        <v>29</v>
      </c>
      <c r="C1527" s="1083"/>
      <c r="D1527" s="1084"/>
      <c r="E1527" s="366">
        <f t="shared" ref="E1527" si="1939">SUM(E1520:E1526)</f>
        <v>0</v>
      </c>
      <c r="F1527" s="307">
        <v>80000</v>
      </c>
      <c r="G1527" s="366">
        <f>SUM(G1520:G1526)</f>
        <v>0</v>
      </c>
      <c r="H1527" s="365">
        <f t="shared" ref="H1527:I1527" si="1940">SUM(H1520:H1526)</f>
        <v>0</v>
      </c>
      <c r="I1527" s="365">
        <f t="shared" si="1940"/>
        <v>0</v>
      </c>
      <c r="J1527" s="356">
        <f>+G1527/F1527</f>
        <v>0</v>
      </c>
      <c r="K1527" s="366">
        <f t="shared" ref="K1527" si="1941">SUM(K1520:K1526)</f>
        <v>0</v>
      </c>
      <c r="L1527" s="365">
        <f>SUM(L1520:L1526)</f>
        <v>0</v>
      </c>
      <c r="M1527" s="367">
        <f t="shared" ref="M1527" si="1942">SUM(M1520:M1526)</f>
        <v>0</v>
      </c>
      <c r="N1527" s="355" t="str">
        <f t="shared" si="1937"/>
        <v>-</v>
      </c>
      <c r="O1527" s="356" t="str">
        <f t="shared" si="1922"/>
        <v>-</v>
      </c>
    </row>
    <row r="1528" spans="1:15" ht="23.4" x14ac:dyDescent="0.3">
      <c r="A1528" s="252" t="s">
        <v>103</v>
      </c>
      <c r="B1528" s="1037" t="s">
        <v>19</v>
      </c>
      <c r="C1528" s="669" t="s">
        <v>235</v>
      </c>
      <c r="D1528" s="883" t="s">
        <v>177</v>
      </c>
      <c r="E1528" s="912"/>
      <c r="F1528" s="838">
        <v>220000</v>
      </c>
      <c r="G1528" s="457">
        <f t="shared" ref="G1528:G1534" si="1943">+H1528+I1528</f>
        <v>33993</v>
      </c>
      <c r="H1528" s="458">
        <v>33792</v>
      </c>
      <c r="I1528" s="458">
        <v>201</v>
      </c>
      <c r="J1528" s="531">
        <f>IFERROR(G1528/F1528,"-")</f>
        <v>0.15451363636363635</v>
      </c>
      <c r="K1528" s="869">
        <f>+L1528+M1528</f>
        <v>313551</v>
      </c>
      <c r="L1528" s="527">
        <f t="shared" ref="L1528:L1534" si="1944">+H1528+L1411</f>
        <v>312576</v>
      </c>
      <c r="M1528" s="838">
        <f t="shared" ref="M1528:M1534" si="1945">+I1528+M1411</f>
        <v>975</v>
      </c>
      <c r="N1528" s="646" t="str">
        <f>IFERROR(K1528/E1528,"-")</f>
        <v>-</v>
      </c>
      <c r="O1528" s="647">
        <f t="shared" si="1922"/>
        <v>3.1095419883846649E-3</v>
      </c>
    </row>
    <row r="1529" spans="1:15" ht="23.4" x14ac:dyDescent="0.3">
      <c r="A1529" s="252"/>
      <c r="B1529" s="1038"/>
      <c r="C1529" s="840" t="s">
        <v>377</v>
      </c>
      <c r="D1529" s="876" t="s">
        <v>423</v>
      </c>
      <c r="E1529" s="511">
        <v>1000000</v>
      </c>
      <c r="F1529" s="277"/>
      <c r="G1529" s="333">
        <f t="shared" si="1943"/>
        <v>0</v>
      </c>
      <c r="H1529" s="278">
        <v>0</v>
      </c>
      <c r="I1529" s="278">
        <v>0</v>
      </c>
      <c r="J1529" s="352" t="str">
        <f t="shared" ref="J1529:J1534" si="1946">IFERROR(G1529/F1529,"-")</f>
        <v>-</v>
      </c>
      <c r="K1529" s="870">
        <f>+L1529+M1529</f>
        <v>576188</v>
      </c>
      <c r="L1529" s="276">
        <f t="shared" si="1944"/>
        <v>574464</v>
      </c>
      <c r="M1529" s="277">
        <f t="shared" si="1945"/>
        <v>1724</v>
      </c>
      <c r="N1529" s="836">
        <f t="shared" ref="N1529:N1534" si="1947">IFERROR(K1529/E1529,"-")</f>
        <v>0.57618800000000003</v>
      </c>
      <c r="O1529" s="263">
        <f>IFERROR(M1529/K1529,"-")</f>
        <v>2.9920789742236909E-3</v>
      </c>
    </row>
    <row r="1530" spans="1:15" ht="23.4" x14ac:dyDescent="0.3">
      <c r="A1530" s="252"/>
      <c r="B1530" s="1038"/>
      <c r="C1530" s="840" t="s">
        <v>235</v>
      </c>
      <c r="D1530" s="876" t="s">
        <v>522</v>
      </c>
      <c r="E1530" s="511"/>
      <c r="F1530" s="277"/>
      <c r="G1530" s="333">
        <f t="shared" si="1943"/>
        <v>0</v>
      </c>
      <c r="H1530" s="278">
        <v>0</v>
      </c>
      <c r="I1530" s="278">
        <v>0</v>
      </c>
      <c r="J1530" s="352" t="str">
        <f t="shared" si="1946"/>
        <v>-</v>
      </c>
      <c r="K1530" s="870">
        <f t="shared" ref="K1530:K1533" si="1948">+L1530+M1530</f>
        <v>214277</v>
      </c>
      <c r="L1530" s="276">
        <f t="shared" si="1944"/>
        <v>213712</v>
      </c>
      <c r="M1530" s="277">
        <f t="shared" si="1945"/>
        <v>565</v>
      </c>
      <c r="N1530" s="836" t="str">
        <f t="shared" si="1947"/>
        <v>-</v>
      </c>
      <c r="O1530" s="263">
        <f t="shared" ref="O1530:O1591" si="1949">IFERROR(M1530/K1530,"-")</f>
        <v>2.6367738954717491E-3</v>
      </c>
    </row>
    <row r="1531" spans="1:15" ht="23.4" x14ac:dyDescent="0.3">
      <c r="A1531" s="252"/>
      <c r="B1531" s="1038"/>
      <c r="C1531" s="840" t="s">
        <v>377</v>
      </c>
      <c r="D1531" s="876" t="s">
        <v>522</v>
      </c>
      <c r="E1531" s="511"/>
      <c r="F1531" s="277"/>
      <c r="G1531" s="333">
        <f t="shared" si="1943"/>
        <v>0</v>
      </c>
      <c r="H1531" s="278">
        <v>0</v>
      </c>
      <c r="I1531" s="278">
        <v>0</v>
      </c>
      <c r="J1531" s="352" t="str">
        <f t="shared" si="1946"/>
        <v>-</v>
      </c>
      <c r="K1531" s="870">
        <f t="shared" si="1948"/>
        <v>288207</v>
      </c>
      <c r="L1531" s="276">
        <f t="shared" si="1944"/>
        <v>287232</v>
      </c>
      <c r="M1531" s="277">
        <f t="shared" si="1945"/>
        <v>975</v>
      </c>
      <c r="N1531" s="836" t="str">
        <f t="shared" si="1947"/>
        <v>-</v>
      </c>
      <c r="O1531" s="263">
        <f t="shared" si="1949"/>
        <v>3.3829851460929123E-3</v>
      </c>
    </row>
    <row r="1532" spans="1:15" ht="23.4" x14ac:dyDescent="0.3">
      <c r="A1532" s="252"/>
      <c r="B1532" s="1038"/>
      <c r="C1532" s="840" t="s">
        <v>551</v>
      </c>
      <c r="D1532" s="876" t="s">
        <v>522</v>
      </c>
      <c r="E1532" s="511"/>
      <c r="F1532" s="277"/>
      <c r="G1532" s="333">
        <f t="shared" si="1943"/>
        <v>0</v>
      </c>
      <c r="H1532" s="278">
        <v>0</v>
      </c>
      <c r="I1532" s="278">
        <v>0</v>
      </c>
      <c r="J1532" s="352" t="str">
        <f t="shared" si="1946"/>
        <v>-</v>
      </c>
      <c r="K1532" s="870">
        <f t="shared" si="1948"/>
        <v>151526</v>
      </c>
      <c r="L1532" s="276">
        <f t="shared" si="1944"/>
        <v>149952</v>
      </c>
      <c r="M1532" s="277">
        <f t="shared" si="1945"/>
        <v>1574</v>
      </c>
      <c r="N1532" s="836" t="str">
        <f t="shared" si="1947"/>
        <v>-</v>
      </c>
      <c r="O1532" s="263">
        <f t="shared" si="1949"/>
        <v>1.0387656243812942E-2</v>
      </c>
    </row>
    <row r="1533" spans="1:15" ht="23.4" x14ac:dyDescent="0.3">
      <c r="A1533" s="252"/>
      <c r="B1533" s="1038"/>
      <c r="C1533" s="840"/>
      <c r="D1533" s="876"/>
      <c r="E1533" s="511"/>
      <c r="F1533" s="277"/>
      <c r="G1533" s="333">
        <f t="shared" si="1943"/>
        <v>0</v>
      </c>
      <c r="H1533" s="278">
        <v>0</v>
      </c>
      <c r="I1533" s="278">
        <v>0</v>
      </c>
      <c r="J1533" s="352" t="str">
        <f t="shared" si="1946"/>
        <v>-</v>
      </c>
      <c r="K1533" s="870">
        <f t="shared" si="1948"/>
        <v>0</v>
      </c>
      <c r="L1533" s="276">
        <f t="shared" si="1944"/>
        <v>0</v>
      </c>
      <c r="M1533" s="277">
        <f t="shared" si="1945"/>
        <v>0</v>
      </c>
      <c r="N1533" s="836" t="str">
        <f t="shared" si="1947"/>
        <v>-</v>
      </c>
      <c r="O1533" s="263" t="str">
        <f t="shared" si="1949"/>
        <v>-</v>
      </c>
    </row>
    <row r="1534" spans="1:15" ht="24" thickBot="1" x14ac:dyDescent="0.35">
      <c r="A1534" s="252"/>
      <c r="B1534" s="1039"/>
      <c r="C1534" s="670" t="s">
        <v>342</v>
      </c>
      <c r="D1534" s="884"/>
      <c r="E1534" s="913">
        <v>150000</v>
      </c>
      <c r="F1534" s="839"/>
      <c r="G1534" s="460">
        <f t="shared" si="1943"/>
        <v>0</v>
      </c>
      <c r="H1534" s="461">
        <v>0</v>
      </c>
      <c r="I1534" s="461">
        <v>0</v>
      </c>
      <c r="J1534" s="532" t="str">
        <f t="shared" si="1946"/>
        <v>-</v>
      </c>
      <c r="K1534" s="871">
        <f>+L1534+M1534</f>
        <v>0</v>
      </c>
      <c r="L1534" s="530">
        <f t="shared" si="1944"/>
        <v>0</v>
      </c>
      <c r="M1534" s="839">
        <f t="shared" si="1945"/>
        <v>0</v>
      </c>
      <c r="N1534" s="837">
        <f t="shared" si="1947"/>
        <v>0</v>
      </c>
      <c r="O1534" s="264" t="str">
        <f t="shared" si="1949"/>
        <v>-</v>
      </c>
    </row>
    <row r="1535" spans="1:15" ht="24" thickBot="1" x14ac:dyDescent="0.35">
      <c r="A1535" s="274" t="s">
        <v>103</v>
      </c>
      <c r="B1535" s="1040" t="s">
        <v>46</v>
      </c>
      <c r="C1535" s="1041"/>
      <c r="D1535" s="1042"/>
      <c r="E1535" s="513">
        <f>SUM(E1528:E1534)</f>
        <v>1150000</v>
      </c>
      <c r="F1535" s="859">
        <f t="shared" ref="F1535" si="1950">SUM(F1528)</f>
        <v>220000</v>
      </c>
      <c r="G1535" s="513">
        <f>SUM(G1528:G1534)</f>
        <v>33993</v>
      </c>
      <c r="H1535" s="519">
        <f>SUM(H1528:H1534)</f>
        <v>33792</v>
      </c>
      <c r="I1535" s="519">
        <f>SUM(I1528:I1534)</f>
        <v>201</v>
      </c>
      <c r="J1535" s="520">
        <f>+G1535/F1535</f>
        <v>0.15451363636363635</v>
      </c>
      <c r="K1535" s="835">
        <f>SUM(K1528:K1534)</f>
        <v>1543749</v>
      </c>
      <c r="L1535" s="519">
        <f>SUM(L1528:L1534)</f>
        <v>1537936</v>
      </c>
      <c r="M1535" s="689">
        <f>SUM(M1528:M1534)</f>
        <v>5813</v>
      </c>
      <c r="N1535" s="521">
        <f>IFERROR(K1535/E1535,"-")</f>
        <v>1.3423904347826088</v>
      </c>
      <c r="O1535" s="520">
        <f t="shared" si="1949"/>
        <v>3.7655085120702914E-3</v>
      </c>
    </row>
    <row r="1536" spans="1:15" ht="23.4" x14ac:dyDescent="0.3">
      <c r="A1536" s="274" t="s">
        <v>103</v>
      </c>
      <c r="B1536" s="1043" t="s">
        <v>20</v>
      </c>
      <c r="C1536" s="291" t="s">
        <v>317</v>
      </c>
      <c r="D1536" s="291" t="s">
        <v>289</v>
      </c>
      <c r="E1536" s="270"/>
      <c r="F1536" s="271"/>
      <c r="G1536" s="332">
        <f t="shared" ref="G1536:G1538" si="1951">+H1536+I1536</f>
        <v>0</v>
      </c>
      <c r="H1536" s="272">
        <v>0</v>
      </c>
      <c r="I1536" s="272">
        <v>0</v>
      </c>
      <c r="J1536" s="351" t="str">
        <f>IFERROR(G1536/F1536,"-")</f>
        <v>-</v>
      </c>
      <c r="K1536" s="332">
        <f t="shared" ref="K1536:K1538" si="1952">+L1536+M1536</f>
        <v>0</v>
      </c>
      <c r="L1536" s="272">
        <f t="shared" ref="L1536:L1538" si="1953">+H1536+L1419</f>
        <v>0</v>
      </c>
      <c r="M1536" s="273">
        <f t="shared" ref="M1536:M1538" si="1954">+I1536+M1419</f>
        <v>0</v>
      </c>
      <c r="N1536" s="336" t="str">
        <f t="shared" ref="N1536:N1539" si="1955">IFERROR(K1536/E1536,"-")</f>
        <v>-</v>
      </c>
      <c r="O1536" s="346" t="str">
        <f t="shared" si="1949"/>
        <v>-</v>
      </c>
    </row>
    <row r="1537" spans="1:15" ht="23.4" x14ac:dyDescent="0.3">
      <c r="A1537" s="274" t="s">
        <v>103</v>
      </c>
      <c r="B1537" s="1044"/>
      <c r="C1537" s="292" t="s">
        <v>114</v>
      </c>
      <c r="D1537" s="292"/>
      <c r="E1537" s="276"/>
      <c r="F1537" s="277"/>
      <c r="G1537" s="333">
        <f t="shared" si="1951"/>
        <v>0</v>
      </c>
      <c r="H1537" s="278">
        <v>0</v>
      </c>
      <c r="I1537" s="278">
        <v>0</v>
      </c>
      <c r="J1537" s="351" t="str">
        <f t="shared" ref="J1537:J1538" si="1956">IFERROR(G1537/F1537,"-")</f>
        <v>-</v>
      </c>
      <c r="K1537" s="333">
        <f t="shared" si="1952"/>
        <v>0</v>
      </c>
      <c r="L1537" s="272">
        <f t="shared" si="1953"/>
        <v>0</v>
      </c>
      <c r="M1537" s="273">
        <f t="shared" si="1954"/>
        <v>0</v>
      </c>
      <c r="N1537" s="337" t="str">
        <f t="shared" si="1955"/>
        <v>-</v>
      </c>
      <c r="O1537" s="263" t="str">
        <f t="shared" si="1949"/>
        <v>-</v>
      </c>
    </row>
    <row r="1538" spans="1:15" ht="24" thickBot="1" x14ac:dyDescent="0.35">
      <c r="A1538" s="274" t="s">
        <v>103</v>
      </c>
      <c r="B1538" s="1045"/>
      <c r="C1538" s="293" t="s">
        <v>120</v>
      </c>
      <c r="D1538" s="293"/>
      <c r="E1538" s="280"/>
      <c r="F1538" s="281"/>
      <c r="G1538" s="334">
        <f t="shared" si="1951"/>
        <v>0</v>
      </c>
      <c r="H1538" s="282">
        <v>0</v>
      </c>
      <c r="I1538" s="282">
        <v>0</v>
      </c>
      <c r="J1538" s="351" t="str">
        <f t="shared" si="1956"/>
        <v>-</v>
      </c>
      <c r="K1538" s="334">
        <f t="shared" si="1952"/>
        <v>0</v>
      </c>
      <c r="L1538" s="272">
        <f t="shared" si="1953"/>
        <v>0</v>
      </c>
      <c r="M1538" s="273">
        <f t="shared" si="1954"/>
        <v>0</v>
      </c>
      <c r="N1538" s="338" t="str">
        <f t="shared" si="1955"/>
        <v>-</v>
      </c>
      <c r="O1538" s="347" t="str">
        <f t="shared" si="1949"/>
        <v>-</v>
      </c>
    </row>
    <row r="1539" spans="1:15" ht="24" thickBot="1" x14ac:dyDescent="0.35">
      <c r="A1539" s="274" t="s">
        <v>103</v>
      </c>
      <c r="B1539" s="1026" t="s">
        <v>47</v>
      </c>
      <c r="C1539" s="1026"/>
      <c r="D1539" s="1046"/>
      <c r="E1539" s="320">
        <f t="shared" ref="E1539" si="1957">SUM(E1536:E1538)</f>
        <v>0</v>
      </c>
      <c r="F1539" s="285">
        <v>50000</v>
      </c>
      <c r="G1539" s="320">
        <f>SUM(G1536:G1538)</f>
        <v>0</v>
      </c>
      <c r="H1539" s="321">
        <f t="shared" ref="H1539:I1539" si="1958">SUM(H1536:H1538)</f>
        <v>0</v>
      </c>
      <c r="I1539" s="321">
        <f t="shared" si="1958"/>
        <v>0</v>
      </c>
      <c r="J1539" s="345">
        <f>+G1539/F1539</f>
        <v>0</v>
      </c>
      <c r="K1539" s="320">
        <f t="shared" ref="K1539:M1539" si="1959">SUM(K1536:K1538)</f>
        <v>0</v>
      </c>
      <c r="L1539" s="321">
        <f t="shared" si="1959"/>
        <v>0</v>
      </c>
      <c r="M1539" s="322">
        <f t="shared" si="1959"/>
        <v>0</v>
      </c>
      <c r="N1539" s="339" t="str">
        <f t="shared" si="1955"/>
        <v>-</v>
      </c>
      <c r="O1539" s="345" t="str">
        <f t="shared" si="1949"/>
        <v>-</v>
      </c>
    </row>
    <row r="1540" spans="1:15" ht="24" thickBot="1" x14ac:dyDescent="0.35">
      <c r="A1540" s="274" t="s">
        <v>103</v>
      </c>
      <c r="B1540" s="1047" t="s">
        <v>21</v>
      </c>
      <c r="C1540" s="1048"/>
      <c r="D1540" s="1049"/>
      <c r="E1540" s="326">
        <f>+E1511+E1519+E1527+E1535+E1539</f>
        <v>3770000</v>
      </c>
      <c r="F1540" s="327">
        <f>+F1511+F1519+F1527+F1535+F1539</f>
        <v>465000</v>
      </c>
      <c r="G1540" s="326">
        <f>+G1511+G1519+G1527+G1535+G1539</f>
        <v>126010</v>
      </c>
      <c r="H1540" s="324">
        <f>+H1511+H1519+H1527+H1535+H1539</f>
        <v>125592</v>
      </c>
      <c r="I1540" s="324">
        <f>+I1511+I1519+I1527+I1535+I1539</f>
        <v>418</v>
      </c>
      <c r="J1540" s="349">
        <f>+G1540/F1540</f>
        <v>0.27098924731182794</v>
      </c>
      <c r="K1540" s="326">
        <f>+K1511+K1519+K1527+K1535+K1539</f>
        <v>2761235</v>
      </c>
      <c r="L1540" s="324">
        <f>+L1511+L1519+L1527+L1535+L1539</f>
        <v>2747246</v>
      </c>
      <c r="M1540" s="325">
        <f>+M1511+M1519+M1527+M1535+M1539</f>
        <v>13989</v>
      </c>
      <c r="N1540" s="341">
        <f>IFERROR(K1540/E1540,"-")</f>
        <v>0.73242307692307695</v>
      </c>
      <c r="O1540" s="349">
        <f t="shared" si="1949"/>
        <v>5.0662113148645443E-3</v>
      </c>
    </row>
    <row r="1541" spans="1:15" ht="23.4" x14ac:dyDescent="0.3">
      <c r="A1541" s="274" t="s">
        <v>103</v>
      </c>
      <c r="B1541" s="1043" t="s">
        <v>400</v>
      </c>
      <c r="C1541" s="269" t="s">
        <v>125</v>
      </c>
      <c r="D1541" s="269"/>
      <c r="E1541" s="270"/>
      <c r="F1541" s="271"/>
      <c r="G1541" s="332">
        <f t="shared" ref="G1541:G1544" si="1960">+H1541+I1541</f>
        <v>0</v>
      </c>
      <c r="H1541" s="272">
        <v>0</v>
      </c>
      <c r="I1541" s="272">
        <v>0</v>
      </c>
      <c r="J1541" s="351" t="str">
        <f>IFERROR(G1541/F1541,"-")</f>
        <v>-</v>
      </c>
      <c r="K1541" s="332">
        <f t="shared" ref="K1541:K1544" si="1961">+L1541+M1541</f>
        <v>0</v>
      </c>
      <c r="L1541" s="272">
        <f t="shared" ref="L1541:L1544" si="1962">+H1541+L1424</f>
        <v>0</v>
      </c>
      <c r="M1541" s="273">
        <f t="shared" ref="M1541:M1544" si="1963">+I1541+M1424</f>
        <v>0</v>
      </c>
      <c r="N1541" s="336" t="str">
        <f t="shared" ref="N1541:N1556" si="1964">IFERROR(K1541/E1541,"-")</f>
        <v>-</v>
      </c>
      <c r="O1541" s="346" t="str">
        <f t="shared" si="1949"/>
        <v>-</v>
      </c>
    </row>
    <row r="1542" spans="1:15" ht="23.4" x14ac:dyDescent="0.3">
      <c r="A1542" s="274" t="s">
        <v>103</v>
      </c>
      <c r="B1542" s="1044"/>
      <c r="C1542" s="295" t="s">
        <v>263</v>
      </c>
      <c r="D1542" s="295" t="s">
        <v>181</v>
      </c>
      <c r="E1542" s="276"/>
      <c r="F1542" s="277"/>
      <c r="G1542" s="333">
        <f t="shared" si="1960"/>
        <v>0</v>
      </c>
      <c r="H1542" s="278">
        <v>0</v>
      </c>
      <c r="I1542" s="278">
        <v>0</v>
      </c>
      <c r="J1542" s="351" t="str">
        <f t="shared" ref="J1542:J1544" si="1965">IFERROR(G1542/F1542,"-")</f>
        <v>-</v>
      </c>
      <c r="K1542" s="333">
        <f t="shared" si="1961"/>
        <v>0</v>
      </c>
      <c r="L1542" s="272">
        <f t="shared" si="1962"/>
        <v>0</v>
      </c>
      <c r="M1542" s="273">
        <f t="shared" si="1963"/>
        <v>0</v>
      </c>
      <c r="N1542" s="337" t="str">
        <f t="shared" si="1964"/>
        <v>-</v>
      </c>
      <c r="O1542" s="263" t="str">
        <f t="shared" si="1949"/>
        <v>-</v>
      </c>
    </row>
    <row r="1543" spans="1:15" ht="23.4" x14ac:dyDescent="0.3">
      <c r="A1543" s="274" t="s">
        <v>103</v>
      </c>
      <c r="B1543" s="1044"/>
      <c r="C1543" s="295" t="s">
        <v>362</v>
      </c>
      <c r="D1543" s="295" t="s">
        <v>181</v>
      </c>
      <c r="E1543" s="276"/>
      <c r="F1543" s="277"/>
      <c r="G1543" s="333">
        <f t="shared" si="1960"/>
        <v>0</v>
      </c>
      <c r="H1543" s="278">
        <v>0</v>
      </c>
      <c r="I1543" s="278">
        <v>0</v>
      </c>
      <c r="J1543" s="351" t="str">
        <f t="shared" si="1965"/>
        <v>-</v>
      </c>
      <c r="K1543" s="333">
        <f t="shared" si="1961"/>
        <v>0</v>
      </c>
      <c r="L1543" s="272">
        <f t="shared" si="1962"/>
        <v>0</v>
      </c>
      <c r="M1543" s="273">
        <f t="shared" si="1963"/>
        <v>0</v>
      </c>
      <c r="N1543" s="337" t="str">
        <f t="shared" si="1964"/>
        <v>-</v>
      </c>
      <c r="O1543" s="263" t="str">
        <f t="shared" si="1949"/>
        <v>-</v>
      </c>
    </row>
    <row r="1544" spans="1:15" ht="24" thickBot="1" x14ac:dyDescent="0.35">
      <c r="A1544" s="274" t="s">
        <v>103</v>
      </c>
      <c r="B1544" s="1045"/>
      <c r="C1544" s="279" t="s">
        <v>182</v>
      </c>
      <c r="D1544" s="279" t="s">
        <v>93</v>
      </c>
      <c r="E1544" s="280"/>
      <c r="F1544" s="281"/>
      <c r="G1544" s="334">
        <f t="shared" si="1960"/>
        <v>15942</v>
      </c>
      <c r="H1544" s="278">
        <v>15840</v>
      </c>
      <c r="I1544" s="278">
        <v>102</v>
      </c>
      <c r="J1544" s="351" t="str">
        <f t="shared" si="1965"/>
        <v>-</v>
      </c>
      <c r="K1544" s="334">
        <f t="shared" si="1961"/>
        <v>140972</v>
      </c>
      <c r="L1544" s="272">
        <f t="shared" si="1962"/>
        <v>140580</v>
      </c>
      <c r="M1544" s="273">
        <f t="shared" si="1963"/>
        <v>392</v>
      </c>
      <c r="N1544" s="338" t="str">
        <f t="shared" si="1964"/>
        <v>-</v>
      </c>
      <c r="O1544" s="347">
        <f t="shared" si="1949"/>
        <v>2.7806940385324747E-3</v>
      </c>
    </row>
    <row r="1545" spans="1:15" ht="24" thickBot="1" x14ac:dyDescent="0.35">
      <c r="A1545" s="274" t="s">
        <v>103</v>
      </c>
      <c r="B1545" s="1025" t="s">
        <v>48</v>
      </c>
      <c r="C1545" s="1026"/>
      <c r="D1545" s="1027"/>
      <c r="E1545" s="284">
        <f>SUM(E1541:E1544)</f>
        <v>0</v>
      </c>
      <c r="F1545" s="285">
        <v>80000</v>
      </c>
      <c r="G1545" s="320">
        <f>SUM(G1541:G1544)</f>
        <v>15942</v>
      </c>
      <c r="H1545" s="321">
        <f t="shared" ref="H1545:I1545" si="1966">SUM(H1541:H1544)</f>
        <v>15840</v>
      </c>
      <c r="I1545" s="321">
        <f t="shared" si="1966"/>
        <v>102</v>
      </c>
      <c r="J1545" s="345">
        <f>+G1545/F1545</f>
        <v>0.19927500000000001</v>
      </c>
      <c r="K1545" s="320">
        <f t="shared" ref="K1545" si="1967">SUM(K1541:K1544)</f>
        <v>140972</v>
      </c>
      <c r="L1545" s="321">
        <f>SUM(L1541:L1544)</f>
        <v>140580</v>
      </c>
      <c r="M1545" s="322">
        <f t="shared" ref="M1545" si="1968">SUM(M1541:M1544)</f>
        <v>392</v>
      </c>
      <c r="N1545" s="339" t="str">
        <f t="shared" si="1964"/>
        <v>-</v>
      </c>
      <c r="O1545" s="345">
        <f t="shared" si="1949"/>
        <v>2.7806940385324747E-3</v>
      </c>
    </row>
    <row r="1546" spans="1:15" ht="23.4" x14ac:dyDescent="0.3">
      <c r="A1546" s="274" t="s">
        <v>103</v>
      </c>
      <c r="B1546" s="1043" t="s">
        <v>23</v>
      </c>
      <c r="C1546" s="275" t="s">
        <v>500</v>
      </c>
      <c r="D1546" s="296" t="s">
        <v>238</v>
      </c>
      <c r="E1546" s="270">
        <v>10000</v>
      </c>
      <c r="F1546" s="271"/>
      <c r="G1546" s="332">
        <f t="shared" ref="G1546:G1554" si="1969">+H1546+I1546</f>
        <v>0</v>
      </c>
      <c r="H1546" s="272">
        <v>0</v>
      </c>
      <c r="I1546" s="272">
        <v>0</v>
      </c>
      <c r="J1546" s="351" t="str">
        <f>IFERROR(G1546/F1546,"-")</f>
        <v>-</v>
      </c>
      <c r="K1546" s="332">
        <f t="shared" ref="K1546:K1554" si="1970">+L1546+M1546</f>
        <v>0</v>
      </c>
      <c r="L1546" s="272">
        <f t="shared" ref="L1546:L1554" si="1971">+H1546+L1429</f>
        <v>0</v>
      </c>
      <c r="M1546" s="273">
        <f t="shared" ref="M1546:M1554" si="1972">+I1546+M1429</f>
        <v>0</v>
      </c>
      <c r="N1546" s="336">
        <f t="shared" si="1964"/>
        <v>0</v>
      </c>
      <c r="O1546" s="346" t="str">
        <f t="shared" si="1949"/>
        <v>-</v>
      </c>
    </row>
    <row r="1547" spans="1:15" ht="23.4" x14ac:dyDescent="0.3">
      <c r="A1547" s="274" t="s">
        <v>103</v>
      </c>
      <c r="B1547" s="1044"/>
      <c r="C1547" s="275" t="s">
        <v>24</v>
      </c>
      <c r="D1547" s="275" t="s">
        <v>238</v>
      </c>
      <c r="E1547" s="276">
        <v>112000</v>
      </c>
      <c r="F1547" s="277"/>
      <c r="G1547" s="333">
        <f t="shared" si="1969"/>
        <v>0</v>
      </c>
      <c r="H1547" s="278">
        <v>0</v>
      </c>
      <c r="I1547" s="278">
        <v>0</v>
      </c>
      <c r="J1547" s="351" t="str">
        <f t="shared" ref="J1547:J1554" si="1973">IFERROR(G1547/F1547,"-")</f>
        <v>-</v>
      </c>
      <c r="K1547" s="333">
        <f t="shared" si="1970"/>
        <v>0</v>
      </c>
      <c r="L1547" s="272">
        <f t="shared" si="1971"/>
        <v>0</v>
      </c>
      <c r="M1547" s="273">
        <f t="shared" si="1972"/>
        <v>0</v>
      </c>
      <c r="N1547" s="337">
        <f t="shared" si="1964"/>
        <v>0</v>
      </c>
      <c r="O1547" s="263" t="str">
        <f t="shared" si="1949"/>
        <v>-</v>
      </c>
    </row>
    <row r="1548" spans="1:15" ht="23.4" x14ac:dyDescent="0.3">
      <c r="A1548" s="274" t="s">
        <v>103</v>
      </c>
      <c r="B1548" s="1044"/>
      <c r="C1548" s="275" t="s">
        <v>236</v>
      </c>
      <c r="D1548" s="275" t="s">
        <v>238</v>
      </c>
      <c r="E1548" s="276">
        <v>40000</v>
      </c>
      <c r="F1548" s="277"/>
      <c r="G1548" s="333">
        <f t="shared" si="1969"/>
        <v>0</v>
      </c>
      <c r="H1548" s="278">
        <v>0</v>
      </c>
      <c r="I1548" s="278">
        <v>0</v>
      </c>
      <c r="J1548" s="351" t="str">
        <f t="shared" si="1973"/>
        <v>-</v>
      </c>
      <c r="K1548" s="333">
        <f t="shared" si="1970"/>
        <v>0</v>
      </c>
      <c r="L1548" s="272">
        <f t="shared" si="1971"/>
        <v>0</v>
      </c>
      <c r="M1548" s="273">
        <f t="shared" si="1972"/>
        <v>0</v>
      </c>
      <c r="N1548" s="337">
        <f t="shared" si="1964"/>
        <v>0</v>
      </c>
      <c r="O1548" s="263" t="str">
        <f t="shared" si="1949"/>
        <v>-</v>
      </c>
    </row>
    <row r="1549" spans="1:15" ht="23.4" x14ac:dyDescent="0.3">
      <c r="A1549" s="274" t="s">
        <v>103</v>
      </c>
      <c r="B1549" s="1044"/>
      <c r="C1549" s="275" t="s">
        <v>239</v>
      </c>
      <c r="D1549" s="275" t="s">
        <v>238</v>
      </c>
      <c r="E1549" s="276">
        <v>4000</v>
      </c>
      <c r="F1549" s="277"/>
      <c r="G1549" s="333">
        <f t="shared" si="1969"/>
        <v>0</v>
      </c>
      <c r="H1549" s="278">
        <v>0</v>
      </c>
      <c r="I1549" s="278">
        <v>0</v>
      </c>
      <c r="J1549" s="351" t="str">
        <f t="shared" si="1973"/>
        <v>-</v>
      </c>
      <c r="K1549" s="333">
        <f t="shared" si="1970"/>
        <v>0</v>
      </c>
      <c r="L1549" s="272">
        <f t="shared" si="1971"/>
        <v>0</v>
      </c>
      <c r="M1549" s="273">
        <f t="shared" si="1972"/>
        <v>0</v>
      </c>
      <c r="N1549" s="337">
        <f t="shared" si="1964"/>
        <v>0</v>
      </c>
      <c r="O1549" s="263" t="str">
        <f t="shared" si="1949"/>
        <v>-</v>
      </c>
    </row>
    <row r="1550" spans="1:15" ht="23.4" x14ac:dyDescent="0.3">
      <c r="A1550" s="274" t="s">
        <v>103</v>
      </c>
      <c r="B1550" s="1044"/>
      <c r="C1550" s="295" t="s">
        <v>394</v>
      </c>
      <c r="D1550" s="275" t="s">
        <v>238</v>
      </c>
      <c r="E1550" s="276">
        <v>8500</v>
      </c>
      <c r="F1550" s="277"/>
      <c r="G1550" s="333">
        <f t="shared" si="1969"/>
        <v>0</v>
      </c>
      <c r="H1550" s="278">
        <v>0</v>
      </c>
      <c r="I1550" s="278">
        <v>0</v>
      </c>
      <c r="J1550" s="351" t="str">
        <f t="shared" si="1973"/>
        <v>-</v>
      </c>
      <c r="K1550" s="333">
        <f t="shared" si="1970"/>
        <v>0</v>
      </c>
      <c r="L1550" s="272">
        <f t="shared" si="1971"/>
        <v>0</v>
      </c>
      <c r="M1550" s="273">
        <f t="shared" si="1972"/>
        <v>0</v>
      </c>
      <c r="N1550" s="337">
        <f t="shared" si="1964"/>
        <v>0</v>
      </c>
      <c r="O1550" s="263" t="str">
        <f t="shared" si="1949"/>
        <v>-</v>
      </c>
    </row>
    <row r="1551" spans="1:15" ht="23.4" x14ac:dyDescent="0.3">
      <c r="A1551" s="274" t="s">
        <v>103</v>
      </c>
      <c r="B1551" s="1044"/>
      <c r="C1551" s="295" t="s">
        <v>422</v>
      </c>
      <c r="D1551" s="275" t="s">
        <v>238</v>
      </c>
      <c r="E1551" s="276">
        <v>10000</v>
      </c>
      <c r="F1551" s="277"/>
      <c r="G1551" s="333">
        <f t="shared" si="1969"/>
        <v>0</v>
      </c>
      <c r="H1551" s="278">
        <v>0</v>
      </c>
      <c r="I1551" s="278">
        <v>0</v>
      </c>
      <c r="J1551" s="351" t="str">
        <f t="shared" si="1973"/>
        <v>-</v>
      </c>
      <c r="K1551" s="333">
        <f t="shared" si="1970"/>
        <v>0</v>
      </c>
      <c r="L1551" s="272">
        <f t="shared" si="1971"/>
        <v>0</v>
      </c>
      <c r="M1551" s="273">
        <f t="shared" si="1972"/>
        <v>0</v>
      </c>
      <c r="N1551" s="337">
        <f t="shared" si="1964"/>
        <v>0</v>
      </c>
      <c r="O1551" s="263" t="str">
        <f t="shared" si="1949"/>
        <v>-</v>
      </c>
    </row>
    <row r="1552" spans="1:15" ht="23.4" x14ac:dyDescent="0.3">
      <c r="A1552" s="274" t="s">
        <v>103</v>
      </c>
      <c r="B1552" s="1044"/>
      <c r="C1552" s="295" t="s">
        <v>241</v>
      </c>
      <c r="D1552" s="275" t="s">
        <v>243</v>
      </c>
      <c r="E1552" s="276"/>
      <c r="F1552" s="277"/>
      <c r="G1552" s="333">
        <f t="shared" si="1969"/>
        <v>0</v>
      </c>
      <c r="H1552" s="278">
        <v>0</v>
      </c>
      <c r="I1552" s="278">
        <v>0</v>
      </c>
      <c r="J1552" s="351" t="str">
        <f t="shared" si="1973"/>
        <v>-</v>
      </c>
      <c r="K1552" s="333">
        <f t="shared" si="1970"/>
        <v>0</v>
      </c>
      <c r="L1552" s="272">
        <f t="shared" si="1971"/>
        <v>0</v>
      </c>
      <c r="M1552" s="273">
        <f t="shared" si="1972"/>
        <v>0</v>
      </c>
      <c r="N1552" s="337" t="str">
        <f t="shared" si="1964"/>
        <v>-</v>
      </c>
      <c r="O1552" s="263" t="str">
        <f t="shared" si="1949"/>
        <v>-</v>
      </c>
    </row>
    <row r="1553" spans="1:15" ht="23.4" x14ac:dyDescent="0.3">
      <c r="A1553" s="274"/>
      <c r="B1553" s="1045"/>
      <c r="C1553" s="295" t="s">
        <v>546</v>
      </c>
      <c r="D1553" s="275" t="s">
        <v>238</v>
      </c>
      <c r="E1553" s="280">
        <v>6000</v>
      </c>
      <c r="F1553" s="281"/>
      <c r="G1553" s="333">
        <f t="shared" si="1969"/>
        <v>0</v>
      </c>
      <c r="H1553" s="278">
        <v>0</v>
      </c>
      <c r="I1553" s="278">
        <v>0</v>
      </c>
      <c r="J1553" s="351" t="str">
        <f t="shared" si="1973"/>
        <v>-</v>
      </c>
      <c r="K1553" s="333">
        <f t="shared" si="1970"/>
        <v>0</v>
      </c>
      <c r="L1553" s="272">
        <f t="shared" si="1971"/>
        <v>0</v>
      </c>
      <c r="M1553" s="273">
        <f t="shared" si="1972"/>
        <v>0</v>
      </c>
      <c r="N1553" s="337">
        <f t="shared" si="1964"/>
        <v>0</v>
      </c>
      <c r="O1553" s="263" t="str">
        <f t="shared" si="1949"/>
        <v>-</v>
      </c>
    </row>
    <row r="1554" spans="1:15" ht="24" thickBot="1" x14ac:dyDescent="0.35">
      <c r="A1554" s="274" t="s">
        <v>103</v>
      </c>
      <c r="B1554" s="1045"/>
      <c r="C1554" s="295" t="s">
        <v>242</v>
      </c>
      <c r="D1554" s="275" t="s">
        <v>238</v>
      </c>
      <c r="E1554" s="280">
        <v>5000</v>
      </c>
      <c r="F1554" s="281"/>
      <c r="G1554" s="334">
        <f t="shared" si="1969"/>
        <v>0</v>
      </c>
      <c r="H1554" s="278">
        <v>0</v>
      </c>
      <c r="I1554" s="278">
        <v>0</v>
      </c>
      <c r="J1554" s="351" t="str">
        <f t="shared" si="1973"/>
        <v>-</v>
      </c>
      <c r="K1554" s="334">
        <f t="shared" si="1970"/>
        <v>0</v>
      </c>
      <c r="L1554" s="272">
        <f t="shared" si="1971"/>
        <v>0</v>
      </c>
      <c r="M1554" s="273">
        <f t="shared" si="1972"/>
        <v>0</v>
      </c>
      <c r="N1554" s="338">
        <f t="shared" si="1964"/>
        <v>0</v>
      </c>
      <c r="O1554" s="347" t="str">
        <f t="shared" si="1949"/>
        <v>-</v>
      </c>
    </row>
    <row r="1555" spans="1:15" ht="24" thickBot="1" x14ac:dyDescent="0.35">
      <c r="A1555" s="274" t="s">
        <v>103</v>
      </c>
      <c r="B1555" s="1025" t="s">
        <v>49</v>
      </c>
      <c r="C1555" s="1026"/>
      <c r="D1555" s="1027"/>
      <c r="E1555" s="284">
        <f>SUM(E1546:E1554)</f>
        <v>195500</v>
      </c>
      <c r="F1555" s="285">
        <v>14000</v>
      </c>
      <c r="G1555" s="320">
        <f>SUM(G1546:G1554)</f>
        <v>0</v>
      </c>
      <c r="H1555" s="321">
        <f t="shared" ref="H1555:I1555" si="1974">SUM(H1546:H1554)</f>
        <v>0</v>
      </c>
      <c r="I1555" s="321">
        <f t="shared" si="1974"/>
        <v>0</v>
      </c>
      <c r="J1555" s="345">
        <f>+G1556/F1556</f>
        <v>0.16959574468085106</v>
      </c>
      <c r="K1555" s="320">
        <f>SUM(K1546:K1554)</f>
        <v>0</v>
      </c>
      <c r="L1555" s="321">
        <f>+H1555</f>
        <v>0</v>
      </c>
      <c r="M1555" s="322">
        <f>+I1555</f>
        <v>0</v>
      </c>
      <c r="N1555" s="339">
        <f t="shared" si="1964"/>
        <v>0</v>
      </c>
      <c r="O1555" s="345" t="str">
        <f t="shared" si="1949"/>
        <v>-</v>
      </c>
    </row>
    <row r="1556" spans="1:15" ht="24" thickBot="1" x14ac:dyDescent="0.35">
      <c r="A1556" s="274" t="s">
        <v>103</v>
      </c>
      <c r="B1556" s="1047" t="s">
        <v>25</v>
      </c>
      <c r="C1556" s="1048"/>
      <c r="D1556" s="1049"/>
      <c r="E1556" s="326">
        <f t="shared" ref="E1556:F1556" si="1975">+E1545+E1555</f>
        <v>195500</v>
      </c>
      <c r="F1556" s="327">
        <f t="shared" si="1975"/>
        <v>94000</v>
      </c>
      <c r="G1556" s="326">
        <f>+G1545+G1555</f>
        <v>15942</v>
      </c>
      <c r="H1556" s="324">
        <f t="shared" ref="H1556:I1556" si="1976">+H1545+H1555</f>
        <v>15840</v>
      </c>
      <c r="I1556" s="324">
        <f t="shared" si="1976"/>
        <v>102</v>
      </c>
      <c r="J1556" s="349" t="str">
        <f>IFERROR(G1556/#REF!,"-")</f>
        <v>-</v>
      </c>
      <c r="K1556" s="326">
        <f t="shared" ref="K1556" si="1977">+K1545+K1555</f>
        <v>140972</v>
      </c>
      <c r="L1556" s="324">
        <f>+L1545+L1555</f>
        <v>140580</v>
      </c>
      <c r="M1556" s="325">
        <f t="shared" ref="M1556" si="1978">+M1545+M1555</f>
        <v>392</v>
      </c>
      <c r="N1556" s="341">
        <f t="shared" si="1964"/>
        <v>0.72108439897698207</v>
      </c>
      <c r="O1556" s="349">
        <f t="shared" si="1949"/>
        <v>2.7806940385324747E-3</v>
      </c>
    </row>
    <row r="1557" spans="1:15" ht="24" thickBot="1" x14ac:dyDescent="0.35">
      <c r="A1557" s="274" t="s">
        <v>103</v>
      </c>
      <c r="B1557" s="1019" t="s">
        <v>172</v>
      </c>
      <c r="C1557" s="1020"/>
      <c r="D1557" s="1050"/>
      <c r="E1557" s="330">
        <f>+E1540+E1556</f>
        <v>3965500</v>
      </c>
      <c r="F1557" s="331">
        <f t="shared" ref="F1557:I1557" si="1979">+F1540+F1556</f>
        <v>559000</v>
      </c>
      <c r="G1557" s="330">
        <f t="shared" si="1979"/>
        <v>141952</v>
      </c>
      <c r="H1557" s="328">
        <f t="shared" si="1979"/>
        <v>141432</v>
      </c>
      <c r="I1557" s="328">
        <f t="shared" si="1979"/>
        <v>520</v>
      </c>
      <c r="J1557" s="350">
        <f>+G1557/F1557</f>
        <v>0.25393917710196778</v>
      </c>
      <c r="K1557" s="330">
        <f>+K1540+K1556</f>
        <v>2902207</v>
      </c>
      <c r="L1557" s="328">
        <f t="shared" ref="L1557:M1557" si="1980">+L1540+L1556</f>
        <v>2887826</v>
      </c>
      <c r="M1557" s="329">
        <f t="shared" si="1980"/>
        <v>14381</v>
      </c>
      <c r="N1557" s="342">
        <f>IFERROR(K1557/E1557,"-")</f>
        <v>0.73186407766990291</v>
      </c>
      <c r="O1557" s="350">
        <f t="shared" si="1949"/>
        <v>4.9551944434011773E-3</v>
      </c>
    </row>
    <row r="1558" spans="1:15" ht="23.4" x14ac:dyDescent="0.3">
      <c r="A1558" s="268" t="s">
        <v>101</v>
      </c>
      <c r="B1558" s="1051" t="s">
        <v>26</v>
      </c>
      <c r="C1558" s="893" t="s">
        <v>297</v>
      </c>
      <c r="D1558" s="898" t="s">
        <v>177</v>
      </c>
      <c r="E1558" s="895"/>
      <c r="F1558" s="271"/>
      <c r="G1558" s="332">
        <f t="shared" ref="G1558:G1567" si="1981">+H1558+I1558</f>
        <v>0</v>
      </c>
      <c r="H1558" s="272">
        <v>0</v>
      </c>
      <c r="I1558" s="272">
        <v>0</v>
      </c>
      <c r="J1558" s="351" t="str">
        <f>IFERROR(G1558/F1558,"-")</f>
        <v>-</v>
      </c>
      <c r="K1558" s="332">
        <f t="shared" ref="K1558:K1567" si="1982">+L1558+M1558</f>
        <v>0</v>
      </c>
      <c r="L1558" s="272">
        <f t="shared" ref="L1558:L1567" si="1983">+H1558+L1441</f>
        <v>0</v>
      </c>
      <c r="M1558" s="273">
        <f t="shared" ref="M1558:M1567" si="1984">+I1558+M1441</f>
        <v>0</v>
      </c>
      <c r="N1558" s="336" t="str">
        <f t="shared" ref="N1558:N1576" si="1985">IFERROR(K1558/E1558,"-")</f>
        <v>-</v>
      </c>
      <c r="O1558" s="346" t="str">
        <f t="shared" si="1949"/>
        <v>-</v>
      </c>
    </row>
    <row r="1559" spans="1:15" ht="23.4" x14ac:dyDescent="0.3">
      <c r="A1559" s="274" t="s">
        <v>101</v>
      </c>
      <c r="B1559" s="1051"/>
      <c r="C1559" s="253" t="s">
        <v>424</v>
      </c>
      <c r="D1559" s="899" t="s">
        <v>423</v>
      </c>
      <c r="E1559" s="511">
        <v>314432</v>
      </c>
      <c r="F1559" s="277"/>
      <c r="G1559" s="333">
        <f t="shared" si="1981"/>
        <v>0</v>
      </c>
      <c r="H1559" s="278">
        <v>0</v>
      </c>
      <c r="I1559" s="278">
        <v>0</v>
      </c>
      <c r="J1559" s="351" t="str">
        <f t="shared" ref="J1559:J1567" si="1986">IFERROR(G1559/F1559,"-")</f>
        <v>-</v>
      </c>
      <c r="K1559" s="333">
        <f t="shared" si="1982"/>
        <v>265434</v>
      </c>
      <c r="L1559" s="272">
        <f t="shared" si="1983"/>
        <v>262548</v>
      </c>
      <c r="M1559" s="273">
        <f t="shared" si="1984"/>
        <v>2886</v>
      </c>
      <c r="N1559" s="337">
        <f t="shared" si="1985"/>
        <v>0.84416980460004076</v>
      </c>
      <c r="O1559" s="263">
        <f t="shared" si="1949"/>
        <v>1.0872759330002939E-2</v>
      </c>
    </row>
    <row r="1560" spans="1:15" ht="23.4" x14ac:dyDescent="0.3">
      <c r="A1560" s="274" t="s">
        <v>101</v>
      </c>
      <c r="B1560" s="1051"/>
      <c r="C1560" s="813" t="s">
        <v>27</v>
      </c>
      <c r="D1560" s="899" t="s">
        <v>334</v>
      </c>
      <c r="E1560" s="896">
        <v>932448</v>
      </c>
      <c r="F1560" s="281"/>
      <c r="G1560" s="333">
        <f t="shared" si="1981"/>
        <v>0</v>
      </c>
      <c r="H1560" s="278">
        <v>0</v>
      </c>
      <c r="I1560" s="278">
        <v>0</v>
      </c>
      <c r="J1560" s="351" t="str">
        <f t="shared" si="1986"/>
        <v>-</v>
      </c>
      <c r="K1560" s="333">
        <f t="shared" si="1982"/>
        <v>37943</v>
      </c>
      <c r="L1560" s="272">
        <f t="shared" si="1983"/>
        <v>35802</v>
      </c>
      <c r="M1560" s="273">
        <f t="shared" si="1984"/>
        <v>2141</v>
      </c>
      <c r="N1560" s="337">
        <f t="shared" si="1985"/>
        <v>4.0691813377260716E-2</v>
      </c>
      <c r="O1560" s="263">
        <f t="shared" si="1949"/>
        <v>5.6426745381229743E-2</v>
      </c>
    </row>
    <row r="1561" spans="1:15" ht="23.4" x14ac:dyDescent="0.3">
      <c r="A1561" s="274" t="s">
        <v>101</v>
      </c>
      <c r="B1561" s="1051"/>
      <c r="C1561" s="813" t="s">
        <v>27</v>
      </c>
      <c r="D1561" s="900" t="s">
        <v>492</v>
      </c>
      <c r="E1561" s="896"/>
      <c r="F1561" s="281"/>
      <c r="G1561" s="333">
        <f t="shared" si="1981"/>
        <v>0</v>
      </c>
      <c r="H1561" s="278">
        <v>0</v>
      </c>
      <c r="I1561" s="278">
        <v>0</v>
      </c>
      <c r="J1561" s="351" t="str">
        <f t="shared" si="1986"/>
        <v>-</v>
      </c>
      <c r="K1561" s="333">
        <f t="shared" si="1982"/>
        <v>274869</v>
      </c>
      <c r="L1561" s="272">
        <f t="shared" si="1983"/>
        <v>270504</v>
      </c>
      <c r="M1561" s="273">
        <f t="shared" si="1984"/>
        <v>4365</v>
      </c>
      <c r="N1561" s="337" t="str">
        <f t="shared" si="1985"/>
        <v>-</v>
      </c>
      <c r="O1561" s="263">
        <f t="shared" si="1949"/>
        <v>1.588029206640254E-2</v>
      </c>
    </row>
    <row r="1562" spans="1:15" ht="23.4" x14ac:dyDescent="0.3">
      <c r="A1562" s="274" t="s">
        <v>101</v>
      </c>
      <c r="B1562" s="1051"/>
      <c r="C1562" s="893" t="s">
        <v>521</v>
      </c>
      <c r="D1562" s="899" t="s">
        <v>234</v>
      </c>
      <c r="E1562" s="896">
        <v>136768</v>
      </c>
      <c r="F1562" s="281"/>
      <c r="G1562" s="333">
        <f t="shared" si="1981"/>
        <v>0</v>
      </c>
      <c r="H1562" s="278">
        <v>0</v>
      </c>
      <c r="I1562" s="278">
        <v>0</v>
      </c>
      <c r="J1562" s="351" t="str">
        <f t="shared" si="1986"/>
        <v>-</v>
      </c>
      <c r="K1562" s="333">
        <f t="shared" si="1982"/>
        <v>57116</v>
      </c>
      <c r="L1562" s="272">
        <f t="shared" si="1983"/>
        <v>55692</v>
      </c>
      <c r="M1562" s="273">
        <f t="shared" si="1984"/>
        <v>1424</v>
      </c>
      <c r="N1562" s="337">
        <f t="shared" si="1985"/>
        <v>0.41761230697239121</v>
      </c>
      <c r="O1562" s="263">
        <f t="shared" si="1949"/>
        <v>2.4931717907416485E-2</v>
      </c>
    </row>
    <row r="1563" spans="1:15" ht="23.4" x14ac:dyDescent="0.3">
      <c r="A1563" s="274"/>
      <c r="B1563" s="1051"/>
      <c r="C1563" s="813" t="s">
        <v>432</v>
      </c>
      <c r="D1563" s="899" t="s">
        <v>178</v>
      </c>
      <c r="E1563" s="896"/>
      <c r="F1563" s="281"/>
      <c r="G1563" s="334">
        <f t="shared" si="1981"/>
        <v>0</v>
      </c>
      <c r="H1563" s="278">
        <v>0</v>
      </c>
      <c r="I1563" s="278">
        <v>0</v>
      </c>
      <c r="J1563" s="351" t="str">
        <f t="shared" si="1986"/>
        <v>-</v>
      </c>
      <c r="K1563" s="334">
        <f t="shared" si="1982"/>
        <v>0</v>
      </c>
      <c r="L1563" s="272">
        <f t="shared" si="1983"/>
        <v>0</v>
      </c>
      <c r="M1563" s="273">
        <f t="shared" si="1984"/>
        <v>0</v>
      </c>
      <c r="N1563" s="337" t="str">
        <f t="shared" si="1985"/>
        <v>-</v>
      </c>
      <c r="O1563" s="263" t="str">
        <f t="shared" si="1949"/>
        <v>-</v>
      </c>
    </row>
    <row r="1564" spans="1:15" ht="23.4" x14ac:dyDescent="0.3">
      <c r="A1564" s="274"/>
      <c r="B1564" s="1051"/>
      <c r="C1564" s="813" t="s">
        <v>333</v>
      </c>
      <c r="D1564" s="899" t="s">
        <v>94</v>
      </c>
      <c r="E1564" s="896">
        <v>32016</v>
      </c>
      <c r="F1564" s="281"/>
      <c r="G1564" s="334">
        <f t="shared" si="1981"/>
        <v>0</v>
      </c>
      <c r="H1564" s="278">
        <v>0</v>
      </c>
      <c r="I1564" s="278">
        <v>0</v>
      </c>
      <c r="J1564" s="351" t="str">
        <f t="shared" si="1986"/>
        <v>-</v>
      </c>
      <c r="K1564" s="334">
        <f t="shared" si="1982"/>
        <v>0</v>
      </c>
      <c r="L1564" s="272">
        <f t="shared" si="1983"/>
        <v>0</v>
      </c>
      <c r="M1564" s="273">
        <f t="shared" si="1984"/>
        <v>0</v>
      </c>
      <c r="N1564" s="337">
        <f t="shared" si="1985"/>
        <v>0</v>
      </c>
      <c r="O1564" s="263" t="str">
        <f t="shared" si="1949"/>
        <v>-</v>
      </c>
    </row>
    <row r="1565" spans="1:15" ht="23.4" x14ac:dyDescent="0.3">
      <c r="A1565" s="274"/>
      <c r="B1565" s="1051"/>
      <c r="C1565" s="813" t="s">
        <v>433</v>
      </c>
      <c r="D1565" s="899" t="s">
        <v>540</v>
      </c>
      <c r="E1565" s="896"/>
      <c r="F1565" s="281"/>
      <c r="G1565" s="334">
        <f t="shared" si="1981"/>
        <v>0</v>
      </c>
      <c r="H1565" s="278">
        <v>0</v>
      </c>
      <c r="I1565" s="278">
        <v>0</v>
      </c>
      <c r="J1565" s="351" t="str">
        <f t="shared" si="1986"/>
        <v>-</v>
      </c>
      <c r="K1565" s="334">
        <f t="shared" si="1982"/>
        <v>358419</v>
      </c>
      <c r="L1565" s="272">
        <f t="shared" si="1983"/>
        <v>354042</v>
      </c>
      <c r="M1565" s="272">
        <f t="shared" si="1984"/>
        <v>4377</v>
      </c>
      <c r="N1565" s="337" t="str">
        <f t="shared" si="1985"/>
        <v>-</v>
      </c>
      <c r="O1565" s="263">
        <f t="shared" si="1949"/>
        <v>1.2211964209486663E-2</v>
      </c>
    </row>
    <row r="1566" spans="1:15" ht="23.4" x14ac:dyDescent="0.3">
      <c r="A1566" s="274"/>
      <c r="B1566" s="1051"/>
      <c r="C1566" s="813" t="s">
        <v>382</v>
      </c>
      <c r="D1566" s="899" t="s">
        <v>366</v>
      </c>
      <c r="E1566" s="896"/>
      <c r="F1566" s="281"/>
      <c r="G1566" s="334">
        <f t="shared" si="1981"/>
        <v>32260</v>
      </c>
      <c r="H1566" s="278">
        <v>31824</v>
      </c>
      <c r="I1566" s="278">
        <v>436</v>
      </c>
      <c r="J1566" s="351" t="str">
        <f t="shared" si="1986"/>
        <v>-</v>
      </c>
      <c r="K1566" s="334">
        <f t="shared" si="1982"/>
        <v>201807</v>
      </c>
      <c r="L1566" s="272">
        <f t="shared" si="1983"/>
        <v>198900</v>
      </c>
      <c r="M1566" s="273">
        <f t="shared" si="1984"/>
        <v>2907</v>
      </c>
      <c r="N1566" s="337" t="str">
        <f t="shared" si="1985"/>
        <v>-</v>
      </c>
      <c r="O1566" s="263">
        <f t="shared" si="1949"/>
        <v>1.4404852160727824E-2</v>
      </c>
    </row>
    <row r="1567" spans="1:15" ht="24" thickBot="1" x14ac:dyDescent="0.35">
      <c r="A1567" s="274" t="s">
        <v>101</v>
      </c>
      <c r="B1567" s="1051"/>
      <c r="C1567" s="894" t="s">
        <v>290</v>
      </c>
      <c r="D1567" s="901" t="s">
        <v>289</v>
      </c>
      <c r="E1567" s="896"/>
      <c r="F1567" s="281"/>
      <c r="G1567" s="334">
        <f t="shared" si="1981"/>
        <v>0</v>
      </c>
      <c r="H1567" s="278">
        <v>0</v>
      </c>
      <c r="I1567" s="278">
        <v>0</v>
      </c>
      <c r="J1567" s="351" t="str">
        <f t="shared" si="1986"/>
        <v>-</v>
      </c>
      <c r="K1567" s="334">
        <f t="shared" si="1982"/>
        <v>0</v>
      </c>
      <c r="L1567" s="272">
        <f t="shared" si="1983"/>
        <v>0</v>
      </c>
      <c r="M1567" s="273">
        <f t="shared" si="1984"/>
        <v>0</v>
      </c>
      <c r="N1567" s="337" t="str">
        <f t="shared" si="1985"/>
        <v>-</v>
      </c>
      <c r="O1567" s="347" t="str">
        <f t="shared" si="1949"/>
        <v>-</v>
      </c>
    </row>
    <row r="1568" spans="1:15" ht="24" thickBot="1" x14ac:dyDescent="0.35">
      <c r="A1568" s="274" t="s">
        <v>101</v>
      </c>
      <c r="B1568" s="1052"/>
      <c r="C1568" s="301"/>
      <c r="D1568" s="897" t="s">
        <v>52</v>
      </c>
      <c r="E1568" s="284">
        <f>SUM(E1558:E1567)</f>
        <v>1415664</v>
      </c>
      <c r="F1568" s="285">
        <v>160000</v>
      </c>
      <c r="G1568" s="320">
        <f>SUM(G1558:G1567)</f>
        <v>32260</v>
      </c>
      <c r="H1568" s="321">
        <f>SUM(H1558:H1567)</f>
        <v>31824</v>
      </c>
      <c r="I1568" s="321">
        <f>SUM(I1558:I1567)</f>
        <v>436</v>
      </c>
      <c r="J1568" s="345">
        <f>+G1568/F1568</f>
        <v>0.201625</v>
      </c>
      <c r="K1568" s="320">
        <f>SUM(K1558:K1567)</f>
        <v>1195588</v>
      </c>
      <c r="L1568" s="321">
        <f>SUM(L1558:L1567)</f>
        <v>1177488</v>
      </c>
      <c r="M1568" s="322">
        <f>SUM(M1558:M1567)</f>
        <v>18100</v>
      </c>
      <c r="N1568" s="339">
        <f t="shared" si="1985"/>
        <v>0.84454220775551259</v>
      </c>
      <c r="O1568" s="345">
        <f t="shared" si="1949"/>
        <v>1.5138994369297784E-2</v>
      </c>
    </row>
    <row r="1569" spans="1:15" ht="23.4" x14ac:dyDescent="0.3">
      <c r="A1569" s="274" t="s">
        <v>101</v>
      </c>
      <c r="B1569" s="1053" t="s">
        <v>28</v>
      </c>
      <c r="C1569" s="299" t="s">
        <v>27</v>
      </c>
      <c r="D1569" s="297" t="s">
        <v>492</v>
      </c>
      <c r="E1569" s="270"/>
      <c r="F1569" s="271"/>
      <c r="G1569" s="332">
        <f t="shared" ref="G1569:G1573" si="1987">+H1569+I1569</f>
        <v>0</v>
      </c>
      <c r="H1569" s="272">
        <v>0</v>
      </c>
      <c r="I1569" s="272">
        <v>0</v>
      </c>
      <c r="J1569" s="351" t="str">
        <f>IFERROR(G1569/F1569,"-")</f>
        <v>-</v>
      </c>
      <c r="K1569" s="332">
        <f t="shared" ref="K1569:K1575" si="1988">+L1569+M1569</f>
        <v>170343</v>
      </c>
      <c r="L1569" s="272">
        <f t="shared" ref="L1569:L1575" si="1989">+H1569+L1452</f>
        <v>167076</v>
      </c>
      <c r="M1569" s="273">
        <f t="shared" ref="M1569:M1575" si="1990">+I1569+M1452</f>
        <v>3267</v>
      </c>
      <c r="N1569" s="336" t="str">
        <f t="shared" si="1985"/>
        <v>-</v>
      </c>
      <c r="O1569" s="346">
        <f t="shared" si="1949"/>
        <v>1.9178950705341577E-2</v>
      </c>
    </row>
    <row r="1570" spans="1:15" ht="23.4" x14ac:dyDescent="0.3">
      <c r="A1570" s="274" t="s">
        <v>101</v>
      </c>
      <c r="B1570" s="1051"/>
      <c r="C1570" s="299" t="s">
        <v>385</v>
      </c>
      <c r="D1570" s="299" t="s">
        <v>334</v>
      </c>
      <c r="E1570" s="276"/>
      <c r="F1570" s="277"/>
      <c r="G1570" s="333">
        <f t="shared" si="1987"/>
        <v>0</v>
      </c>
      <c r="H1570" s="278">
        <v>0</v>
      </c>
      <c r="I1570" s="278">
        <v>0</v>
      </c>
      <c r="J1570" s="351" t="str">
        <f t="shared" ref="J1570:J1575" si="1991">IFERROR(G1570/F1570,"-")</f>
        <v>-</v>
      </c>
      <c r="K1570" s="333">
        <f t="shared" si="1988"/>
        <v>96975</v>
      </c>
      <c r="L1570" s="272">
        <f t="shared" si="1989"/>
        <v>95472</v>
      </c>
      <c r="M1570" s="273">
        <f t="shared" si="1990"/>
        <v>1503</v>
      </c>
      <c r="N1570" s="337" t="str">
        <f t="shared" si="1985"/>
        <v>-</v>
      </c>
      <c r="O1570" s="263">
        <f t="shared" si="1949"/>
        <v>1.5498839907192575E-2</v>
      </c>
    </row>
    <row r="1571" spans="1:15" ht="23.4" x14ac:dyDescent="0.3">
      <c r="A1571" s="274" t="s">
        <v>101</v>
      </c>
      <c r="B1571" s="1051"/>
      <c r="C1571" s="299" t="s">
        <v>27</v>
      </c>
      <c r="D1571" s="299" t="s">
        <v>334</v>
      </c>
      <c r="E1571" s="276"/>
      <c r="F1571" s="277"/>
      <c r="G1571" s="333">
        <f t="shared" si="1987"/>
        <v>0</v>
      </c>
      <c r="H1571" s="278">
        <v>0</v>
      </c>
      <c r="I1571" s="278">
        <v>0</v>
      </c>
      <c r="J1571" s="351" t="str">
        <f t="shared" si="1991"/>
        <v>-</v>
      </c>
      <c r="K1571" s="333">
        <f t="shared" si="1988"/>
        <v>0</v>
      </c>
      <c r="L1571" s="272">
        <f t="shared" si="1989"/>
        <v>0</v>
      </c>
      <c r="M1571" s="273">
        <f t="shared" si="1990"/>
        <v>0</v>
      </c>
      <c r="N1571" s="337" t="str">
        <f t="shared" si="1985"/>
        <v>-</v>
      </c>
      <c r="O1571" s="263" t="str">
        <f t="shared" si="1949"/>
        <v>-</v>
      </c>
    </row>
    <row r="1572" spans="1:15" ht="23.4" x14ac:dyDescent="0.3">
      <c r="A1572" s="274"/>
      <c r="B1572" s="1051"/>
      <c r="C1572" s="299" t="s">
        <v>460</v>
      </c>
      <c r="D1572" s="299" t="s">
        <v>334</v>
      </c>
      <c r="E1572" s="280"/>
      <c r="F1572" s="281"/>
      <c r="G1572" s="333">
        <f t="shared" si="1987"/>
        <v>0</v>
      </c>
      <c r="H1572" s="278">
        <v>0</v>
      </c>
      <c r="I1572" s="278">
        <v>0</v>
      </c>
      <c r="J1572" s="351" t="str">
        <f t="shared" si="1991"/>
        <v>-</v>
      </c>
      <c r="K1572" s="333">
        <f t="shared" si="1988"/>
        <v>4348</v>
      </c>
      <c r="L1572" s="272">
        <f t="shared" si="1989"/>
        <v>3978</v>
      </c>
      <c r="M1572" s="273">
        <f t="shared" si="1990"/>
        <v>370</v>
      </c>
      <c r="N1572" s="337" t="str">
        <f t="shared" si="1985"/>
        <v>-</v>
      </c>
      <c r="O1572" s="263">
        <f t="shared" si="1949"/>
        <v>8.5096596136154556E-2</v>
      </c>
    </row>
    <row r="1573" spans="1:15" ht="23.4" x14ac:dyDescent="0.3">
      <c r="A1573" s="274" t="s">
        <v>101</v>
      </c>
      <c r="B1573" s="1051"/>
      <c r="C1573" s="299" t="s">
        <v>433</v>
      </c>
      <c r="D1573" s="299" t="s">
        <v>540</v>
      </c>
      <c r="E1573" s="280"/>
      <c r="F1573" s="281"/>
      <c r="G1573" s="334">
        <f t="shared" si="1987"/>
        <v>0</v>
      </c>
      <c r="H1573" s="278">
        <v>0</v>
      </c>
      <c r="I1573" s="278">
        <v>0</v>
      </c>
      <c r="J1573" s="351" t="str">
        <f t="shared" si="1991"/>
        <v>-</v>
      </c>
      <c r="K1573" s="334">
        <f t="shared" si="1988"/>
        <v>128335</v>
      </c>
      <c r="L1573" s="272">
        <f t="shared" si="1989"/>
        <v>127296</v>
      </c>
      <c r="M1573" s="702">
        <f t="shared" si="1990"/>
        <v>1039</v>
      </c>
      <c r="N1573" s="338" t="str">
        <f t="shared" si="1985"/>
        <v>-</v>
      </c>
      <c r="O1573" s="347">
        <f t="shared" si="1949"/>
        <v>8.0959987532629452E-3</v>
      </c>
    </row>
    <row r="1574" spans="1:15" ht="23.4" x14ac:dyDescent="0.3">
      <c r="A1574" s="274"/>
      <c r="B1574" s="1051"/>
      <c r="C1574" s="299" t="s">
        <v>458</v>
      </c>
      <c r="D1574" s="300" t="s">
        <v>280</v>
      </c>
      <c r="E1574" s="280">
        <v>200000</v>
      </c>
      <c r="F1574" s="281"/>
      <c r="G1574" s="334"/>
      <c r="H1574" s="278">
        <v>0</v>
      </c>
      <c r="I1574" s="278">
        <v>0</v>
      </c>
      <c r="J1574" s="351" t="str">
        <f t="shared" si="1991"/>
        <v>-</v>
      </c>
      <c r="K1574" s="334">
        <f t="shared" si="1988"/>
        <v>0</v>
      </c>
      <c r="L1574" s="272">
        <f t="shared" si="1989"/>
        <v>0</v>
      </c>
      <c r="M1574" s="272">
        <f t="shared" si="1990"/>
        <v>0</v>
      </c>
      <c r="N1574" s="338">
        <f t="shared" si="1985"/>
        <v>0</v>
      </c>
      <c r="O1574" s="347" t="str">
        <f t="shared" si="1949"/>
        <v>-</v>
      </c>
    </row>
    <row r="1575" spans="1:15" ht="24" thickBot="1" x14ac:dyDescent="0.35">
      <c r="A1575" s="274" t="s">
        <v>101</v>
      </c>
      <c r="B1575" s="1051"/>
      <c r="C1575" s="299" t="s">
        <v>27</v>
      </c>
      <c r="D1575" s="300" t="s">
        <v>234</v>
      </c>
      <c r="E1575" s="280">
        <v>250000</v>
      </c>
      <c r="F1575" s="281"/>
      <c r="G1575" s="334">
        <f t="shared" ref="G1575" si="1992">+H1575+I1575</f>
        <v>0</v>
      </c>
      <c r="H1575" s="278">
        <v>0</v>
      </c>
      <c r="I1575" s="278">
        <v>0</v>
      </c>
      <c r="J1575" s="351" t="str">
        <f t="shared" si="1991"/>
        <v>-</v>
      </c>
      <c r="K1575" s="334">
        <f t="shared" si="1988"/>
        <v>0</v>
      </c>
      <c r="L1575" s="272">
        <f t="shared" si="1989"/>
        <v>0</v>
      </c>
      <c r="M1575" s="702">
        <f t="shared" si="1990"/>
        <v>0</v>
      </c>
      <c r="N1575" s="338">
        <f t="shared" si="1985"/>
        <v>0</v>
      </c>
      <c r="O1575" s="347" t="str">
        <f t="shared" si="1949"/>
        <v>-</v>
      </c>
    </row>
    <row r="1576" spans="1:15" ht="24" thickBot="1" x14ac:dyDescent="0.35">
      <c r="A1576" s="274" t="s">
        <v>101</v>
      </c>
      <c r="B1576" s="1051"/>
      <c r="C1576" s="304"/>
      <c r="D1576" s="305" t="s">
        <v>52</v>
      </c>
      <c r="E1576" s="306">
        <f>SUM(E1569:E1575)</f>
        <v>450000</v>
      </c>
      <c r="F1576" s="307">
        <v>80000</v>
      </c>
      <c r="G1576" s="366">
        <f>SUM(G1569:G1575)</f>
        <v>0</v>
      </c>
      <c r="H1576" s="365">
        <f>SUM(H1569:H1575)</f>
        <v>0</v>
      </c>
      <c r="I1576" s="365">
        <f>SUM(I1569:I1575)</f>
        <v>0</v>
      </c>
      <c r="J1576" s="356">
        <f>+G1576/F1576</f>
        <v>0</v>
      </c>
      <c r="K1576" s="366">
        <f>SUM(K1569:K1575)</f>
        <v>400001</v>
      </c>
      <c r="L1576" s="365">
        <f>SUM(L1569:L1575)</f>
        <v>393822</v>
      </c>
      <c r="M1576" s="367">
        <f>SUM(M1569:M1575)</f>
        <v>6179</v>
      </c>
      <c r="N1576" s="355">
        <f t="shared" si="1985"/>
        <v>0.88889111111111108</v>
      </c>
      <c r="O1576" s="356">
        <f t="shared" si="1949"/>
        <v>1.5447461381346547E-2</v>
      </c>
    </row>
    <row r="1577" spans="1:15" ht="24" thickBot="1" x14ac:dyDescent="0.35">
      <c r="A1577" s="953" t="s">
        <v>101</v>
      </c>
      <c r="B1577" s="1054" t="s">
        <v>162</v>
      </c>
      <c r="C1577" s="1055"/>
      <c r="D1577" s="1056"/>
      <c r="E1577" s="308">
        <f>+E1576+E1568</f>
        <v>1865664</v>
      </c>
      <c r="F1577" s="309">
        <f>+F1576+F1568</f>
        <v>240000</v>
      </c>
      <c r="G1577" s="369">
        <f>+G1568+G1576</f>
        <v>32260</v>
      </c>
      <c r="H1577" s="368">
        <f>+H1568+H1576</f>
        <v>31824</v>
      </c>
      <c r="I1577" s="368">
        <f>+I1568+I1576</f>
        <v>436</v>
      </c>
      <c r="J1577" s="358">
        <f>+G1577/F1577</f>
        <v>0.13441666666666666</v>
      </c>
      <c r="K1577" s="369">
        <f>+K1568+K1576</f>
        <v>1595589</v>
      </c>
      <c r="L1577" s="368">
        <f>+L1568+L1576</f>
        <v>1571310</v>
      </c>
      <c r="M1577" s="370">
        <f>+M1568+M1576</f>
        <v>24279</v>
      </c>
      <c r="N1577" s="357">
        <f>IFERROR(K1577/E1577,"-")</f>
        <v>0.85523920705979206</v>
      </c>
      <c r="O1577" s="358">
        <f t="shared" si="1949"/>
        <v>1.5216324504618671E-2</v>
      </c>
    </row>
    <row r="1578" spans="1:15" ht="23.4" x14ac:dyDescent="0.3">
      <c r="A1578" s="274" t="s">
        <v>101</v>
      </c>
      <c r="B1578" s="1051" t="s">
        <v>30</v>
      </c>
      <c r="C1578" s="303" t="s">
        <v>446</v>
      </c>
      <c r="D1578" s="299" t="s">
        <v>492</v>
      </c>
      <c r="E1578" s="270">
        <v>225000</v>
      </c>
      <c r="F1578" s="271"/>
      <c r="G1578" s="332">
        <f t="shared" ref="G1578:G1580" si="1993">+H1578+I1578</f>
        <v>68749</v>
      </c>
      <c r="H1578" s="272">
        <v>67392</v>
      </c>
      <c r="I1578" s="272">
        <v>1357</v>
      </c>
      <c r="J1578" s="351" t="str">
        <f>IFERROR(G1578/F1578,"-")</f>
        <v>-</v>
      </c>
      <c r="K1578" s="332">
        <f t="shared" ref="K1578:K1580" si="1994">+L1578+M1578</f>
        <v>105462</v>
      </c>
      <c r="L1578" s="272">
        <f t="shared" ref="L1578:L1580" si="1995">+H1578+L1461</f>
        <v>102960</v>
      </c>
      <c r="M1578" s="273">
        <f t="shared" ref="M1578:M1580" si="1996">+I1578+M1461</f>
        <v>2502</v>
      </c>
      <c r="N1578" s="336">
        <f t="shared" ref="N1578:N1591" si="1997">IFERROR(K1578/E1578,"-")</f>
        <v>0.46872000000000003</v>
      </c>
      <c r="O1578" s="346">
        <f t="shared" si="1949"/>
        <v>2.3724185014507595E-2</v>
      </c>
    </row>
    <row r="1579" spans="1:15" ht="23.4" x14ac:dyDescent="0.3">
      <c r="A1579" s="274" t="s">
        <v>101</v>
      </c>
      <c r="B1579" s="1051"/>
      <c r="C1579" s="300" t="s">
        <v>548</v>
      </c>
      <c r="D1579" s="303" t="s">
        <v>522</v>
      </c>
      <c r="E1579" s="276">
        <v>125000</v>
      </c>
      <c r="F1579" s="277"/>
      <c r="G1579" s="333">
        <f t="shared" si="1993"/>
        <v>0</v>
      </c>
      <c r="H1579" s="278">
        <v>0</v>
      </c>
      <c r="I1579" s="278">
        <v>0</v>
      </c>
      <c r="J1579" s="351" t="str">
        <f t="shared" ref="J1579:J1580" si="1998">IFERROR(G1579/F1579,"-")</f>
        <v>-</v>
      </c>
      <c r="K1579" s="333">
        <f t="shared" si="1994"/>
        <v>0</v>
      </c>
      <c r="L1579" s="272">
        <f t="shared" si="1995"/>
        <v>0</v>
      </c>
      <c r="M1579" s="273">
        <f t="shared" si="1996"/>
        <v>0</v>
      </c>
      <c r="N1579" s="337">
        <f t="shared" si="1997"/>
        <v>0</v>
      </c>
      <c r="O1579" s="263" t="str">
        <f t="shared" si="1949"/>
        <v>-</v>
      </c>
    </row>
    <row r="1580" spans="1:15" ht="24" thickBot="1" x14ac:dyDescent="0.35">
      <c r="A1580" s="274" t="s">
        <v>101</v>
      </c>
      <c r="B1580" s="1051"/>
      <c r="C1580" s="300" t="s">
        <v>291</v>
      </c>
      <c r="D1580" s="300" t="s">
        <v>366</v>
      </c>
      <c r="E1580" s="280"/>
      <c r="F1580" s="281"/>
      <c r="G1580" s="334">
        <f t="shared" si="1993"/>
        <v>0</v>
      </c>
      <c r="H1580" s="282">
        <v>0</v>
      </c>
      <c r="I1580" s="282">
        <v>0</v>
      </c>
      <c r="J1580" s="351" t="str">
        <f t="shared" si="1998"/>
        <v>-</v>
      </c>
      <c r="K1580" s="334">
        <f t="shared" si="1994"/>
        <v>51611</v>
      </c>
      <c r="L1580" s="272">
        <f t="shared" si="1995"/>
        <v>50544</v>
      </c>
      <c r="M1580" s="273">
        <f t="shared" si="1996"/>
        <v>1067</v>
      </c>
      <c r="N1580" s="338" t="str">
        <f t="shared" si="1997"/>
        <v>-</v>
      </c>
      <c r="O1580" s="347">
        <f t="shared" si="1949"/>
        <v>2.0673887349596017E-2</v>
      </c>
    </row>
    <row r="1581" spans="1:15" ht="24" thickBot="1" x14ac:dyDescent="0.35">
      <c r="A1581" s="274" t="s">
        <v>101</v>
      </c>
      <c r="B1581" s="1051"/>
      <c r="C1581" s="301"/>
      <c r="D1581" s="302" t="s">
        <v>50</v>
      </c>
      <c r="E1581" s="284">
        <f>SUM(E1578:E1580)</f>
        <v>350000</v>
      </c>
      <c r="F1581" s="285">
        <v>50000</v>
      </c>
      <c r="G1581" s="320">
        <f>SUM(G1578:G1580)</f>
        <v>68749</v>
      </c>
      <c r="H1581" s="321">
        <f>SUM(H1578:H1580)</f>
        <v>67392</v>
      </c>
      <c r="I1581" s="321">
        <f>SUM(I1578:I1580)</f>
        <v>1357</v>
      </c>
      <c r="J1581" s="345">
        <f>+G1581/F1581</f>
        <v>1.3749800000000001</v>
      </c>
      <c r="K1581" s="320">
        <f>SUM(K1578:K1580)</f>
        <v>157073</v>
      </c>
      <c r="L1581" s="321">
        <f>SUM(L1578:L1580)</f>
        <v>153504</v>
      </c>
      <c r="M1581" s="322">
        <f>SUM(M1578:M1580)</f>
        <v>3569</v>
      </c>
      <c r="N1581" s="339">
        <f t="shared" si="1997"/>
        <v>0.44878000000000001</v>
      </c>
      <c r="O1581" s="345">
        <f t="shared" si="1949"/>
        <v>2.2721919107676049E-2</v>
      </c>
    </row>
    <row r="1582" spans="1:15" ht="23.4" x14ac:dyDescent="0.3">
      <c r="A1582" s="274" t="s">
        <v>101</v>
      </c>
      <c r="B1582" s="1051"/>
      <c r="C1582" s="297" t="s">
        <v>434</v>
      </c>
      <c r="D1582" s="297" t="s">
        <v>92</v>
      </c>
      <c r="E1582" s="270"/>
      <c r="F1582" s="271"/>
      <c r="G1582" s="332">
        <f t="shared" ref="G1582:G1587" si="1999">+H1582+I1582</f>
        <v>0</v>
      </c>
      <c r="H1582" s="272">
        <v>0</v>
      </c>
      <c r="I1582" s="272">
        <v>0</v>
      </c>
      <c r="J1582" s="351" t="str">
        <f>IFERROR(G1582/F1582,"-")</f>
        <v>-</v>
      </c>
      <c r="K1582" s="332">
        <f t="shared" ref="K1582:K1587" si="2000">+L1582+M1582</f>
        <v>0</v>
      </c>
      <c r="L1582" s="272">
        <f t="shared" ref="L1582:L1587" si="2001">+H1582+L1465</f>
        <v>0</v>
      </c>
      <c r="M1582" s="273">
        <f t="shared" ref="M1582:M1587" si="2002">+I1582+M1465</f>
        <v>0</v>
      </c>
      <c r="N1582" s="336" t="str">
        <f t="shared" si="1997"/>
        <v>-</v>
      </c>
      <c r="O1582" s="346" t="str">
        <f t="shared" si="1949"/>
        <v>-</v>
      </c>
    </row>
    <row r="1583" spans="1:15" ht="23.4" x14ac:dyDescent="0.3">
      <c r="A1583" s="274"/>
      <c r="B1583" s="1051"/>
      <c r="C1583" s="303" t="s">
        <v>449</v>
      </c>
      <c r="D1583" s="299" t="s">
        <v>334</v>
      </c>
      <c r="E1583" s="270"/>
      <c r="F1583" s="271"/>
      <c r="G1583" s="332">
        <f t="shared" si="1999"/>
        <v>0</v>
      </c>
      <c r="H1583" s="272">
        <v>0</v>
      </c>
      <c r="I1583" s="272">
        <v>0</v>
      </c>
      <c r="J1583" s="351" t="str">
        <f t="shared" ref="J1583:J1587" si="2003">IFERROR(G1583/F1583,"-")</f>
        <v>-</v>
      </c>
      <c r="K1583" s="332">
        <f t="shared" si="2000"/>
        <v>0</v>
      </c>
      <c r="L1583" s="272">
        <f t="shared" si="2001"/>
        <v>0</v>
      </c>
      <c r="M1583" s="273">
        <f t="shared" si="2002"/>
        <v>0</v>
      </c>
      <c r="N1583" s="337" t="str">
        <f t="shared" si="1997"/>
        <v>-</v>
      </c>
      <c r="O1583" s="346" t="str">
        <f t="shared" si="1949"/>
        <v>-</v>
      </c>
    </row>
    <row r="1584" spans="1:15" ht="23.4" x14ac:dyDescent="0.3">
      <c r="A1584" s="274"/>
      <c r="B1584" s="1051"/>
      <c r="C1584" s="303" t="s">
        <v>452</v>
      </c>
      <c r="D1584" s="299" t="s">
        <v>334</v>
      </c>
      <c r="E1584" s="270"/>
      <c r="F1584" s="271"/>
      <c r="G1584" s="332">
        <f t="shared" si="1999"/>
        <v>0</v>
      </c>
      <c r="H1584" s="272">
        <v>0</v>
      </c>
      <c r="I1584" s="272">
        <v>0</v>
      </c>
      <c r="J1584" s="351" t="str">
        <f t="shared" si="2003"/>
        <v>-</v>
      </c>
      <c r="K1584" s="332">
        <f t="shared" si="2000"/>
        <v>0</v>
      </c>
      <c r="L1584" s="272">
        <f t="shared" si="2001"/>
        <v>0</v>
      </c>
      <c r="M1584" s="273">
        <f t="shared" si="2002"/>
        <v>0</v>
      </c>
      <c r="N1584" s="337" t="str">
        <f t="shared" si="1997"/>
        <v>-</v>
      </c>
      <c r="O1584" s="346" t="str">
        <f t="shared" si="1949"/>
        <v>-</v>
      </c>
    </row>
    <row r="1585" spans="1:15" ht="23.4" x14ac:dyDescent="0.3">
      <c r="A1585" s="274" t="s">
        <v>101</v>
      </c>
      <c r="B1585" s="1051"/>
      <c r="C1585" s="303" t="s">
        <v>501</v>
      </c>
      <c r="D1585" s="300" t="s">
        <v>423</v>
      </c>
      <c r="E1585" s="276"/>
      <c r="F1585" s="277"/>
      <c r="G1585" s="333">
        <f t="shared" si="1999"/>
        <v>0</v>
      </c>
      <c r="H1585" s="278">
        <v>0</v>
      </c>
      <c r="I1585" s="272">
        <v>0</v>
      </c>
      <c r="J1585" s="351" t="str">
        <f t="shared" si="2003"/>
        <v>-</v>
      </c>
      <c r="K1585" s="333">
        <f t="shared" si="2000"/>
        <v>8116</v>
      </c>
      <c r="L1585" s="272">
        <f t="shared" si="2001"/>
        <v>7488</v>
      </c>
      <c r="M1585" s="273">
        <f t="shared" si="2002"/>
        <v>628</v>
      </c>
      <c r="N1585" s="337" t="str">
        <f t="shared" si="1997"/>
        <v>-</v>
      </c>
      <c r="O1585" s="263">
        <f t="shared" si="1949"/>
        <v>7.737801872843765E-2</v>
      </c>
    </row>
    <row r="1586" spans="1:15" ht="23.4" x14ac:dyDescent="0.3">
      <c r="A1586" s="274"/>
      <c r="B1586" s="1051"/>
      <c r="C1586" s="300" t="s">
        <v>459</v>
      </c>
      <c r="D1586" s="300" t="s">
        <v>366</v>
      </c>
      <c r="E1586" s="280"/>
      <c r="F1586" s="281"/>
      <c r="G1586" s="334">
        <f t="shared" si="1999"/>
        <v>0</v>
      </c>
      <c r="H1586" s="282">
        <v>0</v>
      </c>
      <c r="I1586" s="278">
        <v>0</v>
      </c>
      <c r="J1586" s="351" t="str">
        <f t="shared" si="2003"/>
        <v>-</v>
      </c>
      <c r="K1586" s="333">
        <f t="shared" si="2000"/>
        <v>78225</v>
      </c>
      <c r="L1586" s="272">
        <f t="shared" si="2001"/>
        <v>76752</v>
      </c>
      <c r="M1586" s="272">
        <f t="shared" si="2002"/>
        <v>1473</v>
      </c>
      <c r="N1586" s="337" t="str">
        <f t="shared" si="1997"/>
        <v>-</v>
      </c>
      <c r="O1586" s="263">
        <f t="shared" si="1949"/>
        <v>1.8830297219558964E-2</v>
      </c>
    </row>
    <row r="1587" spans="1:15" ht="24" thickBot="1" x14ac:dyDescent="0.35">
      <c r="A1587" s="274" t="s">
        <v>101</v>
      </c>
      <c r="B1587" s="1051"/>
      <c r="C1587" s="300" t="s">
        <v>435</v>
      </c>
      <c r="D1587" s="300" t="s">
        <v>423</v>
      </c>
      <c r="E1587" s="280"/>
      <c r="F1587" s="281"/>
      <c r="G1587" s="334">
        <f t="shared" si="1999"/>
        <v>0</v>
      </c>
      <c r="H1587" s="282">
        <v>0</v>
      </c>
      <c r="I1587" s="272">
        <v>0</v>
      </c>
      <c r="J1587" s="351" t="str">
        <f t="shared" si="2003"/>
        <v>-</v>
      </c>
      <c r="K1587" s="334">
        <f t="shared" si="2000"/>
        <v>0</v>
      </c>
      <c r="L1587" s="272">
        <f t="shared" si="2001"/>
        <v>0</v>
      </c>
      <c r="M1587" s="273">
        <f t="shared" si="2002"/>
        <v>0</v>
      </c>
      <c r="N1587" s="338" t="str">
        <f t="shared" si="1997"/>
        <v>-</v>
      </c>
      <c r="O1587" s="347" t="str">
        <f t="shared" si="1949"/>
        <v>-</v>
      </c>
    </row>
    <row r="1588" spans="1:15" ht="24" thickBot="1" x14ac:dyDescent="0.35">
      <c r="A1588" s="274" t="s">
        <v>101</v>
      </c>
      <c r="B1588" s="1051"/>
      <c r="C1588" s="304"/>
      <c r="D1588" s="305" t="s">
        <v>51</v>
      </c>
      <c r="E1588" s="306">
        <f>SUM(E1582:E1587)</f>
        <v>0</v>
      </c>
      <c r="F1588" s="307">
        <v>50000</v>
      </c>
      <c r="G1588" s="366">
        <f>SUM(G1582:G1587)</f>
        <v>0</v>
      </c>
      <c r="H1588" s="365">
        <f t="shared" ref="H1588:I1588" si="2004">SUM(H1582:H1587)</f>
        <v>0</v>
      </c>
      <c r="I1588" s="365">
        <f t="shared" si="2004"/>
        <v>0</v>
      </c>
      <c r="J1588" s="356">
        <f>+G1588/F1588</f>
        <v>0</v>
      </c>
      <c r="K1588" s="366">
        <f t="shared" ref="K1588:M1588" si="2005">SUM(K1582:K1587)</f>
        <v>86341</v>
      </c>
      <c r="L1588" s="365">
        <f t="shared" si="2005"/>
        <v>84240</v>
      </c>
      <c r="M1588" s="367">
        <f t="shared" si="2005"/>
        <v>2101</v>
      </c>
      <c r="N1588" s="355" t="str">
        <f t="shared" si="1997"/>
        <v>-</v>
      </c>
      <c r="O1588" s="356">
        <f t="shared" si="1949"/>
        <v>2.4333746424062729E-2</v>
      </c>
    </row>
    <row r="1589" spans="1:15" ht="24" thickBot="1" x14ac:dyDescent="0.35">
      <c r="A1589" s="274" t="s">
        <v>101</v>
      </c>
      <c r="B1589" s="1054" t="s">
        <v>163</v>
      </c>
      <c r="C1589" s="1055"/>
      <c r="D1589" s="1056"/>
      <c r="E1589" s="308">
        <f>+E1588+E1581</f>
        <v>350000</v>
      </c>
      <c r="F1589" s="309">
        <v>50000</v>
      </c>
      <c r="G1589" s="369">
        <f>+G1581+G1588</f>
        <v>68749</v>
      </c>
      <c r="H1589" s="368">
        <f t="shared" ref="H1589:I1589" si="2006">+H1581+H1588</f>
        <v>67392</v>
      </c>
      <c r="I1589" s="368">
        <f t="shared" si="2006"/>
        <v>1357</v>
      </c>
      <c r="J1589" s="358">
        <f>+G1589/F1589</f>
        <v>1.3749800000000001</v>
      </c>
      <c r="K1589" s="369">
        <f t="shared" ref="K1589:M1589" si="2007">+K1581+K1588</f>
        <v>243414</v>
      </c>
      <c r="L1589" s="368">
        <f t="shared" si="2007"/>
        <v>237744</v>
      </c>
      <c r="M1589" s="370">
        <f t="shared" si="2007"/>
        <v>5670</v>
      </c>
      <c r="N1589" s="357">
        <f t="shared" si="1997"/>
        <v>0.69546857142857144</v>
      </c>
      <c r="O1589" s="358">
        <f t="shared" si="1949"/>
        <v>2.3293647859202838E-2</v>
      </c>
    </row>
    <row r="1590" spans="1:15" ht="24" thickBot="1" x14ac:dyDescent="0.35">
      <c r="A1590" s="274" t="s">
        <v>101</v>
      </c>
      <c r="B1590" s="598" t="s">
        <v>32</v>
      </c>
      <c r="C1590" s="949"/>
      <c r="D1590" s="310" t="s">
        <v>32</v>
      </c>
      <c r="E1590" s="287">
        <v>0</v>
      </c>
      <c r="F1590" s="288">
        <v>110000</v>
      </c>
      <c r="G1590" s="335">
        <f t="shared" ref="G1590" si="2008">+H1590+I1590</f>
        <v>0</v>
      </c>
      <c r="H1590" s="289">
        <v>0</v>
      </c>
      <c r="I1590" s="289">
        <v>0</v>
      </c>
      <c r="J1590" s="354">
        <f>IFERROR(G1590/F1590,"-")</f>
        <v>0</v>
      </c>
      <c r="K1590" s="335">
        <f>+L1590+M1590</f>
        <v>0</v>
      </c>
      <c r="L1590" s="289">
        <f>+H1590+L1473</f>
        <v>0</v>
      </c>
      <c r="M1590" s="290">
        <f>+I1590+M1473</f>
        <v>0</v>
      </c>
      <c r="N1590" s="340" t="str">
        <f t="shared" si="1997"/>
        <v>-</v>
      </c>
      <c r="O1590" s="348" t="str">
        <f t="shared" si="1949"/>
        <v>-</v>
      </c>
    </row>
    <row r="1591" spans="1:15" ht="24" thickBot="1" x14ac:dyDescent="0.35">
      <c r="A1591" s="274" t="s">
        <v>101</v>
      </c>
      <c r="B1591" s="1047" t="s">
        <v>21</v>
      </c>
      <c r="C1591" s="1048"/>
      <c r="D1591" s="1049"/>
      <c r="E1591" s="326">
        <f>+E1577+E1589+E1590</f>
        <v>2215664</v>
      </c>
      <c r="F1591" s="327">
        <f>+F1577+F1589+F1590</f>
        <v>400000</v>
      </c>
      <c r="G1591" s="326">
        <f>+G1577+G1589+G1590</f>
        <v>101009</v>
      </c>
      <c r="H1591" s="324">
        <f>+H1577+H1589+H1590</f>
        <v>99216</v>
      </c>
      <c r="I1591" s="324">
        <f>+I1577+I1589+I1590</f>
        <v>1793</v>
      </c>
      <c r="J1591" s="349">
        <f>+G1591/F1591</f>
        <v>0.25252249999999998</v>
      </c>
      <c r="K1591" s="326">
        <f>+K1577+K1589+K1590</f>
        <v>1839003</v>
      </c>
      <c r="L1591" s="324">
        <f>+L1577+L1589+L1590</f>
        <v>1809054</v>
      </c>
      <c r="M1591" s="325">
        <f>+M1577+M1589+M1590</f>
        <v>29949</v>
      </c>
      <c r="N1591" s="341">
        <f t="shared" si="1997"/>
        <v>0.83000084850410527</v>
      </c>
      <c r="O1591" s="349">
        <f t="shared" si="1949"/>
        <v>1.6285454672994009E-2</v>
      </c>
    </row>
    <row r="1592" spans="1:15" ht="24" thickBot="1" x14ac:dyDescent="0.35">
      <c r="A1592" s="274" t="s">
        <v>101</v>
      </c>
      <c r="B1592" s="1019" t="s">
        <v>171</v>
      </c>
      <c r="C1592" s="1020"/>
      <c r="D1592" s="1021"/>
      <c r="E1592" s="330">
        <f>+E1591</f>
        <v>2215664</v>
      </c>
      <c r="F1592" s="331">
        <f t="shared" ref="F1592:I1592" si="2009">+F1591</f>
        <v>400000</v>
      </c>
      <c r="G1592" s="330">
        <f t="shared" si="2009"/>
        <v>101009</v>
      </c>
      <c r="H1592" s="328">
        <f t="shared" si="2009"/>
        <v>99216</v>
      </c>
      <c r="I1592" s="328">
        <f t="shared" si="2009"/>
        <v>1793</v>
      </c>
      <c r="J1592" s="872">
        <f>+G1592/F1592</f>
        <v>0.25252249999999998</v>
      </c>
      <c r="K1592" s="330">
        <f>+K1591</f>
        <v>1839003</v>
      </c>
      <c r="L1592" s="328">
        <f t="shared" ref="L1592" si="2010">+L1591</f>
        <v>1809054</v>
      </c>
      <c r="M1592" s="329">
        <f>+M1591</f>
        <v>29949</v>
      </c>
      <c r="N1592" s="342">
        <f t="shared" ref="N1592:O1592" si="2011">+N1591</f>
        <v>0.83000084850410527</v>
      </c>
      <c r="O1592" s="350">
        <f t="shared" si="2011"/>
        <v>1.6285454672994009E-2</v>
      </c>
    </row>
    <row r="1593" spans="1:15" ht="23.4" x14ac:dyDescent="0.3">
      <c r="A1593" s="268" t="s">
        <v>102</v>
      </c>
      <c r="B1593" s="1022" t="s">
        <v>401</v>
      </c>
      <c r="C1593" s="311" t="s">
        <v>113</v>
      </c>
      <c r="D1593" s="311"/>
      <c r="E1593" s="270"/>
      <c r="F1593" s="271"/>
      <c r="G1593" s="332">
        <f t="shared" ref="G1593:G1595" si="2012">+H1593+I1593</f>
        <v>0</v>
      </c>
      <c r="H1593" s="272">
        <v>0</v>
      </c>
      <c r="I1593" s="272">
        <v>0</v>
      </c>
      <c r="J1593" s="351" t="str">
        <f>IFERROR(G1593/F1593,"-")</f>
        <v>-</v>
      </c>
      <c r="K1593" s="332">
        <f t="shared" ref="K1593:K1595" si="2013">+L1593+M1593</f>
        <v>0</v>
      </c>
      <c r="L1593" s="272">
        <f t="shared" ref="L1593:L1595" si="2014">+H1593+L1476</f>
        <v>0</v>
      </c>
      <c r="M1593" s="273">
        <f t="shared" ref="M1593:M1595" si="2015">+I1593+M1476</f>
        <v>0</v>
      </c>
      <c r="N1593" s="336" t="str">
        <f t="shared" ref="N1593:N1600" si="2016">IFERROR(K1593/E1593,"-")</f>
        <v>-</v>
      </c>
      <c r="O1593" s="346" t="str">
        <f t="shared" ref="O1593:O1618" si="2017">IFERROR(M1593/K1593,"-")</f>
        <v>-</v>
      </c>
    </row>
    <row r="1594" spans="1:15" ht="23.4" x14ac:dyDescent="0.3">
      <c r="A1594" s="274" t="s">
        <v>102</v>
      </c>
      <c r="B1594" s="1023"/>
      <c r="C1594" s="312" t="s">
        <v>247</v>
      </c>
      <c r="D1594" s="312"/>
      <c r="E1594" s="276">
        <v>2000</v>
      </c>
      <c r="F1594" s="277"/>
      <c r="G1594" s="333">
        <f t="shared" si="2012"/>
        <v>0</v>
      </c>
      <c r="H1594" s="278">
        <v>0</v>
      </c>
      <c r="I1594" s="278">
        <v>0</v>
      </c>
      <c r="J1594" s="351" t="str">
        <f t="shared" ref="J1594:J1595" si="2018">IFERROR(G1594/F1594,"-")</f>
        <v>-</v>
      </c>
      <c r="K1594" s="333">
        <f t="shared" si="2013"/>
        <v>9638</v>
      </c>
      <c r="L1594" s="272">
        <f t="shared" si="2014"/>
        <v>9149</v>
      </c>
      <c r="M1594" s="273">
        <f t="shared" si="2015"/>
        <v>489</v>
      </c>
      <c r="N1594" s="337">
        <f t="shared" si="2016"/>
        <v>4.819</v>
      </c>
      <c r="O1594" s="263">
        <f t="shared" si="2017"/>
        <v>5.0736667358373108E-2</v>
      </c>
    </row>
    <row r="1595" spans="1:15" ht="24" thickBot="1" x14ac:dyDescent="0.35">
      <c r="A1595" s="274" t="s">
        <v>102</v>
      </c>
      <c r="B1595" s="1024"/>
      <c r="C1595" s="313" t="s">
        <v>33</v>
      </c>
      <c r="D1595" s="313"/>
      <c r="E1595" s="280"/>
      <c r="F1595" s="281"/>
      <c r="G1595" s="334">
        <f t="shared" si="2012"/>
        <v>0</v>
      </c>
      <c r="H1595" s="282">
        <v>0</v>
      </c>
      <c r="I1595" s="282">
        <v>0</v>
      </c>
      <c r="J1595" s="351" t="str">
        <f t="shared" si="2018"/>
        <v>-</v>
      </c>
      <c r="K1595" s="334">
        <f t="shared" si="2013"/>
        <v>0</v>
      </c>
      <c r="L1595" s="272">
        <f t="shared" si="2014"/>
        <v>0</v>
      </c>
      <c r="M1595" s="273">
        <f t="shared" si="2015"/>
        <v>0</v>
      </c>
      <c r="N1595" s="338" t="str">
        <f t="shared" si="2016"/>
        <v>-</v>
      </c>
      <c r="O1595" s="347" t="str">
        <f t="shared" si="2017"/>
        <v>-</v>
      </c>
    </row>
    <row r="1596" spans="1:15" ht="24" thickBot="1" x14ac:dyDescent="0.35">
      <c r="A1596" s="274" t="s">
        <v>102</v>
      </c>
      <c r="B1596" s="1025" t="s">
        <v>34</v>
      </c>
      <c r="C1596" s="1026"/>
      <c r="D1596" s="1027"/>
      <c r="E1596" s="284">
        <f>SUM(E1593:E1595)</f>
        <v>2000</v>
      </c>
      <c r="F1596" s="285">
        <v>6500</v>
      </c>
      <c r="G1596" s="320">
        <f>SUM(G1593:G1595)</f>
        <v>0</v>
      </c>
      <c r="H1596" s="321">
        <f t="shared" ref="H1596:I1596" si="2019">SUM(H1593:H1595)</f>
        <v>0</v>
      </c>
      <c r="I1596" s="321">
        <f t="shared" si="2019"/>
        <v>0</v>
      </c>
      <c r="J1596" s="345">
        <f>IFERROR(G1596/F1596,"-")</f>
        <v>0</v>
      </c>
      <c r="K1596" s="320">
        <f t="shared" ref="K1596:M1596" si="2020">SUM(K1593:K1595)</f>
        <v>9638</v>
      </c>
      <c r="L1596" s="321">
        <f t="shared" si="2020"/>
        <v>9149</v>
      </c>
      <c r="M1596" s="322">
        <f t="shared" si="2020"/>
        <v>489</v>
      </c>
      <c r="N1596" s="339">
        <f t="shared" si="2016"/>
        <v>4.819</v>
      </c>
      <c r="O1596" s="345">
        <f t="shared" si="2017"/>
        <v>5.0736667358373108E-2</v>
      </c>
    </row>
    <row r="1597" spans="1:15" ht="23.4" x14ac:dyDescent="0.3">
      <c r="A1597" s="274" t="s">
        <v>102</v>
      </c>
      <c r="B1597" s="1022" t="s">
        <v>35</v>
      </c>
      <c r="C1597" s="311" t="s">
        <v>113</v>
      </c>
      <c r="D1597" s="311"/>
      <c r="E1597" s="270">
        <v>116160</v>
      </c>
      <c r="F1597" s="271"/>
      <c r="G1597" s="332">
        <f t="shared" ref="G1597:G1600" si="2021">+H1597+I1597</f>
        <v>0</v>
      </c>
      <c r="H1597" s="272">
        <v>0</v>
      </c>
      <c r="I1597" s="272">
        <v>0</v>
      </c>
      <c r="J1597" s="351" t="str">
        <f>IFERROR(G1597/F1597,"-")</f>
        <v>-</v>
      </c>
      <c r="K1597" s="332">
        <f t="shared" ref="K1597:K1600" si="2022">+L1597+M1597</f>
        <v>0</v>
      </c>
      <c r="L1597" s="272">
        <f t="shared" ref="L1597:L1600" si="2023">+H1597+L1480</f>
        <v>0</v>
      </c>
      <c r="M1597" s="273">
        <f t="shared" ref="M1597:M1600" si="2024">+I1597+M1480</f>
        <v>0</v>
      </c>
      <c r="N1597" s="336">
        <f t="shared" si="2016"/>
        <v>0</v>
      </c>
      <c r="O1597" s="346" t="str">
        <f t="shared" si="2017"/>
        <v>-</v>
      </c>
    </row>
    <row r="1598" spans="1:15" ht="23.4" x14ac:dyDescent="0.3">
      <c r="A1598" s="274" t="s">
        <v>102</v>
      </c>
      <c r="B1598" s="1023"/>
      <c r="C1598" s="312" t="s">
        <v>247</v>
      </c>
      <c r="D1598" s="312"/>
      <c r="E1598" s="276"/>
      <c r="F1598" s="277"/>
      <c r="G1598" s="333">
        <f t="shared" si="2021"/>
        <v>2680</v>
      </c>
      <c r="H1598" s="278">
        <v>2560</v>
      </c>
      <c r="I1598" s="278">
        <v>120</v>
      </c>
      <c r="J1598" s="351" t="str">
        <f t="shared" ref="J1598:J1600" si="2025">IFERROR(G1598/F1598,"-")</f>
        <v>-</v>
      </c>
      <c r="K1598" s="333">
        <f t="shared" si="2022"/>
        <v>5172</v>
      </c>
      <c r="L1598" s="272">
        <f t="shared" si="2023"/>
        <v>4160</v>
      </c>
      <c r="M1598" s="273">
        <f t="shared" si="2024"/>
        <v>1012</v>
      </c>
      <c r="N1598" s="337" t="str">
        <f t="shared" si="2016"/>
        <v>-</v>
      </c>
      <c r="O1598" s="263">
        <f t="shared" si="2017"/>
        <v>0.19566898685228151</v>
      </c>
    </row>
    <row r="1599" spans="1:15" ht="23.4" x14ac:dyDescent="0.3">
      <c r="A1599" s="274" t="s">
        <v>102</v>
      </c>
      <c r="B1599" s="1023"/>
      <c r="C1599" s="312" t="s">
        <v>496</v>
      </c>
      <c r="D1599" s="312"/>
      <c r="E1599" s="276">
        <v>20000</v>
      </c>
      <c r="F1599" s="277"/>
      <c r="G1599" s="333">
        <f t="shared" si="2021"/>
        <v>0</v>
      </c>
      <c r="H1599" s="278">
        <v>0</v>
      </c>
      <c r="I1599" s="278">
        <v>0</v>
      </c>
      <c r="J1599" s="351" t="str">
        <f t="shared" si="2025"/>
        <v>-</v>
      </c>
      <c r="K1599" s="333">
        <f t="shared" si="2022"/>
        <v>0</v>
      </c>
      <c r="L1599" s="272">
        <f t="shared" si="2023"/>
        <v>0</v>
      </c>
      <c r="M1599" s="273">
        <f t="shared" si="2024"/>
        <v>0</v>
      </c>
      <c r="N1599" s="337">
        <f t="shared" si="2016"/>
        <v>0</v>
      </c>
      <c r="O1599" s="263" t="str">
        <f t="shared" si="2017"/>
        <v>-</v>
      </c>
    </row>
    <row r="1600" spans="1:15" ht="24" thickBot="1" x14ac:dyDescent="0.35">
      <c r="A1600" s="274" t="s">
        <v>102</v>
      </c>
      <c r="B1600" s="1024"/>
      <c r="C1600" s="313" t="s">
        <v>36</v>
      </c>
      <c r="D1600" s="313"/>
      <c r="E1600" s="280"/>
      <c r="F1600" s="281"/>
      <c r="G1600" s="334">
        <f t="shared" si="2021"/>
        <v>0</v>
      </c>
      <c r="H1600" s="278">
        <v>0</v>
      </c>
      <c r="I1600" s="278">
        <v>0</v>
      </c>
      <c r="J1600" s="351" t="str">
        <f t="shared" si="2025"/>
        <v>-</v>
      </c>
      <c r="K1600" s="334">
        <f t="shared" si="2022"/>
        <v>0</v>
      </c>
      <c r="L1600" s="272">
        <f t="shared" si="2023"/>
        <v>0</v>
      </c>
      <c r="M1600" s="273">
        <f t="shared" si="2024"/>
        <v>0</v>
      </c>
      <c r="N1600" s="338" t="str">
        <f t="shared" si="2016"/>
        <v>-</v>
      </c>
      <c r="O1600" s="347" t="str">
        <f t="shared" si="2017"/>
        <v>-</v>
      </c>
    </row>
    <row r="1601" spans="1:15" ht="24" thickBot="1" x14ac:dyDescent="0.35">
      <c r="A1601" s="274" t="s">
        <v>102</v>
      </c>
      <c r="B1601" s="1025" t="s">
        <v>37</v>
      </c>
      <c r="C1601" s="1026"/>
      <c r="D1601" s="1027"/>
      <c r="E1601" s="284">
        <f>SUM(E1597:E1600)</f>
        <v>136160</v>
      </c>
      <c r="F1601" s="285">
        <v>6500</v>
      </c>
      <c r="G1601" s="320">
        <f>SUM(G1597:G1600)</f>
        <v>2680</v>
      </c>
      <c r="H1601" s="321">
        <f t="shared" ref="H1601:I1601" si="2026">SUM(H1597:H1600)</f>
        <v>2560</v>
      </c>
      <c r="I1601" s="321">
        <f t="shared" si="2026"/>
        <v>120</v>
      </c>
      <c r="J1601" s="345">
        <f>IFERROR(G1601/F1601,"-")</f>
        <v>0.41230769230769232</v>
      </c>
      <c r="K1601" s="320">
        <f t="shared" ref="K1601:M1601" si="2027">SUM(K1597:K1600)</f>
        <v>5172</v>
      </c>
      <c r="L1601" s="321">
        <f t="shared" si="2027"/>
        <v>4160</v>
      </c>
      <c r="M1601" s="322">
        <f t="shared" si="2027"/>
        <v>1012</v>
      </c>
      <c r="N1601" s="339">
        <f>IFERROR(K1601/E1601,"-")</f>
        <v>3.7984723854289075E-2</v>
      </c>
      <c r="O1601" s="345">
        <f t="shared" si="2017"/>
        <v>0.19566898685228151</v>
      </c>
    </row>
    <row r="1602" spans="1:15" ht="23.4" x14ac:dyDescent="0.3">
      <c r="A1602" s="274" t="s">
        <v>102</v>
      </c>
      <c r="B1602" s="1022" t="s">
        <v>402</v>
      </c>
      <c r="C1602" s="314" t="s">
        <v>116</v>
      </c>
      <c r="D1602" s="314"/>
      <c r="E1602" s="270">
        <v>31000</v>
      </c>
      <c r="F1602" s="271"/>
      <c r="G1602" s="332">
        <f t="shared" ref="G1602:G1603" si="2028">+H1602+I1602</f>
        <v>0</v>
      </c>
      <c r="H1602" s="272">
        <v>0</v>
      </c>
      <c r="I1602" s="272">
        <v>0</v>
      </c>
      <c r="J1602" s="351" t="str">
        <f>IFERROR(G1602/F1602,"-")</f>
        <v>-</v>
      </c>
      <c r="K1602" s="332">
        <f t="shared" ref="K1602:K1603" si="2029">+L1602+M1602</f>
        <v>0</v>
      </c>
      <c r="L1602" s="272">
        <f t="shared" ref="L1602:L1603" si="2030">+H1602+L1485</f>
        <v>0</v>
      </c>
      <c r="M1602" s="273">
        <f t="shared" ref="M1602:M1603" si="2031">+I1602+M1485</f>
        <v>0</v>
      </c>
      <c r="N1602" s="336">
        <f t="shared" ref="N1602:N1618" si="2032">IFERROR(K1602/E1602,"-")</f>
        <v>0</v>
      </c>
      <c r="O1602" s="346" t="str">
        <f t="shared" si="2017"/>
        <v>-</v>
      </c>
    </row>
    <row r="1603" spans="1:15" ht="24" thickBot="1" x14ac:dyDescent="0.35">
      <c r="A1603" s="274" t="s">
        <v>102</v>
      </c>
      <c r="B1603" s="1024"/>
      <c r="C1603" s="286" t="s">
        <v>132</v>
      </c>
      <c r="D1603" s="286"/>
      <c r="E1603" s="280"/>
      <c r="F1603" s="281"/>
      <c r="G1603" s="334">
        <f t="shared" si="2028"/>
        <v>0</v>
      </c>
      <c r="H1603" s="282">
        <v>0</v>
      </c>
      <c r="I1603" s="282">
        <v>0</v>
      </c>
      <c r="J1603" s="351" t="str">
        <f>IFERROR(G1603/F1603,"-")</f>
        <v>-</v>
      </c>
      <c r="K1603" s="334">
        <f t="shared" si="2029"/>
        <v>22797</v>
      </c>
      <c r="L1603" s="272">
        <f t="shared" si="2030"/>
        <v>21790</v>
      </c>
      <c r="M1603" s="273">
        <f t="shared" si="2031"/>
        <v>1007</v>
      </c>
      <c r="N1603" s="338" t="str">
        <f t="shared" si="2032"/>
        <v>-</v>
      </c>
      <c r="O1603" s="347">
        <f t="shared" si="2017"/>
        <v>4.4172478834934421E-2</v>
      </c>
    </row>
    <row r="1604" spans="1:15" ht="24" thickBot="1" x14ac:dyDescent="0.35">
      <c r="A1604" s="953" t="s">
        <v>102</v>
      </c>
      <c r="B1604" s="1025" t="s">
        <v>38</v>
      </c>
      <c r="C1604" s="1026"/>
      <c r="D1604" s="1027"/>
      <c r="E1604" s="284">
        <f>SUM(E1602:E1603)</f>
        <v>31000</v>
      </c>
      <c r="F1604" s="285">
        <v>2800</v>
      </c>
      <c r="G1604" s="320">
        <f>SUM(G1602:G1603)</f>
        <v>0</v>
      </c>
      <c r="H1604" s="321">
        <f t="shared" ref="H1604:I1604" si="2033">SUM(H1602:H1603)</f>
        <v>0</v>
      </c>
      <c r="I1604" s="321">
        <f t="shared" si="2033"/>
        <v>0</v>
      </c>
      <c r="J1604" s="345" t="str">
        <f>IFERROR(G1604/F1594,"-")</f>
        <v>-</v>
      </c>
      <c r="K1604" s="320">
        <f t="shared" ref="K1604:M1604" si="2034">SUM(K1602:K1603)</f>
        <v>22797</v>
      </c>
      <c r="L1604" s="321">
        <f t="shared" si="2034"/>
        <v>21790</v>
      </c>
      <c r="M1604" s="322">
        <f t="shared" si="2034"/>
        <v>1007</v>
      </c>
      <c r="N1604" s="339">
        <f t="shared" si="2032"/>
        <v>0.73538709677419356</v>
      </c>
      <c r="O1604" s="345">
        <f t="shared" si="2017"/>
        <v>4.4172478834934421E-2</v>
      </c>
    </row>
    <row r="1605" spans="1:15" ht="23.4" x14ac:dyDescent="0.3">
      <c r="A1605" s="274" t="s">
        <v>102</v>
      </c>
      <c r="B1605" s="1022" t="s">
        <v>403</v>
      </c>
      <c r="C1605" s="269" t="s">
        <v>306</v>
      </c>
      <c r="D1605" s="269"/>
      <c r="E1605" s="270">
        <v>978200</v>
      </c>
      <c r="F1605" s="315"/>
      <c r="G1605" s="332">
        <f t="shared" ref="G1605:G1609" si="2035">+H1605+I1605</f>
        <v>0</v>
      </c>
      <c r="H1605" s="272">
        <v>0</v>
      </c>
      <c r="I1605" s="272">
        <v>0</v>
      </c>
      <c r="J1605" s="371" t="str">
        <f>IFERROR(G1605/F1605,"-")</f>
        <v>-</v>
      </c>
      <c r="K1605" s="332">
        <f t="shared" ref="K1605:K1609" si="2036">+L1605+M1605</f>
        <v>351738</v>
      </c>
      <c r="L1605" s="272">
        <f t="shared" ref="L1605:L1609" si="2037">+H1605+L1488</f>
        <v>348960</v>
      </c>
      <c r="M1605" s="272">
        <f t="shared" ref="M1605:M1609" si="2038">+I1605+M1488</f>
        <v>2778</v>
      </c>
      <c r="N1605" s="359">
        <f t="shared" si="2032"/>
        <v>0.359576773665917</v>
      </c>
      <c r="O1605" s="360">
        <f t="shared" si="2017"/>
        <v>7.8979240229943883E-3</v>
      </c>
    </row>
    <row r="1606" spans="1:15" ht="23.4" x14ac:dyDescent="0.3">
      <c r="A1606" s="274" t="s">
        <v>102</v>
      </c>
      <c r="B1606" s="1023"/>
      <c r="C1606" s="269" t="s">
        <v>307</v>
      </c>
      <c r="D1606" s="275"/>
      <c r="E1606" s="276"/>
      <c r="F1606" s="316"/>
      <c r="G1606" s="333">
        <f t="shared" si="2035"/>
        <v>0</v>
      </c>
      <c r="H1606" s="278">
        <v>0</v>
      </c>
      <c r="I1606" s="278">
        <v>0</v>
      </c>
      <c r="J1606" s="371" t="str">
        <f t="shared" ref="J1606:J1609" si="2039">IFERROR(G1606/F1606,"-")</f>
        <v>-</v>
      </c>
      <c r="K1606" s="333">
        <f t="shared" si="2036"/>
        <v>0</v>
      </c>
      <c r="L1606" s="272">
        <f t="shared" si="2037"/>
        <v>0</v>
      </c>
      <c r="M1606" s="273">
        <f t="shared" si="2038"/>
        <v>0</v>
      </c>
      <c r="N1606" s="361" t="str">
        <f t="shared" si="2032"/>
        <v>-</v>
      </c>
      <c r="O1606" s="362" t="str">
        <f t="shared" si="2017"/>
        <v>-</v>
      </c>
    </row>
    <row r="1607" spans="1:15" ht="23.4" x14ac:dyDescent="0.3">
      <c r="A1607" s="274" t="s">
        <v>102</v>
      </c>
      <c r="B1607" s="1023"/>
      <c r="C1607" s="275" t="s">
        <v>499</v>
      </c>
      <c r="D1607" s="275"/>
      <c r="E1607" s="276">
        <f>70000+15000</f>
        <v>85000</v>
      </c>
      <c r="F1607" s="316"/>
      <c r="G1607" s="333">
        <f t="shared" si="2035"/>
        <v>0</v>
      </c>
      <c r="H1607" s="278">
        <v>0</v>
      </c>
      <c r="I1607" s="278">
        <v>0</v>
      </c>
      <c r="J1607" s="371" t="str">
        <f t="shared" si="2039"/>
        <v>-</v>
      </c>
      <c r="K1607" s="333">
        <f t="shared" si="2036"/>
        <v>49665</v>
      </c>
      <c r="L1607" s="272">
        <f t="shared" si="2037"/>
        <v>49032</v>
      </c>
      <c r="M1607" s="273">
        <f t="shared" si="2038"/>
        <v>633</v>
      </c>
      <c r="N1607" s="361">
        <f t="shared" si="2032"/>
        <v>0.58429411764705885</v>
      </c>
      <c r="O1607" s="362">
        <f t="shared" si="2017"/>
        <v>1.2745394140742978E-2</v>
      </c>
    </row>
    <row r="1608" spans="1:15" ht="23.4" x14ac:dyDescent="0.3">
      <c r="A1608" s="274" t="s">
        <v>102</v>
      </c>
      <c r="B1608" s="1023"/>
      <c r="C1608" s="275" t="s">
        <v>157</v>
      </c>
      <c r="D1608" s="275"/>
      <c r="E1608" s="276">
        <v>60040</v>
      </c>
      <c r="F1608" s="316"/>
      <c r="G1608" s="333">
        <f t="shared" si="2035"/>
        <v>0</v>
      </c>
      <c r="H1608" s="278">
        <v>0</v>
      </c>
      <c r="I1608" s="278">
        <v>0</v>
      </c>
      <c r="J1608" s="371" t="str">
        <f t="shared" si="2039"/>
        <v>-</v>
      </c>
      <c r="K1608" s="333">
        <f t="shared" si="2036"/>
        <v>0</v>
      </c>
      <c r="L1608" s="272">
        <f t="shared" si="2037"/>
        <v>0</v>
      </c>
      <c r="M1608" s="273">
        <f t="shared" si="2038"/>
        <v>0</v>
      </c>
      <c r="N1608" s="361">
        <f t="shared" si="2032"/>
        <v>0</v>
      </c>
      <c r="O1608" s="362" t="str">
        <f t="shared" si="2017"/>
        <v>-</v>
      </c>
    </row>
    <row r="1609" spans="1:15" ht="24" thickBot="1" x14ac:dyDescent="0.35">
      <c r="A1609" s="274" t="s">
        <v>102</v>
      </c>
      <c r="B1609" s="1024"/>
      <c r="C1609" s="279" t="s">
        <v>158</v>
      </c>
      <c r="D1609" s="279"/>
      <c r="E1609" s="280"/>
      <c r="F1609" s="317"/>
      <c r="G1609" s="334">
        <f t="shared" si="2035"/>
        <v>0</v>
      </c>
      <c r="H1609" s="278">
        <v>0</v>
      </c>
      <c r="I1609" s="278">
        <v>0</v>
      </c>
      <c r="J1609" s="371" t="str">
        <f t="shared" si="2039"/>
        <v>-</v>
      </c>
      <c r="K1609" s="334">
        <f t="shared" si="2036"/>
        <v>0</v>
      </c>
      <c r="L1609" s="272">
        <f t="shared" si="2037"/>
        <v>0</v>
      </c>
      <c r="M1609" s="273">
        <f t="shared" si="2038"/>
        <v>0</v>
      </c>
      <c r="N1609" s="363" t="str">
        <f t="shared" si="2032"/>
        <v>-</v>
      </c>
      <c r="O1609" s="364" t="str">
        <f t="shared" si="2017"/>
        <v>-</v>
      </c>
    </row>
    <row r="1610" spans="1:15" ht="24" thickBot="1" x14ac:dyDescent="0.35">
      <c r="A1610" s="274" t="s">
        <v>102</v>
      </c>
      <c r="B1610" s="1025" t="s">
        <v>39</v>
      </c>
      <c r="C1610" s="1026"/>
      <c r="D1610" s="1027"/>
      <c r="E1610" s="320">
        <f>SUM(E1605:E1609)</f>
        <v>1123240</v>
      </c>
      <c r="F1610" s="285">
        <v>25000</v>
      </c>
      <c r="G1610" s="320">
        <f>SUM(G1605:G1609)</f>
        <v>0</v>
      </c>
      <c r="H1610" s="321">
        <f>SUM(H1605:H1609)</f>
        <v>0</v>
      </c>
      <c r="I1610" s="321">
        <f>SUM(I1605:I1609)</f>
        <v>0</v>
      </c>
      <c r="J1610" s="345">
        <f>IFERROR(G1610/F1610,"-")</f>
        <v>0</v>
      </c>
      <c r="K1610" s="320">
        <f>SUM(K1605:K1609)</f>
        <v>401403</v>
      </c>
      <c r="L1610" s="321">
        <f>SUM(L1605:L1609)</f>
        <v>397992</v>
      </c>
      <c r="M1610" s="322">
        <f>SUM(M1605:M1609)</f>
        <v>3411</v>
      </c>
      <c r="N1610" s="339">
        <f t="shared" si="2032"/>
        <v>0.35736173925430004</v>
      </c>
      <c r="O1610" s="345">
        <f t="shared" si="2017"/>
        <v>8.4976943371125775E-3</v>
      </c>
    </row>
    <row r="1611" spans="1:15" ht="23.4" x14ac:dyDescent="0.3">
      <c r="A1611" s="274" t="s">
        <v>102</v>
      </c>
      <c r="B1611" s="1022" t="s">
        <v>404</v>
      </c>
      <c r="C1611" s="269" t="s">
        <v>186</v>
      </c>
      <c r="D1611" s="269"/>
      <c r="E1611" s="270"/>
      <c r="F1611" s="271"/>
      <c r="G1611" s="332">
        <f t="shared" ref="G1611:G1613" si="2040">+H1611+I1611</f>
        <v>0</v>
      </c>
      <c r="H1611" s="272">
        <v>0</v>
      </c>
      <c r="I1611" s="272">
        <v>0</v>
      </c>
      <c r="J1611" s="351" t="str">
        <f>IFERROR(G1611/F1611,"-")</f>
        <v>-</v>
      </c>
      <c r="K1611" s="332">
        <f t="shared" ref="K1611:K1613" si="2041">+L1611+M1611</f>
        <v>0</v>
      </c>
      <c r="L1611" s="272">
        <f t="shared" ref="L1611:L1613" si="2042">+H1611+L1494</f>
        <v>0</v>
      </c>
      <c r="M1611" s="273">
        <f t="shared" ref="M1611:M1613" si="2043">+I1611+M1494</f>
        <v>0</v>
      </c>
      <c r="N1611" s="336" t="str">
        <f t="shared" si="2032"/>
        <v>-</v>
      </c>
      <c r="O1611" s="346" t="str">
        <f t="shared" si="2017"/>
        <v>-</v>
      </c>
    </row>
    <row r="1612" spans="1:15" ht="23.4" x14ac:dyDescent="0.3">
      <c r="A1612" s="274" t="s">
        <v>102</v>
      </c>
      <c r="B1612" s="1023"/>
      <c r="C1612" s="275" t="s">
        <v>497</v>
      </c>
      <c r="D1612" s="275"/>
      <c r="E1612" s="276"/>
      <c r="F1612" s="277"/>
      <c r="G1612" s="333">
        <f t="shared" si="2040"/>
        <v>0</v>
      </c>
      <c r="H1612" s="278">
        <v>0</v>
      </c>
      <c r="I1612" s="278">
        <v>0</v>
      </c>
      <c r="J1612" s="351" t="str">
        <f t="shared" ref="J1612:J1613" si="2044">IFERROR(G1612/F1612,"-")</f>
        <v>-</v>
      </c>
      <c r="K1612" s="333">
        <f t="shared" si="2041"/>
        <v>11826</v>
      </c>
      <c r="L1612" s="714">
        <f t="shared" si="2042"/>
        <v>11400</v>
      </c>
      <c r="M1612" s="273">
        <f t="shared" si="2043"/>
        <v>426</v>
      </c>
      <c r="N1612" s="361" t="str">
        <f t="shared" si="2032"/>
        <v>-</v>
      </c>
      <c r="O1612" s="362">
        <f t="shared" si="2017"/>
        <v>3.6022323693556568E-2</v>
      </c>
    </row>
    <row r="1613" spans="1:15" ht="24" thickBot="1" x14ac:dyDescent="0.35">
      <c r="A1613" s="274" t="s">
        <v>102</v>
      </c>
      <c r="B1613" s="1024"/>
      <c r="C1613" s="279" t="s">
        <v>498</v>
      </c>
      <c r="D1613" s="279"/>
      <c r="E1613" s="280"/>
      <c r="F1613" s="281"/>
      <c r="G1613" s="334">
        <f t="shared" si="2040"/>
        <v>0</v>
      </c>
      <c r="H1613" s="278">
        <v>0</v>
      </c>
      <c r="I1613" s="278">
        <v>0</v>
      </c>
      <c r="J1613" s="351" t="str">
        <f t="shared" si="2044"/>
        <v>-</v>
      </c>
      <c r="K1613" s="334">
        <f t="shared" si="2041"/>
        <v>0</v>
      </c>
      <c r="L1613" s="272">
        <f t="shared" si="2042"/>
        <v>0</v>
      </c>
      <c r="M1613" s="273">
        <f t="shared" si="2043"/>
        <v>0</v>
      </c>
      <c r="N1613" s="363" t="str">
        <f t="shared" si="2032"/>
        <v>-</v>
      </c>
      <c r="O1613" s="364" t="str">
        <f t="shared" si="2017"/>
        <v>-</v>
      </c>
    </row>
    <row r="1614" spans="1:15" ht="24" thickBot="1" x14ac:dyDescent="0.35">
      <c r="A1614" s="274" t="s">
        <v>102</v>
      </c>
      <c r="B1614" s="1034" t="s">
        <v>41</v>
      </c>
      <c r="C1614" s="1035"/>
      <c r="D1614" s="1036"/>
      <c r="E1614" s="320">
        <f>SUM(E1611:E1613)</f>
        <v>0</v>
      </c>
      <c r="F1614" s="285"/>
      <c r="G1614" s="320">
        <f>SUM(G1611:G1613)</f>
        <v>0</v>
      </c>
      <c r="H1614" s="321">
        <f t="shared" ref="H1614:I1614" si="2045">SUM(H1611:H1613)</f>
        <v>0</v>
      </c>
      <c r="I1614" s="321">
        <f t="shared" si="2045"/>
        <v>0</v>
      </c>
      <c r="J1614" s="345" t="str">
        <f>IFERROR(G1614/F1614,"-")</f>
        <v>-</v>
      </c>
      <c r="K1614" s="320">
        <f t="shared" ref="K1614:M1614" si="2046">SUM(K1611:K1613)</f>
        <v>11826</v>
      </c>
      <c r="L1614" s="365">
        <f t="shared" si="2046"/>
        <v>11400</v>
      </c>
      <c r="M1614" s="367">
        <f t="shared" si="2046"/>
        <v>426</v>
      </c>
      <c r="N1614" s="339" t="str">
        <f t="shared" si="2032"/>
        <v>-</v>
      </c>
      <c r="O1614" s="345">
        <f t="shared" si="2017"/>
        <v>3.6022323693556568E-2</v>
      </c>
    </row>
    <row r="1615" spans="1:15" ht="24" thickBot="1" x14ac:dyDescent="0.35">
      <c r="A1615" s="274" t="s">
        <v>102</v>
      </c>
      <c r="B1615" s="1022" t="s">
        <v>42</v>
      </c>
      <c r="C1615" s="269" t="s">
        <v>160</v>
      </c>
      <c r="D1615" s="269"/>
      <c r="E1615" s="270"/>
      <c r="F1615" s="271"/>
      <c r="G1615" s="332">
        <f t="shared" ref="G1615:G1616" si="2047">+H1615+I1615</f>
        <v>0</v>
      </c>
      <c r="H1615" s="272">
        <v>0</v>
      </c>
      <c r="I1615" s="272">
        <v>0</v>
      </c>
      <c r="J1615" s="371" t="str">
        <f>IFERROR(G1615/F1615,"-")</f>
        <v>-</v>
      </c>
      <c r="K1615" s="695">
        <f t="shared" ref="K1615:K1616" si="2048">+L1615+M1615</f>
        <v>0</v>
      </c>
      <c r="L1615" s="688">
        <f t="shared" ref="L1615:L1616" si="2049">+H1615+L1498</f>
        <v>0</v>
      </c>
      <c r="M1615" s="688">
        <f t="shared" ref="M1615:M1616" si="2050">+I1615+M1498</f>
        <v>0</v>
      </c>
      <c r="N1615" s="359" t="str">
        <f t="shared" si="2032"/>
        <v>-</v>
      </c>
      <c r="O1615" s="360" t="str">
        <f t="shared" si="2017"/>
        <v>-</v>
      </c>
    </row>
    <row r="1616" spans="1:15" ht="24" thickBot="1" x14ac:dyDescent="0.35">
      <c r="A1616" s="274" t="s">
        <v>102</v>
      </c>
      <c r="B1616" s="1024"/>
      <c r="C1616" s="279" t="s">
        <v>161</v>
      </c>
      <c r="D1616" s="279"/>
      <c r="E1616" s="280"/>
      <c r="F1616" s="281"/>
      <c r="G1616" s="334">
        <f t="shared" si="2047"/>
        <v>0</v>
      </c>
      <c r="H1616" s="282">
        <v>0</v>
      </c>
      <c r="I1616" s="282">
        <v>0</v>
      </c>
      <c r="J1616" s="373" t="str">
        <f>IFERROR(G1616/F1616,"-")</f>
        <v>-</v>
      </c>
      <c r="K1616" s="696">
        <f t="shared" si="2048"/>
        <v>0</v>
      </c>
      <c r="L1616" s="688">
        <f t="shared" si="2049"/>
        <v>0</v>
      </c>
      <c r="M1616" s="688">
        <f t="shared" si="2050"/>
        <v>0</v>
      </c>
      <c r="N1616" s="363" t="str">
        <f t="shared" si="2032"/>
        <v>-</v>
      </c>
      <c r="O1616" s="364" t="str">
        <f t="shared" si="2017"/>
        <v>-</v>
      </c>
    </row>
    <row r="1617" spans="1:15" ht="24" thickBot="1" x14ac:dyDescent="0.35">
      <c r="A1617" s="274" t="s">
        <v>102</v>
      </c>
      <c r="B1617" s="1034" t="s">
        <v>43</v>
      </c>
      <c r="C1617" s="1035"/>
      <c r="D1617" s="1036"/>
      <c r="E1617" s="284">
        <f>SUM(E1615:E1616)</f>
        <v>0</v>
      </c>
      <c r="F1617" s="285">
        <v>25000</v>
      </c>
      <c r="G1617" s="320">
        <f>SUM(G1615:G1616)</f>
        <v>0</v>
      </c>
      <c r="H1617" s="321">
        <f t="shared" ref="H1617:I1617" si="2051">SUM(H1615:H1616)</f>
        <v>0</v>
      </c>
      <c r="I1617" s="321">
        <f t="shared" si="2051"/>
        <v>0</v>
      </c>
      <c r="J1617" s="345">
        <f>IFERROR(G1617/F1617,"-")</f>
        <v>0</v>
      </c>
      <c r="K1617" s="760">
        <f t="shared" ref="K1617:M1617" si="2052">SUM(K1615:K1616)</f>
        <v>0</v>
      </c>
      <c r="L1617" s="761">
        <f t="shared" si="2052"/>
        <v>0</v>
      </c>
      <c r="M1617" s="761">
        <f t="shared" si="2052"/>
        <v>0</v>
      </c>
      <c r="N1617" s="339" t="str">
        <f t="shared" si="2032"/>
        <v>-</v>
      </c>
      <c r="O1617" s="345" t="str">
        <f t="shared" si="2017"/>
        <v>-</v>
      </c>
    </row>
    <row r="1618" spans="1:15" ht="24" thickBot="1" x14ac:dyDescent="0.35">
      <c r="A1618" s="274" t="s">
        <v>102</v>
      </c>
      <c r="B1618" s="1028" t="s">
        <v>25</v>
      </c>
      <c r="C1618" s="1029"/>
      <c r="D1618" s="1030"/>
      <c r="E1618" s="326">
        <f t="shared" ref="E1618:F1618" si="2053">+E1596+E1601+E1604+E1610+E1614+E1617</f>
        <v>1292400</v>
      </c>
      <c r="F1618" s="327">
        <f t="shared" si="2053"/>
        <v>65800</v>
      </c>
      <c r="G1618" s="326">
        <f>+G1596+G1601+G1604+G1610+G1614+G1617</f>
        <v>2680</v>
      </c>
      <c r="H1618" s="324">
        <f>+H1596+H1601+H1604+H1610+H1614+H1617</f>
        <v>2560</v>
      </c>
      <c r="I1618" s="324">
        <f t="shared" ref="I1618" si="2054">+I1596+I1601+I1604+I1610+I1614+I1617</f>
        <v>120</v>
      </c>
      <c r="J1618" s="349">
        <f>IFERROR(G1618/F1618,"-")</f>
        <v>4.0729483282674769E-2</v>
      </c>
      <c r="K1618" s="326">
        <f>+K1596+K1601+K1604+K1610+K1614+K1617</f>
        <v>450836</v>
      </c>
      <c r="L1618" s="759">
        <f t="shared" ref="L1618:M1618" si="2055">+L1596+L1601+L1604+L1610+L1614+L1617</f>
        <v>444491</v>
      </c>
      <c r="M1618" s="325">
        <f t="shared" si="2055"/>
        <v>6345</v>
      </c>
      <c r="N1618" s="341">
        <f t="shared" si="2032"/>
        <v>0.34883627359950481</v>
      </c>
      <c r="O1618" s="349">
        <f t="shared" si="2017"/>
        <v>1.4073853906963951E-2</v>
      </c>
    </row>
    <row r="1619" spans="1:15" ht="24" thickBot="1" x14ac:dyDescent="0.35">
      <c r="A1619" s="318" t="s">
        <v>102</v>
      </c>
      <c r="B1619" s="1020" t="s">
        <v>173</v>
      </c>
      <c r="C1619" s="1020"/>
      <c r="D1619" s="1021"/>
      <c r="E1619" s="330">
        <f>+E1618</f>
        <v>1292400</v>
      </c>
      <c r="F1619" s="331">
        <f t="shared" ref="F1619:I1619" si="2056">+F1618</f>
        <v>65800</v>
      </c>
      <c r="G1619" s="330">
        <f t="shared" si="2056"/>
        <v>2680</v>
      </c>
      <c r="H1619" s="328">
        <f t="shared" si="2056"/>
        <v>2560</v>
      </c>
      <c r="I1619" s="328">
        <f t="shared" si="2056"/>
        <v>120</v>
      </c>
      <c r="J1619" s="350">
        <f>+G1619/F1619</f>
        <v>4.0729483282674769E-2</v>
      </c>
      <c r="K1619" s="330">
        <f t="shared" ref="K1619:O1619" si="2057">+K1618</f>
        <v>450836</v>
      </c>
      <c r="L1619" s="328">
        <f t="shared" si="2057"/>
        <v>444491</v>
      </c>
      <c r="M1619" s="329">
        <f t="shared" si="2057"/>
        <v>6345</v>
      </c>
      <c r="N1619" s="342">
        <f t="shared" si="2057"/>
        <v>0.34883627359950481</v>
      </c>
      <c r="O1619" s="350">
        <f t="shared" si="2057"/>
        <v>1.4073853906963951E-2</v>
      </c>
    </row>
    <row r="1620" spans="1:15" ht="24.6" thickBot="1" x14ac:dyDescent="0.35">
      <c r="A1620" s="319"/>
      <c r="B1620" s="1031" t="s">
        <v>174</v>
      </c>
      <c r="C1620" s="1032"/>
      <c r="D1620" s="1033"/>
      <c r="E1620" s="374">
        <f>+E1557+E1592+E1619</f>
        <v>7473564</v>
      </c>
      <c r="F1620" s="374">
        <f>+F1557+F1592+F1619</f>
        <v>1024800</v>
      </c>
      <c r="G1620" s="374">
        <f>+G1557+G1592+G1619</f>
        <v>245641</v>
      </c>
      <c r="H1620" s="374">
        <f>+H1557+H1592+H1619</f>
        <v>243208</v>
      </c>
      <c r="I1620" s="374">
        <f>+I1557+I1592+I1619</f>
        <v>2433</v>
      </c>
      <c r="J1620" s="375">
        <f>IFERROR(G1620/F1620,"-")</f>
        <v>0.23969652615144418</v>
      </c>
      <c r="K1620" s="374">
        <f>+K1557+K1592+K1619</f>
        <v>5192046</v>
      </c>
      <c r="L1620" s="374">
        <f>+L1557+L1592+L1619</f>
        <v>5141371</v>
      </c>
      <c r="M1620" s="374">
        <f>+M1557+M1592+M1619</f>
        <v>50675</v>
      </c>
      <c r="N1620" s="375">
        <f>IFERROR(K1620/E1620,"-")</f>
        <v>0.6947215545354265</v>
      </c>
      <c r="O1620" s="375">
        <f>IFERROR(M1620/K1620,"-")</f>
        <v>9.7601215397552336E-3</v>
      </c>
    </row>
    <row r="1621" spans="1:15" ht="23.4" x14ac:dyDescent="0.3">
      <c r="A1621" s="1057" t="s">
        <v>1</v>
      </c>
      <c r="B1621" s="1060" t="s">
        <v>2</v>
      </c>
      <c r="C1621" s="1063" t="s">
        <v>396</v>
      </c>
      <c r="D1621" s="1063" t="s">
        <v>397</v>
      </c>
      <c r="E1621" s="1066" t="s">
        <v>4</v>
      </c>
      <c r="F1621" s="1067"/>
      <c r="G1621" s="1067"/>
      <c r="H1621" s="1067"/>
      <c r="I1621" s="1067"/>
      <c r="J1621" s="1067"/>
      <c r="K1621" s="1067"/>
      <c r="L1621" s="1067"/>
      <c r="M1621" s="1067"/>
      <c r="N1621" s="1067"/>
      <c r="O1621" s="1068"/>
    </row>
    <row r="1622" spans="1:15" ht="23.4" x14ac:dyDescent="0.3">
      <c r="A1622" s="1058"/>
      <c r="B1622" s="1061"/>
      <c r="C1622" s="1064"/>
      <c r="D1622" s="1064"/>
      <c r="E1622" s="1069" t="s">
        <v>7</v>
      </c>
      <c r="F1622" s="1071" t="s">
        <v>108</v>
      </c>
      <c r="G1622" s="1073" t="s">
        <v>568</v>
      </c>
      <c r="H1622" s="1074"/>
      <c r="I1622" s="1074"/>
      <c r="J1622" s="1075"/>
      <c r="K1622" s="1076" t="s">
        <v>398</v>
      </c>
      <c r="L1622" s="1077"/>
      <c r="M1622" s="1078"/>
      <c r="N1622" s="1079" t="s">
        <v>399</v>
      </c>
      <c r="O1622" s="1081" t="s">
        <v>164</v>
      </c>
    </row>
    <row r="1623" spans="1:15" ht="41.4" thickBot="1" x14ac:dyDescent="0.35">
      <c r="A1623" s="1059"/>
      <c r="B1623" s="1062"/>
      <c r="C1623" s="1065"/>
      <c r="D1623" s="1065"/>
      <c r="E1623" s="1070"/>
      <c r="F1623" s="1072"/>
      <c r="G1623" s="452" t="s">
        <v>13</v>
      </c>
      <c r="H1623" s="453" t="s">
        <v>14</v>
      </c>
      <c r="I1623" s="453" t="s">
        <v>15</v>
      </c>
      <c r="J1623" s="454" t="s">
        <v>166</v>
      </c>
      <c r="K1623" s="680" t="s">
        <v>13</v>
      </c>
      <c r="L1623" s="678" t="s">
        <v>14</v>
      </c>
      <c r="M1623" s="679" t="s">
        <v>15</v>
      </c>
      <c r="N1623" s="1080"/>
      <c r="O1623" s="1082"/>
    </row>
    <row r="1624" spans="1:15" ht="23.4" x14ac:dyDescent="0.3">
      <c r="A1624" s="268" t="s">
        <v>103</v>
      </c>
      <c r="B1624" s="1043" t="s">
        <v>16</v>
      </c>
      <c r="C1624" s="269" t="s">
        <v>549</v>
      </c>
      <c r="D1624" s="269" t="s">
        <v>369</v>
      </c>
      <c r="E1624" s="270">
        <v>20000</v>
      </c>
      <c r="F1624" s="271"/>
      <c r="G1624" s="332">
        <f>+H1624+I1624</f>
        <v>0</v>
      </c>
      <c r="H1624" s="272">
        <v>0</v>
      </c>
      <c r="I1624" s="272">
        <v>0</v>
      </c>
      <c r="J1624" s="352" t="str">
        <f>IFERROR(G1624/F1624,"-")</f>
        <v>-</v>
      </c>
      <c r="K1624" s="694">
        <f>+L1624+M1624</f>
        <v>19671</v>
      </c>
      <c r="L1624" s="527">
        <f>+H1624+L1507</f>
        <v>18620</v>
      </c>
      <c r="M1624" s="459">
        <f>+I1624+M1507</f>
        <v>1051</v>
      </c>
      <c r="N1624" s="336">
        <f>IFERROR(K1624/E1624,"-")</f>
        <v>0.98355000000000004</v>
      </c>
      <c r="O1624" s="343">
        <f t="shared" ref="O1624:O1625" si="2058">IFERROR(M1624/K1624,"-")</f>
        <v>5.3428905495399318E-2</v>
      </c>
    </row>
    <row r="1625" spans="1:15" ht="23.4" x14ac:dyDescent="0.3">
      <c r="A1625" s="274" t="s">
        <v>103</v>
      </c>
      <c r="B1625" s="1044"/>
      <c r="C1625" s="275" t="s">
        <v>376</v>
      </c>
      <c r="D1625" s="275" t="s">
        <v>375</v>
      </c>
      <c r="E1625" s="276"/>
      <c r="F1625" s="277"/>
      <c r="G1625" s="333">
        <f t="shared" ref="G1625:G1627" si="2059">+H1625+I1625</f>
        <v>0</v>
      </c>
      <c r="H1625" s="278"/>
      <c r="I1625" s="278"/>
      <c r="J1625" s="352" t="str">
        <f t="shared" ref="J1625:J1627" si="2060">IFERROR(G1625/F1625,"-")</f>
        <v>-</v>
      </c>
      <c r="K1625" s="690">
        <f t="shared" ref="K1625:K1627" si="2061">+L1625+M1625</f>
        <v>0</v>
      </c>
      <c r="L1625" s="276">
        <f t="shared" ref="L1625:L1627" si="2062">+H1625+L1508</f>
        <v>0</v>
      </c>
      <c r="M1625" s="436">
        <f t="shared" ref="M1625:M1627" si="2063">+I1625+M1508</f>
        <v>0</v>
      </c>
      <c r="N1625" s="337" t="str">
        <f t="shared" ref="N1625:N1627" si="2064">IFERROR(K1625/E1625,"-")</f>
        <v>-</v>
      </c>
      <c r="O1625" s="265" t="str">
        <f t="shared" si="2058"/>
        <v>-</v>
      </c>
    </row>
    <row r="1626" spans="1:15" ht="23.4" x14ac:dyDescent="0.3">
      <c r="A1626" s="274" t="s">
        <v>103</v>
      </c>
      <c r="B1626" s="1044"/>
      <c r="C1626" s="573" t="s">
        <v>431</v>
      </c>
      <c r="D1626" s="573" t="s">
        <v>366</v>
      </c>
      <c r="E1626" s="720"/>
      <c r="F1626" s="721"/>
      <c r="G1626" s="333">
        <f t="shared" si="2059"/>
        <v>0</v>
      </c>
      <c r="H1626" s="722"/>
      <c r="I1626" s="722"/>
      <c r="J1626" s="352" t="str">
        <f t="shared" si="2060"/>
        <v>-</v>
      </c>
      <c r="K1626" s="690">
        <f t="shared" si="2061"/>
        <v>8000</v>
      </c>
      <c r="L1626" s="276">
        <f t="shared" si="2062"/>
        <v>8000</v>
      </c>
      <c r="M1626" s="436">
        <f t="shared" si="2063"/>
        <v>0</v>
      </c>
      <c r="N1626" s="337" t="str">
        <f t="shared" si="2064"/>
        <v>-</v>
      </c>
      <c r="O1626" s="265">
        <f>IFERROR(M1626/K1626,"-")</f>
        <v>0</v>
      </c>
    </row>
    <row r="1627" spans="1:15" ht="24" thickBot="1" x14ac:dyDescent="0.35">
      <c r="A1627" s="274" t="s">
        <v>103</v>
      </c>
      <c r="B1627" s="1045"/>
      <c r="C1627" s="279" t="s">
        <v>428</v>
      </c>
      <c r="D1627" s="279" t="s">
        <v>374</v>
      </c>
      <c r="E1627" s="280"/>
      <c r="F1627" s="281"/>
      <c r="G1627" s="334">
        <f t="shared" si="2059"/>
        <v>0</v>
      </c>
      <c r="H1627" s="272"/>
      <c r="I1627" s="272"/>
      <c r="J1627" s="352" t="str">
        <f t="shared" si="2060"/>
        <v>-</v>
      </c>
      <c r="K1627" s="691">
        <f t="shared" si="2061"/>
        <v>0</v>
      </c>
      <c r="L1627" s="530">
        <f t="shared" si="2062"/>
        <v>0</v>
      </c>
      <c r="M1627" s="462">
        <f t="shared" si="2063"/>
        <v>0</v>
      </c>
      <c r="N1627" s="338" t="str">
        <f t="shared" si="2064"/>
        <v>-</v>
      </c>
      <c r="O1627" s="344" t="str">
        <f t="shared" ref="O1627:O1645" si="2065">IFERROR(M1627/K1627,"-")</f>
        <v>-</v>
      </c>
    </row>
    <row r="1628" spans="1:15" ht="24" thickBot="1" x14ac:dyDescent="0.35">
      <c r="A1628" s="274" t="s">
        <v>103</v>
      </c>
      <c r="B1628" s="1025" t="s">
        <v>44</v>
      </c>
      <c r="C1628" s="1026"/>
      <c r="D1628" s="1027"/>
      <c r="E1628" s="320">
        <f>SUM(E1624:E1627)</f>
        <v>20000</v>
      </c>
      <c r="F1628" s="285">
        <v>15000</v>
      </c>
      <c r="G1628" s="320">
        <f>SUM(G1624:G1627)</f>
        <v>0</v>
      </c>
      <c r="H1628" s="321">
        <f t="shared" ref="H1628:I1628" si="2066">SUM(H1624:H1627)</f>
        <v>0</v>
      </c>
      <c r="I1628" s="321">
        <f t="shared" si="2066"/>
        <v>0</v>
      </c>
      <c r="J1628" s="345">
        <f>+G1628/F1628</f>
        <v>0</v>
      </c>
      <c r="K1628" s="320">
        <f t="shared" ref="K1628" si="2067">SUM(K1624:K1627)</f>
        <v>27671</v>
      </c>
      <c r="L1628" s="692">
        <f>SUM(L1624:L1627)</f>
        <v>26620</v>
      </c>
      <c r="M1628" s="693">
        <f>SUM(M1624:M1627)</f>
        <v>1051</v>
      </c>
      <c r="N1628" s="339">
        <f>IFERROR(K1628/E1628,"-")</f>
        <v>1.3835500000000001</v>
      </c>
      <c r="O1628" s="345">
        <f t="shared" si="2065"/>
        <v>3.7982002818835604E-2</v>
      </c>
    </row>
    <row r="1629" spans="1:15" ht="23.4" x14ac:dyDescent="0.3">
      <c r="A1629" s="274" t="s">
        <v>103</v>
      </c>
      <c r="B1629" s="1043" t="s">
        <v>17</v>
      </c>
      <c r="C1629" s="269" t="s">
        <v>294</v>
      </c>
      <c r="D1629" s="269"/>
      <c r="E1629" s="270"/>
      <c r="F1629" s="271"/>
      <c r="G1629" s="332">
        <f t="shared" ref="G1629:G1635" si="2068">+H1629+I1629</f>
        <v>0</v>
      </c>
      <c r="H1629" s="272">
        <v>0</v>
      </c>
      <c r="I1629" s="272">
        <v>0</v>
      </c>
      <c r="J1629" s="351" t="str">
        <f>IFERROR(G1629/F1629,"-")</f>
        <v>-</v>
      </c>
      <c r="K1629" s="694">
        <f t="shared" ref="K1629:K1635" si="2069">+L1629+M1629</f>
        <v>0</v>
      </c>
      <c r="L1629" s="527">
        <f t="shared" ref="L1629:L1635" si="2070">+H1629+L1512</f>
        <v>0</v>
      </c>
      <c r="M1629" s="459">
        <f t="shared" ref="M1629:M1635" si="2071">+I1629+M1512</f>
        <v>0</v>
      </c>
      <c r="N1629" s="336" t="str">
        <f t="shared" ref="N1629:N1635" si="2072">IFERROR(K1629/E1629,"-")</f>
        <v>-</v>
      </c>
      <c r="O1629" s="346" t="str">
        <f t="shared" si="2065"/>
        <v>-</v>
      </c>
    </row>
    <row r="1630" spans="1:15" ht="23.4" x14ac:dyDescent="0.3">
      <c r="A1630" s="274" t="s">
        <v>103</v>
      </c>
      <c r="B1630" s="1044"/>
      <c r="C1630" s="275" t="s">
        <v>344</v>
      </c>
      <c r="D1630" s="275" t="s">
        <v>232</v>
      </c>
      <c r="E1630" s="276">
        <v>1600000</v>
      </c>
      <c r="F1630" s="277"/>
      <c r="G1630" s="333">
        <f t="shared" si="2068"/>
        <v>0</v>
      </c>
      <c r="H1630" s="278">
        <v>0</v>
      </c>
      <c r="I1630" s="278">
        <v>0</v>
      </c>
      <c r="J1630" s="351" t="str">
        <f t="shared" ref="J1630:J1635" si="2073">IFERROR(G1630/F1630,"-")</f>
        <v>-</v>
      </c>
      <c r="K1630" s="690">
        <f t="shared" si="2069"/>
        <v>6120</v>
      </c>
      <c r="L1630" s="276">
        <f t="shared" si="2070"/>
        <v>5980</v>
      </c>
      <c r="M1630" s="436">
        <f t="shared" si="2071"/>
        <v>140</v>
      </c>
      <c r="N1630" s="337">
        <f t="shared" si="2072"/>
        <v>3.8249999999999998E-3</v>
      </c>
      <c r="O1630" s="263">
        <f t="shared" si="2065"/>
        <v>2.2875816993464051E-2</v>
      </c>
    </row>
    <row r="1631" spans="1:15" ht="23.4" x14ac:dyDescent="0.3">
      <c r="A1631" s="274" t="s">
        <v>103</v>
      </c>
      <c r="B1631" s="1044"/>
      <c r="C1631" s="275" t="s">
        <v>367</v>
      </c>
      <c r="D1631" s="275" t="s">
        <v>187</v>
      </c>
      <c r="E1631" s="276">
        <v>1000000</v>
      </c>
      <c r="F1631" s="277"/>
      <c r="G1631" s="333">
        <f t="shared" si="2068"/>
        <v>92042</v>
      </c>
      <c r="H1631" s="278">
        <v>91800</v>
      </c>
      <c r="I1631" s="278">
        <v>242</v>
      </c>
      <c r="J1631" s="351" t="str">
        <f t="shared" si="2073"/>
        <v>-</v>
      </c>
      <c r="K1631" s="690">
        <f t="shared" si="2069"/>
        <v>1200279</v>
      </c>
      <c r="L1631" s="276">
        <f t="shared" si="2070"/>
        <v>1193400</v>
      </c>
      <c r="M1631" s="436">
        <f t="shared" si="2071"/>
        <v>6879</v>
      </c>
      <c r="N1631" s="337">
        <f t="shared" si="2072"/>
        <v>1.2002790000000001</v>
      </c>
      <c r="O1631" s="263">
        <f t="shared" si="2065"/>
        <v>5.7311675035554236E-3</v>
      </c>
    </row>
    <row r="1632" spans="1:15" ht="23.4" x14ac:dyDescent="0.3">
      <c r="A1632" s="274" t="s">
        <v>103</v>
      </c>
      <c r="B1632" s="1044"/>
      <c r="C1632" s="275" t="s">
        <v>530</v>
      </c>
      <c r="D1632" s="275" t="s">
        <v>529</v>
      </c>
      <c r="E1632" s="276"/>
      <c r="F1632" s="277"/>
      <c r="G1632" s="333">
        <f t="shared" si="2068"/>
        <v>0</v>
      </c>
      <c r="H1632" s="278">
        <v>0</v>
      </c>
      <c r="I1632" s="278">
        <v>0</v>
      </c>
      <c r="J1632" s="351" t="str">
        <f t="shared" si="2073"/>
        <v>-</v>
      </c>
      <c r="K1632" s="690">
        <f t="shared" si="2069"/>
        <v>41558</v>
      </c>
      <c r="L1632" s="276">
        <f t="shared" si="2070"/>
        <v>41350</v>
      </c>
      <c r="M1632" s="436">
        <f t="shared" si="2071"/>
        <v>208</v>
      </c>
      <c r="N1632" s="337" t="str">
        <f t="shared" si="2072"/>
        <v>-</v>
      </c>
      <c r="O1632" s="263">
        <f t="shared" si="2065"/>
        <v>5.0050531786900235E-3</v>
      </c>
    </row>
    <row r="1633" spans="1:15" ht="23.4" x14ac:dyDescent="0.3">
      <c r="A1633" s="274" t="s">
        <v>103</v>
      </c>
      <c r="B1633" s="1044"/>
      <c r="C1633" s="275" t="s">
        <v>323</v>
      </c>
      <c r="D1633" s="275" t="s">
        <v>318</v>
      </c>
      <c r="E1633" s="276"/>
      <c r="F1633" s="277"/>
      <c r="G1633" s="333">
        <f t="shared" si="2068"/>
        <v>0</v>
      </c>
      <c r="H1633" s="278">
        <v>0</v>
      </c>
      <c r="I1633" s="278">
        <v>0</v>
      </c>
      <c r="J1633" s="351" t="str">
        <f t="shared" si="2073"/>
        <v>-</v>
      </c>
      <c r="K1633" s="690">
        <f t="shared" si="2069"/>
        <v>0</v>
      </c>
      <c r="L1633" s="276">
        <f t="shared" si="2070"/>
        <v>0</v>
      </c>
      <c r="M1633" s="436">
        <f t="shared" si="2071"/>
        <v>0</v>
      </c>
      <c r="N1633" s="337" t="str">
        <f t="shared" si="2072"/>
        <v>-</v>
      </c>
      <c r="O1633" s="263" t="str">
        <f t="shared" si="2065"/>
        <v>-</v>
      </c>
    </row>
    <row r="1634" spans="1:15" ht="23.4" x14ac:dyDescent="0.3">
      <c r="A1634" s="274" t="s">
        <v>103</v>
      </c>
      <c r="B1634" s="1044"/>
      <c r="C1634" s="275" t="s">
        <v>528</v>
      </c>
      <c r="D1634" s="275" t="s">
        <v>189</v>
      </c>
      <c r="E1634" s="276"/>
      <c r="F1634" s="277"/>
      <c r="G1634" s="333">
        <f t="shared" si="2068"/>
        <v>0</v>
      </c>
      <c r="H1634" s="278">
        <v>0</v>
      </c>
      <c r="I1634" s="278">
        <v>0</v>
      </c>
      <c r="J1634" s="351" t="str">
        <f t="shared" si="2073"/>
        <v>-</v>
      </c>
      <c r="K1634" s="690">
        <f t="shared" si="2069"/>
        <v>33900</v>
      </c>
      <c r="L1634" s="276">
        <f t="shared" si="2070"/>
        <v>33760</v>
      </c>
      <c r="M1634" s="436">
        <f t="shared" si="2071"/>
        <v>140</v>
      </c>
      <c r="N1634" s="337" t="str">
        <f t="shared" si="2072"/>
        <v>-</v>
      </c>
      <c r="O1634" s="263">
        <f t="shared" si="2065"/>
        <v>4.1297935103244837E-3</v>
      </c>
    </row>
    <row r="1635" spans="1:15" ht="24" thickBot="1" x14ac:dyDescent="0.35">
      <c r="A1635" s="274" t="s">
        <v>103</v>
      </c>
      <c r="B1635" s="1045"/>
      <c r="C1635" s="279" t="s">
        <v>341</v>
      </c>
      <c r="D1635" s="279" t="s">
        <v>232</v>
      </c>
      <c r="E1635" s="280"/>
      <c r="F1635" s="281"/>
      <c r="G1635" s="334">
        <f t="shared" si="2068"/>
        <v>0</v>
      </c>
      <c r="H1635" s="278">
        <v>0</v>
      </c>
      <c r="I1635" s="278">
        <v>0</v>
      </c>
      <c r="J1635" s="351" t="str">
        <f t="shared" si="2073"/>
        <v>-</v>
      </c>
      <c r="K1635" s="691">
        <f t="shared" si="2069"/>
        <v>0</v>
      </c>
      <c r="L1635" s="530">
        <f t="shared" si="2070"/>
        <v>0</v>
      </c>
      <c r="M1635" s="462">
        <f t="shared" si="2071"/>
        <v>0</v>
      </c>
      <c r="N1635" s="338" t="str">
        <f t="shared" si="2072"/>
        <v>-</v>
      </c>
      <c r="O1635" s="347" t="str">
        <f t="shared" si="2065"/>
        <v>-</v>
      </c>
    </row>
    <row r="1636" spans="1:15" ht="24" thickBot="1" x14ac:dyDescent="0.35">
      <c r="A1636" s="274" t="s">
        <v>103</v>
      </c>
      <c r="B1636" s="1025" t="s">
        <v>45</v>
      </c>
      <c r="C1636" s="1026"/>
      <c r="D1636" s="1027"/>
      <c r="E1636" s="320">
        <f>SUM(E1629:E1635)</f>
        <v>2600000</v>
      </c>
      <c r="F1636" s="285">
        <v>100000</v>
      </c>
      <c r="G1636" s="320">
        <f>SUM(G1629:G1635)</f>
        <v>92042</v>
      </c>
      <c r="H1636" s="321">
        <f t="shared" ref="H1636:I1636" si="2074">SUM(H1629:H1635)</f>
        <v>91800</v>
      </c>
      <c r="I1636" s="321">
        <f t="shared" si="2074"/>
        <v>242</v>
      </c>
      <c r="J1636" s="345">
        <f>+G1636/F1636</f>
        <v>0.92042000000000002</v>
      </c>
      <c r="K1636" s="320">
        <f>SUM(K1629:K1635)</f>
        <v>1281857</v>
      </c>
      <c r="L1636" s="519">
        <f>SUM(L1629:L1635)</f>
        <v>1274490</v>
      </c>
      <c r="M1636" s="689">
        <f t="shared" ref="M1636" si="2075">SUM(M1629:M1635)</f>
        <v>7367</v>
      </c>
      <c r="N1636" s="339">
        <f>IFERROR(K1636/E1636,"-")</f>
        <v>0.49302192307692305</v>
      </c>
      <c r="O1636" s="345">
        <f t="shared" si="2065"/>
        <v>5.7471309202196501E-3</v>
      </c>
    </row>
    <row r="1637" spans="1:15" ht="23.4" x14ac:dyDescent="0.3">
      <c r="A1637" s="274" t="s">
        <v>103</v>
      </c>
      <c r="B1637" s="1043" t="s">
        <v>18</v>
      </c>
      <c r="C1637" s="269" t="s">
        <v>312</v>
      </c>
      <c r="D1637" s="269" t="s">
        <v>92</v>
      </c>
      <c r="E1637" s="270"/>
      <c r="F1637" s="271"/>
      <c r="G1637" s="332">
        <f t="shared" ref="G1637:G1643" si="2076">+H1637+I1637</f>
        <v>0</v>
      </c>
      <c r="H1637" s="272">
        <v>0</v>
      </c>
      <c r="I1637" s="272">
        <v>0</v>
      </c>
      <c r="J1637" s="351" t="str">
        <f>IFERROR(G1637/F1637,"-")</f>
        <v>-</v>
      </c>
      <c r="K1637" s="332">
        <f t="shared" ref="K1637:K1643" si="2077">+L1637+M1637</f>
        <v>0</v>
      </c>
      <c r="L1637" s="272">
        <f t="shared" ref="L1637:L1643" si="2078">+H1637+L1520</f>
        <v>0</v>
      </c>
      <c r="M1637" s="273">
        <f t="shared" ref="M1637:M1643" si="2079">+I1637+M1520</f>
        <v>0</v>
      </c>
      <c r="N1637" s="336" t="str">
        <f t="shared" ref="N1637:N1644" si="2080">IFERROR(K1637/E1637,"-")</f>
        <v>-</v>
      </c>
      <c r="O1637" s="346" t="str">
        <f t="shared" si="2065"/>
        <v>-</v>
      </c>
    </row>
    <row r="1638" spans="1:15" ht="23.4" x14ac:dyDescent="0.3">
      <c r="A1638" s="274" t="s">
        <v>103</v>
      </c>
      <c r="B1638" s="1044"/>
      <c r="C1638" s="275" t="s">
        <v>233</v>
      </c>
      <c r="D1638" s="275" t="s">
        <v>234</v>
      </c>
      <c r="E1638" s="276"/>
      <c r="F1638" s="277"/>
      <c r="G1638" s="333">
        <f t="shared" si="2076"/>
        <v>0</v>
      </c>
      <c r="H1638" s="278">
        <v>0</v>
      </c>
      <c r="I1638" s="278">
        <v>0</v>
      </c>
      <c r="J1638" s="351" t="str">
        <f t="shared" ref="J1638:J1643" si="2081">IFERROR(G1638/F1638,"-")</f>
        <v>-</v>
      </c>
      <c r="K1638" s="333">
        <f t="shared" si="2077"/>
        <v>0</v>
      </c>
      <c r="L1638" s="272">
        <f t="shared" si="2078"/>
        <v>0</v>
      </c>
      <c r="M1638" s="273">
        <f t="shared" si="2079"/>
        <v>0</v>
      </c>
      <c r="N1638" s="337" t="str">
        <f t="shared" si="2080"/>
        <v>-</v>
      </c>
      <c r="O1638" s="263" t="str">
        <f t="shared" si="2065"/>
        <v>-</v>
      </c>
    </row>
    <row r="1639" spans="1:15" ht="23.4" x14ac:dyDescent="0.3">
      <c r="A1639" s="274" t="s">
        <v>103</v>
      </c>
      <c r="B1639" s="1044"/>
      <c r="C1639" s="275" t="s">
        <v>115</v>
      </c>
      <c r="D1639" s="275"/>
      <c r="E1639" s="276"/>
      <c r="F1639" s="277"/>
      <c r="G1639" s="333">
        <f t="shared" si="2076"/>
        <v>0</v>
      </c>
      <c r="H1639" s="278">
        <v>0</v>
      </c>
      <c r="I1639" s="278">
        <v>0</v>
      </c>
      <c r="J1639" s="351" t="str">
        <f t="shared" si="2081"/>
        <v>-</v>
      </c>
      <c r="K1639" s="333">
        <f t="shared" si="2077"/>
        <v>0</v>
      </c>
      <c r="L1639" s="272">
        <f t="shared" si="2078"/>
        <v>0</v>
      </c>
      <c r="M1639" s="273">
        <f t="shared" si="2079"/>
        <v>0</v>
      </c>
      <c r="N1639" s="337" t="str">
        <f t="shared" si="2080"/>
        <v>-</v>
      </c>
      <c r="O1639" s="263" t="str">
        <f t="shared" si="2065"/>
        <v>-</v>
      </c>
    </row>
    <row r="1640" spans="1:15" ht="23.4" x14ac:dyDescent="0.3">
      <c r="A1640" s="274" t="s">
        <v>103</v>
      </c>
      <c r="B1640" s="1044"/>
      <c r="C1640" s="275" t="s">
        <v>122</v>
      </c>
      <c r="D1640" s="275"/>
      <c r="E1640" s="276"/>
      <c r="F1640" s="277"/>
      <c r="G1640" s="333">
        <f t="shared" si="2076"/>
        <v>0</v>
      </c>
      <c r="H1640" s="278">
        <v>0</v>
      </c>
      <c r="I1640" s="278">
        <v>0</v>
      </c>
      <c r="J1640" s="351" t="str">
        <f t="shared" si="2081"/>
        <v>-</v>
      </c>
      <c r="K1640" s="333">
        <f t="shared" si="2077"/>
        <v>0</v>
      </c>
      <c r="L1640" s="272">
        <f t="shared" si="2078"/>
        <v>0</v>
      </c>
      <c r="M1640" s="273">
        <f t="shared" si="2079"/>
        <v>0</v>
      </c>
      <c r="N1640" s="337" t="str">
        <f t="shared" si="2080"/>
        <v>-</v>
      </c>
      <c r="O1640" s="263" t="str">
        <f t="shared" si="2065"/>
        <v>-</v>
      </c>
    </row>
    <row r="1641" spans="1:15" ht="23.4" x14ac:dyDescent="0.3">
      <c r="A1641" s="274" t="s">
        <v>103</v>
      </c>
      <c r="B1641" s="1044"/>
      <c r="C1641" s="275" t="s">
        <v>176</v>
      </c>
      <c r="D1641" s="275" t="s">
        <v>177</v>
      </c>
      <c r="E1641" s="276"/>
      <c r="F1641" s="277"/>
      <c r="G1641" s="333">
        <f t="shared" si="2076"/>
        <v>0</v>
      </c>
      <c r="H1641" s="278">
        <v>0</v>
      </c>
      <c r="I1641" s="278">
        <v>0</v>
      </c>
      <c r="J1641" s="351" t="str">
        <f t="shared" si="2081"/>
        <v>-</v>
      </c>
      <c r="K1641" s="333">
        <f t="shared" si="2077"/>
        <v>0</v>
      </c>
      <c r="L1641" s="272">
        <f t="shared" si="2078"/>
        <v>0</v>
      </c>
      <c r="M1641" s="273">
        <f t="shared" si="2079"/>
        <v>0</v>
      </c>
      <c r="N1641" s="337" t="str">
        <f t="shared" si="2080"/>
        <v>-</v>
      </c>
      <c r="O1641" s="263" t="str">
        <f t="shared" si="2065"/>
        <v>-</v>
      </c>
    </row>
    <row r="1642" spans="1:15" ht="23.4" x14ac:dyDescent="0.3">
      <c r="A1642" s="274" t="s">
        <v>103</v>
      </c>
      <c r="B1642" s="1044"/>
      <c r="C1642" s="275" t="s">
        <v>179</v>
      </c>
      <c r="D1642" s="275" t="s">
        <v>178</v>
      </c>
      <c r="E1642" s="276"/>
      <c r="F1642" s="277"/>
      <c r="G1642" s="333">
        <f t="shared" si="2076"/>
        <v>0</v>
      </c>
      <c r="H1642" s="278">
        <v>0</v>
      </c>
      <c r="I1642" s="278">
        <v>0</v>
      </c>
      <c r="J1642" s="351" t="str">
        <f t="shared" si="2081"/>
        <v>-</v>
      </c>
      <c r="K1642" s="333">
        <f t="shared" si="2077"/>
        <v>0</v>
      </c>
      <c r="L1642" s="272">
        <f t="shared" si="2078"/>
        <v>0</v>
      </c>
      <c r="M1642" s="273">
        <f t="shared" si="2079"/>
        <v>0</v>
      </c>
      <c r="N1642" s="337" t="str">
        <f t="shared" si="2080"/>
        <v>-</v>
      </c>
      <c r="O1642" s="263" t="str">
        <f t="shared" si="2065"/>
        <v>-</v>
      </c>
    </row>
    <row r="1643" spans="1:15" ht="24" thickBot="1" x14ac:dyDescent="0.35">
      <c r="A1643" s="274" t="s">
        <v>103</v>
      </c>
      <c r="B1643" s="1045"/>
      <c r="C1643" s="286" t="s">
        <v>180</v>
      </c>
      <c r="D1643" s="286" t="s">
        <v>107</v>
      </c>
      <c r="E1643" s="280"/>
      <c r="F1643" s="281"/>
      <c r="G1643" s="334">
        <f t="shared" si="2076"/>
        <v>0</v>
      </c>
      <c r="H1643" s="282">
        <v>0</v>
      </c>
      <c r="I1643" s="282">
        <v>0</v>
      </c>
      <c r="J1643" s="351" t="str">
        <f t="shared" si="2081"/>
        <v>-</v>
      </c>
      <c r="K1643" s="334">
        <f t="shared" si="2077"/>
        <v>0</v>
      </c>
      <c r="L1643" s="272">
        <f t="shared" si="2078"/>
        <v>0</v>
      </c>
      <c r="M1643" s="273">
        <f t="shared" si="2079"/>
        <v>0</v>
      </c>
      <c r="N1643" s="338" t="str">
        <f t="shared" si="2080"/>
        <v>-</v>
      </c>
      <c r="O1643" s="347" t="str">
        <f t="shared" si="2065"/>
        <v>-</v>
      </c>
    </row>
    <row r="1644" spans="1:15" ht="24" thickBot="1" x14ac:dyDescent="0.35">
      <c r="A1644" s="274" t="s">
        <v>103</v>
      </c>
      <c r="B1644" s="1025" t="s">
        <v>29</v>
      </c>
      <c r="C1644" s="1083"/>
      <c r="D1644" s="1084"/>
      <c r="E1644" s="366">
        <f t="shared" ref="E1644" si="2082">SUM(E1637:E1643)</f>
        <v>0</v>
      </c>
      <c r="F1644" s="307">
        <v>80000</v>
      </c>
      <c r="G1644" s="366">
        <f>SUM(G1637:G1643)</f>
        <v>0</v>
      </c>
      <c r="H1644" s="365">
        <f t="shared" ref="H1644:I1644" si="2083">SUM(H1637:H1643)</f>
        <v>0</v>
      </c>
      <c r="I1644" s="365">
        <f t="shared" si="2083"/>
        <v>0</v>
      </c>
      <c r="J1644" s="356">
        <f>+G1644/F1644</f>
        <v>0</v>
      </c>
      <c r="K1644" s="366">
        <f t="shared" ref="K1644" si="2084">SUM(K1637:K1643)</f>
        <v>0</v>
      </c>
      <c r="L1644" s="365">
        <f>SUM(L1637:L1643)</f>
        <v>0</v>
      </c>
      <c r="M1644" s="367">
        <f t="shared" ref="M1644" si="2085">SUM(M1637:M1643)</f>
        <v>0</v>
      </c>
      <c r="N1644" s="355" t="str">
        <f t="shared" si="2080"/>
        <v>-</v>
      </c>
      <c r="O1644" s="356" t="str">
        <f t="shared" si="2065"/>
        <v>-</v>
      </c>
    </row>
    <row r="1645" spans="1:15" ht="23.4" x14ac:dyDescent="0.3">
      <c r="A1645" s="252" t="s">
        <v>103</v>
      </c>
      <c r="B1645" s="1037" t="s">
        <v>19</v>
      </c>
      <c r="C1645" s="669" t="s">
        <v>235</v>
      </c>
      <c r="D1645" s="883" t="s">
        <v>177</v>
      </c>
      <c r="E1645" s="912"/>
      <c r="F1645" s="838">
        <v>220000</v>
      </c>
      <c r="G1645" s="457">
        <f t="shared" ref="G1645:G1651" si="2086">+H1645+I1645</f>
        <v>67803</v>
      </c>
      <c r="H1645" s="458">
        <v>67584</v>
      </c>
      <c r="I1645" s="458">
        <v>219</v>
      </c>
      <c r="J1645" s="531">
        <f>IFERROR(G1645/F1645,"-")</f>
        <v>0.30819545454545455</v>
      </c>
      <c r="K1645" s="869">
        <f>+L1645+M1645</f>
        <v>381354</v>
      </c>
      <c r="L1645" s="527">
        <f t="shared" ref="L1645:L1651" si="2087">+H1645+L1528</f>
        <v>380160</v>
      </c>
      <c r="M1645" s="838">
        <f t="shared" ref="M1645:M1651" si="2088">+I1645+M1528</f>
        <v>1194</v>
      </c>
      <c r="N1645" s="646" t="str">
        <f>IFERROR(K1645/E1645,"-")</f>
        <v>-</v>
      </c>
      <c r="O1645" s="647">
        <f t="shared" si="2065"/>
        <v>3.1309491968092638E-3</v>
      </c>
    </row>
    <row r="1646" spans="1:15" ht="23.4" x14ac:dyDescent="0.3">
      <c r="A1646" s="252"/>
      <c r="B1646" s="1038"/>
      <c r="C1646" s="840" t="s">
        <v>377</v>
      </c>
      <c r="D1646" s="876" t="s">
        <v>423</v>
      </c>
      <c r="E1646" s="511">
        <v>1000000</v>
      </c>
      <c r="F1646" s="277"/>
      <c r="G1646" s="333">
        <f t="shared" si="2086"/>
        <v>0</v>
      </c>
      <c r="H1646" s="278">
        <v>0</v>
      </c>
      <c r="I1646" s="278">
        <v>0</v>
      </c>
      <c r="J1646" s="352" t="str">
        <f t="shared" ref="J1646:J1651" si="2089">IFERROR(G1646/F1646,"-")</f>
        <v>-</v>
      </c>
      <c r="K1646" s="870">
        <f>+L1646+M1646</f>
        <v>576188</v>
      </c>
      <c r="L1646" s="276">
        <f t="shared" si="2087"/>
        <v>574464</v>
      </c>
      <c r="M1646" s="277">
        <f t="shared" si="2088"/>
        <v>1724</v>
      </c>
      <c r="N1646" s="836">
        <f t="shared" ref="N1646:N1651" si="2090">IFERROR(K1646/E1646,"-")</f>
        <v>0.57618800000000003</v>
      </c>
      <c r="O1646" s="263">
        <f>IFERROR(M1646/K1646,"-")</f>
        <v>2.9920789742236909E-3</v>
      </c>
    </row>
    <row r="1647" spans="1:15" ht="23.4" x14ac:dyDescent="0.3">
      <c r="A1647" s="252"/>
      <c r="B1647" s="1038"/>
      <c r="C1647" s="840" t="s">
        <v>235</v>
      </c>
      <c r="D1647" s="876" t="s">
        <v>522</v>
      </c>
      <c r="E1647" s="511"/>
      <c r="F1647" s="277"/>
      <c r="G1647" s="333">
        <f t="shared" si="2086"/>
        <v>0</v>
      </c>
      <c r="H1647" s="278">
        <v>0</v>
      </c>
      <c r="I1647" s="278">
        <v>0</v>
      </c>
      <c r="J1647" s="352" t="str">
        <f t="shared" si="2089"/>
        <v>-</v>
      </c>
      <c r="K1647" s="870">
        <f t="shared" ref="K1647:K1650" si="2091">+L1647+M1647</f>
        <v>214277</v>
      </c>
      <c r="L1647" s="276">
        <f t="shared" si="2087"/>
        <v>213712</v>
      </c>
      <c r="M1647" s="277">
        <f t="shared" si="2088"/>
        <v>565</v>
      </c>
      <c r="N1647" s="836" t="str">
        <f t="shared" si="2090"/>
        <v>-</v>
      </c>
      <c r="O1647" s="263">
        <f t="shared" ref="O1647:O1708" si="2092">IFERROR(M1647/K1647,"-")</f>
        <v>2.6367738954717491E-3</v>
      </c>
    </row>
    <row r="1648" spans="1:15" ht="23.4" x14ac:dyDescent="0.3">
      <c r="A1648" s="252"/>
      <c r="B1648" s="1038"/>
      <c r="C1648" s="840" t="s">
        <v>377</v>
      </c>
      <c r="D1648" s="876" t="s">
        <v>522</v>
      </c>
      <c r="E1648" s="511"/>
      <c r="F1648" s="277"/>
      <c r="G1648" s="333">
        <f t="shared" si="2086"/>
        <v>0</v>
      </c>
      <c r="H1648" s="278">
        <v>0</v>
      </c>
      <c r="I1648" s="278">
        <v>0</v>
      </c>
      <c r="J1648" s="352" t="str">
        <f t="shared" si="2089"/>
        <v>-</v>
      </c>
      <c r="K1648" s="870">
        <f t="shared" si="2091"/>
        <v>288207</v>
      </c>
      <c r="L1648" s="276">
        <f t="shared" si="2087"/>
        <v>287232</v>
      </c>
      <c r="M1648" s="277">
        <f t="shared" si="2088"/>
        <v>975</v>
      </c>
      <c r="N1648" s="836" t="str">
        <f t="shared" si="2090"/>
        <v>-</v>
      </c>
      <c r="O1648" s="263">
        <f t="shared" si="2092"/>
        <v>3.3829851460929123E-3</v>
      </c>
    </row>
    <row r="1649" spans="1:15" ht="23.4" x14ac:dyDescent="0.3">
      <c r="A1649" s="252"/>
      <c r="B1649" s="1038"/>
      <c r="C1649" s="840" t="s">
        <v>551</v>
      </c>
      <c r="D1649" s="876" t="s">
        <v>522</v>
      </c>
      <c r="E1649" s="511"/>
      <c r="F1649" s="277"/>
      <c r="G1649" s="333">
        <f t="shared" si="2086"/>
        <v>0</v>
      </c>
      <c r="H1649" s="278">
        <v>0</v>
      </c>
      <c r="I1649" s="278">
        <v>0</v>
      </c>
      <c r="J1649" s="352" t="str">
        <f t="shared" si="2089"/>
        <v>-</v>
      </c>
      <c r="K1649" s="870">
        <f t="shared" si="2091"/>
        <v>151526</v>
      </c>
      <c r="L1649" s="276">
        <f t="shared" si="2087"/>
        <v>149952</v>
      </c>
      <c r="M1649" s="277">
        <f t="shared" si="2088"/>
        <v>1574</v>
      </c>
      <c r="N1649" s="836" t="str">
        <f t="shared" si="2090"/>
        <v>-</v>
      </c>
      <c r="O1649" s="263">
        <f t="shared" si="2092"/>
        <v>1.0387656243812942E-2</v>
      </c>
    </row>
    <row r="1650" spans="1:15" ht="23.4" x14ac:dyDescent="0.3">
      <c r="A1650" s="252"/>
      <c r="B1650" s="1038"/>
      <c r="C1650" s="840"/>
      <c r="D1650" s="876"/>
      <c r="E1650" s="511"/>
      <c r="F1650" s="277"/>
      <c r="G1650" s="333">
        <f t="shared" si="2086"/>
        <v>0</v>
      </c>
      <c r="H1650" s="278">
        <v>0</v>
      </c>
      <c r="I1650" s="278">
        <v>0</v>
      </c>
      <c r="J1650" s="352" t="str">
        <f t="shared" si="2089"/>
        <v>-</v>
      </c>
      <c r="K1650" s="870">
        <f t="shared" si="2091"/>
        <v>0</v>
      </c>
      <c r="L1650" s="276">
        <f t="shared" si="2087"/>
        <v>0</v>
      </c>
      <c r="M1650" s="277">
        <f t="shared" si="2088"/>
        <v>0</v>
      </c>
      <c r="N1650" s="836" t="str">
        <f t="shared" si="2090"/>
        <v>-</v>
      </c>
      <c r="O1650" s="263" t="str">
        <f t="shared" si="2092"/>
        <v>-</v>
      </c>
    </row>
    <row r="1651" spans="1:15" ht="24" thickBot="1" x14ac:dyDescent="0.35">
      <c r="A1651" s="252"/>
      <c r="B1651" s="1039"/>
      <c r="C1651" s="670" t="s">
        <v>342</v>
      </c>
      <c r="D1651" s="884"/>
      <c r="E1651" s="913">
        <v>150000</v>
      </c>
      <c r="F1651" s="839"/>
      <c r="G1651" s="460">
        <f t="shared" si="2086"/>
        <v>0</v>
      </c>
      <c r="H1651" s="461">
        <v>0</v>
      </c>
      <c r="I1651" s="461">
        <v>0</v>
      </c>
      <c r="J1651" s="532" t="str">
        <f t="shared" si="2089"/>
        <v>-</v>
      </c>
      <c r="K1651" s="871">
        <f>+L1651+M1651</f>
        <v>0</v>
      </c>
      <c r="L1651" s="530">
        <f t="shared" si="2087"/>
        <v>0</v>
      </c>
      <c r="M1651" s="839">
        <f t="shared" si="2088"/>
        <v>0</v>
      </c>
      <c r="N1651" s="837">
        <f t="shared" si="2090"/>
        <v>0</v>
      </c>
      <c r="O1651" s="264" t="str">
        <f t="shared" si="2092"/>
        <v>-</v>
      </c>
    </row>
    <row r="1652" spans="1:15" ht="24" thickBot="1" x14ac:dyDescent="0.35">
      <c r="A1652" s="274" t="s">
        <v>103</v>
      </c>
      <c r="B1652" s="1040" t="s">
        <v>46</v>
      </c>
      <c r="C1652" s="1041"/>
      <c r="D1652" s="1042"/>
      <c r="E1652" s="513">
        <f>SUM(E1645:E1651)</f>
        <v>1150000</v>
      </c>
      <c r="F1652" s="859">
        <f t="shared" ref="F1652" si="2093">SUM(F1645)</f>
        <v>220000</v>
      </c>
      <c r="G1652" s="513">
        <f>SUM(G1645:G1651)</f>
        <v>67803</v>
      </c>
      <c r="H1652" s="519">
        <f>SUM(H1645:H1651)</f>
        <v>67584</v>
      </c>
      <c r="I1652" s="519">
        <f>SUM(I1645:I1651)</f>
        <v>219</v>
      </c>
      <c r="J1652" s="520">
        <f>+G1652/F1652</f>
        <v>0.30819545454545455</v>
      </c>
      <c r="K1652" s="835">
        <f>SUM(K1645:K1651)</f>
        <v>1611552</v>
      </c>
      <c r="L1652" s="519">
        <f>SUM(L1645:L1651)</f>
        <v>1605520</v>
      </c>
      <c r="M1652" s="689">
        <f>SUM(M1645:M1651)</f>
        <v>6032</v>
      </c>
      <c r="N1652" s="521">
        <f>IFERROR(K1652/E1652,"-")</f>
        <v>1.4013495652173913</v>
      </c>
      <c r="O1652" s="520">
        <f t="shared" si="2092"/>
        <v>3.7429757153352792E-3</v>
      </c>
    </row>
    <row r="1653" spans="1:15" ht="23.4" x14ac:dyDescent="0.3">
      <c r="A1653" s="274" t="s">
        <v>103</v>
      </c>
      <c r="B1653" s="1043" t="s">
        <v>20</v>
      </c>
      <c r="C1653" s="291" t="s">
        <v>317</v>
      </c>
      <c r="D1653" s="291" t="s">
        <v>289</v>
      </c>
      <c r="E1653" s="270"/>
      <c r="F1653" s="271"/>
      <c r="G1653" s="332">
        <f t="shared" ref="G1653:G1655" si="2094">+H1653+I1653</f>
        <v>0</v>
      </c>
      <c r="H1653" s="272">
        <v>0</v>
      </c>
      <c r="I1653" s="272">
        <v>0</v>
      </c>
      <c r="J1653" s="351" t="str">
        <f>IFERROR(G1653/F1653,"-")</f>
        <v>-</v>
      </c>
      <c r="K1653" s="332">
        <f t="shared" ref="K1653:K1655" si="2095">+L1653+M1653</f>
        <v>0</v>
      </c>
      <c r="L1653" s="272">
        <f t="shared" ref="L1653:L1655" si="2096">+H1653+L1536</f>
        <v>0</v>
      </c>
      <c r="M1653" s="273">
        <f t="shared" ref="M1653:M1655" si="2097">+I1653+M1536</f>
        <v>0</v>
      </c>
      <c r="N1653" s="336" t="str">
        <f t="shared" ref="N1653:N1656" si="2098">IFERROR(K1653/E1653,"-")</f>
        <v>-</v>
      </c>
      <c r="O1653" s="346" t="str">
        <f t="shared" si="2092"/>
        <v>-</v>
      </c>
    </row>
    <row r="1654" spans="1:15" ht="23.4" x14ac:dyDescent="0.3">
      <c r="A1654" s="274" t="s">
        <v>103</v>
      </c>
      <c r="B1654" s="1044"/>
      <c r="C1654" s="292" t="s">
        <v>114</v>
      </c>
      <c r="D1654" s="292"/>
      <c r="E1654" s="276"/>
      <c r="F1654" s="277"/>
      <c r="G1654" s="333">
        <f t="shared" si="2094"/>
        <v>0</v>
      </c>
      <c r="H1654" s="278">
        <v>0</v>
      </c>
      <c r="I1654" s="278">
        <v>0</v>
      </c>
      <c r="J1654" s="351" t="str">
        <f t="shared" ref="J1654:J1655" si="2099">IFERROR(G1654/F1654,"-")</f>
        <v>-</v>
      </c>
      <c r="K1654" s="333">
        <f t="shared" si="2095"/>
        <v>0</v>
      </c>
      <c r="L1654" s="272">
        <f t="shared" si="2096"/>
        <v>0</v>
      </c>
      <c r="M1654" s="273">
        <f t="shared" si="2097"/>
        <v>0</v>
      </c>
      <c r="N1654" s="337" t="str">
        <f t="shared" si="2098"/>
        <v>-</v>
      </c>
      <c r="O1654" s="263" t="str">
        <f t="shared" si="2092"/>
        <v>-</v>
      </c>
    </row>
    <row r="1655" spans="1:15" ht="24" thickBot="1" x14ac:dyDescent="0.35">
      <c r="A1655" s="274" t="s">
        <v>103</v>
      </c>
      <c r="B1655" s="1045"/>
      <c r="C1655" s="293" t="s">
        <v>120</v>
      </c>
      <c r="D1655" s="293"/>
      <c r="E1655" s="280"/>
      <c r="F1655" s="281"/>
      <c r="G1655" s="334">
        <f t="shared" si="2094"/>
        <v>0</v>
      </c>
      <c r="H1655" s="282">
        <v>0</v>
      </c>
      <c r="I1655" s="282">
        <v>0</v>
      </c>
      <c r="J1655" s="351" t="str">
        <f t="shared" si="2099"/>
        <v>-</v>
      </c>
      <c r="K1655" s="334">
        <f t="shared" si="2095"/>
        <v>0</v>
      </c>
      <c r="L1655" s="272">
        <f t="shared" si="2096"/>
        <v>0</v>
      </c>
      <c r="M1655" s="273">
        <f t="shared" si="2097"/>
        <v>0</v>
      </c>
      <c r="N1655" s="338" t="str">
        <f t="shared" si="2098"/>
        <v>-</v>
      </c>
      <c r="O1655" s="347" t="str">
        <f t="shared" si="2092"/>
        <v>-</v>
      </c>
    </row>
    <row r="1656" spans="1:15" ht="24" thickBot="1" x14ac:dyDescent="0.35">
      <c r="A1656" s="274" t="s">
        <v>103</v>
      </c>
      <c r="B1656" s="1026" t="s">
        <v>47</v>
      </c>
      <c r="C1656" s="1026"/>
      <c r="D1656" s="1046"/>
      <c r="E1656" s="320">
        <f t="shared" ref="E1656" si="2100">SUM(E1653:E1655)</f>
        <v>0</v>
      </c>
      <c r="F1656" s="285">
        <v>50000</v>
      </c>
      <c r="G1656" s="320">
        <f>SUM(G1653:G1655)</f>
        <v>0</v>
      </c>
      <c r="H1656" s="321">
        <f t="shared" ref="H1656:I1656" si="2101">SUM(H1653:H1655)</f>
        <v>0</v>
      </c>
      <c r="I1656" s="321">
        <f t="shared" si="2101"/>
        <v>0</v>
      </c>
      <c r="J1656" s="345">
        <f>+G1656/F1656</f>
        <v>0</v>
      </c>
      <c r="K1656" s="320">
        <f t="shared" ref="K1656:M1656" si="2102">SUM(K1653:K1655)</f>
        <v>0</v>
      </c>
      <c r="L1656" s="321">
        <f t="shared" si="2102"/>
        <v>0</v>
      </c>
      <c r="M1656" s="322">
        <f t="shared" si="2102"/>
        <v>0</v>
      </c>
      <c r="N1656" s="339" t="str">
        <f t="shared" si="2098"/>
        <v>-</v>
      </c>
      <c r="O1656" s="345" t="str">
        <f t="shared" si="2092"/>
        <v>-</v>
      </c>
    </row>
    <row r="1657" spans="1:15" ht="24" thickBot="1" x14ac:dyDescent="0.35">
      <c r="A1657" s="274" t="s">
        <v>103</v>
      </c>
      <c r="B1657" s="1047" t="s">
        <v>21</v>
      </c>
      <c r="C1657" s="1048"/>
      <c r="D1657" s="1049"/>
      <c r="E1657" s="326">
        <f>+E1628+E1636+E1644+E1652+E1656</f>
        <v>3770000</v>
      </c>
      <c r="F1657" s="327">
        <f>+F1628+F1636+F1644+F1652+F1656</f>
        <v>465000</v>
      </c>
      <c r="G1657" s="326">
        <f>+G1628+G1636+G1644+G1652+G1656</f>
        <v>159845</v>
      </c>
      <c r="H1657" s="324">
        <f>+H1628+H1636+H1644+H1652+H1656</f>
        <v>159384</v>
      </c>
      <c r="I1657" s="324">
        <f>+I1628+I1636+I1644+I1652+I1656</f>
        <v>461</v>
      </c>
      <c r="J1657" s="349">
        <f>+G1657/F1657</f>
        <v>0.34375268817204302</v>
      </c>
      <c r="K1657" s="326">
        <f>+K1628+K1636+K1644+K1652+K1656</f>
        <v>2921080</v>
      </c>
      <c r="L1657" s="324">
        <f>+L1628+L1636+L1644+L1652+L1656</f>
        <v>2906630</v>
      </c>
      <c r="M1657" s="325">
        <f>+M1628+M1636+M1644+M1652+M1656</f>
        <v>14450</v>
      </c>
      <c r="N1657" s="341">
        <f>IFERROR(K1657/E1657,"-")</f>
        <v>0.77482228116710872</v>
      </c>
      <c r="O1657" s="349">
        <f t="shared" si="2092"/>
        <v>4.9468004984457806E-3</v>
      </c>
    </row>
    <row r="1658" spans="1:15" ht="23.4" x14ac:dyDescent="0.3">
      <c r="A1658" s="274" t="s">
        <v>103</v>
      </c>
      <c r="B1658" s="1043" t="s">
        <v>400</v>
      </c>
      <c r="C1658" s="269" t="s">
        <v>125</v>
      </c>
      <c r="D1658" s="269"/>
      <c r="E1658" s="270"/>
      <c r="F1658" s="271"/>
      <c r="G1658" s="332">
        <f t="shared" ref="G1658:G1661" si="2103">+H1658+I1658</f>
        <v>0</v>
      </c>
      <c r="H1658" s="272">
        <v>0</v>
      </c>
      <c r="I1658" s="272">
        <v>0</v>
      </c>
      <c r="J1658" s="351" t="str">
        <f>IFERROR(G1658/F1658,"-")</f>
        <v>-</v>
      </c>
      <c r="K1658" s="332">
        <f t="shared" ref="K1658:K1661" si="2104">+L1658+M1658</f>
        <v>0</v>
      </c>
      <c r="L1658" s="272">
        <f t="shared" ref="L1658:L1661" si="2105">+H1658+L1541</f>
        <v>0</v>
      </c>
      <c r="M1658" s="273">
        <f t="shared" ref="M1658:M1661" si="2106">+I1658+M1541</f>
        <v>0</v>
      </c>
      <c r="N1658" s="336" t="str">
        <f t="shared" ref="N1658:N1673" si="2107">IFERROR(K1658/E1658,"-")</f>
        <v>-</v>
      </c>
      <c r="O1658" s="346" t="str">
        <f t="shared" si="2092"/>
        <v>-</v>
      </c>
    </row>
    <row r="1659" spans="1:15" ht="23.4" x14ac:dyDescent="0.3">
      <c r="A1659" s="274" t="s">
        <v>103</v>
      </c>
      <c r="B1659" s="1044"/>
      <c r="C1659" s="295" t="s">
        <v>263</v>
      </c>
      <c r="D1659" s="295" t="s">
        <v>181</v>
      </c>
      <c r="E1659" s="276"/>
      <c r="F1659" s="277"/>
      <c r="G1659" s="333">
        <f t="shared" si="2103"/>
        <v>0</v>
      </c>
      <c r="H1659" s="278">
        <v>0</v>
      </c>
      <c r="I1659" s="278">
        <v>0</v>
      </c>
      <c r="J1659" s="351" t="str">
        <f t="shared" ref="J1659:J1661" si="2108">IFERROR(G1659/F1659,"-")</f>
        <v>-</v>
      </c>
      <c r="K1659" s="333">
        <f t="shared" si="2104"/>
        <v>0</v>
      </c>
      <c r="L1659" s="272">
        <f t="shared" si="2105"/>
        <v>0</v>
      </c>
      <c r="M1659" s="273">
        <f t="shared" si="2106"/>
        <v>0</v>
      </c>
      <c r="N1659" s="337" t="str">
        <f t="shared" si="2107"/>
        <v>-</v>
      </c>
      <c r="O1659" s="263" t="str">
        <f t="shared" si="2092"/>
        <v>-</v>
      </c>
    </row>
    <row r="1660" spans="1:15" ht="23.4" x14ac:dyDescent="0.3">
      <c r="A1660" s="274" t="s">
        <v>103</v>
      </c>
      <c r="B1660" s="1044"/>
      <c r="C1660" s="295" t="s">
        <v>362</v>
      </c>
      <c r="D1660" s="295" t="s">
        <v>181</v>
      </c>
      <c r="E1660" s="276"/>
      <c r="F1660" s="277"/>
      <c r="G1660" s="333">
        <f t="shared" si="2103"/>
        <v>0</v>
      </c>
      <c r="H1660" s="278">
        <v>0</v>
      </c>
      <c r="I1660" s="278">
        <v>0</v>
      </c>
      <c r="J1660" s="351" t="str">
        <f t="shared" si="2108"/>
        <v>-</v>
      </c>
      <c r="K1660" s="333">
        <f t="shared" si="2104"/>
        <v>0</v>
      </c>
      <c r="L1660" s="272">
        <f t="shared" si="2105"/>
        <v>0</v>
      </c>
      <c r="M1660" s="273">
        <f t="shared" si="2106"/>
        <v>0</v>
      </c>
      <c r="N1660" s="337" t="str">
        <f t="shared" si="2107"/>
        <v>-</v>
      </c>
      <c r="O1660" s="263" t="str">
        <f t="shared" si="2092"/>
        <v>-</v>
      </c>
    </row>
    <row r="1661" spans="1:15" ht="24" thickBot="1" x14ac:dyDescent="0.35">
      <c r="A1661" s="274" t="s">
        <v>103</v>
      </c>
      <c r="B1661" s="1045"/>
      <c r="C1661" s="279" t="s">
        <v>182</v>
      </c>
      <c r="D1661" s="279" t="s">
        <v>93</v>
      </c>
      <c r="E1661" s="280"/>
      <c r="F1661" s="281"/>
      <c r="G1661" s="334">
        <f t="shared" si="2103"/>
        <v>27810</v>
      </c>
      <c r="H1661" s="278">
        <v>27720</v>
      </c>
      <c r="I1661" s="278">
        <v>90</v>
      </c>
      <c r="J1661" s="351" t="str">
        <f t="shared" si="2108"/>
        <v>-</v>
      </c>
      <c r="K1661" s="334">
        <f t="shared" si="2104"/>
        <v>168782</v>
      </c>
      <c r="L1661" s="272">
        <f t="shared" si="2105"/>
        <v>168300</v>
      </c>
      <c r="M1661" s="273">
        <f t="shared" si="2106"/>
        <v>482</v>
      </c>
      <c r="N1661" s="338" t="str">
        <f t="shared" si="2107"/>
        <v>-</v>
      </c>
      <c r="O1661" s="347">
        <f t="shared" si="2092"/>
        <v>2.8557547605787348E-3</v>
      </c>
    </row>
    <row r="1662" spans="1:15" ht="24" thickBot="1" x14ac:dyDescent="0.35">
      <c r="A1662" s="274" t="s">
        <v>103</v>
      </c>
      <c r="B1662" s="1025" t="s">
        <v>48</v>
      </c>
      <c r="C1662" s="1026"/>
      <c r="D1662" s="1027"/>
      <c r="E1662" s="284">
        <f>SUM(E1658:E1661)</f>
        <v>0</v>
      </c>
      <c r="F1662" s="285">
        <v>80000</v>
      </c>
      <c r="G1662" s="320">
        <f>SUM(G1658:G1661)</f>
        <v>27810</v>
      </c>
      <c r="H1662" s="321">
        <f t="shared" ref="H1662:I1662" si="2109">SUM(H1658:H1661)</f>
        <v>27720</v>
      </c>
      <c r="I1662" s="321">
        <f t="shared" si="2109"/>
        <v>90</v>
      </c>
      <c r="J1662" s="345">
        <f>+G1662/F1662</f>
        <v>0.34762500000000002</v>
      </c>
      <c r="K1662" s="320">
        <f t="shared" ref="K1662" si="2110">SUM(K1658:K1661)</f>
        <v>168782</v>
      </c>
      <c r="L1662" s="321">
        <f>SUM(L1658:L1661)</f>
        <v>168300</v>
      </c>
      <c r="M1662" s="322">
        <f t="shared" ref="M1662" si="2111">SUM(M1658:M1661)</f>
        <v>482</v>
      </c>
      <c r="N1662" s="339" t="str">
        <f t="shared" si="2107"/>
        <v>-</v>
      </c>
      <c r="O1662" s="345">
        <f t="shared" si="2092"/>
        <v>2.8557547605787348E-3</v>
      </c>
    </row>
    <row r="1663" spans="1:15" ht="23.4" x14ac:dyDescent="0.3">
      <c r="A1663" s="274" t="s">
        <v>103</v>
      </c>
      <c r="B1663" s="1043" t="s">
        <v>23</v>
      </c>
      <c r="C1663" s="275" t="s">
        <v>500</v>
      </c>
      <c r="D1663" s="296" t="s">
        <v>238</v>
      </c>
      <c r="E1663" s="270">
        <v>10000</v>
      </c>
      <c r="F1663" s="271"/>
      <c r="G1663" s="332">
        <f t="shared" ref="G1663:G1671" si="2112">+H1663+I1663</f>
        <v>0</v>
      </c>
      <c r="H1663" s="272">
        <v>0</v>
      </c>
      <c r="I1663" s="272">
        <v>0</v>
      </c>
      <c r="J1663" s="351" t="str">
        <f>IFERROR(G1663/F1663,"-")</f>
        <v>-</v>
      </c>
      <c r="K1663" s="332">
        <f t="shared" ref="K1663:K1671" si="2113">+L1663+M1663</f>
        <v>0</v>
      </c>
      <c r="L1663" s="272">
        <f t="shared" ref="L1663:L1671" si="2114">+H1663+L1546</f>
        <v>0</v>
      </c>
      <c r="M1663" s="273">
        <f t="shared" ref="M1663:M1671" si="2115">+I1663+M1546</f>
        <v>0</v>
      </c>
      <c r="N1663" s="336">
        <f t="shared" si="2107"/>
        <v>0</v>
      </c>
      <c r="O1663" s="346" t="str">
        <f t="shared" si="2092"/>
        <v>-</v>
      </c>
    </row>
    <row r="1664" spans="1:15" ht="23.4" x14ac:dyDescent="0.3">
      <c r="A1664" s="274" t="s">
        <v>103</v>
      </c>
      <c r="B1664" s="1044"/>
      <c r="C1664" s="275" t="s">
        <v>24</v>
      </c>
      <c r="D1664" s="275" t="s">
        <v>238</v>
      </c>
      <c r="E1664" s="276">
        <v>112000</v>
      </c>
      <c r="F1664" s="277"/>
      <c r="G1664" s="333">
        <f t="shared" si="2112"/>
        <v>0</v>
      </c>
      <c r="H1664" s="278">
        <v>0</v>
      </c>
      <c r="I1664" s="278">
        <v>0</v>
      </c>
      <c r="J1664" s="351" t="str">
        <f t="shared" ref="J1664:J1671" si="2116">IFERROR(G1664/F1664,"-")</f>
        <v>-</v>
      </c>
      <c r="K1664" s="333">
        <f t="shared" si="2113"/>
        <v>0</v>
      </c>
      <c r="L1664" s="272">
        <f t="shared" si="2114"/>
        <v>0</v>
      </c>
      <c r="M1664" s="273">
        <f t="shared" si="2115"/>
        <v>0</v>
      </c>
      <c r="N1664" s="337">
        <f t="shared" si="2107"/>
        <v>0</v>
      </c>
      <c r="O1664" s="263" t="str">
        <f t="shared" si="2092"/>
        <v>-</v>
      </c>
    </row>
    <row r="1665" spans="1:15" ht="23.4" x14ac:dyDescent="0.3">
      <c r="A1665" s="274" t="s">
        <v>103</v>
      </c>
      <c r="B1665" s="1044"/>
      <c r="C1665" s="275" t="s">
        <v>236</v>
      </c>
      <c r="D1665" s="275" t="s">
        <v>238</v>
      </c>
      <c r="E1665" s="276">
        <v>40000</v>
      </c>
      <c r="F1665" s="277"/>
      <c r="G1665" s="333">
        <f t="shared" si="2112"/>
        <v>0</v>
      </c>
      <c r="H1665" s="278">
        <v>0</v>
      </c>
      <c r="I1665" s="278">
        <v>0</v>
      </c>
      <c r="J1665" s="351" t="str">
        <f t="shared" si="2116"/>
        <v>-</v>
      </c>
      <c r="K1665" s="333">
        <f t="shared" si="2113"/>
        <v>0</v>
      </c>
      <c r="L1665" s="272">
        <f t="shared" si="2114"/>
        <v>0</v>
      </c>
      <c r="M1665" s="273">
        <f t="shared" si="2115"/>
        <v>0</v>
      </c>
      <c r="N1665" s="337">
        <f t="shared" si="2107"/>
        <v>0</v>
      </c>
      <c r="O1665" s="263" t="str">
        <f t="shared" si="2092"/>
        <v>-</v>
      </c>
    </row>
    <row r="1666" spans="1:15" ht="23.4" x14ac:dyDescent="0.3">
      <c r="A1666" s="274" t="s">
        <v>103</v>
      </c>
      <c r="B1666" s="1044"/>
      <c r="C1666" s="275" t="s">
        <v>239</v>
      </c>
      <c r="D1666" s="275" t="s">
        <v>238</v>
      </c>
      <c r="E1666" s="276">
        <v>4000</v>
      </c>
      <c r="F1666" s="277"/>
      <c r="G1666" s="333">
        <f t="shared" si="2112"/>
        <v>0</v>
      </c>
      <c r="H1666" s="278">
        <v>0</v>
      </c>
      <c r="I1666" s="278">
        <v>0</v>
      </c>
      <c r="J1666" s="351" t="str">
        <f t="shared" si="2116"/>
        <v>-</v>
      </c>
      <c r="K1666" s="333">
        <f t="shared" si="2113"/>
        <v>0</v>
      </c>
      <c r="L1666" s="272">
        <f t="shared" si="2114"/>
        <v>0</v>
      </c>
      <c r="M1666" s="273">
        <f t="shared" si="2115"/>
        <v>0</v>
      </c>
      <c r="N1666" s="337">
        <f t="shared" si="2107"/>
        <v>0</v>
      </c>
      <c r="O1666" s="263" t="str">
        <f t="shared" si="2092"/>
        <v>-</v>
      </c>
    </row>
    <row r="1667" spans="1:15" ht="23.4" x14ac:dyDescent="0.3">
      <c r="A1667" s="274" t="s">
        <v>103</v>
      </c>
      <c r="B1667" s="1044"/>
      <c r="C1667" s="295" t="s">
        <v>394</v>
      </c>
      <c r="D1667" s="275" t="s">
        <v>238</v>
      </c>
      <c r="E1667" s="276">
        <v>8500</v>
      </c>
      <c r="F1667" s="277"/>
      <c r="G1667" s="333">
        <f t="shared" si="2112"/>
        <v>0</v>
      </c>
      <c r="H1667" s="278">
        <v>0</v>
      </c>
      <c r="I1667" s="278">
        <v>0</v>
      </c>
      <c r="J1667" s="351" t="str">
        <f t="shared" si="2116"/>
        <v>-</v>
      </c>
      <c r="K1667" s="333">
        <f t="shared" si="2113"/>
        <v>0</v>
      </c>
      <c r="L1667" s="272">
        <f t="shared" si="2114"/>
        <v>0</v>
      </c>
      <c r="M1667" s="273">
        <f t="shared" si="2115"/>
        <v>0</v>
      </c>
      <c r="N1667" s="337">
        <f t="shared" si="2107"/>
        <v>0</v>
      </c>
      <c r="O1667" s="263" t="str">
        <f t="shared" si="2092"/>
        <v>-</v>
      </c>
    </row>
    <row r="1668" spans="1:15" ht="23.4" x14ac:dyDescent="0.3">
      <c r="A1668" s="274" t="s">
        <v>103</v>
      </c>
      <c r="B1668" s="1044"/>
      <c r="C1668" s="295" t="s">
        <v>422</v>
      </c>
      <c r="D1668" s="275" t="s">
        <v>238</v>
      </c>
      <c r="E1668" s="276">
        <v>10000</v>
      </c>
      <c r="F1668" s="277"/>
      <c r="G1668" s="333">
        <f t="shared" si="2112"/>
        <v>0</v>
      </c>
      <c r="H1668" s="278">
        <v>0</v>
      </c>
      <c r="I1668" s="278">
        <v>0</v>
      </c>
      <c r="J1668" s="351" t="str">
        <f t="shared" si="2116"/>
        <v>-</v>
      </c>
      <c r="K1668" s="333">
        <f t="shared" si="2113"/>
        <v>0</v>
      </c>
      <c r="L1668" s="272">
        <f t="shared" si="2114"/>
        <v>0</v>
      </c>
      <c r="M1668" s="273">
        <f t="shared" si="2115"/>
        <v>0</v>
      </c>
      <c r="N1668" s="337">
        <f t="shared" si="2107"/>
        <v>0</v>
      </c>
      <c r="O1668" s="263" t="str">
        <f t="shared" si="2092"/>
        <v>-</v>
      </c>
    </row>
    <row r="1669" spans="1:15" ht="23.4" x14ac:dyDescent="0.3">
      <c r="A1669" s="274" t="s">
        <v>103</v>
      </c>
      <c r="B1669" s="1044"/>
      <c r="C1669" s="295" t="s">
        <v>241</v>
      </c>
      <c r="D1669" s="275" t="s">
        <v>243</v>
      </c>
      <c r="E1669" s="276"/>
      <c r="F1669" s="277"/>
      <c r="G1669" s="333">
        <f t="shared" si="2112"/>
        <v>0</v>
      </c>
      <c r="H1669" s="278">
        <v>0</v>
      </c>
      <c r="I1669" s="278">
        <v>0</v>
      </c>
      <c r="J1669" s="351" t="str">
        <f t="shared" si="2116"/>
        <v>-</v>
      </c>
      <c r="K1669" s="333">
        <f t="shared" si="2113"/>
        <v>0</v>
      </c>
      <c r="L1669" s="272">
        <f t="shared" si="2114"/>
        <v>0</v>
      </c>
      <c r="M1669" s="273">
        <f t="shared" si="2115"/>
        <v>0</v>
      </c>
      <c r="N1669" s="337" t="str">
        <f t="shared" si="2107"/>
        <v>-</v>
      </c>
      <c r="O1669" s="263" t="str">
        <f t="shared" si="2092"/>
        <v>-</v>
      </c>
    </row>
    <row r="1670" spans="1:15" ht="23.4" x14ac:dyDescent="0.3">
      <c r="A1670" s="274"/>
      <c r="B1670" s="1045"/>
      <c r="C1670" s="295" t="s">
        <v>546</v>
      </c>
      <c r="D1670" s="275" t="s">
        <v>238</v>
      </c>
      <c r="E1670" s="280">
        <v>6000</v>
      </c>
      <c r="F1670" s="281"/>
      <c r="G1670" s="333">
        <f t="shared" si="2112"/>
        <v>0</v>
      </c>
      <c r="H1670" s="278">
        <v>0</v>
      </c>
      <c r="I1670" s="278">
        <v>0</v>
      </c>
      <c r="J1670" s="351" t="str">
        <f t="shared" si="2116"/>
        <v>-</v>
      </c>
      <c r="K1670" s="333">
        <f t="shared" si="2113"/>
        <v>0</v>
      </c>
      <c r="L1670" s="272">
        <f t="shared" si="2114"/>
        <v>0</v>
      </c>
      <c r="M1670" s="273">
        <f t="shared" si="2115"/>
        <v>0</v>
      </c>
      <c r="N1670" s="337">
        <f t="shared" si="2107"/>
        <v>0</v>
      </c>
      <c r="O1670" s="263" t="str">
        <f t="shared" si="2092"/>
        <v>-</v>
      </c>
    </row>
    <row r="1671" spans="1:15" ht="24" thickBot="1" x14ac:dyDescent="0.35">
      <c r="A1671" s="274" t="s">
        <v>103</v>
      </c>
      <c r="B1671" s="1045"/>
      <c r="C1671" s="295" t="s">
        <v>242</v>
      </c>
      <c r="D1671" s="275" t="s">
        <v>238</v>
      </c>
      <c r="E1671" s="280">
        <v>5000</v>
      </c>
      <c r="F1671" s="281"/>
      <c r="G1671" s="334">
        <f t="shared" si="2112"/>
        <v>0</v>
      </c>
      <c r="H1671" s="278">
        <v>0</v>
      </c>
      <c r="I1671" s="278">
        <v>0</v>
      </c>
      <c r="J1671" s="351" t="str">
        <f t="shared" si="2116"/>
        <v>-</v>
      </c>
      <c r="K1671" s="334">
        <f t="shared" si="2113"/>
        <v>0</v>
      </c>
      <c r="L1671" s="272">
        <f t="shared" si="2114"/>
        <v>0</v>
      </c>
      <c r="M1671" s="273">
        <f t="shared" si="2115"/>
        <v>0</v>
      </c>
      <c r="N1671" s="338">
        <f t="shared" si="2107"/>
        <v>0</v>
      </c>
      <c r="O1671" s="347" t="str">
        <f t="shared" si="2092"/>
        <v>-</v>
      </c>
    </row>
    <row r="1672" spans="1:15" ht="24" thickBot="1" x14ac:dyDescent="0.35">
      <c r="A1672" s="274" t="s">
        <v>103</v>
      </c>
      <c r="B1672" s="1025" t="s">
        <v>49</v>
      </c>
      <c r="C1672" s="1026"/>
      <c r="D1672" s="1027"/>
      <c r="E1672" s="284">
        <f>SUM(E1663:E1671)</f>
        <v>195500</v>
      </c>
      <c r="F1672" s="285">
        <v>14000</v>
      </c>
      <c r="G1672" s="320">
        <f>SUM(G1663:G1671)</f>
        <v>0</v>
      </c>
      <c r="H1672" s="321">
        <f t="shared" ref="H1672:I1672" si="2117">SUM(H1663:H1671)</f>
        <v>0</v>
      </c>
      <c r="I1672" s="321">
        <f t="shared" si="2117"/>
        <v>0</v>
      </c>
      <c r="J1672" s="345">
        <f>+G1673/F1673</f>
        <v>0.29585106382978721</v>
      </c>
      <c r="K1672" s="320">
        <f>SUM(K1663:K1671)</f>
        <v>0</v>
      </c>
      <c r="L1672" s="321">
        <f>+H1672</f>
        <v>0</v>
      </c>
      <c r="M1672" s="322">
        <f>+I1672</f>
        <v>0</v>
      </c>
      <c r="N1672" s="339">
        <f t="shared" si="2107"/>
        <v>0</v>
      </c>
      <c r="O1672" s="345" t="str">
        <f t="shared" si="2092"/>
        <v>-</v>
      </c>
    </row>
    <row r="1673" spans="1:15" ht="24" thickBot="1" x14ac:dyDescent="0.35">
      <c r="A1673" s="274" t="s">
        <v>103</v>
      </c>
      <c r="B1673" s="1047" t="s">
        <v>25</v>
      </c>
      <c r="C1673" s="1048"/>
      <c r="D1673" s="1049"/>
      <c r="E1673" s="326">
        <f t="shared" ref="E1673:F1673" si="2118">+E1662+E1672</f>
        <v>195500</v>
      </c>
      <c r="F1673" s="327">
        <f t="shared" si="2118"/>
        <v>94000</v>
      </c>
      <c r="G1673" s="326">
        <f>+G1662+G1672</f>
        <v>27810</v>
      </c>
      <c r="H1673" s="324">
        <f t="shared" ref="H1673:I1673" si="2119">+H1662+H1672</f>
        <v>27720</v>
      </c>
      <c r="I1673" s="324">
        <f t="shared" si="2119"/>
        <v>90</v>
      </c>
      <c r="J1673" s="349" t="str">
        <f>IFERROR(G1673/#REF!,"-")</f>
        <v>-</v>
      </c>
      <c r="K1673" s="326">
        <f t="shared" ref="K1673" si="2120">+K1662+K1672</f>
        <v>168782</v>
      </c>
      <c r="L1673" s="324">
        <f>+L1662+L1672</f>
        <v>168300</v>
      </c>
      <c r="M1673" s="325">
        <f t="shared" ref="M1673" si="2121">+M1662+M1672</f>
        <v>482</v>
      </c>
      <c r="N1673" s="341">
        <f t="shared" si="2107"/>
        <v>0.86333503836317138</v>
      </c>
      <c r="O1673" s="349">
        <f t="shared" si="2092"/>
        <v>2.8557547605787348E-3</v>
      </c>
    </row>
    <row r="1674" spans="1:15" ht="24" thickBot="1" x14ac:dyDescent="0.35">
      <c r="A1674" s="274" t="s">
        <v>103</v>
      </c>
      <c r="B1674" s="1019" t="s">
        <v>172</v>
      </c>
      <c r="C1674" s="1020"/>
      <c r="D1674" s="1050"/>
      <c r="E1674" s="330">
        <f>+E1657+E1673</f>
        <v>3965500</v>
      </c>
      <c r="F1674" s="331">
        <f t="shared" ref="F1674:I1674" si="2122">+F1657+F1673</f>
        <v>559000</v>
      </c>
      <c r="G1674" s="330">
        <f t="shared" si="2122"/>
        <v>187655</v>
      </c>
      <c r="H1674" s="328">
        <f t="shared" si="2122"/>
        <v>187104</v>
      </c>
      <c r="I1674" s="328">
        <f t="shared" si="2122"/>
        <v>551</v>
      </c>
      <c r="J1674" s="350">
        <f>+G1674/F1674</f>
        <v>0.33569767441860465</v>
      </c>
      <c r="K1674" s="330">
        <f>+K1657+K1673</f>
        <v>3089862</v>
      </c>
      <c r="L1674" s="328">
        <f t="shared" ref="L1674:M1674" si="2123">+L1657+L1673</f>
        <v>3074930</v>
      </c>
      <c r="M1674" s="329">
        <f t="shared" si="2123"/>
        <v>14932</v>
      </c>
      <c r="N1674" s="342">
        <f>IFERROR(K1674/E1674,"-")</f>
        <v>0.77918597906947418</v>
      </c>
      <c r="O1674" s="350">
        <f t="shared" si="2092"/>
        <v>4.8325782834314282E-3</v>
      </c>
    </row>
    <row r="1675" spans="1:15" ht="23.4" x14ac:dyDescent="0.3">
      <c r="A1675" s="268" t="s">
        <v>101</v>
      </c>
      <c r="B1675" s="1051" t="s">
        <v>26</v>
      </c>
      <c r="C1675" s="893" t="s">
        <v>297</v>
      </c>
      <c r="D1675" s="898" t="s">
        <v>177</v>
      </c>
      <c r="E1675" s="895"/>
      <c r="F1675" s="271"/>
      <c r="G1675" s="332">
        <f t="shared" ref="G1675:G1684" si="2124">+H1675+I1675</f>
        <v>0</v>
      </c>
      <c r="H1675" s="272">
        <v>0</v>
      </c>
      <c r="I1675" s="272">
        <v>0</v>
      </c>
      <c r="J1675" s="351" t="str">
        <f>IFERROR(G1675/F1675,"-")</f>
        <v>-</v>
      </c>
      <c r="K1675" s="332">
        <f t="shared" ref="K1675:K1684" si="2125">+L1675+M1675</f>
        <v>0</v>
      </c>
      <c r="L1675" s="272">
        <f t="shared" ref="L1675:L1684" si="2126">+H1675+L1558</f>
        <v>0</v>
      </c>
      <c r="M1675" s="273">
        <f t="shared" ref="M1675:M1684" si="2127">+I1675+M1558</f>
        <v>0</v>
      </c>
      <c r="N1675" s="336" t="str">
        <f t="shared" ref="N1675:N1693" si="2128">IFERROR(K1675/E1675,"-")</f>
        <v>-</v>
      </c>
      <c r="O1675" s="346" t="str">
        <f t="shared" si="2092"/>
        <v>-</v>
      </c>
    </row>
    <row r="1676" spans="1:15" ht="23.4" x14ac:dyDescent="0.3">
      <c r="A1676" s="274" t="s">
        <v>101</v>
      </c>
      <c r="B1676" s="1051"/>
      <c r="C1676" s="253" t="s">
        <v>424</v>
      </c>
      <c r="D1676" s="899" t="s">
        <v>423</v>
      </c>
      <c r="E1676" s="511">
        <v>314432</v>
      </c>
      <c r="F1676" s="277"/>
      <c r="G1676" s="333">
        <f t="shared" si="2124"/>
        <v>0</v>
      </c>
      <c r="H1676" s="278">
        <v>0</v>
      </c>
      <c r="I1676" s="278">
        <v>0</v>
      </c>
      <c r="J1676" s="351" t="str">
        <f t="shared" ref="J1676:J1684" si="2129">IFERROR(G1676/F1676,"-")</f>
        <v>-</v>
      </c>
      <c r="K1676" s="333">
        <f t="shared" si="2125"/>
        <v>265434</v>
      </c>
      <c r="L1676" s="272">
        <f t="shared" si="2126"/>
        <v>262548</v>
      </c>
      <c r="M1676" s="273">
        <f t="shared" si="2127"/>
        <v>2886</v>
      </c>
      <c r="N1676" s="337">
        <f t="shared" si="2128"/>
        <v>0.84416980460004076</v>
      </c>
      <c r="O1676" s="263">
        <f t="shared" si="2092"/>
        <v>1.0872759330002939E-2</v>
      </c>
    </row>
    <row r="1677" spans="1:15" ht="23.4" x14ac:dyDescent="0.3">
      <c r="A1677" s="274" t="s">
        <v>101</v>
      </c>
      <c r="B1677" s="1051"/>
      <c r="C1677" s="813" t="s">
        <v>27</v>
      </c>
      <c r="D1677" s="899" t="s">
        <v>334</v>
      </c>
      <c r="E1677" s="896">
        <v>932448</v>
      </c>
      <c r="F1677" s="281"/>
      <c r="G1677" s="333">
        <f t="shared" si="2124"/>
        <v>0</v>
      </c>
      <c r="H1677" s="278">
        <v>0</v>
      </c>
      <c r="I1677" s="278">
        <v>0</v>
      </c>
      <c r="J1677" s="351" t="str">
        <f t="shared" si="2129"/>
        <v>-</v>
      </c>
      <c r="K1677" s="333">
        <f t="shared" si="2125"/>
        <v>37943</v>
      </c>
      <c r="L1677" s="272">
        <f t="shared" si="2126"/>
        <v>35802</v>
      </c>
      <c r="M1677" s="273">
        <f t="shared" si="2127"/>
        <v>2141</v>
      </c>
      <c r="N1677" s="337">
        <f t="shared" si="2128"/>
        <v>4.0691813377260716E-2</v>
      </c>
      <c r="O1677" s="263">
        <f t="shared" si="2092"/>
        <v>5.6426745381229743E-2</v>
      </c>
    </row>
    <row r="1678" spans="1:15" ht="23.4" x14ac:dyDescent="0.3">
      <c r="A1678" s="274" t="s">
        <v>101</v>
      </c>
      <c r="B1678" s="1051"/>
      <c r="C1678" s="813" t="s">
        <v>27</v>
      </c>
      <c r="D1678" s="900" t="s">
        <v>492</v>
      </c>
      <c r="E1678" s="896"/>
      <c r="F1678" s="281"/>
      <c r="G1678" s="333">
        <f t="shared" si="2124"/>
        <v>0</v>
      </c>
      <c r="H1678" s="278">
        <v>0</v>
      </c>
      <c r="I1678" s="278">
        <v>0</v>
      </c>
      <c r="J1678" s="351" t="str">
        <f t="shared" si="2129"/>
        <v>-</v>
      </c>
      <c r="K1678" s="333">
        <f t="shared" si="2125"/>
        <v>274869</v>
      </c>
      <c r="L1678" s="272">
        <f t="shared" si="2126"/>
        <v>270504</v>
      </c>
      <c r="M1678" s="273">
        <f t="shared" si="2127"/>
        <v>4365</v>
      </c>
      <c r="N1678" s="337" t="str">
        <f t="shared" si="2128"/>
        <v>-</v>
      </c>
      <c r="O1678" s="263">
        <f t="shared" si="2092"/>
        <v>1.588029206640254E-2</v>
      </c>
    </row>
    <row r="1679" spans="1:15" ht="23.4" x14ac:dyDescent="0.3">
      <c r="A1679" s="274" t="s">
        <v>101</v>
      </c>
      <c r="B1679" s="1051"/>
      <c r="C1679" s="893" t="s">
        <v>521</v>
      </c>
      <c r="D1679" s="899" t="s">
        <v>234</v>
      </c>
      <c r="E1679" s="896">
        <v>136768</v>
      </c>
      <c r="F1679" s="281"/>
      <c r="G1679" s="333">
        <f t="shared" si="2124"/>
        <v>0</v>
      </c>
      <c r="H1679" s="278">
        <v>0</v>
      </c>
      <c r="I1679" s="278">
        <v>0</v>
      </c>
      <c r="J1679" s="351" t="str">
        <f t="shared" si="2129"/>
        <v>-</v>
      </c>
      <c r="K1679" s="333">
        <f t="shared" si="2125"/>
        <v>57116</v>
      </c>
      <c r="L1679" s="272">
        <f t="shared" si="2126"/>
        <v>55692</v>
      </c>
      <c r="M1679" s="273">
        <f t="shared" si="2127"/>
        <v>1424</v>
      </c>
      <c r="N1679" s="337">
        <f t="shared" si="2128"/>
        <v>0.41761230697239121</v>
      </c>
      <c r="O1679" s="263">
        <f t="shared" si="2092"/>
        <v>2.4931717907416485E-2</v>
      </c>
    </row>
    <row r="1680" spans="1:15" ht="23.4" x14ac:dyDescent="0.3">
      <c r="A1680" s="274"/>
      <c r="B1680" s="1051"/>
      <c r="C1680" s="813" t="s">
        <v>432</v>
      </c>
      <c r="D1680" s="899" t="s">
        <v>178</v>
      </c>
      <c r="E1680" s="896"/>
      <c r="F1680" s="281"/>
      <c r="G1680" s="334">
        <f t="shared" si="2124"/>
        <v>0</v>
      </c>
      <c r="H1680" s="278">
        <v>0</v>
      </c>
      <c r="I1680" s="278">
        <v>0</v>
      </c>
      <c r="J1680" s="351" t="str">
        <f t="shared" si="2129"/>
        <v>-</v>
      </c>
      <c r="K1680" s="334">
        <f t="shared" si="2125"/>
        <v>0</v>
      </c>
      <c r="L1680" s="272">
        <f t="shared" si="2126"/>
        <v>0</v>
      </c>
      <c r="M1680" s="273">
        <f t="shared" si="2127"/>
        <v>0</v>
      </c>
      <c r="N1680" s="337" t="str">
        <f t="shared" si="2128"/>
        <v>-</v>
      </c>
      <c r="O1680" s="263" t="str">
        <f t="shared" si="2092"/>
        <v>-</v>
      </c>
    </row>
    <row r="1681" spans="1:15" ht="23.4" x14ac:dyDescent="0.3">
      <c r="A1681" s="274"/>
      <c r="B1681" s="1051"/>
      <c r="C1681" s="813" t="s">
        <v>333</v>
      </c>
      <c r="D1681" s="899" t="s">
        <v>94</v>
      </c>
      <c r="E1681" s="896">
        <v>32016</v>
      </c>
      <c r="F1681" s="281"/>
      <c r="G1681" s="334">
        <f t="shared" si="2124"/>
        <v>0</v>
      </c>
      <c r="H1681" s="278">
        <v>0</v>
      </c>
      <c r="I1681" s="278">
        <v>0</v>
      </c>
      <c r="J1681" s="351" t="str">
        <f t="shared" si="2129"/>
        <v>-</v>
      </c>
      <c r="K1681" s="334">
        <f t="shared" si="2125"/>
        <v>0</v>
      </c>
      <c r="L1681" s="272">
        <f t="shared" si="2126"/>
        <v>0</v>
      </c>
      <c r="M1681" s="273">
        <f t="shared" si="2127"/>
        <v>0</v>
      </c>
      <c r="N1681" s="337">
        <f t="shared" si="2128"/>
        <v>0</v>
      </c>
      <c r="O1681" s="263" t="str">
        <f t="shared" si="2092"/>
        <v>-</v>
      </c>
    </row>
    <row r="1682" spans="1:15" ht="23.4" x14ac:dyDescent="0.3">
      <c r="A1682" s="274"/>
      <c r="B1682" s="1051"/>
      <c r="C1682" s="813" t="s">
        <v>433</v>
      </c>
      <c r="D1682" s="899" t="s">
        <v>540</v>
      </c>
      <c r="E1682" s="896"/>
      <c r="F1682" s="281"/>
      <c r="G1682" s="334">
        <f t="shared" si="2124"/>
        <v>0</v>
      </c>
      <c r="H1682" s="278">
        <v>0</v>
      </c>
      <c r="I1682" s="278">
        <v>0</v>
      </c>
      <c r="J1682" s="351" t="str">
        <f t="shared" si="2129"/>
        <v>-</v>
      </c>
      <c r="K1682" s="334">
        <f t="shared" si="2125"/>
        <v>358419</v>
      </c>
      <c r="L1682" s="272">
        <f t="shared" si="2126"/>
        <v>354042</v>
      </c>
      <c r="M1682" s="272">
        <f t="shared" si="2127"/>
        <v>4377</v>
      </c>
      <c r="N1682" s="337" t="str">
        <f t="shared" si="2128"/>
        <v>-</v>
      </c>
      <c r="O1682" s="263">
        <f t="shared" si="2092"/>
        <v>1.2211964209486663E-2</v>
      </c>
    </row>
    <row r="1683" spans="1:15" ht="23.4" x14ac:dyDescent="0.3">
      <c r="A1683" s="274"/>
      <c r="B1683" s="1051"/>
      <c r="C1683" s="813" t="s">
        <v>382</v>
      </c>
      <c r="D1683" s="899" t="s">
        <v>366</v>
      </c>
      <c r="E1683" s="896"/>
      <c r="F1683" s="281"/>
      <c r="G1683" s="334">
        <f t="shared" si="2124"/>
        <v>0</v>
      </c>
      <c r="H1683" s="278">
        <v>0</v>
      </c>
      <c r="I1683" s="278">
        <v>0</v>
      </c>
      <c r="J1683" s="351" t="str">
        <f t="shared" si="2129"/>
        <v>-</v>
      </c>
      <c r="K1683" s="334">
        <f t="shared" si="2125"/>
        <v>201807</v>
      </c>
      <c r="L1683" s="272">
        <f t="shared" si="2126"/>
        <v>198900</v>
      </c>
      <c r="M1683" s="273">
        <f t="shared" si="2127"/>
        <v>2907</v>
      </c>
      <c r="N1683" s="337" t="str">
        <f t="shared" si="2128"/>
        <v>-</v>
      </c>
      <c r="O1683" s="263">
        <f t="shared" si="2092"/>
        <v>1.4404852160727824E-2</v>
      </c>
    </row>
    <row r="1684" spans="1:15" ht="24" thickBot="1" x14ac:dyDescent="0.35">
      <c r="A1684" s="274" t="s">
        <v>101</v>
      </c>
      <c r="B1684" s="1051"/>
      <c r="C1684" s="894" t="s">
        <v>290</v>
      </c>
      <c r="D1684" s="901" t="s">
        <v>289</v>
      </c>
      <c r="E1684" s="896"/>
      <c r="F1684" s="281"/>
      <c r="G1684" s="334">
        <f t="shared" si="2124"/>
        <v>0</v>
      </c>
      <c r="H1684" s="278">
        <v>0</v>
      </c>
      <c r="I1684" s="278">
        <v>0</v>
      </c>
      <c r="J1684" s="351" t="str">
        <f t="shared" si="2129"/>
        <v>-</v>
      </c>
      <c r="K1684" s="334">
        <f t="shared" si="2125"/>
        <v>0</v>
      </c>
      <c r="L1684" s="272">
        <f t="shared" si="2126"/>
        <v>0</v>
      </c>
      <c r="M1684" s="273">
        <f t="shared" si="2127"/>
        <v>0</v>
      </c>
      <c r="N1684" s="337" t="str">
        <f t="shared" si="2128"/>
        <v>-</v>
      </c>
      <c r="O1684" s="347" t="str">
        <f t="shared" si="2092"/>
        <v>-</v>
      </c>
    </row>
    <row r="1685" spans="1:15" ht="24" thickBot="1" x14ac:dyDescent="0.35">
      <c r="A1685" s="274" t="s">
        <v>101</v>
      </c>
      <c r="B1685" s="1052"/>
      <c r="C1685" s="301"/>
      <c r="D1685" s="897" t="s">
        <v>52</v>
      </c>
      <c r="E1685" s="284">
        <f>SUM(E1675:E1684)</f>
        <v>1415664</v>
      </c>
      <c r="F1685" s="285">
        <v>160000</v>
      </c>
      <c r="G1685" s="320">
        <f>SUM(G1675:G1684)</f>
        <v>0</v>
      </c>
      <c r="H1685" s="321">
        <f>SUM(H1675:H1684)</f>
        <v>0</v>
      </c>
      <c r="I1685" s="321">
        <f>SUM(I1675:I1684)</f>
        <v>0</v>
      </c>
      <c r="J1685" s="345">
        <f>+G1685/F1685</f>
        <v>0</v>
      </c>
      <c r="K1685" s="320">
        <f>SUM(K1675:K1684)</f>
        <v>1195588</v>
      </c>
      <c r="L1685" s="321">
        <f>SUM(L1675:L1684)</f>
        <v>1177488</v>
      </c>
      <c r="M1685" s="322">
        <f>SUM(M1675:M1684)</f>
        <v>18100</v>
      </c>
      <c r="N1685" s="339">
        <f t="shared" si="2128"/>
        <v>0.84454220775551259</v>
      </c>
      <c r="O1685" s="345">
        <f t="shared" si="2092"/>
        <v>1.5138994369297784E-2</v>
      </c>
    </row>
    <row r="1686" spans="1:15" ht="23.4" x14ac:dyDescent="0.3">
      <c r="A1686" s="274" t="s">
        <v>101</v>
      </c>
      <c r="B1686" s="1053" t="s">
        <v>28</v>
      </c>
      <c r="C1686" s="299" t="s">
        <v>27</v>
      </c>
      <c r="D1686" s="297" t="s">
        <v>492</v>
      </c>
      <c r="E1686" s="270"/>
      <c r="F1686" s="271"/>
      <c r="G1686" s="332">
        <f t="shared" ref="G1686:G1690" si="2130">+H1686+I1686</f>
        <v>0</v>
      </c>
      <c r="H1686" s="272">
        <v>0</v>
      </c>
      <c r="I1686" s="272">
        <v>0</v>
      </c>
      <c r="J1686" s="351" t="str">
        <f>IFERROR(G1686/F1686,"-")</f>
        <v>-</v>
      </c>
      <c r="K1686" s="332">
        <f t="shared" ref="K1686:K1692" si="2131">+L1686+M1686</f>
        <v>170343</v>
      </c>
      <c r="L1686" s="272">
        <f t="shared" ref="L1686:L1692" si="2132">+H1686+L1569</f>
        <v>167076</v>
      </c>
      <c r="M1686" s="273">
        <f t="shared" ref="M1686:M1692" si="2133">+I1686+M1569</f>
        <v>3267</v>
      </c>
      <c r="N1686" s="336" t="str">
        <f t="shared" si="2128"/>
        <v>-</v>
      </c>
      <c r="O1686" s="346">
        <f t="shared" si="2092"/>
        <v>1.9178950705341577E-2</v>
      </c>
    </row>
    <row r="1687" spans="1:15" ht="23.4" x14ac:dyDescent="0.3">
      <c r="A1687" s="274" t="s">
        <v>101</v>
      </c>
      <c r="B1687" s="1051"/>
      <c r="C1687" s="299" t="s">
        <v>385</v>
      </c>
      <c r="D1687" s="299" t="s">
        <v>334</v>
      </c>
      <c r="E1687" s="276"/>
      <c r="F1687" s="277"/>
      <c r="G1687" s="333">
        <f t="shared" si="2130"/>
        <v>0</v>
      </c>
      <c r="H1687" s="278">
        <v>0</v>
      </c>
      <c r="I1687" s="278">
        <v>0</v>
      </c>
      <c r="J1687" s="351" t="str">
        <f t="shared" ref="J1687:J1692" si="2134">IFERROR(G1687/F1687,"-")</f>
        <v>-</v>
      </c>
      <c r="K1687" s="333">
        <f t="shared" si="2131"/>
        <v>96975</v>
      </c>
      <c r="L1687" s="272">
        <f t="shared" si="2132"/>
        <v>95472</v>
      </c>
      <c r="M1687" s="273">
        <f t="shared" si="2133"/>
        <v>1503</v>
      </c>
      <c r="N1687" s="337" t="str">
        <f t="shared" si="2128"/>
        <v>-</v>
      </c>
      <c r="O1687" s="263">
        <f t="shared" si="2092"/>
        <v>1.5498839907192575E-2</v>
      </c>
    </row>
    <row r="1688" spans="1:15" ht="23.4" x14ac:dyDescent="0.3">
      <c r="A1688" s="274" t="s">
        <v>101</v>
      </c>
      <c r="B1688" s="1051"/>
      <c r="C1688" s="299" t="s">
        <v>27</v>
      </c>
      <c r="D1688" s="299" t="s">
        <v>334</v>
      </c>
      <c r="E1688" s="276"/>
      <c r="F1688" s="277"/>
      <c r="G1688" s="333">
        <f t="shared" si="2130"/>
        <v>0</v>
      </c>
      <c r="H1688" s="278">
        <v>0</v>
      </c>
      <c r="I1688" s="278">
        <v>0</v>
      </c>
      <c r="J1688" s="351" t="str">
        <f t="shared" si="2134"/>
        <v>-</v>
      </c>
      <c r="K1688" s="333">
        <f t="shared" si="2131"/>
        <v>0</v>
      </c>
      <c r="L1688" s="272">
        <f t="shared" si="2132"/>
        <v>0</v>
      </c>
      <c r="M1688" s="273">
        <f t="shared" si="2133"/>
        <v>0</v>
      </c>
      <c r="N1688" s="337" t="str">
        <f t="shared" si="2128"/>
        <v>-</v>
      </c>
      <c r="O1688" s="263" t="str">
        <f t="shared" si="2092"/>
        <v>-</v>
      </c>
    </row>
    <row r="1689" spans="1:15" ht="23.4" x14ac:dyDescent="0.3">
      <c r="A1689" s="274"/>
      <c r="B1689" s="1051"/>
      <c r="C1689" s="299" t="s">
        <v>460</v>
      </c>
      <c r="D1689" s="299" t="s">
        <v>334</v>
      </c>
      <c r="E1689" s="280"/>
      <c r="F1689" s="281"/>
      <c r="G1689" s="333">
        <f t="shared" si="2130"/>
        <v>0</v>
      </c>
      <c r="H1689" s="278">
        <v>0</v>
      </c>
      <c r="I1689" s="278">
        <v>0</v>
      </c>
      <c r="J1689" s="351" t="str">
        <f t="shared" si="2134"/>
        <v>-</v>
      </c>
      <c r="K1689" s="333">
        <f t="shared" si="2131"/>
        <v>4348</v>
      </c>
      <c r="L1689" s="272">
        <f t="shared" si="2132"/>
        <v>3978</v>
      </c>
      <c r="M1689" s="273">
        <f t="shared" si="2133"/>
        <v>370</v>
      </c>
      <c r="N1689" s="337" t="str">
        <f t="shared" si="2128"/>
        <v>-</v>
      </c>
      <c r="O1689" s="263">
        <f t="shared" si="2092"/>
        <v>8.5096596136154556E-2</v>
      </c>
    </row>
    <row r="1690" spans="1:15" ht="23.4" x14ac:dyDescent="0.3">
      <c r="A1690" s="274" t="s">
        <v>101</v>
      </c>
      <c r="B1690" s="1051"/>
      <c r="C1690" s="299" t="s">
        <v>433</v>
      </c>
      <c r="D1690" s="299" t="s">
        <v>540</v>
      </c>
      <c r="E1690" s="280"/>
      <c r="F1690" s="281"/>
      <c r="G1690" s="334">
        <f t="shared" si="2130"/>
        <v>0</v>
      </c>
      <c r="H1690" s="278">
        <v>0</v>
      </c>
      <c r="I1690" s="278">
        <v>0</v>
      </c>
      <c r="J1690" s="351" t="str">
        <f t="shared" si="2134"/>
        <v>-</v>
      </c>
      <c r="K1690" s="334">
        <f t="shared" si="2131"/>
        <v>128335</v>
      </c>
      <c r="L1690" s="272">
        <f t="shared" si="2132"/>
        <v>127296</v>
      </c>
      <c r="M1690" s="702">
        <f t="shared" si="2133"/>
        <v>1039</v>
      </c>
      <c r="N1690" s="338" t="str">
        <f t="shared" si="2128"/>
        <v>-</v>
      </c>
      <c r="O1690" s="347">
        <f t="shared" si="2092"/>
        <v>8.0959987532629452E-3</v>
      </c>
    </row>
    <row r="1691" spans="1:15" ht="23.4" x14ac:dyDescent="0.3">
      <c r="A1691" s="274"/>
      <c r="B1691" s="1051"/>
      <c r="C1691" s="299" t="s">
        <v>458</v>
      </c>
      <c r="D1691" s="300" t="s">
        <v>280</v>
      </c>
      <c r="E1691" s="280">
        <v>200000</v>
      </c>
      <c r="F1691" s="281"/>
      <c r="G1691" s="334"/>
      <c r="H1691" s="278">
        <v>0</v>
      </c>
      <c r="I1691" s="278">
        <v>0</v>
      </c>
      <c r="J1691" s="351" t="str">
        <f t="shared" si="2134"/>
        <v>-</v>
      </c>
      <c r="K1691" s="334">
        <f t="shared" si="2131"/>
        <v>0</v>
      </c>
      <c r="L1691" s="272">
        <f t="shared" si="2132"/>
        <v>0</v>
      </c>
      <c r="M1691" s="272">
        <f t="shared" si="2133"/>
        <v>0</v>
      </c>
      <c r="N1691" s="338">
        <f t="shared" si="2128"/>
        <v>0</v>
      </c>
      <c r="O1691" s="347" t="str">
        <f t="shared" si="2092"/>
        <v>-</v>
      </c>
    </row>
    <row r="1692" spans="1:15" ht="24" thickBot="1" x14ac:dyDescent="0.35">
      <c r="A1692" s="274" t="s">
        <v>101</v>
      </c>
      <c r="B1692" s="1051"/>
      <c r="C1692" s="299" t="s">
        <v>27</v>
      </c>
      <c r="D1692" s="300" t="s">
        <v>234</v>
      </c>
      <c r="E1692" s="280">
        <v>250000</v>
      </c>
      <c r="F1692" s="281"/>
      <c r="G1692" s="334">
        <f t="shared" ref="G1692" si="2135">+H1692+I1692</f>
        <v>0</v>
      </c>
      <c r="H1692" s="278">
        <v>0</v>
      </c>
      <c r="I1692" s="278">
        <v>0</v>
      </c>
      <c r="J1692" s="351" t="str">
        <f t="shared" si="2134"/>
        <v>-</v>
      </c>
      <c r="K1692" s="334">
        <f t="shared" si="2131"/>
        <v>0</v>
      </c>
      <c r="L1692" s="272">
        <f t="shared" si="2132"/>
        <v>0</v>
      </c>
      <c r="M1692" s="702">
        <f t="shared" si="2133"/>
        <v>0</v>
      </c>
      <c r="N1692" s="338">
        <f t="shared" si="2128"/>
        <v>0</v>
      </c>
      <c r="O1692" s="347" t="str">
        <f t="shared" si="2092"/>
        <v>-</v>
      </c>
    </row>
    <row r="1693" spans="1:15" ht="24" thickBot="1" x14ac:dyDescent="0.35">
      <c r="A1693" s="274" t="s">
        <v>101</v>
      </c>
      <c r="B1693" s="1051"/>
      <c r="C1693" s="304"/>
      <c r="D1693" s="305" t="s">
        <v>52</v>
      </c>
      <c r="E1693" s="306">
        <f>SUM(E1686:E1692)</f>
        <v>450000</v>
      </c>
      <c r="F1693" s="307">
        <v>80000</v>
      </c>
      <c r="G1693" s="366">
        <f>SUM(G1686:G1692)</f>
        <v>0</v>
      </c>
      <c r="H1693" s="365">
        <f>SUM(H1686:H1692)</f>
        <v>0</v>
      </c>
      <c r="I1693" s="365">
        <f>SUM(I1686:I1692)</f>
        <v>0</v>
      </c>
      <c r="J1693" s="356">
        <f>+G1693/F1693</f>
        <v>0</v>
      </c>
      <c r="K1693" s="366">
        <f>SUM(K1686:K1692)</f>
        <v>400001</v>
      </c>
      <c r="L1693" s="365">
        <f>SUM(L1686:L1692)</f>
        <v>393822</v>
      </c>
      <c r="M1693" s="367">
        <f>SUM(M1686:M1692)</f>
        <v>6179</v>
      </c>
      <c r="N1693" s="355">
        <f t="shared" si="2128"/>
        <v>0.88889111111111108</v>
      </c>
      <c r="O1693" s="356">
        <f t="shared" si="2092"/>
        <v>1.5447461381346547E-2</v>
      </c>
    </row>
    <row r="1694" spans="1:15" ht="24" thickBot="1" x14ac:dyDescent="0.35">
      <c r="A1694" s="961" t="s">
        <v>101</v>
      </c>
      <c r="B1694" s="1054" t="s">
        <v>162</v>
      </c>
      <c r="C1694" s="1055"/>
      <c r="D1694" s="1056"/>
      <c r="E1694" s="308">
        <f>+E1693+E1685</f>
        <v>1865664</v>
      </c>
      <c r="F1694" s="309">
        <f>+F1693+F1685</f>
        <v>240000</v>
      </c>
      <c r="G1694" s="369">
        <f>+G1685+G1693</f>
        <v>0</v>
      </c>
      <c r="H1694" s="368">
        <f>+H1685+H1693</f>
        <v>0</v>
      </c>
      <c r="I1694" s="368">
        <f>+I1685+I1693</f>
        <v>0</v>
      </c>
      <c r="J1694" s="358">
        <f>+G1694/F1694</f>
        <v>0</v>
      </c>
      <c r="K1694" s="369">
        <f>+K1685+K1693</f>
        <v>1595589</v>
      </c>
      <c r="L1694" s="368">
        <f>+L1685+L1693</f>
        <v>1571310</v>
      </c>
      <c r="M1694" s="370">
        <f>+M1685+M1693</f>
        <v>24279</v>
      </c>
      <c r="N1694" s="357">
        <f>IFERROR(K1694/E1694,"-")</f>
        <v>0.85523920705979206</v>
      </c>
      <c r="O1694" s="358">
        <f t="shared" si="2092"/>
        <v>1.5216324504618671E-2</v>
      </c>
    </row>
    <row r="1695" spans="1:15" ht="23.4" x14ac:dyDescent="0.3">
      <c r="A1695" s="274" t="s">
        <v>101</v>
      </c>
      <c r="B1695" s="1051" t="s">
        <v>30</v>
      </c>
      <c r="C1695" s="303" t="s">
        <v>446</v>
      </c>
      <c r="D1695" s="299" t="s">
        <v>492</v>
      </c>
      <c r="E1695" s="270">
        <v>225000</v>
      </c>
      <c r="F1695" s="271"/>
      <c r="G1695" s="332">
        <f t="shared" ref="G1695:G1697" si="2136">+H1695+I1695</f>
        <v>74951</v>
      </c>
      <c r="H1695" s="272">
        <v>73008</v>
      </c>
      <c r="I1695" s="272">
        <v>1943</v>
      </c>
      <c r="J1695" s="351" t="str">
        <f>IFERROR(G1695/F1695,"-")</f>
        <v>-</v>
      </c>
      <c r="K1695" s="332">
        <f t="shared" ref="K1695:K1697" si="2137">+L1695+M1695</f>
        <v>180413</v>
      </c>
      <c r="L1695" s="272">
        <f t="shared" ref="L1695:L1697" si="2138">+H1695+L1578</f>
        <v>175968</v>
      </c>
      <c r="M1695" s="273">
        <f t="shared" ref="M1695:M1697" si="2139">+I1695+M1578</f>
        <v>4445</v>
      </c>
      <c r="N1695" s="336">
        <f t="shared" ref="N1695:N1708" si="2140">IFERROR(K1695/E1695,"-")</f>
        <v>0.80183555555555552</v>
      </c>
      <c r="O1695" s="346">
        <f t="shared" si="2092"/>
        <v>2.4637914119270785E-2</v>
      </c>
    </row>
    <row r="1696" spans="1:15" ht="23.4" x14ac:dyDescent="0.3">
      <c r="A1696" s="274" t="s">
        <v>101</v>
      </c>
      <c r="B1696" s="1051"/>
      <c r="C1696" s="300" t="s">
        <v>548</v>
      </c>
      <c r="D1696" s="303" t="s">
        <v>522</v>
      </c>
      <c r="E1696" s="276">
        <v>125000</v>
      </c>
      <c r="F1696" s="277"/>
      <c r="G1696" s="333">
        <f t="shared" si="2136"/>
        <v>0</v>
      </c>
      <c r="H1696" s="278">
        <v>0</v>
      </c>
      <c r="I1696" s="278">
        <v>0</v>
      </c>
      <c r="J1696" s="351" t="str">
        <f t="shared" ref="J1696:J1697" si="2141">IFERROR(G1696/F1696,"-")</f>
        <v>-</v>
      </c>
      <c r="K1696" s="333">
        <f t="shared" si="2137"/>
        <v>0</v>
      </c>
      <c r="L1696" s="272">
        <f t="shared" si="2138"/>
        <v>0</v>
      </c>
      <c r="M1696" s="273">
        <f t="shared" si="2139"/>
        <v>0</v>
      </c>
      <c r="N1696" s="337">
        <f t="shared" si="2140"/>
        <v>0</v>
      </c>
      <c r="O1696" s="263" t="str">
        <f t="shared" si="2092"/>
        <v>-</v>
      </c>
    </row>
    <row r="1697" spans="1:15" ht="24" thickBot="1" x14ac:dyDescent="0.35">
      <c r="A1697" s="274" t="s">
        <v>101</v>
      </c>
      <c r="B1697" s="1051"/>
      <c r="C1697" s="300" t="s">
        <v>291</v>
      </c>
      <c r="D1697" s="300" t="s">
        <v>366</v>
      </c>
      <c r="E1697" s="280"/>
      <c r="F1697" s="281"/>
      <c r="G1697" s="334">
        <f t="shared" si="2136"/>
        <v>1584</v>
      </c>
      <c r="H1697" s="282">
        <v>1284</v>
      </c>
      <c r="I1697" s="282">
        <v>300</v>
      </c>
      <c r="J1697" s="351" t="str">
        <f t="shared" si="2141"/>
        <v>-</v>
      </c>
      <c r="K1697" s="334">
        <f t="shared" si="2137"/>
        <v>53195</v>
      </c>
      <c r="L1697" s="272">
        <f t="shared" si="2138"/>
        <v>51828</v>
      </c>
      <c r="M1697" s="273">
        <f t="shared" si="2139"/>
        <v>1367</v>
      </c>
      <c r="N1697" s="338" t="str">
        <f t="shared" si="2140"/>
        <v>-</v>
      </c>
      <c r="O1697" s="347">
        <f t="shared" si="2092"/>
        <v>2.569790393834007E-2</v>
      </c>
    </row>
    <row r="1698" spans="1:15" ht="24" thickBot="1" x14ac:dyDescent="0.35">
      <c r="A1698" s="274" t="s">
        <v>101</v>
      </c>
      <c r="B1698" s="1051"/>
      <c r="C1698" s="301"/>
      <c r="D1698" s="302" t="s">
        <v>50</v>
      </c>
      <c r="E1698" s="284">
        <f>SUM(E1695:E1697)</f>
        <v>350000</v>
      </c>
      <c r="F1698" s="285">
        <v>50000</v>
      </c>
      <c r="G1698" s="320">
        <f>SUM(G1695:G1697)</f>
        <v>76535</v>
      </c>
      <c r="H1698" s="321">
        <f>SUM(H1695:H1697)</f>
        <v>74292</v>
      </c>
      <c r="I1698" s="321">
        <f>SUM(I1695:I1697)</f>
        <v>2243</v>
      </c>
      <c r="J1698" s="345">
        <f>+G1698/F1698</f>
        <v>1.5306999999999999</v>
      </c>
      <c r="K1698" s="320">
        <f>SUM(K1695:K1697)</f>
        <v>233608</v>
      </c>
      <c r="L1698" s="321">
        <f>SUM(L1695:L1697)</f>
        <v>227796</v>
      </c>
      <c r="M1698" s="322">
        <f>SUM(M1695:M1697)</f>
        <v>5812</v>
      </c>
      <c r="N1698" s="339">
        <f t="shared" si="2140"/>
        <v>0.66745142857142858</v>
      </c>
      <c r="O1698" s="345">
        <f t="shared" si="2092"/>
        <v>2.4879284955994656E-2</v>
      </c>
    </row>
    <row r="1699" spans="1:15" ht="23.4" x14ac:dyDescent="0.3">
      <c r="A1699" s="274" t="s">
        <v>101</v>
      </c>
      <c r="B1699" s="1051"/>
      <c r="C1699" s="297" t="s">
        <v>434</v>
      </c>
      <c r="D1699" s="297" t="s">
        <v>92</v>
      </c>
      <c r="E1699" s="270"/>
      <c r="F1699" s="271"/>
      <c r="G1699" s="332">
        <f t="shared" ref="G1699:G1704" si="2142">+H1699+I1699</f>
        <v>0</v>
      </c>
      <c r="H1699" s="272">
        <v>0</v>
      </c>
      <c r="I1699" s="272">
        <v>0</v>
      </c>
      <c r="J1699" s="351" t="str">
        <f>IFERROR(G1699/F1699,"-")</f>
        <v>-</v>
      </c>
      <c r="K1699" s="332">
        <f t="shared" ref="K1699:K1704" si="2143">+L1699+M1699</f>
        <v>0</v>
      </c>
      <c r="L1699" s="272">
        <f t="shared" ref="L1699:L1704" si="2144">+H1699+L1582</f>
        <v>0</v>
      </c>
      <c r="M1699" s="273">
        <f t="shared" ref="M1699:M1704" si="2145">+I1699+M1582</f>
        <v>0</v>
      </c>
      <c r="N1699" s="336" t="str">
        <f t="shared" si="2140"/>
        <v>-</v>
      </c>
      <c r="O1699" s="346" t="str">
        <f t="shared" si="2092"/>
        <v>-</v>
      </c>
    </row>
    <row r="1700" spans="1:15" ht="23.4" x14ac:dyDescent="0.3">
      <c r="A1700" s="274"/>
      <c r="B1700" s="1051"/>
      <c r="C1700" s="303" t="s">
        <v>449</v>
      </c>
      <c r="D1700" s="299" t="s">
        <v>334</v>
      </c>
      <c r="E1700" s="270"/>
      <c r="F1700" s="271"/>
      <c r="G1700" s="332">
        <f t="shared" si="2142"/>
        <v>0</v>
      </c>
      <c r="H1700" s="272">
        <v>0</v>
      </c>
      <c r="I1700" s="272">
        <v>0</v>
      </c>
      <c r="J1700" s="351" t="str">
        <f t="shared" ref="J1700:J1704" si="2146">IFERROR(G1700/F1700,"-")</f>
        <v>-</v>
      </c>
      <c r="K1700" s="332">
        <f t="shared" si="2143"/>
        <v>0</v>
      </c>
      <c r="L1700" s="272">
        <f t="shared" si="2144"/>
        <v>0</v>
      </c>
      <c r="M1700" s="273">
        <f t="shared" si="2145"/>
        <v>0</v>
      </c>
      <c r="N1700" s="337" t="str">
        <f t="shared" si="2140"/>
        <v>-</v>
      </c>
      <c r="O1700" s="346" t="str">
        <f t="shared" si="2092"/>
        <v>-</v>
      </c>
    </row>
    <row r="1701" spans="1:15" ht="23.4" x14ac:dyDescent="0.3">
      <c r="A1701" s="274"/>
      <c r="B1701" s="1051"/>
      <c r="C1701" s="303" t="s">
        <v>452</v>
      </c>
      <c r="D1701" s="299" t="s">
        <v>334</v>
      </c>
      <c r="E1701" s="270"/>
      <c r="F1701" s="271"/>
      <c r="G1701" s="332">
        <f t="shared" si="2142"/>
        <v>0</v>
      </c>
      <c r="H1701" s="272">
        <v>0</v>
      </c>
      <c r="I1701" s="272">
        <v>0</v>
      </c>
      <c r="J1701" s="351" t="str">
        <f t="shared" si="2146"/>
        <v>-</v>
      </c>
      <c r="K1701" s="332">
        <f t="shared" si="2143"/>
        <v>0</v>
      </c>
      <c r="L1701" s="272">
        <f t="shared" si="2144"/>
        <v>0</v>
      </c>
      <c r="M1701" s="273">
        <f t="shared" si="2145"/>
        <v>0</v>
      </c>
      <c r="N1701" s="337" t="str">
        <f t="shared" si="2140"/>
        <v>-</v>
      </c>
      <c r="O1701" s="346" t="str">
        <f t="shared" si="2092"/>
        <v>-</v>
      </c>
    </row>
    <row r="1702" spans="1:15" ht="23.4" x14ac:dyDescent="0.3">
      <c r="A1702" s="274" t="s">
        <v>101</v>
      </c>
      <c r="B1702" s="1051"/>
      <c r="C1702" s="303" t="s">
        <v>501</v>
      </c>
      <c r="D1702" s="300" t="s">
        <v>423</v>
      </c>
      <c r="E1702" s="276"/>
      <c r="F1702" s="277"/>
      <c r="G1702" s="333">
        <f t="shared" si="2142"/>
        <v>0</v>
      </c>
      <c r="H1702" s="278">
        <v>0</v>
      </c>
      <c r="I1702" s="272">
        <v>0</v>
      </c>
      <c r="J1702" s="351" t="str">
        <f t="shared" si="2146"/>
        <v>-</v>
      </c>
      <c r="K1702" s="333">
        <f t="shared" si="2143"/>
        <v>8116</v>
      </c>
      <c r="L1702" s="272">
        <f t="shared" si="2144"/>
        <v>7488</v>
      </c>
      <c r="M1702" s="273">
        <f t="shared" si="2145"/>
        <v>628</v>
      </c>
      <c r="N1702" s="337" t="str">
        <f t="shared" si="2140"/>
        <v>-</v>
      </c>
      <c r="O1702" s="263">
        <f t="shared" si="2092"/>
        <v>7.737801872843765E-2</v>
      </c>
    </row>
    <row r="1703" spans="1:15" ht="23.4" x14ac:dyDescent="0.3">
      <c r="A1703" s="274"/>
      <c r="B1703" s="1051"/>
      <c r="C1703" s="300" t="s">
        <v>459</v>
      </c>
      <c r="D1703" s="300" t="s">
        <v>366</v>
      </c>
      <c r="E1703" s="280"/>
      <c r="F1703" s="281"/>
      <c r="G1703" s="334">
        <f t="shared" si="2142"/>
        <v>2329</v>
      </c>
      <c r="H1703" s="282">
        <v>1872</v>
      </c>
      <c r="I1703" s="278">
        <v>457</v>
      </c>
      <c r="J1703" s="351" t="str">
        <f t="shared" si="2146"/>
        <v>-</v>
      </c>
      <c r="K1703" s="333">
        <f t="shared" si="2143"/>
        <v>80554</v>
      </c>
      <c r="L1703" s="272">
        <f t="shared" si="2144"/>
        <v>78624</v>
      </c>
      <c r="M1703" s="272">
        <f t="shared" si="2145"/>
        <v>1930</v>
      </c>
      <c r="N1703" s="337" t="str">
        <f t="shared" si="2140"/>
        <v>-</v>
      </c>
      <c r="O1703" s="263">
        <f t="shared" si="2092"/>
        <v>2.3959083347816372E-2</v>
      </c>
    </row>
    <row r="1704" spans="1:15" ht="24" thickBot="1" x14ac:dyDescent="0.35">
      <c r="A1704" s="274" t="s">
        <v>101</v>
      </c>
      <c r="B1704" s="1051"/>
      <c r="C1704" s="300" t="s">
        <v>435</v>
      </c>
      <c r="D1704" s="300" t="s">
        <v>423</v>
      </c>
      <c r="E1704" s="280"/>
      <c r="F1704" s="281"/>
      <c r="G1704" s="334">
        <f t="shared" si="2142"/>
        <v>0</v>
      </c>
      <c r="H1704" s="282">
        <v>0</v>
      </c>
      <c r="I1704" s="272">
        <v>0</v>
      </c>
      <c r="J1704" s="351" t="str">
        <f t="shared" si="2146"/>
        <v>-</v>
      </c>
      <c r="K1704" s="334">
        <f t="shared" si="2143"/>
        <v>0</v>
      </c>
      <c r="L1704" s="272">
        <f t="shared" si="2144"/>
        <v>0</v>
      </c>
      <c r="M1704" s="273">
        <f t="shared" si="2145"/>
        <v>0</v>
      </c>
      <c r="N1704" s="338" t="str">
        <f t="shared" si="2140"/>
        <v>-</v>
      </c>
      <c r="O1704" s="347" t="str">
        <f t="shared" si="2092"/>
        <v>-</v>
      </c>
    </row>
    <row r="1705" spans="1:15" ht="24" thickBot="1" x14ac:dyDescent="0.35">
      <c r="A1705" s="274" t="s">
        <v>101</v>
      </c>
      <c r="B1705" s="1051"/>
      <c r="C1705" s="304"/>
      <c r="D1705" s="305" t="s">
        <v>51</v>
      </c>
      <c r="E1705" s="306">
        <f>SUM(E1699:E1704)</f>
        <v>0</v>
      </c>
      <c r="F1705" s="307">
        <v>50000</v>
      </c>
      <c r="G1705" s="366">
        <f>SUM(G1699:G1704)</f>
        <v>2329</v>
      </c>
      <c r="H1705" s="365">
        <f t="shared" ref="H1705:I1705" si="2147">SUM(H1699:H1704)</f>
        <v>1872</v>
      </c>
      <c r="I1705" s="365">
        <f t="shared" si="2147"/>
        <v>457</v>
      </c>
      <c r="J1705" s="356">
        <f>+G1705/F1705</f>
        <v>4.6580000000000003E-2</v>
      </c>
      <c r="K1705" s="366">
        <f t="shared" ref="K1705:M1705" si="2148">SUM(K1699:K1704)</f>
        <v>88670</v>
      </c>
      <c r="L1705" s="365">
        <f t="shared" si="2148"/>
        <v>86112</v>
      </c>
      <c r="M1705" s="367">
        <f t="shared" si="2148"/>
        <v>2558</v>
      </c>
      <c r="N1705" s="355" t="str">
        <f t="shared" si="2140"/>
        <v>-</v>
      </c>
      <c r="O1705" s="356">
        <f t="shared" si="2092"/>
        <v>2.8848539528589151E-2</v>
      </c>
    </row>
    <row r="1706" spans="1:15" ht="24" thickBot="1" x14ac:dyDescent="0.35">
      <c r="A1706" s="274" t="s">
        <v>101</v>
      </c>
      <c r="B1706" s="1054" t="s">
        <v>163</v>
      </c>
      <c r="C1706" s="1055"/>
      <c r="D1706" s="1056"/>
      <c r="E1706" s="308">
        <f>+E1705+E1698</f>
        <v>350000</v>
      </c>
      <c r="F1706" s="309">
        <v>50000</v>
      </c>
      <c r="G1706" s="369">
        <f>+G1698+G1705</f>
        <v>78864</v>
      </c>
      <c r="H1706" s="368">
        <f t="shared" ref="H1706:I1706" si="2149">+H1698+H1705</f>
        <v>76164</v>
      </c>
      <c r="I1706" s="368">
        <f t="shared" si="2149"/>
        <v>2700</v>
      </c>
      <c r="J1706" s="358">
        <f>+G1706/F1706</f>
        <v>1.57728</v>
      </c>
      <c r="K1706" s="369">
        <f t="shared" ref="K1706:M1706" si="2150">+K1698+K1705</f>
        <v>322278</v>
      </c>
      <c r="L1706" s="368">
        <f t="shared" si="2150"/>
        <v>313908</v>
      </c>
      <c r="M1706" s="370">
        <f t="shared" si="2150"/>
        <v>8370</v>
      </c>
      <c r="N1706" s="357">
        <f t="shared" si="2140"/>
        <v>0.92079428571428568</v>
      </c>
      <c r="O1706" s="358">
        <f t="shared" si="2092"/>
        <v>2.5971366335896338E-2</v>
      </c>
    </row>
    <row r="1707" spans="1:15" ht="24" thickBot="1" x14ac:dyDescent="0.35">
      <c r="A1707" s="274" t="s">
        <v>101</v>
      </c>
      <c r="B1707" s="598" t="s">
        <v>32</v>
      </c>
      <c r="C1707" s="957"/>
      <c r="D1707" s="310" t="s">
        <v>32</v>
      </c>
      <c r="E1707" s="287">
        <v>0</v>
      </c>
      <c r="F1707" s="288">
        <v>110000</v>
      </c>
      <c r="G1707" s="335">
        <f t="shared" ref="G1707" si="2151">+H1707+I1707</f>
        <v>0</v>
      </c>
      <c r="H1707" s="289">
        <v>0</v>
      </c>
      <c r="I1707" s="289">
        <v>0</v>
      </c>
      <c r="J1707" s="354">
        <f>IFERROR(G1707/F1707,"-")</f>
        <v>0</v>
      </c>
      <c r="K1707" s="335">
        <f>+L1707+M1707</f>
        <v>0</v>
      </c>
      <c r="L1707" s="289">
        <f>+H1707+L1590</f>
        <v>0</v>
      </c>
      <c r="M1707" s="290">
        <f>+I1707+M1590</f>
        <v>0</v>
      </c>
      <c r="N1707" s="340" t="str">
        <f t="shared" si="2140"/>
        <v>-</v>
      </c>
      <c r="O1707" s="348" t="str">
        <f t="shared" si="2092"/>
        <v>-</v>
      </c>
    </row>
    <row r="1708" spans="1:15" ht="24" thickBot="1" x14ac:dyDescent="0.35">
      <c r="A1708" s="274" t="s">
        <v>101</v>
      </c>
      <c r="B1708" s="1047" t="s">
        <v>21</v>
      </c>
      <c r="C1708" s="1048"/>
      <c r="D1708" s="1049"/>
      <c r="E1708" s="326">
        <f>+E1694+E1706+E1707</f>
        <v>2215664</v>
      </c>
      <c r="F1708" s="327">
        <f>+F1694+F1706+F1707</f>
        <v>400000</v>
      </c>
      <c r="G1708" s="326">
        <f>+G1694+G1706+G1707</f>
        <v>78864</v>
      </c>
      <c r="H1708" s="324">
        <f>+H1694+H1706+H1707</f>
        <v>76164</v>
      </c>
      <c r="I1708" s="324">
        <f>+I1694+I1706+I1707</f>
        <v>2700</v>
      </c>
      <c r="J1708" s="349">
        <f>+G1708/F1708</f>
        <v>0.19716</v>
      </c>
      <c r="K1708" s="326">
        <f>+K1694+K1706+K1707</f>
        <v>1917867</v>
      </c>
      <c r="L1708" s="324">
        <f>+L1694+L1706+L1707</f>
        <v>1885218</v>
      </c>
      <c r="M1708" s="325">
        <f>+M1694+M1706+M1707</f>
        <v>32649</v>
      </c>
      <c r="N1708" s="341">
        <f t="shared" si="2140"/>
        <v>0.86559469305815318</v>
      </c>
      <c r="O1708" s="349">
        <f t="shared" si="2092"/>
        <v>1.7023599655241996E-2</v>
      </c>
    </row>
    <row r="1709" spans="1:15" ht="24" thickBot="1" x14ac:dyDescent="0.35">
      <c r="A1709" s="274" t="s">
        <v>101</v>
      </c>
      <c r="B1709" s="1019" t="s">
        <v>171</v>
      </c>
      <c r="C1709" s="1020"/>
      <c r="D1709" s="1021"/>
      <c r="E1709" s="330">
        <f>+E1708</f>
        <v>2215664</v>
      </c>
      <c r="F1709" s="331">
        <f t="shared" ref="F1709:I1709" si="2152">+F1708</f>
        <v>400000</v>
      </c>
      <c r="G1709" s="330">
        <f t="shared" si="2152"/>
        <v>78864</v>
      </c>
      <c r="H1709" s="328">
        <f t="shared" si="2152"/>
        <v>76164</v>
      </c>
      <c r="I1709" s="328">
        <f t="shared" si="2152"/>
        <v>2700</v>
      </c>
      <c r="J1709" s="872">
        <f>+G1709/F1709</f>
        <v>0.19716</v>
      </c>
      <c r="K1709" s="330">
        <f>+K1708</f>
        <v>1917867</v>
      </c>
      <c r="L1709" s="328">
        <f t="shared" ref="L1709" si="2153">+L1708</f>
        <v>1885218</v>
      </c>
      <c r="M1709" s="329">
        <f>+M1708</f>
        <v>32649</v>
      </c>
      <c r="N1709" s="342">
        <f t="shared" ref="N1709:O1709" si="2154">+N1708</f>
        <v>0.86559469305815318</v>
      </c>
      <c r="O1709" s="350">
        <f t="shared" si="2154"/>
        <v>1.7023599655241996E-2</v>
      </c>
    </row>
    <row r="1710" spans="1:15" ht="23.4" x14ac:dyDescent="0.3">
      <c r="A1710" s="268" t="s">
        <v>102</v>
      </c>
      <c r="B1710" s="1022" t="s">
        <v>401</v>
      </c>
      <c r="C1710" s="311" t="s">
        <v>113</v>
      </c>
      <c r="D1710" s="311"/>
      <c r="E1710" s="270"/>
      <c r="F1710" s="271"/>
      <c r="G1710" s="332">
        <f t="shared" ref="G1710:G1712" si="2155">+H1710+I1710</f>
        <v>0</v>
      </c>
      <c r="H1710" s="272">
        <v>0</v>
      </c>
      <c r="I1710" s="272">
        <v>0</v>
      </c>
      <c r="J1710" s="351" t="str">
        <f>IFERROR(G1710/F1710,"-")</f>
        <v>-</v>
      </c>
      <c r="K1710" s="332">
        <f t="shared" ref="K1710:K1712" si="2156">+L1710+M1710</f>
        <v>0</v>
      </c>
      <c r="L1710" s="272">
        <f t="shared" ref="L1710:L1712" si="2157">+H1710+L1593</f>
        <v>0</v>
      </c>
      <c r="M1710" s="273">
        <f t="shared" ref="M1710:M1712" si="2158">+I1710+M1593</f>
        <v>0</v>
      </c>
      <c r="N1710" s="336" t="str">
        <f t="shared" ref="N1710:N1717" si="2159">IFERROR(K1710/E1710,"-")</f>
        <v>-</v>
      </c>
      <c r="O1710" s="346" t="str">
        <f t="shared" ref="O1710:O1735" si="2160">IFERROR(M1710/K1710,"-")</f>
        <v>-</v>
      </c>
    </row>
    <row r="1711" spans="1:15" ht="23.4" x14ac:dyDescent="0.3">
      <c r="A1711" s="274" t="s">
        <v>102</v>
      </c>
      <c r="B1711" s="1023"/>
      <c r="C1711" s="312" t="s">
        <v>247</v>
      </c>
      <c r="D1711" s="312"/>
      <c r="E1711" s="276">
        <v>2000</v>
      </c>
      <c r="F1711" s="277"/>
      <c r="G1711" s="333">
        <f t="shared" si="2155"/>
        <v>0</v>
      </c>
      <c r="H1711" s="278">
        <v>0</v>
      </c>
      <c r="I1711" s="278">
        <v>0</v>
      </c>
      <c r="J1711" s="351" t="str">
        <f t="shared" ref="J1711:J1712" si="2161">IFERROR(G1711/F1711,"-")</f>
        <v>-</v>
      </c>
      <c r="K1711" s="333">
        <f t="shared" si="2156"/>
        <v>9638</v>
      </c>
      <c r="L1711" s="272">
        <f t="shared" si="2157"/>
        <v>9149</v>
      </c>
      <c r="M1711" s="273">
        <f t="shared" si="2158"/>
        <v>489</v>
      </c>
      <c r="N1711" s="337">
        <f t="shared" si="2159"/>
        <v>4.819</v>
      </c>
      <c r="O1711" s="263">
        <f t="shared" si="2160"/>
        <v>5.0736667358373108E-2</v>
      </c>
    </row>
    <row r="1712" spans="1:15" ht="24" thickBot="1" x14ac:dyDescent="0.35">
      <c r="A1712" s="274" t="s">
        <v>102</v>
      </c>
      <c r="B1712" s="1024"/>
      <c r="C1712" s="313" t="s">
        <v>33</v>
      </c>
      <c r="D1712" s="313"/>
      <c r="E1712" s="280"/>
      <c r="F1712" s="281"/>
      <c r="G1712" s="334">
        <f t="shared" si="2155"/>
        <v>0</v>
      </c>
      <c r="H1712" s="282">
        <v>0</v>
      </c>
      <c r="I1712" s="282">
        <v>0</v>
      </c>
      <c r="J1712" s="351" t="str">
        <f t="shared" si="2161"/>
        <v>-</v>
      </c>
      <c r="K1712" s="334">
        <f t="shared" si="2156"/>
        <v>0</v>
      </c>
      <c r="L1712" s="272">
        <f t="shared" si="2157"/>
        <v>0</v>
      </c>
      <c r="M1712" s="273">
        <f t="shared" si="2158"/>
        <v>0</v>
      </c>
      <c r="N1712" s="338" t="str">
        <f t="shared" si="2159"/>
        <v>-</v>
      </c>
      <c r="O1712" s="347" t="str">
        <f t="shared" si="2160"/>
        <v>-</v>
      </c>
    </row>
    <row r="1713" spans="1:15" ht="24" thickBot="1" x14ac:dyDescent="0.35">
      <c r="A1713" s="274" t="s">
        <v>102</v>
      </c>
      <c r="B1713" s="1025" t="s">
        <v>34</v>
      </c>
      <c r="C1713" s="1026"/>
      <c r="D1713" s="1027"/>
      <c r="E1713" s="284">
        <f>SUM(E1710:E1712)</f>
        <v>2000</v>
      </c>
      <c r="F1713" s="285">
        <v>6500</v>
      </c>
      <c r="G1713" s="320">
        <f>SUM(G1710:G1712)</f>
        <v>0</v>
      </c>
      <c r="H1713" s="321">
        <f t="shared" ref="H1713:I1713" si="2162">SUM(H1710:H1712)</f>
        <v>0</v>
      </c>
      <c r="I1713" s="321">
        <f t="shared" si="2162"/>
        <v>0</v>
      </c>
      <c r="J1713" s="345">
        <f>IFERROR(G1713/F1713,"-")</f>
        <v>0</v>
      </c>
      <c r="K1713" s="320">
        <f t="shared" ref="K1713:M1713" si="2163">SUM(K1710:K1712)</f>
        <v>9638</v>
      </c>
      <c r="L1713" s="321">
        <f t="shared" si="2163"/>
        <v>9149</v>
      </c>
      <c r="M1713" s="322">
        <f t="shared" si="2163"/>
        <v>489</v>
      </c>
      <c r="N1713" s="339">
        <f t="shared" si="2159"/>
        <v>4.819</v>
      </c>
      <c r="O1713" s="345">
        <f t="shared" si="2160"/>
        <v>5.0736667358373108E-2</v>
      </c>
    </row>
    <row r="1714" spans="1:15" ht="23.4" x14ac:dyDescent="0.3">
      <c r="A1714" s="274" t="s">
        <v>102</v>
      </c>
      <c r="B1714" s="1022" t="s">
        <v>35</v>
      </c>
      <c r="C1714" s="311" t="s">
        <v>113</v>
      </c>
      <c r="D1714" s="311"/>
      <c r="E1714" s="270">
        <v>116160</v>
      </c>
      <c r="F1714" s="271"/>
      <c r="G1714" s="332">
        <f t="shared" ref="G1714:G1717" si="2164">+H1714+I1714</f>
        <v>0</v>
      </c>
      <c r="H1714" s="272">
        <v>0</v>
      </c>
      <c r="I1714" s="272">
        <v>0</v>
      </c>
      <c r="J1714" s="351" t="str">
        <f>IFERROR(G1714/F1714,"-")</f>
        <v>-</v>
      </c>
      <c r="K1714" s="332">
        <f t="shared" ref="K1714:K1717" si="2165">+L1714+M1714</f>
        <v>0</v>
      </c>
      <c r="L1714" s="272">
        <f t="shared" ref="L1714:L1717" si="2166">+H1714+L1597</f>
        <v>0</v>
      </c>
      <c r="M1714" s="273">
        <f t="shared" ref="M1714:M1717" si="2167">+I1714+M1597</f>
        <v>0</v>
      </c>
      <c r="N1714" s="336">
        <f t="shared" si="2159"/>
        <v>0</v>
      </c>
      <c r="O1714" s="346" t="str">
        <f t="shared" si="2160"/>
        <v>-</v>
      </c>
    </row>
    <row r="1715" spans="1:15" ht="23.4" x14ac:dyDescent="0.3">
      <c r="A1715" s="274" t="s">
        <v>102</v>
      </c>
      <c r="B1715" s="1023"/>
      <c r="C1715" s="312" t="s">
        <v>247</v>
      </c>
      <c r="D1715" s="312"/>
      <c r="E1715" s="276"/>
      <c r="F1715" s="277"/>
      <c r="G1715" s="333">
        <f t="shared" si="2164"/>
        <v>6569</v>
      </c>
      <c r="H1715" s="278">
        <v>6400</v>
      </c>
      <c r="I1715" s="278">
        <v>169</v>
      </c>
      <c r="J1715" s="351" t="str">
        <f t="shared" ref="J1715:J1717" si="2168">IFERROR(G1715/F1715,"-")</f>
        <v>-</v>
      </c>
      <c r="K1715" s="333">
        <f t="shared" si="2165"/>
        <v>11741</v>
      </c>
      <c r="L1715" s="272">
        <f t="shared" si="2166"/>
        <v>10560</v>
      </c>
      <c r="M1715" s="273">
        <f t="shared" si="2167"/>
        <v>1181</v>
      </c>
      <c r="N1715" s="337" t="str">
        <f t="shared" si="2159"/>
        <v>-</v>
      </c>
      <c r="O1715" s="263">
        <f t="shared" si="2160"/>
        <v>0.10058768418363001</v>
      </c>
    </row>
    <row r="1716" spans="1:15" ht="23.4" x14ac:dyDescent="0.3">
      <c r="A1716" s="274" t="s">
        <v>102</v>
      </c>
      <c r="B1716" s="1023"/>
      <c r="C1716" s="312" t="s">
        <v>496</v>
      </c>
      <c r="D1716" s="312"/>
      <c r="E1716" s="276">
        <v>20000</v>
      </c>
      <c r="F1716" s="277"/>
      <c r="G1716" s="333">
        <f t="shared" si="2164"/>
        <v>0</v>
      </c>
      <c r="H1716" s="278">
        <v>0</v>
      </c>
      <c r="I1716" s="278">
        <v>0</v>
      </c>
      <c r="J1716" s="351" t="str">
        <f t="shared" si="2168"/>
        <v>-</v>
      </c>
      <c r="K1716" s="333">
        <f t="shared" si="2165"/>
        <v>0</v>
      </c>
      <c r="L1716" s="272">
        <f t="shared" si="2166"/>
        <v>0</v>
      </c>
      <c r="M1716" s="273">
        <f t="shared" si="2167"/>
        <v>0</v>
      </c>
      <c r="N1716" s="337">
        <f t="shared" si="2159"/>
        <v>0</v>
      </c>
      <c r="O1716" s="263" t="str">
        <f t="shared" si="2160"/>
        <v>-</v>
      </c>
    </row>
    <row r="1717" spans="1:15" ht="24" thickBot="1" x14ac:dyDescent="0.35">
      <c r="A1717" s="274" t="s">
        <v>102</v>
      </c>
      <c r="B1717" s="1024"/>
      <c r="C1717" s="313" t="s">
        <v>36</v>
      </c>
      <c r="D1717" s="313"/>
      <c r="E1717" s="280"/>
      <c r="F1717" s="281"/>
      <c r="G1717" s="334">
        <f t="shared" si="2164"/>
        <v>0</v>
      </c>
      <c r="H1717" s="278">
        <v>0</v>
      </c>
      <c r="I1717" s="278">
        <v>0</v>
      </c>
      <c r="J1717" s="351" t="str">
        <f t="shared" si="2168"/>
        <v>-</v>
      </c>
      <c r="K1717" s="334">
        <f t="shared" si="2165"/>
        <v>0</v>
      </c>
      <c r="L1717" s="272">
        <f t="shared" si="2166"/>
        <v>0</v>
      </c>
      <c r="M1717" s="273">
        <f t="shared" si="2167"/>
        <v>0</v>
      </c>
      <c r="N1717" s="338" t="str">
        <f t="shared" si="2159"/>
        <v>-</v>
      </c>
      <c r="O1717" s="347" t="str">
        <f t="shared" si="2160"/>
        <v>-</v>
      </c>
    </row>
    <row r="1718" spans="1:15" ht="24" thickBot="1" x14ac:dyDescent="0.35">
      <c r="A1718" s="274" t="s">
        <v>102</v>
      </c>
      <c r="B1718" s="1025" t="s">
        <v>37</v>
      </c>
      <c r="C1718" s="1026"/>
      <c r="D1718" s="1027"/>
      <c r="E1718" s="284">
        <f>SUM(E1714:E1717)</f>
        <v>136160</v>
      </c>
      <c r="F1718" s="285">
        <v>6500</v>
      </c>
      <c r="G1718" s="320">
        <f>SUM(G1714:G1717)</f>
        <v>6569</v>
      </c>
      <c r="H1718" s="321">
        <f t="shared" ref="H1718:I1718" si="2169">SUM(H1714:H1717)</f>
        <v>6400</v>
      </c>
      <c r="I1718" s="321">
        <f t="shared" si="2169"/>
        <v>169</v>
      </c>
      <c r="J1718" s="345">
        <f>IFERROR(G1718/F1718,"-")</f>
        <v>1.0106153846153847</v>
      </c>
      <c r="K1718" s="320">
        <f t="shared" ref="K1718:M1718" si="2170">SUM(K1714:K1717)</f>
        <v>11741</v>
      </c>
      <c r="L1718" s="321">
        <f t="shared" si="2170"/>
        <v>10560</v>
      </c>
      <c r="M1718" s="322">
        <f t="shared" si="2170"/>
        <v>1181</v>
      </c>
      <c r="N1718" s="339">
        <f>IFERROR(K1718/E1718,"-")</f>
        <v>8.6229435957696832E-2</v>
      </c>
      <c r="O1718" s="345">
        <f t="shared" si="2160"/>
        <v>0.10058768418363001</v>
      </c>
    </row>
    <row r="1719" spans="1:15" ht="23.4" x14ac:dyDescent="0.3">
      <c r="A1719" s="274" t="s">
        <v>102</v>
      </c>
      <c r="B1719" s="1022" t="s">
        <v>402</v>
      </c>
      <c r="C1719" s="314" t="s">
        <v>116</v>
      </c>
      <c r="D1719" s="314"/>
      <c r="E1719" s="270">
        <v>31000</v>
      </c>
      <c r="F1719" s="271"/>
      <c r="G1719" s="332">
        <f t="shared" ref="G1719:G1720" si="2171">+H1719+I1719</f>
        <v>0</v>
      </c>
      <c r="H1719" s="272">
        <v>0</v>
      </c>
      <c r="I1719" s="272">
        <v>0</v>
      </c>
      <c r="J1719" s="351" t="str">
        <f>IFERROR(G1719/F1719,"-")</f>
        <v>-</v>
      </c>
      <c r="K1719" s="332">
        <f t="shared" ref="K1719:K1720" si="2172">+L1719+M1719</f>
        <v>0</v>
      </c>
      <c r="L1719" s="272">
        <f t="shared" ref="L1719:L1720" si="2173">+H1719+L1602</f>
        <v>0</v>
      </c>
      <c r="M1719" s="273">
        <f t="shared" ref="M1719:M1720" si="2174">+I1719+M1602</f>
        <v>0</v>
      </c>
      <c r="N1719" s="336">
        <f t="shared" ref="N1719:N1735" si="2175">IFERROR(K1719/E1719,"-")</f>
        <v>0</v>
      </c>
      <c r="O1719" s="346" t="str">
        <f t="shared" si="2160"/>
        <v>-</v>
      </c>
    </row>
    <row r="1720" spans="1:15" ht="24" thickBot="1" x14ac:dyDescent="0.35">
      <c r="A1720" s="274" t="s">
        <v>102</v>
      </c>
      <c r="B1720" s="1024"/>
      <c r="C1720" s="286" t="s">
        <v>132</v>
      </c>
      <c r="D1720" s="286"/>
      <c r="E1720" s="280"/>
      <c r="F1720" s="281"/>
      <c r="G1720" s="334">
        <f t="shared" si="2171"/>
        <v>0</v>
      </c>
      <c r="H1720" s="282">
        <v>0</v>
      </c>
      <c r="I1720" s="282">
        <v>0</v>
      </c>
      <c r="J1720" s="351" t="str">
        <f>IFERROR(G1720/F1720,"-")</f>
        <v>-</v>
      </c>
      <c r="K1720" s="334">
        <f t="shared" si="2172"/>
        <v>22797</v>
      </c>
      <c r="L1720" s="272">
        <f t="shared" si="2173"/>
        <v>21790</v>
      </c>
      <c r="M1720" s="273">
        <f t="shared" si="2174"/>
        <v>1007</v>
      </c>
      <c r="N1720" s="338" t="str">
        <f t="shared" si="2175"/>
        <v>-</v>
      </c>
      <c r="O1720" s="347">
        <f t="shared" si="2160"/>
        <v>4.4172478834934421E-2</v>
      </c>
    </row>
    <row r="1721" spans="1:15" ht="24" thickBot="1" x14ac:dyDescent="0.35">
      <c r="A1721" s="961" t="s">
        <v>102</v>
      </c>
      <c r="B1721" s="1025" t="s">
        <v>38</v>
      </c>
      <c r="C1721" s="1026"/>
      <c r="D1721" s="1027"/>
      <c r="E1721" s="284">
        <f>SUM(E1719:E1720)</f>
        <v>31000</v>
      </c>
      <c r="F1721" s="285">
        <v>2800</v>
      </c>
      <c r="G1721" s="320">
        <f>SUM(G1719:G1720)</f>
        <v>0</v>
      </c>
      <c r="H1721" s="321">
        <f t="shared" ref="H1721:I1721" si="2176">SUM(H1719:H1720)</f>
        <v>0</v>
      </c>
      <c r="I1721" s="321">
        <f t="shared" si="2176"/>
        <v>0</v>
      </c>
      <c r="J1721" s="345" t="str">
        <f>IFERROR(G1721/F1711,"-")</f>
        <v>-</v>
      </c>
      <c r="K1721" s="320">
        <f t="shared" ref="K1721:M1721" si="2177">SUM(K1719:K1720)</f>
        <v>22797</v>
      </c>
      <c r="L1721" s="321">
        <f t="shared" si="2177"/>
        <v>21790</v>
      </c>
      <c r="M1721" s="322">
        <f t="shared" si="2177"/>
        <v>1007</v>
      </c>
      <c r="N1721" s="339">
        <f t="shared" si="2175"/>
        <v>0.73538709677419356</v>
      </c>
      <c r="O1721" s="345">
        <f t="shared" si="2160"/>
        <v>4.4172478834934421E-2</v>
      </c>
    </row>
    <row r="1722" spans="1:15" ht="23.4" x14ac:dyDescent="0.3">
      <c r="A1722" s="274" t="s">
        <v>102</v>
      </c>
      <c r="B1722" s="1022" t="s">
        <v>403</v>
      </c>
      <c r="C1722" s="269" t="s">
        <v>306</v>
      </c>
      <c r="D1722" s="269"/>
      <c r="E1722" s="270">
        <v>978200</v>
      </c>
      <c r="F1722" s="315"/>
      <c r="G1722" s="332">
        <f t="shared" ref="G1722:G1726" si="2178">+H1722+I1722</f>
        <v>0</v>
      </c>
      <c r="H1722" s="272">
        <v>0</v>
      </c>
      <c r="I1722" s="272">
        <v>0</v>
      </c>
      <c r="J1722" s="371" t="str">
        <f>IFERROR(G1722/F1722,"-")</f>
        <v>-</v>
      </c>
      <c r="K1722" s="332">
        <f t="shared" ref="K1722:K1726" si="2179">+L1722+M1722</f>
        <v>351738</v>
      </c>
      <c r="L1722" s="272">
        <f t="shared" ref="L1722:L1726" si="2180">+H1722+L1605</f>
        <v>348960</v>
      </c>
      <c r="M1722" s="272">
        <f t="shared" ref="M1722:M1726" si="2181">+I1722+M1605</f>
        <v>2778</v>
      </c>
      <c r="N1722" s="359">
        <f t="shared" si="2175"/>
        <v>0.359576773665917</v>
      </c>
      <c r="O1722" s="360">
        <f t="shared" si="2160"/>
        <v>7.8979240229943883E-3</v>
      </c>
    </row>
    <row r="1723" spans="1:15" ht="23.4" x14ac:dyDescent="0.3">
      <c r="A1723" s="274" t="s">
        <v>102</v>
      </c>
      <c r="B1723" s="1023"/>
      <c r="C1723" s="269" t="s">
        <v>307</v>
      </c>
      <c r="D1723" s="275"/>
      <c r="E1723" s="276"/>
      <c r="F1723" s="316"/>
      <c r="G1723" s="333">
        <f t="shared" si="2178"/>
        <v>0</v>
      </c>
      <c r="H1723" s="278">
        <v>0</v>
      </c>
      <c r="I1723" s="278">
        <v>0</v>
      </c>
      <c r="J1723" s="371" t="str">
        <f t="shared" ref="J1723:J1726" si="2182">IFERROR(G1723/F1723,"-")</f>
        <v>-</v>
      </c>
      <c r="K1723" s="333">
        <f t="shared" si="2179"/>
        <v>0</v>
      </c>
      <c r="L1723" s="272">
        <f t="shared" si="2180"/>
        <v>0</v>
      </c>
      <c r="M1723" s="273">
        <f t="shared" si="2181"/>
        <v>0</v>
      </c>
      <c r="N1723" s="361" t="str">
        <f t="shared" si="2175"/>
        <v>-</v>
      </c>
      <c r="O1723" s="362" t="str">
        <f t="shared" si="2160"/>
        <v>-</v>
      </c>
    </row>
    <row r="1724" spans="1:15" ht="23.4" x14ac:dyDescent="0.3">
      <c r="A1724" s="274" t="s">
        <v>102</v>
      </c>
      <c r="B1724" s="1023"/>
      <c r="C1724" s="275" t="s">
        <v>499</v>
      </c>
      <c r="D1724" s="275"/>
      <c r="E1724" s="276">
        <f>70000+15000</f>
        <v>85000</v>
      </c>
      <c r="F1724" s="316"/>
      <c r="G1724" s="333">
        <f t="shared" si="2178"/>
        <v>0</v>
      </c>
      <c r="H1724" s="278">
        <v>0</v>
      </c>
      <c r="I1724" s="278">
        <v>0</v>
      </c>
      <c r="J1724" s="371" t="str">
        <f t="shared" si="2182"/>
        <v>-</v>
      </c>
      <c r="K1724" s="333">
        <f t="shared" si="2179"/>
        <v>49665</v>
      </c>
      <c r="L1724" s="272">
        <f t="shared" si="2180"/>
        <v>49032</v>
      </c>
      <c r="M1724" s="273">
        <f t="shared" si="2181"/>
        <v>633</v>
      </c>
      <c r="N1724" s="361">
        <f t="shared" si="2175"/>
        <v>0.58429411764705885</v>
      </c>
      <c r="O1724" s="362">
        <f t="shared" si="2160"/>
        <v>1.2745394140742978E-2</v>
      </c>
    </row>
    <row r="1725" spans="1:15" ht="23.4" x14ac:dyDescent="0.3">
      <c r="A1725" s="274" t="s">
        <v>102</v>
      </c>
      <c r="B1725" s="1023"/>
      <c r="C1725" s="275" t="s">
        <v>157</v>
      </c>
      <c r="D1725" s="275"/>
      <c r="E1725" s="276">
        <v>60040</v>
      </c>
      <c r="F1725" s="316"/>
      <c r="G1725" s="333">
        <f t="shared" si="2178"/>
        <v>0</v>
      </c>
      <c r="H1725" s="278">
        <v>0</v>
      </c>
      <c r="I1725" s="278">
        <v>0</v>
      </c>
      <c r="J1725" s="371" t="str">
        <f t="shared" si="2182"/>
        <v>-</v>
      </c>
      <c r="K1725" s="333">
        <f t="shared" si="2179"/>
        <v>0</v>
      </c>
      <c r="L1725" s="272">
        <f t="shared" si="2180"/>
        <v>0</v>
      </c>
      <c r="M1725" s="273">
        <f t="shared" si="2181"/>
        <v>0</v>
      </c>
      <c r="N1725" s="361">
        <f t="shared" si="2175"/>
        <v>0</v>
      </c>
      <c r="O1725" s="362" t="str">
        <f t="shared" si="2160"/>
        <v>-</v>
      </c>
    </row>
    <row r="1726" spans="1:15" ht="24" thickBot="1" x14ac:dyDescent="0.35">
      <c r="A1726" s="274" t="s">
        <v>102</v>
      </c>
      <c r="B1726" s="1024"/>
      <c r="C1726" s="279" t="s">
        <v>158</v>
      </c>
      <c r="D1726" s="279"/>
      <c r="E1726" s="280"/>
      <c r="F1726" s="317"/>
      <c r="G1726" s="334">
        <f t="shared" si="2178"/>
        <v>0</v>
      </c>
      <c r="H1726" s="278">
        <v>0</v>
      </c>
      <c r="I1726" s="278">
        <v>0</v>
      </c>
      <c r="J1726" s="371" t="str">
        <f t="shared" si="2182"/>
        <v>-</v>
      </c>
      <c r="K1726" s="334">
        <f t="shared" si="2179"/>
        <v>0</v>
      </c>
      <c r="L1726" s="272">
        <f t="shared" si="2180"/>
        <v>0</v>
      </c>
      <c r="M1726" s="273">
        <f t="shared" si="2181"/>
        <v>0</v>
      </c>
      <c r="N1726" s="363" t="str">
        <f t="shared" si="2175"/>
        <v>-</v>
      </c>
      <c r="O1726" s="364" t="str">
        <f t="shared" si="2160"/>
        <v>-</v>
      </c>
    </row>
    <row r="1727" spans="1:15" ht="24" thickBot="1" x14ac:dyDescent="0.35">
      <c r="A1727" s="274" t="s">
        <v>102</v>
      </c>
      <c r="B1727" s="1025" t="s">
        <v>39</v>
      </c>
      <c r="C1727" s="1026"/>
      <c r="D1727" s="1027"/>
      <c r="E1727" s="320">
        <f>SUM(E1722:E1726)</f>
        <v>1123240</v>
      </c>
      <c r="F1727" s="285">
        <v>25000</v>
      </c>
      <c r="G1727" s="320">
        <f>SUM(G1722:G1726)</f>
        <v>0</v>
      </c>
      <c r="H1727" s="321">
        <f>SUM(H1722:H1726)</f>
        <v>0</v>
      </c>
      <c r="I1727" s="321">
        <f>SUM(I1722:I1726)</f>
        <v>0</v>
      </c>
      <c r="J1727" s="345">
        <f>IFERROR(G1727/F1727,"-")</f>
        <v>0</v>
      </c>
      <c r="K1727" s="320">
        <f>SUM(K1722:K1726)</f>
        <v>401403</v>
      </c>
      <c r="L1727" s="321">
        <f>SUM(L1722:L1726)</f>
        <v>397992</v>
      </c>
      <c r="M1727" s="322">
        <f>SUM(M1722:M1726)</f>
        <v>3411</v>
      </c>
      <c r="N1727" s="339">
        <f t="shared" si="2175"/>
        <v>0.35736173925430004</v>
      </c>
      <c r="O1727" s="345">
        <f t="shared" si="2160"/>
        <v>8.4976943371125775E-3</v>
      </c>
    </row>
    <row r="1728" spans="1:15" ht="23.4" x14ac:dyDescent="0.3">
      <c r="A1728" s="274" t="s">
        <v>102</v>
      </c>
      <c r="B1728" s="1022" t="s">
        <v>404</v>
      </c>
      <c r="C1728" s="269" t="s">
        <v>186</v>
      </c>
      <c r="D1728" s="269"/>
      <c r="E1728" s="270"/>
      <c r="F1728" s="271"/>
      <c r="G1728" s="332">
        <f t="shared" ref="G1728:G1730" si="2183">+H1728+I1728</f>
        <v>0</v>
      </c>
      <c r="H1728" s="272">
        <v>0</v>
      </c>
      <c r="I1728" s="272">
        <v>0</v>
      </c>
      <c r="J1728" s="351" t="str">
        <f>IFERROR(G1728/F1728,"-")</f>
        <v>-</v>
      </c>
      <c r="K1728" s="332">
        <f t="shared" ref="K1728:K1730" si="2184">+L1728+M1728</f>
        <v>0</v>
      </c>
      <c r="L1728" s="272">
        <f t="shared" ref="L1728:L1730" si="2185">+H1728+L1611</f>
        <v>0</v>
      </c>
      <c r="M1728" s="273">
        <f t="shared" ref="M1728:M1730" si="2186">+I1728+M1611</f>
        <v>0</v>
      </c>
      <c r="N1728" s="336" t="str">
        <f t="shared" si="2175"/>
        <v>-</v>
      </c>
      <c r="O1728" s="346" t="str">
        <f t="shared" si="2160"/>
        <v>-</v>
      </c>
    </row>
    <row r="1729" spans="1:15" ht="23.4" x14ac:dyDescent="0.3">
      <c r="A1729" s="274" t="s">
        <v>102</v>
      </c>
      <c r="B1729" s="1023"/>
      <c r="C1729" s="275" t="s">
        <v>497</v>
      </c>
      <c r="D1729" s="275"/>
      <c r="E1729" s="276"/>
      <c r="F1729" s="277"/>
      <c r="G1729" s="333">
        <f t="shared" si="2183"/>
        <v>0</v>
      </c>
      <c r="H1729" s="278">
        <v>0</v>
      </c>
      <c r="I1729" s="278">
        <v>0</v>
      </c>
      <c r="J1729" s="351" t="str">
        <f t="shared" ref="J1729:J1730" si="2187">IFERROR(G1729/F1729,"-")</f>
        <v>-</v>
      </c>
      <c r="K1729" s="333">
        <f t="shared" si="2184"/>
        <v>11826</v>
      </c>
      <c r="L1729" s="714">
        <f t="shared" si="2185"/>
        <v>11400</v>
      </c>
      <c r="M1729" s="273">
        <f t="shared" si="2186"/>
        <v>426</v>
      </c>
      <c r="N1729" s="361" t="str">
        <f t="shared" si="2175"/>
        <v>-</v>
      </c>
      <c r="O1729" s="362">
        <f t="shared" si="2160"/>
        <v>3.6022323693556568E-2</v>
      </c>
    </row>
    <row r="1730" spans="1:15" ht="24" thickBot="1" x14ac:dyDescent="0.35">
      <c r="A1730" s="274" t="s">
        <v>102</v>
      </c>
      <c r="B1730" s="1024"/>
      <c r="C1730" s="279" t="s">
        <v>498</v>
      </c>
      <c r="D1730" s="279"/>
      <c r="E1730" s="280"/>
      <c r="F1730" s="281"/>
      <c r="G1730" s="334">
        <f t="shared" si="2183"/>
        <v>0</v>
      </c>
      <c r="H1730" s="278">
        <v>0</v>
      </c>
      <c r="I1730" s="278">
        <v>0</v>
      </c>
      <c r="J1730" s="351" t="str">
        <f t="shared" si="2187"/>
        <v>-</v>
      </c>
      <c r="K1730" s="334">
        <f t="shared" si="2184"/>
        <v>0</v>
      </c>
      <c r="L1730" s="272">
        <f t="shared" si="2185"/>
        <v>0</v>
      </c>
      <c r="M1730" s="273">
        <f t="shared" si="2186"/>
        <v>0</v>
      </c>
      <c r="N1730" s="363" t="str">
        <f t="shared" si="2175"/>
        <v>-</v>
      </c>
      <c r="O1730" s="364" t="str">
        <f t="shared" si="2160"/>
        <v>-</v>
      </c>
    </row>
    <row r="1731" spans="1:15" ht="24" thickBot="1" x14ac:dyDescent="0.35">
      <c r="A1731" s="274" t="s">
        <v>102</v>
      </c>
      <c r="B1731" s="1034" t="s">
        <v>41</v>
      </c>
      <c r="C1731" s="1035"/>
      <c r="D1731" s="1036"/>
      <c r="E1731" s="320">
        <f>SUM(E1728:E1730)</f>
        <v>0</v>
      </c>
      <c r="F1731" s="285"/>
      <c r="G1731" s="320">
        <f>SUM(G1728:G1730)</f>
        <v>0</v>
      </c>
      <c r="H1731" s="321">
        <f t="shared" ref="H1731:I1731" si="2188">SUM(H1728:H1730)</f>
        <v>0</v>
      </c>
      <c r="I1731" s="321">
        <f t="shared" si="2188"/>
        <v>0</v>
      </c>
      <c r="J1731" s="345" t="str">
        <f>IFERROR(G1731/F1731,"-")</f>
        <v>-</v>
      </c>
      <c r="K1731" s="320">
        <f t="shared" ref="K1731:M1731" si="2189">SUM(K1728:K1730)</f>
        <v>11826</v>
      </c>
      <c r="L1731" s="365">
        <f t="shared" si="2189"/>
        <v>11400</v>
      </c>
      <c r="M1731" s="367">
        <f t="shared" si="2189"/>
        <v>426</v>
      </c>
      <c r="N1731" s="339" t="str">
        <f t="shared" si="2175"/>
        <v>-</v>
      </c>
      <c r="O1731" s="345">
        <f t="shared" si="2160"/>
        <v>3.6022323693556568E-2</v>
      </c>
    </row>
    <row r="1732" spans="1:15" ht="24" thickBot="1" x14ac:dyDescent="0.35">
      <c r="A1732" s="274" t="s">
        <v>102</v>
      </c>
      <c r="B1732" s="1022" t="s">
        <v>42</v>
      </c>
      <c r="C1732" s="269" t="s">
        <v>160</v>
      </c>
      <c r="D1732" s="269"/>
      <c r="E1732" s="270"/>
      <c r="F1732" s="271"/>
      <c r="G1732" s="332">
        <f t="shared" ref="G1732:G1733" si="2190">+H1732+I1732</f>
        <v>2153</v>
      </c>
      <c r="H1732" s="272">
        <v>1600</v>
      </c>
      <c r="I1732" s="272">
        <v>553</v>
      </c>
      <c r="J1732" s="371" t="str">
        <f>IFERROR(G1732/F1732,"-")</f>
        <v>-</v>
      </c>
      <c r="K1732" s="695">
        <f t="shared" ref="K1732:K1733" si="2191">+L1732+M1732</f>
        <v>2153</v>
      </c>
      <c r="L1732" s="688">
        <f t="shared" ref="L1732:L1733" si="2192">+H1732+L1615</f>
        <v>1600</v>
      </c>
      <c r="M1732" s="688">
        <f t="shared" ref="M1732:M1733" si="2193">+I1732+M1615</f>
        <v>553</v>
      </c>
      <c r="N1732" s="359" t="str">
        <f t="shared" si="2175"/>
        <v>-</v>
      </c>
      <c r="O1732" s="360">
        <f t="shared" si="2160"/>
        <v>0.25685090571295865</v>
      </c>
    </row>
    <row r="1733" spans="1:15" ht="24" thickBot="1" x14ac:dyDescent="0.35">
      <c r="A1733" s="274" t="s">
        <v>102</v>
      </c>
      <c r="B1733" s="1024"/>
      <c r="C1733" s="279" t="s">
        <v>161</v>
      </c>
      <c r="D1733" s="279"/>
      <c r="E1733" s="280"/>
      <c r="F1733" s="281"/>
      <c r="G1733" s="334">
        <f t="shared" si="2190"/>
        <v>0</v>
      </c>
      <c r="H1733" s="282">
        <v>0</v>
      </c>
      <c r="I1733" s="282">
        <v>0</v>
      </c>
      <c r="J1733" s="373" t="str">
        <f>IFERROR(G1733/F1733,"-")</f>
        <v>-</v>
      </c>
      <c r="K1733" s="696">
        <f t="shared" si="2191"/>
        <v>0</v>
      </c>
      <c r="L1733" s="688">
        <f t="shared" si="2192"/>
        <v>0</v>
      </c>
      <c r="M1733" s="688">
        <f t="shared" si="2193"/>
        <v>0</v>
      </c>
      <c r="N1733" s="363" t="str">
        <f t="shared" si="2175"/>
        <v>-</v>
      </c>
      <c r="O1733" s="364" t="str">
        <f t="shared" si="2160"/>
        <v>-</v>
      </c>
    </row>
    <row r="1734" spans="1:15" ht="24" thickBot="1" x14ac:dyDescent="0.35">
      <c r="A1734" s="274" t="s">
        <v>102</v>
      </c>
      <c r="B1734" s="1034" t="s">
        <v>43</v>
      </c>
      <c r="C1734" s="1035"/>
      <c r="D1734" s="1036"/>
      <c r="E1734" s="284">
        <f>SUM(E1732:E1733)</f>
        <v>0</v>
      </c>
      <c r="F1734" s="285">
        <v>25000</v>
      </c>
      <c r="G1734" s="320">
        <f>SUM(G1732:G1733)</f>
        <v>2153</v>
      </c>
      <c r="H1734" s="321">
        <f t="shared" ref="H1734:I1734" si="2194">SUM(H1732:H1733)</f>
        <v>1600</v>
      </c>
      <c r="I1734" s="321">
        <f t="shared" si="2194"/>
        <v>553</v>
      </c>
      <c r="J1734" s="345">
        <f>IFERROR(G1734/F1734,"-")</f>
        <v>8.6120000000000002E-2</v>
      </c>
      <c r="K1734" s="760">
        <f t="shared" ref="K1734:M1734" si="2195">SUM(K1732:K1733)</f>
        <v>2153</v>
      </c>
      <c r="L1734" s="761">
        <f t="shared" si="2195"/>
        <v>1600</v>
      </c>
      <c r="M1734" s="761">
        <f t="shared" si="2195"/>
        <v>553</v>
      </c>
      <c r="N1734" s="339" t="str">
        <f t="shared" si="2175"/>
        <v>-</v>
      </c>
      <c r="O1734" s="345">
        <f t="shared" si="2160"/>
        <v>0.25685090571295865</v>
      </c>
    </row>
    <row r="1735" spans="1:15" ht="24" thickBot="1" x14ac:dyDescent="0.35">
      <c r="A1735" s="274" t="s">
        <v>102</v>
      </c>
      <c r="B1735" s="1028" t="s">
        <v>25</v>
      </c>
      <c r="C1735" s="1029"/>
      <c r="D1735" s="1030"/>
      <c r="E1735" s="326">
        <f t="shared" ref="E1735:F1735" si="2196">+E1713+E1718+E1721+E1727+E1731+E1734</f>
        <v>1292400</v>
      </c>
      <c r="F1735" s="327">
        <f t="shared" si="2196"/>
        <v>65800</v>
      </c>
      <c r="G1735" s="326">
        <f>+G1713+G1718+G1721+G1727+G1731+G1734</f>
        <v>8722</v>
      </c>
      <c r="H1735" s="324">
        <f>+H1713+H1718+H1721+H1727+H1731+H1734</f>
        <v>8000</v>
      </c>
      <c r="I1735" s="324">
        <f t="shared" ref="I1735" si="2197">+I1713+I1718+I1721+I1727+I1731+I1734</f>
        <v>722</v>
      </c>
      <c r="J1735" s="349">
        <f>IFERROR(G1735/F1735,"-")</f>
        <v>0.1325531914893617</v>
      </c>
      <c r="K1735" s="326">
        <f>+K1713+K1718+K1721+K1727+K1731+K1734</f>
        <v>459558</v>
      </c>
      <c r="L1735" s="759">
        <f t="shared" ref="L1735:M1735" si="2198">+L1713+L1718+L1721+L1727+L1731+L1734</f>
        <v>452491</v>
      </c>
      <c r="M1735" s="325">
        <f t="shared" si="2198"/>
        <v>7067</v>
      </c>
      <c r="N1735" s="341">
        <f t="shared" si="2175"/>
        <v>0.35558495821727021</v>
      </c>
      <c r="O1735" s="349">
        <f t="shared" si="2160"/>
        <v>1.5377819557052646E-2</v>
      </c>
    </row>
    <row r="1736" spans="1:15" ht="24" thickBot="1" x14ac:dyDescent="0.35">
      <c r="A1736" s="318" t="s">
        <v>102</v>
      </c>
      <c r="B1736" s="1020" t="s">
        <v>173</v>
      </c>
      <c r="C1736" s="1020"/>
      <c r="D1736" s="1021"/>
      <c r="E1736" s="330">
        <f>+E1735</f>
        <v>1292400</v>
      </c>
      <c r="F1736" s="331">
        <f t="shared" ref="F1736:I1736" si="2199">+F1735</f>
        <v>65800</v>
      </c>
      <c r="G1736" s="330">
        <f t="shared" si="2199"/>
        <v>8722</v>
      </c>
      <c r="H1736" s="328">
        <f t="shared" si="2199"/>
        <v>8000</v>
      </c>
      <c r="I1736" s="328">
        <f t="shared" si="2199"/>
        <v>722</v>
      </c>
      <c r="J1736" s="350">
        <f>+G1736/F1736</f>
        <v>0.1325531914893617</v>
      </c>
      <c r="K1736" s="330">
        <f t="shared" ref="K1736:O1736" si="2200">+K1735</f>
        <v>459558</v>
      </c>
      <c r="L1736" s="328">
        <f t="shared" si="2200"/>
        <v>452491</v>
      </c>
      <c r="M1736" s="329">
        <f t="shared" si="2200"/>
        <v>7067</v>
      </c>
      <c r="N1736" s="342">
        <f t="shared" si="2200"/>
        <v>0.35558495821727021</v>
      </c>
      <c r="O1736" s="350">
        <f t="shared" si="2200"/>
        <v>1.5377819557052646E-2</v>
      </c>
    </row>
    <row r="1737" spans="1:15" ht="24.6" thickBot="1" x14ac:dyDescent="0.35">
      <c r="A1737" s="319"/>
      <c r="B1737" s="1031" t="s">
        <v>174</v>
      </c>
      <c r="C1737" s="1032"/>
      <c r="D1737" s="1033"/>
      <c r="E1737" s="374">
        <f>+E1674+E1709+E1736</f>
        <v>7473564</v>
      </c>
      <c r="F1737" s="374">
        <f>+F1674+F1709+F1736</f>
        <v>1024800</v>
      </c>
      <c r="G1737" s="374">
        <f>+G1674+G1709+G1736</f>
        <v>275241</v>
      </c>
      <c r="H1737" s="374">
        <f>+H1674+H1709+H1736</f>
        <v>271268</v>
      </c>
      <c r="I1737" s="374">
        <f>+I1674+I1709+I1736</f>
        <v>3973</v>
      </c>
      <c r="J1737" s="375">
        <f>IFERROR(G1737/F1737,"-")</f>
        <v>0.26858021077283373</v>
      </c>
      <c r="K1737" s="374">
        <f>+K1674+K1709+K1736</f>
        <v>5467287</v>
      </c>
      <c r="L1737" s="374">
        <f>+L1674+L1709+L1736</f>
        <v>5412639</v>
      </c>
      <c r="M1737" s="374">
        <f>+M1674+M1709+M1736</f>
        <v>54648</v>
      </c>
      <c r="N1737" s="375">
        <f>IFERROR(K1737/E1737,"-")</f>
        <v>0.73155016803228023</v>
      </c>
      <c r="O1737" s="375">
        <f>IFERROR(M1737/K1737,"-")</f>
        <v>9.9954511259423545E-3</v>
      </c>
    </row>
    <row r="1738" spans="1:15" ht="23.4" x14ac:dyDescent="0.3">
      <c r="A1738" s="1057" t="s">
        <v>1</v>
      </c>
      <c r="B1738" s="1060" t="s">
        <v>2</v>
      </c>
      <c r="C1738" s="1063" t="s">
        <v>396</v>
      </c>
      <c r="D1738" s="1063" t="s">
        <v>397</v>
      </c>
      <c r="E1738" s="1066" t="s">
        <v>4</v>
      </c>
      <c r="F1738" s="1067"/>
      <c r="G1738" s="1067"/>
      <c r="H1738" s="1067"/>
      <c r="I1738" s="1067"/>
      <c r="J1738" s="1067"/>
      <c r="K1738" s="1067"/>
      <c r="L1738" s="1067"/>
      <c r="M1738" s="1067"/>
      <c r="N1738" s="1067"/>
      <c r="O1738" s="1068"/>
    </row>
    <row r="1739" spans="1:15" ht="23.4" x14ac:dyDescent="0.3">
      <c r="A1739" s="1058"/>
      <c r="B1739" s="1061"/>
      <c r="C1739" s="1064"/>
      <c r="D1739" s="1064"/>
      <c r="E1739" s="1069" t="s">
        <v>7</v>
      </c>
      <c r="F1739" s="1071" t="s">
        <v>108</v>
      </c>
      <c r="G1739" s="1073" t="s">
        <v>572</v>
      </c>
      <c r="H1739" s="1074"/>
      <c r="I1739" s="1074"/>
      <c r="J1739" s="1075"/>
      <c r="K1739" s="1076" t="s">
        <v>398</v>
      </c>
      <c r="L1739" s="1077"/>
      <c r="M1739" s="1078"/>
      <c r="N1739" s="1079" t="s">
        <v>399</v>
      </c>
      <c r="O1739" s="1081" t="s">
        <v>164</v>
      </c>
    </row>
    <row r="1740" spans="1:15" ht="41.4" thickBot="1" x14ac:dyDescent="0.35">
      <c r="A1740" s="1059"/>
      <c r="B1740" s="1062"/>
      <c r="C1740" s="1065"/>
      <c r="D1740" s="1065"/>
      <c r="E1740" s="1070"/>
      <c r="F1740" s="1072"/>
      <c r="G1740" s="452" t="s">
        <v>13</v>
      </c>
      <c r="H1740" s="453" t="s">
        <v>14</v>
      </c>
      <c r="I1740" s="453" t="s">
        <v>15</v>
      </c>
      <c r="J1740" s="454" t="s">
        <v>166</v>
      </c>
      <c r="K1740" s="680" t="s">
        <v>13</v>
      </c>
      <c r="L1740" s="678" t="s">
        <v>14</v>
      </c>
      <c r="M1740" s="679" t="s">
        <v>15</v>
      </c>
      <c r="N1740" s="1080"/>
      <c r="O1740" s="1082"/>
    </row>
    <row r="1741" spans="1:15" ht="23.4" x14ac:dyDescent="0.3">
      <c r="A1741" s="268" t="s">
        <v>103</v>
      </c>
      <c r="B1741" s="1043" t="s">
        <v>16</v>
      </c>
      <c r="C1741" s="269" t="s">
        <v>549</v>
      </c>
      <c r="D1741" s="269" t="s">
        <v>369</v>
      </c>
      <c r="E1741" s="270">
        <v>20000</v>
      </c>
      <c r="F1741" s="271"/>
      <c r="G1741" s="332">
        <f>+H1741+I1741</f>
        <v>0</v>
      </c>
      <c r="H1741" s="272">
        <v>0</v>
      </c>
      <c r="I1741" s="272">
        <v>0</v>
      </c>
      <c r="J1741" s="352" t="str">
        <f>IFERROR(G1741/F1741,"-")</f>
        <v>-</v>
      </c>
      <c r="K1741" s="694">
        <f>+L1741+M1741</f>
        <v>19671</v>
      </c>
      <c r="L1741" s="527">
        <f>+H1741+L1624</f>
        <v>18620</v>
      </c>
      <c r="M1741" s="459">
        <f>+I1741+M1624</f>
        <v>1051</v>
      </c>
      <c r="N1741" s="336">
        <f>IFERROR(K1741/E1741,"-")</f>
        <v>0.98355000000000004</v>
      </c>
      <c r="O1741" s="343">
        <f t="shared" ref="O1741:O1742" si="2201">IFERROR(M1741/K1741,"-")</f>
        <v>5.3428905495399318E-2</v>
      </c>
    </row>
    <row r="1742" spans="1:15" ht="23.4" x14ac:dyDescent="0.3">
      <c r="A1742" s="274" t="s">
        <v>103</v>
      </c>
      <c r="B1742" s="1044"/>
      <c r="C1742" s="275" t="s">
        <v>376</v>
      </c>
      <c r="D1742" s="275" t="s">
        <v>375</v>
      </c>
      <c r="E1742" s="276"/>
      <c r="F1742" s="277"/>
      <c r="G1742" s="333">
        <f t="shared" ref="G1742:G1744" si="2202">+H1742+I1742</f>
        <v>0</v>
      </c>
      <c r="H1742" s="278"/>
      <c r="I1742" s="278"/>
      <c r="J1742" s="352" t="str">
        <f t="shared" ref="J1742:J1744" si="2203">IFERROR(G1742/F1742,"-")</f>
        <v>-</v>
      </c>
      <c r="K1742" s="690">
        <f t="shared" ref="K1742:K1744" si="2204">+L1742+M1742</f>
        <v>0</v>
      </c>
      <c r="L1742" s="276">
        <f t="shared" ref="L1742:L1744" si="2205">+H1742+L1625</f>
        <v>0</v>
      </c>
      <c r="M1742" s="436">
        <f t="shared" ref="M1742:M1744" si="2206">+I1742+M1625</f>
        <v>0</v>
      </c>
      <c r="N1742" s="337" t="str">
        <f t="shared" ref="N1742:N1744" si="2207">IFERROR(K1742/E1742,"-")</f>
        <v>-</v>
      </c>
      <c r="O1742" s="265" t="str">
        <f t="shared" si="2201"/>
        <v>-</v>
      </c>
    </row>
    <row r="1743" spans="1:15" ht="23.4" x14ac:dyDescent="0.3">
      <c r="A1743" s="274" t="s">
        <v>103</v>
      </c>
      <c r="B1743" s="1044"/>
      <c r="C1743" s="573" t="s">
        <v>431</v>
      </c>
      <c r="D1743" s="573" t="s">
        <v>366</v>
      </c>
      <c r="E1743" s="720"/>
      <c r="F1743" s="721"/>
      <c r="G1743" s="333">
        <f t="shared" si="2202"/>
        <v>2741</v>
      </c>
      <c r="H1743" s="722">
        <v>2560</v>
      </c>
      <c r="I1743" s="722">
        <v>181</v>
      </c>
      <c r="J1743" s="352" t="str">
        <f t="shared" si="2203"/>
        <v>-</v>
      </c>
      <c r="K1743" s="690">
        <f t="shared" si="2204"/>
        <v>10741</v>
      </c>
      <c r="L1743" s="276">
        <f t="shared" si="2205"/>
        <v>10560</v>
      </c>
      <c r="M1743" s="436">
        <f t="shared" si="2206"/>
        <v>181</v>
      </c>
      <c r="N1743" s="337" t="str">
        <f t="shared" si="2207"/>
        <v>-</v>
      </c>
      <c r="O1743" s="265">
        <f>IFERROR(M1743/K1743,"-")</f>
        <v>1.6851317381994229E-2</v>
      </c>
    </row>
    <row r="1744" spans="1:15" ht="24" thickBot="1" x14ac:dyDescent="0.35">
      <c r="A1744" s="274" t="s">
        <v>103</v>
      </c>
      <c r="B1744" s="1045"/>
      <c r="C1744" s="279" t="s">
        <v>428</v>
      </c>
      <c r="D1744" s="279" t="s">
        <v>374</v>
      </c>
      <c r="E1744" s="280"/>
      <c r="F1744" s="281"/>
      <c r="G1744" s="334">
        <f t="shared" si="2202"/>
        <v>0</v>
      </c>
      <c r="H1744" s="272"/>
      <c r="I1744" s="272"/>
      <c r="J1744" s="352" t="str">
        <f t="shared" si="2203"/>
        <v>-</v>
      </c>
      <c r="K1744" s="691">
        <f t="shared" si="2204"/>
        <v>0</v>
      </c>
      <c r="L1744" s="530">
        <f t="shared" si="2205"/>
        <v>0</v>
      </c>
      <c r="M1744" s="462">
        <f t="shared" si="2206"/>
        <v>0</v>
      </c>
      <c r="N1744" s="338" t="str">
        <f t="shared" si="2207"/>
        <v>-</v>
      </c>
      <c r="O1744" s="344" t="str">
        <f t="shared" ref="O1744:O1762" si="2208">IFERROR(M1744/K1744,"-")</f>
        <v>-</v>
      </c>
    </row>
    <row r="1745" spans="1:15" ht="24" thickBot="1" x14ac:dyDescent="0.35">
      <c r="A1745" s="274" t="s">
        <v>103</v>
      </c>
      <c r="B1745" s="1025" t="s">
        <v>44</v>
      </c>
      <c r="C1745" s="1026"/>
      <c r="D1745" s="1027"/>
      <c r="E1745" s="320">
        <f>SUM(E1741:E1744)</f>
        <v>20000</v>
      </c>
      <c r="F1745" s="285">
        <v>15000</v>
      </c>
      <c r="G1745" s="320">
        <f>SUM(G1741:G1744)</f>
        <v>2741</v>
      </c>
      <c r="H1745" s="321">
        <f t="shared" ref="H1745:I1745" si="2209">SUM(H1741:H1744)</f>
        <v>2560</v>
      </c>
      <c r="I1745" s="321">
        <f t="shared" si="2209"/>
        <v>181</v>
      </c>
      <c r="J1745" s="345">
        <f>+G1745/F1745</f>
        <v>0.18273333333333333</v>
      </c>
      <c r="K1745" s="320">
        <f t="shared" ref="K1745" si="2210">SUM(K1741:K1744)</f>
        <v>30412</v>
      </c>
      <c r="L1745" s="692">
        <f>SUM(L1741:L1744)</f>
        <v>29180</v>
      </c>
      <c r="M1745" s="693">
        <f>SUM(M1741:M1744)</f>
        <v>1232</v>
      </c>
      <c r="N1745" s="339">
        <f>IFERROR(K1745/E1745,"-")</f>
        <v>1.5206</v>
      </c>
      <c r="O1745" s="345">
        <f t="shared" si="2208"/>
        <v>4.051032487176115E-2</v>
      </c>
    </row>
    <row r="1746" spans="1:15" ht="23.4" x14ac:dyDescent="0.3">
      <c r="A1746" s="274" t="s">
        <v>103</v>
      </c>
      <c r="B1746" s="1043" t="s">
        <v>17</v>
      </c>
      <c r="C1746" s="269" t="s">
        <v>294</v>
      </c>
      <c r="D1746" s="269"/>
      <c r="E1746" s="270"/>
      <c r="F1746" s="271"/>
      <c r="G1746" s="332">
        <f t="shared" ref="G1746:G1752" si="2211">+H1746+I1746</f>
        <v>0</v>
      </c>
      <c r="H1746" s="272">
        <v>0</v>
      </c>
      <c r="I1746" s="272">
        <v>0</v>
      </c>
      <c r="J1746" s="351" t="str">
        <f>IFERROR(G1746/F1746,"-")</f>
        <v>-</v>
      </c>
      <c r="K1746" s="694">
        <f t="shared" ref="K1746:K1752" si="2212">+L1746+M1746</f>
        <v>0</v>
      </c>
      <c r="L1746" s="527">
        <f t="shared" ref="L1746:L1752" si="2213">+H1746+L1629</f>
        <v>0</v>
      </c>
      <c r="M1746" s="459">
        <f t="shared" ref="M1746:M1752" si="2214">+I1746+M1629</f>
        <v>0</v>
      </c>
      <c r="N1746" s="336" t="str">
        <f t="shared" ref="N1746:N1752" si="2215">IFERROR(K1746/E1746,"-")</f>
        <v>-</v>
      </c>
      <c r="O1746" s="346" t="str">
        <f t="shared" si="2208"/>
        <v>-</v>
      </c>
    </row>
    <row r="1747" spans="1:15" ht="23.4" x14ac:dyDescent="0.3">
      <c r="A1747" s="274" t="s">
        <v>103</v>
      </c>
      <c r="B1747" s="1044"/>
      <c r="C1747" s="275" t="s">
        <v>344</v>
      </c>
      <c r="D1747" s="275" t="s">
        <v>232</v>
      </c>
      <c r="E1747" s="276">
        <v>1600000</v>
      </c>
      <c r="F1747" s="277"/>
      <c r="G1747" s="333">
        <f t="shared" si="2211"/>
        <v>0</v>
      </c>
      <c r="H1747" s="278">
        <v>0</v>
      </c>
      <c r="I1747" s="278">
        <v>0</v>
      </c>
      <c r="J1747" s="351" t="str">
        <f t="shared" ref="J1747:J1752" si="2216">IFERROR(G1747/F1747,"-")</f>
        <v>-</v>
      </c>
      <c r="K1747" s="690">
        <f t="shared" si="2212"/>
        <v>6120</v>
      </c>
      <c r="L1747" s="276">
        <f t="shared" si="2213"/>
        <v>5980</v>
      </c>
      <c r="M1747" s="436">
        <f t="shared" si="2214"/>
        <v>140</v>
      </c>
      <c r="N1747" s="337">
        <f t="shared" si="2215"/>
        <v>3.8249999999999998E-3</v>
      </c>
      <c r="O1747" s="263">
        <f t="shared" si="2208"/>
        <v>2.2875816993464051E-2</v>
      </c>
    </row>
    <row r="1748" spans="1:15" ht="23.4" x14ac:dyDescent="0.3">
      <c r="A1748" s="274" t="s">
        <v>103</v>
      </c>
      <c r="B1748" s="1044"/>
      <c r="C1748" s="275" t="s">
        <v>367</v>
      </c>
      <c r="D1748" s="275" t="s">
        <v>187</v>
      </c>
      <c r="E1748" s="276">
        <v>1000000</v>
      </c>
      <c r="F1748" s="277"/>
      <c r="G1748" s="333">
        <f t="shared" si="2211"/>
        <v>49401</v>
      </c>
      <c r="H1748" s="278">
        <v>48960</v>
      </c>
      <c r="I1748" s="278">
        <v>441</v>
      </c>
      <c r="J1748" s="351" t="str">
        <f t="shared" si="2216"/>
        <v>-</v>
      </c>
      <c r="K1748" s="690">
        <f t="shared" si="2212"/>
        <v>1249680</v>
      </c>
      <c r="L1748" s="276">
        <f t="shared" si="2213"/>
        <v>1242360</v>
      </c>
      <c r="M1748" s="436">
        <f t="shared" si="2214"/>
        <v>7320</v>
      </c>
      <c r="N1748" s="337">
        <f t="shared" si="2215"/>
        <v>1.2496799999999999</v>
      </c>
      <c r="O1748" s="263">
        <f t="shared" si="2208"/>
        <v>5.8574995198770888E-3</v>
      </c>
    </row>
    <row r="1749" spans="1:15" ht="23.4" x14ac:dyDescent="0.3">
      <c r="A1749" s="274" t="s">
        <v>103</v>
      </c>
      <c r="B1749" s="1044"/>
      <c r="C1749" s="275" t="s">
        <v>530</v>
      </c>
      <c r="D1749" s="275" t="s">
        <v>529</v>
      </c>
      <c r="E1749" s="276"/>
      <c r="F1749" s="277"/>
      <c r="G1749" s="333">
        <f t="shared" si="2211"/>
        <v>0</v>
      </c>
      <c r="H1749" s="278">
        <v>0</v>
      </c>
      <c r="I1749" s="278">
        <v>0</v>
      </c>
      <c r="J1749" s="351" t="str">
        <f t="shared" si="2216"/>
        <v>-</v>
      </c>
      <c r="K1749" s="690">
        <f t="shared" si="2212"/>
        <v>41558</v>
      </c>
      <c r="L1749" s="276">
        <f t="shared" si="2213"/>
        <v>41350</v>
      </c>
      <c r="M1749" s="436">
        <f t="shared" si="2214"/>
        <v>208</v>
      </c>
      <c r="N1749" s="337" t="str">
        <f t="shared" si="2215"/>
        <v>-</v>
      </c>
      <c r="O1749" s="263">
        <f t="shared" si="2208"/>
        <v>5.0050531786900235E-3</v>
      </c>
    </row>
    <row r="1750" spans="1:15" ht="23.4" x14ac:dyDescent="0.3">
      <c r="A1750" s="274" t="s">
        <v>103</v>
      </c>
      <c r="B1750" s="1044"/>
      <c r="C1750" s="275" t="s">
        <v>323</v>
      </c>
      <c r="D1750" s="275" t="s">
        <v>318</v>
      </c>
      <c r="E1750" s="276"/>
      <c r="F1750" s="277"/>
      <c r="G1750" s="333">
        <f t="shared" si="2211"/>
        <v>0</v>
      </c>
      <c r="H1750" s="278">
        <v>0</v>
      </c>
      <c r="I1750" s="278">
        <v>0</v>
      </c>
      <c r="J1750" s="351" t="str">
        <f t="shared" si="2216"/>
        <v>-</v>
      </c>
      <c r="K1750" s="690">
        <f t="shared" si="2212"/>
        <v>0</v>
      </c>
      <c r="L1750" s="276">
        <f t="shared" si="2213"/>
        <v>0</v>
      </c>
      <c r="M1750" s="436">
        <f t="shared" si="2214"/>
        <v>0</v>
      </c>
      <c r="N1750" s="337" t="str">
        <f t="shared" si="2215"/>
        <v>-</v>
      </c>
      <c r="O1750" s="263" t="str">
        <f t="shared" si="2208"/>
        <v>-</v>
      </c>
    </row>
    <row r="1751" spans="1:15" ht="23.4" x14ac:dyDescent="0.3">
      <c r="A1751" s="274" t="s">
        <v>103</v>
      </c>
      <c r="B1751" s="1044"/>
      <c r="C1751" s="275" t="s">
        <v>528</v>
      </c>
      <c r="D1751" s="275" t="s">
        <v>189</v>
      </c>
      <c r="E1751" s="276"/>
      <c r="F1751" s="277"/>
      <c r="G1751" s="333">
        <f t="shared" si="2211"/>
        <v>0</v>
      </c>
      <c r="H1751" s="278">
        <v>0</v>
      </c>
      <c r="I1751" s="278">
        <v>0</v>
      </c>
      <c r="J1751" s="351" t="str">
        <f t="shared" si="2216"/>
        <v>-</v>
      </c>
      <c r="K1751" s="690">
        <f t="shared" si="2212"/>
        <v>33900</v>
      </c>
      <c r="L1751" s="276">
        <f t="shared" si="2213"/>
        <v>33760</v>
      </c>
      <c r="M1751" s="436">
        <f t="shared" si="2214"/>
        <v>140</v>
      </c>
      <c r="N1751" s="337" t="str">
        <f t="shared" si="2215"/>
        <v>-</v>
      </c>
      <c r="O1751" s="263">
        <f t="shared" si="2208"/>
        <v>4.1297935103244837E-3</v>
      </c>
    </row>
    <row r="1752" spans="1:15" ht="24" thickBot="1" x14ac:dyDescent="0.35">
      <c r="A1752" s="274" t="s">
        <v>103</v>
      </c>
      <c r="B1752" s="1045"/>
      <c r="C1752" s="279" t="s">
        <v>341</v>
      </c>
      <c r="D1752" s="279" t="s">
        <v>232</v>
      </c>
      <c r="E1752" s="280"/>
      <c r="F1752" s="281"/>
      <c r="G1752" s="334">
        <f t="shared" si="2211"/>
        <v>0</v>
      </c>
      <c r="H1752" s="278">
        <v>0</v>
      </c>
      <c r="I1752" s="278">
        <v>0</v>
      </c>
      <c r="J1752" s="351" t="str">
        <f t="shared" si="2216"/>
        <v>-</v>
      </c>
      <c r="K1752" s="691">
        <f t="shared" si="2212"/>
        <v>0</v>
      </c>
      <c r="L1752" s="530">
        <f t="shared" si="2213"/>
        <v>0</v>
      </c>
      <c r="M1752" s="462">
        <f t="shared" si="2214"/>
        <v>0</v>
      </c>
      <c r="N1752" s="338" t="str">
        <f t="shared" si="2215"/>
        <v>-</v>
      </c>
      <c r="O1752" s="347" t="str">
        <f t="shared" si="2208"/>
        <v>-</v>
      </c>
    </row>
    <row r="1753" spans="1:15" ht="24" thickBot="1" x14ac:dyDescent="0.35">
      <c r="A1753" s="274" t="s">
        <v>103</v>
      </c>
      <c r="B1753" s="1025" t="s">
        <v>45</v>
      </c>
      <c r="C1753" s="1026"/>
      <c r="D1753" s="1027"/>
      <c r="E1753" s="320">
        <f>SUM(E1746:E1752)</f>
        <v>2600000</v>
      </c>
      <c r="F1753" s="285">
        <v>100000</v>
      </c>
      <c r="G1753" s="320">
        <f>SUM(G1746:G1752)</f>
        <v>49401</v>
      </c>
      <c r="H1753" s="321">
        <f t="shared" ref="H1753:I1753" si="2217">SUM(H1746:H1752)</f>
        <v>48960</v>
      </c>
      <c r="I1753" s="321">
        <f t="shared" si="2217"/>
        <v>441</v>
      </c>
      <c r="J1753" s="345">
        <f>+G1753/F1753</f>
        <v>0.49401</v>
      </c>
      <c r="K1753" s="320">
        <f>SUM(K1746:K1752)</f>
        <v>1331258</v>
      </c>
      <c r="L1753" s="519">
        <f>SUM(L1746:L1752)</f>
        <v>1323450</v>
      </c>
      <c r="M1753" s="689">
        <f t="shared" ref="M1753" si="2218">SUM(M1746:M1752)</f>
        <v>7808</v>
      </c>
      <c r="N1753" s="339">
        <f>IFERROR(K1753/E1753,"-")</f>
        <v>0.51202230769230772</v>
      </c>
      <c r="O1753" s="345">
        <f t="shared" si="2208"/>
        <v>5.8651290734027511E-3</v>
      </c>
    </row>
    <row r="1754" spans="1:15" ht="23.4" x14ac:dyDescent="0.3">
      <c r="A1754" s="274" t="s">
        <v>103</v>
      </c>
      <c r="B1754" s="1043" t="s">
        <v>18</v>
      </c>
      <c r="C1754" s="269" t="s">
        <v>312</v>
      </c>
      <c r="D1754" s="269" t="s">
        <v>92</v>
      </c>
      <c r="E1754" s="270"/>
      <c r="F1754" s="271"/>
      <c r="G1754" s="332">
        <f t="shared" ref="G1754:G1760" si="2219">+H1754+I1754</f>
        <v>0</v>
      </c>
      <c r="H1754" s="272">
        <v>0</v>
      </c>
      <c r="I1754" s="272">
        <v>0</v>
      </c>
      <c r="J1754" s="351" t="str">
        <f>IFERROR(G1754/F1754,"-")</f>
        <v>-</v>
      </c>
      <c r="K1754" s="332">
        <f t="shared" ref="K1754:K1760" si="2220">+L1754+M1754</f>
        <v>0</v>
      </c>
      <c r="L1754" s="272">
        <f t="shared" ref="L1754:L1760" si="2221">+H1754+L1637</f>
        <v>0</v>
      </c>
      <c r="M1754" s="273">
        <f t="shared" ref="M1754:M1760" si="2222">+I1754+M1637</f>
        <v>0</v>
      </c>
      <c r="N1754" s="336" t="str">
        <f t="shared" ref="N1754:N1761" si="2223">IFERROR(K1754/E1754,"-")</f>
        <v>-</v>
      </c>
      <c r="O1754" s="346" t="str">
        <f t="shared" si="2208"/>
        <v>-</v>
      </c>
    </row>
    <row r="1755" spans="1:15" ht="23.4" x14ac:dyDescent="0.3">
      <c r="A1755" s="274" t="s">
        <v>103</v>
      </c>
      <c r="B1755" s="1044"/>
      <c r="C1755" s="275" t="s">
        <v>233</v>
      </c>
      <c r="D1755" s="275" t="s">
        <v>234</v>
      </c>
      <c r="E1755" s="276"/>
      <c r="F1755" s="277"/>
      <c r="G1755" s="333">
        <f t="shared" si="2219"/>
        <v>0</v>
      </c>
      <c r="H1755" s="278">
        <v>0</v>
      </c>
      <c r="I1755" s="278">
        <v>0</v>
      </c>
      <c r="J1755" s="351" t="str">
        <f t="shared" ref="J1755:J1760" si="2224">IFERROR(G1755/F1755,"-")</f>
        <v>-</v>
      </c>
      <c r="K1755" s="333">
        <f t="shared" si="2220"/>
        <v>0</v>
      </c>
      <c r="L1755" s="272">
        <f t="shared" si="2221"/>
        <v>0</v>
      </c>
      <c r="M1755" s="273">
        <f t="shared" si="2222"/>
        <v>0</v>
      </c>
      <c r="N1755" s="337" t="str">
        <f t="shared" si="2223"/>
        <v>-</v>
      </c>
      <c r="O1755" s="263" t="str">
        <f t="shared" si="2208"/>
        <v>-</v>
      </c>
    </row>
    <row r="1756" spans="1:15" ht="23.4" x14ac:dyDescent="0.3">
      <c r="A1756" s="274" t="s">
        <v>103</v>
      </c>
      <c r="B1756" s="1044"/>
      <c r="C1756" s="275" t="s">
        <v>115</v>
      </c>
      <c r="D1756" s="275"/>
      <c r="E1756" s="276"/>
      <c r="F1756" s="277"/>
      <c r="G1756" s="333">
        <f t="shared" si="2219"/>
        <v>0</v>
      </c>
      <c r="H1756" s="278">
        <v>0</v>
      </c>
      <c r="I1756" s="278">
        <v>0</v>
      </c>
      <c r="J1756" s="351" t="str">
        <f t="shared" si="2224"/>
        <v>-</v>
      </c>
      <c r="K1756" s="333">
        <f t="shared" si="2220"/>
        <v>0</v>
      </c>
      <c r="L1756" s="272">
        <f t="shared" si="2221"/>
        <v>0</v>
      </c>
      <c r="M1756" s="273">
        <f t="shared" si="2222"/>
        <v>0</v>
      </c>
      <c r="N1756" s="337" t="str">
        <f t="shared" si="2223"/>
        <v>-</v>
      </c>
      <c r="O1756" s="263" t="str">
        <f t="shared" si="2208"/>
        <v>-</v>
      </c>
    </row>
    <row r="1757" spans="1:15" ht="23.4" x14ac:dyDescent="0.3">
      <c r="A1757" s="274" t="s">
        <v>103</v>
      </c>
      <c r="B1757" s="1044"/>
      <c r="C1757" s="275" t="s">
        <v>122</v>
      </c>
      <c r="D1757" s="275"/>
      <c r="E1757" s="276"/>
      <c r="F1757" s="277"/>
      <c r="G1757" s="333">
        <f t="shared" si="2219"/>
        <v>0</v>
      </c>
      <c r="H1757" s="278">
        <v>0</v>
      </c>
      <c r="I1757" s="278">
        <v>0</v>
      </c>
      <c r="J1757" s="351" t="str">
        <f t="shared" si="2224"/>
        <v>-</v>
      </c>
      <c r="K1757" s="333">
        <f t="shared" si="2220"/>
        <v>0</v>
      </c>
      <c r="L1757" s="272">
        <f t="shared" si="2221"/>
        <v>0</v>
      </c>
      <c r="M1757" s="273">
        <f t="shared" si="2222"/>
        <v>0</v>
      </c>
      <c r="N1757" s="337" t="str">
        <f t="shared" si="2223"/>
        <v>-</v>
      </c>
      <c r="O1757" s="263" t="str">
        <f t="shared" si="2208"/>
        <v>-</v>
      </c>
    </row>
    <row r="1758" spans="1:15" ht="23.4" x14ac:dyDescent="0.3">
      <c r="A1758" s="274" t="s">
        <v>103</v>
      </c>
      <c r="B1758" s="1044"/>
      <c r="C1758" s="275" t="s">
        <v>176</v>
      </c>
      <c r="D1758" s="275" t="s">
        <v>177</v>
      </c>
      <c r="E1758" s="276"/>
      <c r="F1758" s="277"/>
      <c r="G1758" s="333">
        <f t="shared" si="2219"/>
        <v>0</v>
      </c>
      <c r="H1758" s="278">
        <v>0</v>
      </c>
      <c r="I1758" s="278">
        <v>0</v>
      </c>
      <c r="J1758" s="351" t="str">
        <f t="shared" si="2224"/>
        <v>-</v>
      </c>
      <c r="K1758" s="333">
        <f t="shared" si="2220"/>
        <v>0</v>
      </c>
      <c r="L1758" s="272">
        <f t="shared" si="2221"/>
        <v>0</v>
      </c>
      <c r="M1758" s="273">
        <f t="shared" si="2222"/>
        <v>0</v>
      </c>
      <c r="N1758" s="337" t="str">
        <f t="shared" si="2223"/>
        <v>-</v>
      </c>
      <c r="O1758" s="263" t="str">
        <f t="shared" si="2208"/>
        <v>-</v>
      </c>
    </row>
    <row r="1759" spans="1:15" ht="23.4" x14ac:dyDescent="0.3">
      <c r="A1759" s="274" t="s">
        <v>103</v>
      </c>
      <c r="B1759" s="1044"/>
      <c r="C1759" s="275" t="s">
        <v>179</v>
      </c>
      <c r="D1759" s="275" t="s">
        <v>178</v>
      </c>
      <c r="E1759" s="276"/>
      <c r="F1759" s="277"/>
      <c r="G1759" s="333">
        <f t="shared" si="2219"/>
        <v>0</v>
      </c>
      <c r="H1759" s="278">
        <v>0</v>
      </c>
      <c r="I1759" s="278">
        <v>0</v>
      </c>
      <c r="J1759" s="351" t="str">
        <f t="shared" si="2224"/>
        <v>-</v>
      </c>
      <c r="K1759" s="333">
        <f t="shared" si="2220"/>
        <v>0</v>
      </c>
      <c r="L1759" s="272">
        <f t="shared" si="2221"/>
        <v>0</v>
      </c>
      <c r="M1759" s="273">
        <f t="shared" si="2222"/>
        <v>0</v>
      </c>
      <c r="N1759" s="337" t="str">
        <f t="shared" si="2223"/>
        <v>-</v>
      </c>
      <c r="O1759" s="263" t="str">
        <f t="shared" si="2208"/>
        <v>-</v>
      </c>
    </row>
    <row r="1760" spans="1:15" ht="24" thickBot="1" x14ac:dyDescent="0.35">
      <c r="A1760" s="274" t="s">
        <v>103</v>
      </c>
      <c r="B1760" s="1045"/>
      <c r="C1760" s="286" t="s">
        <v>180</v>
      </c>
      <c r="D1760" s="286" t="s">
        <v>107</v>
      </c>
      <c r="E1760" s="280"/>
      <c r="F1760" s="281"/>
      <c r="G1760" s="334">
        <f t="shared" si="2219"/>
        <v>0</v>
      </c>
      <c r="H1760" s="282">
        <v>0</v>
      </c>
      <c r="I1760" s="282">
        <v>0</v>
      </c>
      <c r="J1760" s="351" t="str">
        <f t="shared" si="2224"/>
        <v>-</v>
      </c>
      <c r="K1760" s="334">
        <f t="shared" si="2220"/>
        <v>0</v>
      </c>
      <c r="L1760" s="272">
        <f t="shared" si="2221"/>
        <v>0</v>
      </c>
      <c r="M1760" s="273">
        <f t="shared" si="2222"/>
        <v>0</v>
      </c>
      <c r="N1760" s="338" t="str">
        <f t="shared" si="2223"/>
        <v>-</v>
      </c>
      <c r="O1760" s="347" t="str">
        <f t="shared" si="2208"/>
        <v>-</v>
      </c>
    </row>
    <row r="1761" spans="1:15" ht="24" thickBot="1" x14ac:dyDescent="0.35">
      <c r="A1761" s="274" t="s">
        <v>103</v>
      </c>
      <c r="B1761" s="1025" t="s">
        <v>29</v>
      </c>
      <c r="C1761" s="1083"/>
      <c r="D1761" s="1084"/>
      <c r="E1761" s="366">
        <f t="shared" ref="E1761" si="2225">SUM(E1754:E1760)</f>
        <v>0</v>
      </c>
      <c r="F1761" s="307">
        <v>80000</v>
      </c>
      <c r="G1761" s="366">
        <f>SUM(G1754:G1760)</f>
        <v>0</v>
      </c>
      <c r="H1761" s="365">
        <f t="shared" ref="H1761:I1761" si="2226">SUM(H1754:H1760)</f>
        <v>0</v>
      </c>
      <c r="I1761" s="365">
        <f t="shared" si="2226"/>
        <v>0</v>
      </c>
      <c r="J1761" s="356">
        <f>+G1761/F1761</f>
        <v>0</v>
      </c>
      <c r="K1761" s="366">
        <f t="shared" ref="K1761" si="2227">SUM(K1754:K1760)</f>
        <v>0</v>
      </c>
      <c r="L1761" s="365">
        <f>SUM(L1754:L1760)</f>
        <v>0</v>
      </c>
      <c r="M1761" s="367">
        <f t="shared" ref="M1761" si="2228">SUM(M1754:M1760)</f>
        <v>0</v>
      </c>
      <c r="N1761" s="355" t="str">
        <f t="shared" si="2223"/>
        <v>-</v>
      </c>
      <c r="O1761" s="356" t="str">
        <f t="shared" si="2208"/>
        <v>-</v>
      </c>
    </row>
    <row r="1762" spans="1:15" ht="23.4" x14ac:dyDescent="0.3">
      <c r="A1762" s="252" t="s">
        <v>103</v>
      </c>
      <c r="B1762" s="1037" t="s">
        <v>19</v>
      </c>
      <c r="C1762" s="669" t="s">
        <v>235</v>
      </c>
      <c r="D1762" s="883" t="s">
        <v>177</v>
      </c>
      <c r="E1762" s="912"/>
      <c r="F1762" s="838">
        <v>220000</v>
      </c>
      <c r="G1762" s="457">
        <f t="shared" ref="G1762:G1768" si="2229">+H1762+I1762</f>
        <v>50909</v>
      </c>
      <c r="H1762" s="458">
        <v>50688</v>
      </c>
      <c r="I1762" s="458">
        <v>221</v>
      </c>
      <c r="J1762" s="531">
        <f>IFERROR(G1762/F1762,"-")</f>
        <v>0.23140454545454545</v>
      </c>
      <c r="K1762" s="869">
        <f>+L1762+M1762</f>
        <v>432263</v>
      </c>
      <c r="L1762" s="527">
        <f t="shared" ref="L1762:L1768" si="2230">+H1762+L1645</f>
        <v>430848</v>
      </c>
      <c r="M1762" s="838">
        <f t="shared" ref="M1762:M1768" si="2231">+I1762+M1645</f>
        <v>1415</v>
      </c>
      <c r="N1762" s="646" t="str">
        <f>IFERROR(K1762/E1762,"-")</f>
        <v>-</v>
      </c>
      <c r="O1762" s="647">
        <f t="shared" si="2208"/>
        <v>3.2734700864982661E-3</v>
      </c>
    </row>
    <row r="1763" spans="1:15" ht="23.4" x14ac:dyDescent="0.3">
      <c r="A1763" s="252"/>
      <c r="B1763" s="1038"/>
      <c r="C1763" s="840" t="s">
        <v>377</v>
      </c>
      <c r="D1763" s="876" t="s">
        <v>423</v>
      </c>
      <c r="E1763" s="511">
        <v>1000000</v>
      </c>
      <c r="F1763" s="277"/>
      <c r="G1763" s="333">
        <f t="shared" si="2229"/>
        <v>0</v>
      </c>
      <c r="H1763" s="278">
        <v>0</v>
      </c>
      <c r="I1763" s="278">
        <v>0</v>
      </c>
      <c r="J1763" s="352" t="str">
        <f t="shared" ref="J1763:J1768" si="2232">IFERROR(G1763/F1763,"-")</f>
        <v>-</v>
      </c>
      <c r="K1763" s="870">
        <f>+L1763+M1763</f>
        <v>576188</v>
      </c>
      <c r="L1763" s="276">
        <f t="shared" si="2230"/>
        <v>574464</v>
      </c>
      <c r="M1763" s="277">
        <f t="shared" si="2231"/>
        <v>1724</v>
      </c>
      <c r="N1763" s="836">
        <f t="shared" ref="N1763:N1768" si="2233">IFERROR(K1763/E1763,"-")</f>
        <v>0.57618800000000003</v>
      </c>
      <c r="O1763" s="263">
        <f>IFERROR(M1763/K1763,"-")</f>
        <v>2.9920789742236909E-3</v>
      </c>
    </row>
    <row r="1764" spans="1:15" ht="23.4" x14ac:dyDescent="0.3">
      <c r="A1764" s="252"/>
      <c r="B1764" s="1038"/>
      <c r="C1764" s="840" t="s">
        <v>235</v>
      </c>
      <c r="D1764" s="876" t="s">
        <v>522</v>
      </c>
      <c r="E1764" s="511"/>
      <c r="F1764" s="277"/>
      <c r="G1764" s="333">
        <f t="shared" si="2229"/>
        <v>0</v>
      </c>
      <c r="H1764" s="278">
        <v>0</v>
      </c>
      <c r="I1764" s="278">
        <v>0</v>
      </c>
      <c r="J1764" s="352" t="str">
        <f t="shared" si="2232"/>
        <v>-</v>
      </c>
      <c r="K1764" s="870">
        <f t="shared" ref="K1764:K1767" si="2234">+L1764+M1764</f>
        <v>214277</v>
      </c>
      <c r="L1764" s="276">
        <f t="shared" si="2230"/>
        <v>213712</v>
      </c>
      <c r="M1764" s="277">
        <f t="shared" si="2231"/>
        <v>565</v>
      </c>
      <c r="N1764" s="836" t="str">
        <f t="shared" si="2233"/>
        <v>-</v>
      </c>
      <c r="O1764" s="263">
        <f t="shared" ref="O1764:O1825" si="2235">IFERROR(M1764/K1764,"-")</f>
        <v>2.6367738954717491E-3</v>
      </c>
    </row>
    <row r="1765" spans="1:15" ht="23.4" x14ac:dyDescent="0.3">
      <c r="A1765" s="252"/>
      <c r="B1765" s="1038"/>
      <c r="C1765" s="840" t="s">
        <v>377</v>
      </c>
      <c r="D1765" s="876" t="s">
        <v>522</v>
      </c>
      <c r="E1765" s="511"/>
      <c r="F1765" s="277"/>
      <c r="G1765" s="333">
        <f t="shared" si="2229"/>
        <v>0</v>
      </c>
      <c r="H1765" s="278">
        <v>0</v>
      </c>
      <c r="I1765" s="278">
        <v>0</v>
      </c>
      <c r="J1765" s="352" t="str">
        <f t="shared" si="2232"/>
        <v>-</v>
      </c>
      <c r="K1765" s="870">
        <f t="shared" si="2234"/>
        <v>288207</v>
      </c>
      <c r="L1765" s="276">
        <f t="shared" si="2230"/>
        <v>287232</v>
      </c>
      <c r="M1765" s="277">
        <f t="shared" si="2231"/>
        <v>975</v>
      </c>
      <c r="N1765" s="836" t="str">
        <f t="shared" si="2233"/>
        <v>-</v>
      </c>
      <c r="O1765" s="263">
        <f t="shared" si="2235"/>
        <v>3.3829851460929123E-3</v>
      </c>
    </row>
    <row r="1766" spans="1:15" ht="23.4" x14ac:dyDescent="0.3">
      <c r="A1766" s="252"/>
      <c r="B1766" s="1038"/>
      <c r="C1766" s="840" t="s">
        <v>551</v>
      </c>
      <c r="D1766" s="876" t="s">
        <v>522</v>
      </c>
      <c r="E1766" s="511"/>
      <c r="F1766" s="277"/>
      <c r="G1766" s="333">
        <f t="shared" si="2229"/>
        <v>0</v>
      </c>
      <c r="H1766" s="278">
        <v>0</v>
      </c>
      <c r="I1766" s="278">
        <v>0</v>
      </c>
      <c r="J1766" s="352" t="str">
        <f t="shared" si="2232"/>
        <v>-</v>
      </c>
      <c r="K1766" s="870">
        <f t="shared" si="2234"/>
        <v>151526</v>
      </c>
      <c r="L1766" s="276">
        <f t="shared" si="2230"/>
        <v>149952</v>
      </c>
      <c r="M1766" s="277">
        <f t="shared" si="2231"/>
        <v>1574</v>
      </c>
      <c r="N1766" s="836" t="str">
        <f t="shared" si="2233"/>
        <v>-</v>
      </c>
      <c r="O1766" s="263">
        <f t="shared" si="2235"/>
        <v>1.0387656243812942E-2</v>
      </c>
    </row>
    <row r="1767" spans="1:15" ht="23.4" x14ac:dyDescent="0.3">
      <c r="A1767" s="252"/>
      <c r="B1767" s="1038"/>
      <c r="C1767" s="840"/>
      <c r="D1767" s="876"/>
      <c r="E1767" s="511"/>
      <c r="F1767" s="277"/>
      <c r="G1767" s="333">
        <f t="shared" si="2229"/>
        <v>0</v>
      </c>
      <c r="H1767" s="278">
        <v>0</v>
      </c>
      <c r="I1767" s="278">
        <v>0</v>
      </c>
      <c r="J1767" s="352" t="str">
        <f t="shared" si="2232"/>
        <v>-</v>
      </c>
      <c r="K1767" s="870">
        <f t="shared" si="2234"/>
        <v>0</v>
      </c>
      <c r="L1767" s="276">
        <f t="shared" si="2230"/>
        <v>0</v>
      </c>
      <c r="M1767" s="277">
        <f t="shared" si="2231"/>
        <v>0</v>
      </c>
      <c r="N1767" s="836" t="str">
        <f t="shared" si="2233"/>
        <v>-</v>
      </c>
      <c r="O1767" s="263" t="str">
        <f t="shared" si="2235"/>
        <v>-</v>
      </c>
    </row>
    <row r="1768" spans="1:15" ht="24" thickBot="1" x14ac:dyDescent="0.35">
      <c r="A1768" s="252"/>
      <c r="B1768" s="1039"/>
      <c r="C1768" s="670" t="s">
        <v>342</v>
      </c>
      <c r="D1768" s="884"/>
      <c r="E1768" s="913">
        <v>150000</v>
      </c>
      <c r="F1768" s="839"/>
      <c r="G1768" s="460">
        <f t="shared" si="2229"/>
        <v>0</v>
      </c>
      <c r="H1768" s="461">
        <v>0</v>
      </c>
      <c r="I1768" s="461">
        <v>0</v>
      </c>
      <c r="J1768" s="532" t="str">
        <f t="shared" si="2232"/>
        <v>-</v>
      </c>
      <c r="K1768" s="871">
        <f>+L1768+M1768</f>
        <v>0</v>
      </c>
      <c r="L1768" s="530">
        <f t="shared" si="2230"/>
        <v>0</v>
      </c>
      <c r="M1768" s="839">
        <f t="shared" si="2231"/>
        <v>0</v>
      </c>
      <c r="N1768" s="837">
        <f t="shared" si="2233"/>
        <v>0</v>
      </c>
      <c r="O1768" s="264" t="str">
        <f t="shared" si="2235"/>
        <v>-</v>
      </c>
    </row>
    <row r="1769" spans="1:15" ht="24" thickBot="1" x14ac:dyDescent="0.35">
      <c r="A1769" s="274" t="s">
        <v>103</v>
      </c>
      <c r="B1769" s="1040" t="s">
        <v>46</v>
      </c>
      <c r="C1769" s="1041"/>
      <c r="D1769" s="1042"/>
      <c r="E1769" s="513">
        <f>SUM(E1762:E1768)</f>
        <v>1150000</v>
      </c>
      <c r="F1769" s="859">
        <f t="shared" ref="F1769" si="2236">SUM(F1762)</f>
        <v>220000</v>
      </c>
      <c r="G1769" s="513">
        <f>SUM(G1762:G1768)</f>
        <v>50909</v>
      </c>
      <c r="H1769" s="519">
        <f>SUM(H1762:H1768)</f>
        <v>50688</v>
      </c>
      <c r="I1769" s="519">
        <f>SUM(I1762:I1768)</f>
        <v>221</v>
      </c>
      <c r="J1769" s="520">
        <f>+G1769/F1769</f>
        <v>0.23140454545454545</v>
      </c>
      <c r="K1769" s="835">
        <f>SUM(K1762:K1768)</f>
        <v>1662461</v>
      </c>
      <c r="L1769" s="519">
        <f>SUM(L1762:L1768)</f>
        <v>1656208</v>
      </c>
      <c r="M1769" s="689">
        <f>SUM(M1762:M1768)</f>
        <v>6253</v>
      </c>
      <c r="N1769" s="521">
        <f>IFERROR(K1769/E1769,"-")</f>
        <v>1.4456182608695651</v>
      </c>
      <c r="O1769" s="520">
        <f t="shared" si="2235"/>
        <v>3.7612912423208725E-3</v>
      </c>
    </row>
    <row r="1770" spans="1:15" ht="23.4" x14ac:dyDescent="0.3">
      <c r="A1770" s="274" t="s">
        <v>103</v>
      </c>
      <c r="B1770" s="1043" t="s">
        <v>20</v>
      </c>
      <c r="C1770" s="291" t="s">
        <v>317</v>
      </c>
      <c r="D1770" s="291" t="s">
        <v>289</v>
      </c>
      <c r="E1770" s="270"/>
      <c r="F1770" s="271"/>
      <c r="G1770" s="332">
        <f t="shared" ref="G1770:G1772" si="2237">+H1770+I1770</f>
        <v>0</v>
      </c>
      <c r="H1770" s="272">
        <v>0</v>
      </c>
      <c r="I1770" s="272">
        <v>0</v>
      </c>
      <c r="J1770" s="351" t="str">
        <f>IFERROR(G1770/F1770,"-")</f>
        <v>-</v>
      </c>
      <c r="K1770" s="332">
        <f t="shared" ref="K1770:K1772" si="2238">+L1770+M1770</f>
        <v>0</v>
      </c>
      <c r="L1770" s="272">
        <f t="shared" ref="L1770:L1772" si="2239">+H1770+L1653</f>
        <v>0</v>
      </c>
      <c r="M1770" s="273">
        <f t="shared" ref="M1770:M1772" si="2240">+I1770+M1653</f>
        <v>0</v>
      </c>
      <c r="N1770" s="336" t="str">
        <f t="shared" ref="N1770:N1773" si="2241">IFERROR(K1770/E1770,"-")</f>
        <v>-</v>
      </c>
      <c r="O1770" s="346" t="str">
        <f t="shared" si="2235"/>
        <v>-</v>
      </c>
    </row>
    <row r="1771" spans="1:15" ht="23.4" x14ac:dyDescent="0.3">
      <c r="A1771" s="274" t="s">
        <v>103</v>
      </c>
      <c r="B1771" s="1044"/>
      <c r="C1771" s="292" t="s">
        <v>114</v>
      </c>
      <c r="D1771" s="292"/>
      <c r="E1771" s="276"/>
      <c r="F1771" s="277"/>
      <c r="G1771" s="333">
        <f t="shared" si="2237"/>
        <v>0</v>
      </c>
      <c r="H1771" s="278">
        <v>0</v>
      </c>
      <c r="I1771" s="278">
        <v>0</v>
      </c>
      <c r="J1771" s="351" t="str">
        <f t="shared" ref="J1771:J1772" si="2242">IFERROR(G1771/F1771,"-")</f>
        <v>-</v>
      </c>
      <c r="K1771" s="333">
        <f t="shared" si="2238"/>
        <v>0</v>
      </c>
      <c r="L1771" s="272">
        <f t="shared" si="2239"/>
        <v>0</v>
      </c>
      <c r="M1771" s="273">
        <f t="shared" si="2240"/>
        <v>0</v>
      </c>
      <c r="N1771" s="337" t="str">
        <f t="shared" si="2241"/>
        <v>-</v>
      </c>
      <c r="O1771" s="263" t="str">
        <f t="shared" si="2235"/>
        <v>-</v>
      </c>
    </row>
    <row r="1772" spans="1:15" ht="24" thickBot="1" x14ac:dyDescent="0.35">
      <c r="A1772" s="274" t="s">
        <v>103</v>
      </c>
      <c r="B1772" s="1045"/>
      <c r="C1772" s="293" t="s">
        <v>120</v>
      </c>
      <c r="D1772" s="293"/>
      <c r="E1772" s="280"/>
      <c r="F1772" s="281"/>
      <c r="G1772" s="334">
        <f t="shared" si="2237"/>
        <v>0</v>
      </c>
      <c r="H1772" s="282">
        <v>0</v>
      </c>
      <c r="I1772" s="282">
        <v>0</v>
      </c>
      <c r="J1772" s="351" t="str">
        <f t="shared" si="2242"/>
        <v>-</v>
      </c>
      <c r="K1772" s="334">
        <f t="shared" si="2238"/>
        <v>0</v>
      </c>
      <c r="L1772" s="272">
        <f t="shared" si="2239"/>
        <v>0</v>
      </c>
      <c r="M1772" s="273">
        <f t="shared" si="2240"/>
        <v>0</v>
      </c>
      <c r="N1772" s="338" t="str">
        <f t="shared" si="2241"/>
        <v>-</v>
      </c>
      <c r="O1772" s="347" t="str">
        <f t="shared" si="2235"/>
        <v>-</v>
      </c>
    </row>
    <row r="1773" spans="1:15" ht="24" thickBot="1" x14ac:dyDescent="0.35">
      <c r="A1773" s="274" t="s">
        <v>103</v>
      </c>
      <c r="B1773" s="1026" t="s">
        <v>47</v>
      </c>
      <c r="C1773" s="1026"/>
      <c r="D1773" s="1046"/>
      <c r="E1773" s="320">
        <f t="shared" ref="E1773" si="2243">SUM(E1770:E1772)</f>
        <v>0</v>
      </c>
      <c r="F1773" s="285">
        <v>50000</v>
      </c>
      <c r="G1773" s="320">
        <f>SUM(G1770:G1772)</f>
        <v>0</v>
      </c>
      <c r="H1773" s="321">
        <f t="shared" ref="H1773:I1773" si="2244">SUM(H1770:H1772)</f>
        <v>0</v>
      </c>
      <c r="I1773" s="321">
        <f t="shared" si="2244"/>
        <v>0</v>
      </c>
      <c r="J1773" s="345">
        <f>+G1773/F1773</f>
        <v>0</v>
      </c>
      <c r="K1773" s="320">
        <f t="shared" ref="K1773:M1773" si="2245">SUM(K1770:K1772)</f>
        <v>0</v>
      </c>
      <c r="L1773" s="321">
        <f t="shared" si="2245"/>
        <v>0</v>
      </c>
      <c r="M1773" s="322">
        <f t="shared" si="2245"/>
        <v>0</v>
      </c>
      <c r="N1773" s="339" t="str">
        <f t="shared" si="2241"/>
        <v>-</v>
      </c>
      <c r="O1773" s="345" t="str">
        <f t="shared" si="2235"/>
        <v>-</v>
      </c>
    </row>
    <row r="1774" spans="1:15" ht="24" thickBot="1" x14ac:dyDescent="0.35">
      <c r="A1774" s="274" t="s">
        <v>103</v>
      </c>
      <c r="B1774" s="1047" t="s">
        <v>21</v>
      </c>
      <c r="C1774" s="1048"/>
      <c r="D1774" s="1049"/>
      <c r="E1774" s="326">
        <f>+E1745+E1753+E1761+E1769+E1773</f>
        <v>3770000</v>
      </c>
      <c r="F1774" s="327">
        <f>+F1745+F1753+F1761+F1769+F1773</f>
        <v>465000</v>
      </c>
      <c r="G1774" s="326">
        <f>+G1745+G1753+G1761+G1769+G1773</f>
        <v>103051</v>
      </c>
      <c r="H1774" s="324">
        <f>+H1745+H1753+H1761+H1769+H1773</f>
        <v>102208</v>
      </c>
      <c r="I1774" s="324">
        <f>+I1745+I1753+I1761+I1769+I1773</f>
        <v>843</v>
      </c>
      <c r="J1774" s="349">
        <f>+G1774/F1774</f>
        <v>0.22161505376344087</v>
      </c>
      <c r="K1774" s="326">
        <f>+K1745+K1753+K1761+K1769+K1773</f>
        <v>3024131</v>
      </c>
      <c r="L1774" s="324">
        <f>+L1745+L1753+L1761+L1769+L1773</f>
        <v>3008838</v>
      </c>
      <c r="M1774" s="325">
        <f>+M1745+M1753+M1761+M1769+M1773</f>
        <v>15293</v>
      </c>
      <c r="N1774" s="341">
        <f>IFERROR(K1774/E1774,"-")</f>
        <v>0.80215676392572943</v>
      </c>
      <c r="O1774" s="349">
        <f t="shared" si="2235"/>
        <v>5.0569899253702965E-3</v>
      </c>
    </row>
    <row r="1775" spans="1:15" ht="23.4" x14ac:dyDescent="0.3">
      <c r="A1775" s="274" t="s">
        <v>103</v>
      </c>
      <c r="B1775" s="1043" t="s">
        <v>400</v>
      </c>
      <c r="C1775" s="269" t="s">
        <v>125</v>
      </c>
      <c r="D1775" s="269"/>
      <c r="E1775" s="270"/>
      <c r="F1775" s="271"/>
      <c r="G1775" s="332">
        <f t="shared" ref="G1775:G1778" si="2246">+H1775+I1775</f>
        <v>0</v>
      </c>
      <c r="H1775" s="272">
        <v>0</v>
      </c>
      <c r="I1775" s="272">
        <v>0</v>
      </c>
      <c r="J1775" s="351" t="str">
        <f>IFERROR(G1775/F1775,"-")</f>
        <v>-</v>
      </c>
      <c r="K1775" s="332">
        <f t="shared" ref="K1775:K1778" si="2247">+L1775+M1775</f>
        <v>0</v>
      </c>
      <c r="L1775" s="272">
        <f t="shared" ref="L1775:L1778" si="2248">+H1775+L1658</f>
        <v>0</v>
      </c>
      <c r="M1775" s="273">
        <f t="shared" ref="M1775:M1778" si="2249">+I1775+M1658</f>
        <v>0</v>
      </c>
      <c r="N1775" s="336" t="str">
        <f t="shared" ref="N1775:N1790" si="2250">IFERROR(K1775/E1775,"-")</f>
        <v>-</v>
      </c>
      <c r="O1775" s="346" t="str">
        <f t="shared" si="2235"/>
        <v>-</v>
      </c>
    </row>
    <row r="1776" spans="1:15" ht="23.4" x14ac:dyDescent="0.3">
      <c r="A1776" s="274" t="s">
        <v>103</v>
      </c>
      <c r="B1776" s="1044"/>
      <c r="C1776" s="295" t="s">
        <v>263</v>
      </c>
      <c r="D1776" s="295" t="s">
        <v>181</v>
      </c>
      <c r="E1776" s="276"/>
      <c r="F1776" s="277"/>
      <c r="G1776" s="333">
        <f t="shared" si="2246"/>
        <v>0</v>
      </c>
      <c r="H1776" s="278">
        <v>0</v>
      </c>
      <c r="I1776" s="278">
        <v>0</v>
      </c>
      <c r="J1776" s="351" t="str">
        <f t="shared" ref="J1776:J1778" si="2251">IFERROR(G1776/F1776,"-")</f>
        <v>-</v>
      </c>
      <c r="K1776" s="333">
        <f t="shared" si="2247"/>
        <v>0</v>
      </c>
      <c r="L1776" s="272">
        <f t="shared" si="2248"/>
        <v>0</v>
      </c>
      <c r="M1776" s="273">
        <f t="shared" si="2249"/>
        <v>0</v>
      </c>
      <c r="N1776" s="337" t="str">
        <f t="shared" si="2250"/>
        <v>-</v>
      </c>
      <c r="O1776" s="263" t="str">
        <f t="shared" si="2235"/>
        <v>-</v>
      </c>
    </row>
    <row r="1777" spans="1:15" ht="23.4" x14ac:dyDescent="0.3">
      <c r="A1777" s="274" t="s">
        <v>103</v>
      </c>
      <c r="B1777" s="1044"/>
      <c r="C1777" s="295" t="s">
        <v>362</v>
      </c>
      <c r="D1777" s="295" t="s">
        <v>181</v>
      </c>
      <c r="E1777" s="276"/>
      <c r="F1777" s="277"/>
      <c r="G1777" s="333">
        <f t="shared" si="2246"/>
        <v>23839</v>
      </c>
      <c r="H1777" s="278">
        <v>23760</v>
      </c>
      <c r="I1777" s="278">
        <v>79</v>
      </c>
      <c r="J1777" s="351" t="str">
        <f t="shared" si="2251"/>
        <v>-</v>
      </c>
      <c r="K1777" s="333">
        <f t="shared" si="2247"/>
        <v>23839</v>
      </c>
      <c r="L1777" s="272">
        <f t="shared" si="2248"/>
        <v>23760</v>
      </c>
      <c r="M1777" s="273">
        <f t="shared" si="2249"/>
        <v>79</v>
      </c>
      <c r="N1777" s="337" t="str">
        <f t="shared" si="2250"/>
        <v>-</v>
      </c>
      <c r="O1777" s="263">
        <f t="shared" si="2235"/>
        <v>3.313897395024959E-3</v>
      </c>
    </row>
    <row r="1778" spans="1:15" ht="24" thickBot="1" x14ac:dyDescent="0.35">
      <c r="A1778" s="274" t="s">
        <v>103</v>
      </c>
      <c r="B1778" s="1045"/>
      <c r="C1778" s="279" t="s">
        <v>182</v>
      </c>
      <c r="D1778" s="279" t="s">
        <v>93</v>
      </c>
      <c r="E1778" s="280"/>
      <c r="F1778" s="281"/>
      <c r="G1778" s="334">
        <f t="shared" si="2246"/>
        <v>0</v>
      </c>
      <c r="H1778" s="278">
        <v>0</v>
      </c>
      <c r="I1778" s="278">
        <v>0</v>
      </c>
      <c r="J1778" s="351" t="str">
        <f t="shared" si="2251"/>
        <v>-</v>
      </c>
      <c r="K1778" s="334">
        <f t="shared" si="2247"/>
        <v>168782</v>
      </c>
      <c r="L1778" s="272">
        <f t="shared" si="2248"/>
        <v>168300</v>
      </c>
      <c r="M1778" s="273">
        <f t="shared" si="2249"/>
        <v>482</v>
      </c>
      <c r="N1778" s="338" t="str">
        <f t="shared" si="2250"/>
        <v>-</v>
      </c>
      <c r="O1778" s="347">
        <f t="shared" si="2235"/>
        <v>2.8557547605787348E-3</v>
      </c>
    </row>
    <row r="1779" spans="1:15" ht="24" thickBot="1" x14ac:dyDescent="0.35">
      <c r="A1779" s="274" t="s">
        <v>103</v>
      </c>
      <c r="B1779" s="1025" t="s">
        <v>48</v>
      </c>
      <c r="C1779" s="1026"/>
      <c r="D1779" s="1027"/>
      <c r="E1779" s="284">
        <f>SUM(E1775:E1778)</f>
        <v>0</v>
      </c>
      <c r="F1779" s="285">
        <v>80000</v>
      </c>
      <c r="G1779" s="320">
        <f>SUM(G1775:G1778)</f>
        <v>23839</v>
      </c>
      <c r="H1779" s="321">
        <f t="shared" ref="H1779:I1779" si="2252">SUM(H1775:H1778)</f>
        <v>23760</v>
      </c>
      <c r="I1779" s="321">
        <f t="shared" si="2252"/>
        <v>79</v>
      </c>
      <c r="J1779" s="345">
        <f>+G1779/F1779</f>
        <v>0.29798750000000002</v>
      </c>
      <c r="K1779" s="320">
        <f t="shared" ref="K1779" si="2253">SUM(K1775:K1778)</f>
        <v>192621</v>
      </c>
      <c r="L1779" s="321">
        <f>SUM(L1775:L1778)</f>
        <v>192060</v>
      </c>
      <c r="M1779" s="322">
        <f t="shared" ref="M1779" si="2254">SUM(M1775:M1778)</f>
        <v>561</v>
      </c>
      <c r="N1779" s="339" t="str">
        <f t="shared" si="2250"/>
        <v>-</v>
      </c>
      <c r="O1779" s="345">
        <f t="shared" si="2235"/>
        <v>2.9124550282679457E-3</v>
      </c>
    </row>
    <row r="1780" spans="1:15" ht="23.4" x14ac:dyDescent="0.3">
      <c r="A1780" s="274" t="s">
        <v>103</v>
      </c>
      <c r="B1780" s="1043" t="s">
        <v>23</v>
      </c>
      <c r="C1780" s="275" t="s">
        <v>500</v>
      </c>
      <c r="D1780" s="296" t="s">
        <v>238</v>
      </c>
      <c r="E1780" s="270">
        <v>10000</v>
      </c>
      <c r="F1780" s="271"/>
      <c r="G1780" s="332">
        <f t="shared" ref="G1780:G1788" si="2255">+H1780+I1780</f>
        <v>0</v>
      </c>
      <c r="H1780" s="272">
        <v>0</v>
      </c>
      <c r="I1780" s="272">
        <v>0</v>
      </c>
      <c r="J1780" s="351" t="str">
        <f>IFERROR(G1780/F1780,"-")</f>
        <v>-</v>
      </c>
      <c r="K1780" s="332">
        <f t="shared" ref="K1780:K1788" si="2256">+L1780+M1780</f>
        <v>0</v>
      </c>
      <c r="L1780" s="272">
        <f t="shared" ref="L1780:L1788" si="2257">+H1780+L1663</f>
        <v>0</v>
      </c>
      <c r="M1780" s="273">
        <f t="shared" ref="M1780:M1788" si="2258">+I1780+M1663</f>
        <v>0</v>
      </c>
      <c r="N1780" s="336">
        <f t="shared" si="2250"/>
        <v>0</v>
      </c>
      <c r="O1780" s="346" t="str">
        <f t="shared" si="2235"/>
        <v>-</v>
      </c>
    </row>
    <row r="1781" spans="1:15" ht="23.4" x14ac:dyDescent="0.3">
      <c r="A1781" s="274" t="s">
        <v>103</v>
      </c>
      <c r="B1781" s="1044"/>
      <c r="C1781" s="275" t="s">
        <v>24</v>
      </c>
      <c r="D1781" s="275" t="s">
        <v>238</v>
      </c>
      <c r="E1781" s="276">
        <v>112000</v>
      </c>
      <c r="F1781" s="277"/>
      <c r="G1781" s="333">
        <f t="shared" si="2255"/>
        <v>0</v>
      </c>
      <c r="H1781" s="278">
        <v>0</v>
      </c>
      <c r="I1781" s="278">
        <v>0</v>
      </c>
      <c r="J1781" s="351" t="str">
        <f t="shared" ref="J1781:J1788" si="2259">IFERROR(G1781/F1781,"-")</f>
        <v>-</v>
      </c>
      <c r="K1781" s="333">
        <f t="shared" si="2256"/>
        <v>0</v>
      </c>
      <c r="L1781" s="272">
        <f t="shared" si="2257"/>
        <v>0</v>
      </c>
      <c r="M1781" s="273">
        <f t="shared" si="2258"/>
        <v>0</v>
      </c>
      <c r="N1781" s="337">
        <f t="shared" si="2250"/>
        <v>0</v>
      </c>
      <c r="O1781" s="263" t="str">
        <f t="shared" si="2235"/>
        <v>-</v>
      </c>
    </row>
    <row r="1782" spans="1:15" ht="23.4" x14ac:dyDescent="0.3">
      <c r="A1782" s="274" t="s">
        <v>103</v>
      </c>
      <c r="B1782" s="1044"/>
      <c r="C1782" s="275" t="s">
        <v>236</v>
      </c>
      <c r="D1782" s="275" t="s">
        <v>238</v>
      </c>
      <c r="E1782" s="276">
        <v>40000</v>
      </c>
      <c r="F1782" s="277"/>
      <c r="G1782" s="333">
        <f t="shared" si="2255"/>
        <v>0</v>
      </c>
      <c r="H1782" s="278">
        <v>0</v>
      </c>
      <c r="I1782" s="278">
        <v>0</v>
      </c>
      <c r="J1782" s="351" t="str">
        <f t="shared" si="2259"/>
        <v>-</v>
      </c>
      <c r="K1782" s="333">
        <f t="shared" si="2256"/>
        <v>0</v>
      </c>
      <c r="L1782" s="272">
        <f t="shared" si="2257"/>
        <v>0</v>
      </c>
      <c r="M1782" s="273">
        <f t="shared" si="2258"/>
        <v>0</v>
      </c>
      <c r="N1782" s="337">
        <f t="shared" si="2250"/>
        <v>0</v>
      </c>
      <c r="O1782" s="263" t="str">
        <f t="shared" si="2235"/>
        <v>-</v>
      </c>
    </row>
    <row r="1783" spans="1:15" ht="23.4" x14ac:dyDescent="0.3">
      <c r="A1783" s="274" t="s">
        <v>103</v>
      </c>
      <c r="B1783" s="1044"/>
      <c r="C1783" s="275" t="s">
        <v>239</v>
      </c>
      <c r="D1783" s="275" t="s">
        <v>238</v>
      </c>
      <c r="E1783" s="276">
        <v>4000</v>
      </c>
      <c r="F1783" s="277"/>
      <c r="G1783" s="333">
        <f t="shared" si="2255"/>
        <v>0</v>
      </c>
      <c r="H1783" s="278">
        <v>0</v>
      </c>
      <c r="I1783" s="278">
        <v>0</v>
      </c>
      <c r="J1783" s="351" t="str">
        <f t="shared" si="2259"/>
        <v>-</v>
      </c>
      <c r="K1783" s="333">
        <f t="shared" si="2256"/>
        <v>0</v>
      </c>
      <c r="L1783" s="272">
        <f t="shared" si="2257"/>
        <v>0</v>
      </c>
      <c r="M1783" s="273">
        <f t="shared" si="2258"/>
        <v>0</v>
      </c>
      <c r="N1783" s="337">
        <f t="shared" si="2250"/>
        <v>0</v>
      </c>
      <c r="O1783" s="263" t="str">
        <f t="shared" si="2235"/>
        <v>-</v>
      </c>
    </row>
    <row r="1784" spans="1:15" ht="23.4" x14ac:dyDescent="0.3">
      <c r="A1784" s="274" t="s">
        <v>103</v>
      </c>
      <c r="B1784" s="1044"/>
      <c r="C1784" s="295" t="s">
        <v>394</v>
      </c>
      <c r="D1784" s="275" t="s">
        <v>238</v>
      </c>
      <c r="E1784" s="276">
        <v>8500</v>
      </c>
      <c r="F1784" s="277"/>
      <c r="G1784" s="333">
        <f t="shared" si="2255"/>
        <v>0</v>
      </c>
      <c r="H1784" s="278">
        <v>0</v>
      </c>
      <c r="I1784" s="278">
        <v>0</v>
      </c>
      <c r="J1784" s="351" t="str">
        <f t="shared" si="2259"/>
        <v>-</v>
      </c>
      <c r="K1784" s="333">
        <f t="shared" si="2256"/>
        <v>0</v>
      </c>
      <c r="L1784" s="272">
        <f t="shared" si="2257"/>
        <v>0</v>
      </c>
      <c r="M1784" s="273">
        <f t="shared" si="2258"/>
        <v>0</v>
      </c>
      <c r="N1784" s="337">
        <f t="shared" si="2250"/>
        <v>0</v>
      </c>
      <c r="O1784" s="263" t="str">
        <f t="shared" si="2235"/>
        <v>-</v>
      </c>
    </row>
    <row r="1785" spans="1:15" ht="23.4" x14ac:dyDescent="0.3">
      <c r="A1785" s="274" t="s">
        <v>103</v>
      </c>
      <c r="B1785" s="1044"/>
      <c r="C1785" s="295" t="s">
        <v>422</v>
      </c>
      <c r="D1785" s="275" t="s">
        <v>238</v>
      </c>
      <c r="E1785" s="276">
        <v>10000</v>
      </c>
      <c r="F1785" s="277"/>
      <c r="G1785" s="333">
        <f t="shared" si="2255"/>
        <v>0</v>
      </c>
      <c r="H1785" s="278">
        <v>0</v>
      </c>
      <c r="I1785" s="278">
        <v>0</v>
      </c>
      <c r="J1785" s="351" t="str">
        <f t="shared" si="2259"/>
        <v>-</v>
      </c>
      <c r="K1785" s="333">
        <f t="shared" si="2256"/>
        <v>0</v>
      </c>
      <c r="L1785" s="272">
        <f t="shared" si="2257"/>
        <v>0</v>
      </c>
      <c r="M1785" s="273">
        <f t="shared" si="2258"/>
        <v>0</v>
      </c>
      <c r="N1785" s="337">
        <f t="shared" si="2250"/>
        <v>0</v>
      </c>
      <c r="O1785" s="263" t="str">
        <f t="shared" si="2235"/>
        <v>-</v>
      </c>
    </row>
    <row r="1786" spans="1:15" ht="23.4" x14ac:dyDescent="0.3">
      <c r="A1786" s="274" t="s">
        <v>103</v>
      </c>
      <c r="B1786" s="1044"/>
      <c r="C1786" s="295" t="s">
        <v>241</v>
      </c>
      <c r="D1786" s="275" t="s">
        <v>243</v>
      </c>
      <c r="E1786" s="276"/>
      <c r="F1786" s="277"/>
      <c r="G1786" s="333">
        <f t="shared" si="2255"/>
        <v>0</v>
      </c>
      <c r="H1786" s="278">
        <v>0</v>
      </c>
      <c r="I1786" s="278">
        <v>0</v>
      </c>
      <c r="J1786" s="351" t="str">
        <f t="shared" si="2259"/>
        <v>-</v>
      </c>
      <c r="K1786" s="333">
        <f t="shared" si="2256"/>
        <v>0</v>
      </c>
      <c r="L1786" s="272">
        <f t="shared" si="2257"/>
        <v>0</v>
      </c>
      <c r="M1786" s="273">
        <f t="shared" si="2258"/>
        <v>0</v>
      </c>
      <c r="N1786" s="337" t="str">
        <f t="shared" si="2250"/>
        <v>-</v>
      </c>
      <c r="O1786" s="263" t="str">
        <f t="shared" si="2235"/>
        <v>-</v>
      </c>
    </row>
    <row r="1787" spans="1:15" ht="23.4" x14ac:dyDescent="0.3">
      <c r="A1787" s="274"/>
      <c r="B1787" s="1045"/>
      <c r="C1787" s="295" t="s">
        <v>546</v>
      </c>
      <c r="D1787" s="275" t="s">
        <v>238</v>
      </c>
      <c r="E1787" s="280">
        <v>6000</v>
      </c>
      <c r="F1787" s="281"/>
      <c r="G1787" s="333">
        <f t="shared" si="2255"/>
        <v>0</v>
      </c>
      <c r="H1787" s="278">
        <v>0</v>
      </c>
      <c r="I1787" s="278">
        <v>0</v>
      </c>
      <c r="J1787" s="351" t="str">
        <f t="shared" si="2259"/>
        <v>-</v>
      </c>
      <c r="K1787" s="333">
        <f t="shared" si="2256"/>
        <v>0</v>
      </c>
      <c r="L1787" s="272">
        <f t="shared" si="2257"/>
        <v>0</v>
      </c>
      <c r="M1787" s="273">
        <f t="shared" si="2258"/>
        <v>0</v>
      </c>
      <c r="N1787" s="337">
        <f t="shared" si="2250"/>
        <v>0</v>
      </c>
      <c r="O1787" s="263" t="str">
        <f t="shared" si="2235"/>
        <v>-</v>
      </c>
    </row>
    <row r="1788" spans="1:15" ht="24" thickBot="1" x14ac:dyDescent="0.35">
      <c r="A1788" s="274" t="s">
        <v>103</v>
      </c>
      <c r="B1788" s="1045"/>
      <c r="C1788" s="295" t="s">
        <v>242</v>
      </c>
      <c r="D1788" s="275" t="s">
        <v>238</v>
      </c>
      <c r="E1788" s="280">
        <v>5000</v>
      </c>
      <c r="F1788" s="281"/>
      <c r="G1788" s="334">
        <f t="shared" si="2255"/>
        <v>0</v>
      </c>
      <c r="H1788" s="278">
        <v>0</v>
      </c>
      <c r="I1788" s="278">
        <v>0</v>
      </c>
      <c r="J1788" s="351" t="str">
        <f t="shared" si="2259"/>
        <v>-</v>
      </c>
      <c r="K1788" s="334">
        <f t="shared" si="2256"/>
        <v>0</v>
      </c>
      <c r="L1788" s="272">
        <f t="shared" si="2257"/>
        <v>0</v>
      </c>
      <c r="M1788" s="273">
        <f t="shared" si="2258"/>
        <v>0</v>
      </c>
      <c r="N1788" s="338">
        <f t="shared" si="2250"/>
        <v>0</v>
      </c>
      <c r="O1788" s="347" t="str">
        <f t="shared" si="2235"/>
        <v>-</v>
      </c>
    </row>
    <row r="1789" spans="1:15" ht="24" thickBot="1" x14ac:dyDescent="0.35">
      <c r="A1789" s="274" t="s">
        <v>103</v>
      </c>
      <c r="B1789" s="1025" t="s">
        <v>49</v>
      </c>
      <c r="C1789" s="1026"/>
      <c r="D1789" s="1027"/>
      <c r="E1789" s="284">
        <f>SUM(E1780:E1788)</f>
        <v>195500</v>
      </c>
      <c r="F1789" s="285">
        <v>14000</v>
      </c>
      <c r="G1789" s="320">
        <f>SUM(G1780:G1788)</f>
        <v>0</v>
      </c>
      <c r="H1789" s="321">
        <f t="shared" ref="H1789:I1789" si="2260">SUM(H1780:H1788)</f>
        <v>0</v>
      </c>
      <c r="I1789" s="321">
        <f t="shared" si="2260"/>
        <v>0</v>
      </c>
      <c r="J1789" s="345">
        <f>+G1790/F1790</f>
        <v>0.2536063829787234</v>
      </c>
      <c r="K1789" s="320">
        <f>SUM(K1780:K1788)</f>
        <v>0</v>
      </c>
      <c r="L1789" s="321">
        <f>+H1789</f>
        <v>0</v>
      </c>
      <c r="M1789" s="322">
        <f>+I1789</f>
        <v>0</v>
      </c>
      <c r="N1789" s="339">
        <f t="shared" si="2250"/>
        <v>0</v>
      </c>
      <c r="O1789" s="345" t="str">
        <f t="shared" si="2235"/>
        <v>-</v>
      </c>
    </row>
    <row r="1790" spans="1:15" ht="24" thickBot="1" x14ac:dyDescent="0.35">
      <c r="A1790" s="274" t="s">
        <v>103</v>
      </c>
      <c r="B1790" s="1047" t="s">
        <v>25</v>
      </c>
      <c r="C1790" s="1048"/>
      <c r="D1790" s="1049"/>
      <c r="E1790" s="326">
        <f t="shared" ref="E1790:F1790" si="2261">+E1779+E1789</f>
        <v>195500</v>
      </c>
      <c r="F1790" s="327">
        <f t="shared" si="2261"/>
        <v>94000</v>
      </c>
      <c r="G1790" s="326">
        <f>+G1779+G1789</f>
        <v>23839</v>
      </c>
      <c r="H1790" s="324">
        <f t="shared" ref="H1790:I1790" si="2262">+H1779+H1789</f>
        <v>23760</v>
      </c>
      <c r="I1790" s="324">
        <f t="shared" si="2262"/>
        <v>79</v>
      </c>
      <c r="J1790" s="349" t="str">
        <f>IFERROR(G1790/#REF!,"-")</f>
        <v>-</v>
      </c>
      <c r="K1790" s="326">
        <f t="shared" ref="K1790" si="2263">+K1779+K1789</f>
        <v>192621</v>
      </c>
      <c r="L1790" s="324">
        <f>+L1779+L1789</f>
        <v>192060</v>
      </c>
      <c r="M1790" s="325">
        <f t="shared" ref="M1790" si="2264">+M1779+M1789</f>
        <v>561</v>
      </c>
      <c r="N1790" s="341">
        <f t="shared" si="2250"/>
        <v>0.98527365728900251</v>
      </c>
      <c r="O1790" s="349">
        <f t="shared" si="2235"/>
        <v>2.9124550282679457E-3</v>
      </c>
    </row>
    <row r="1791" spans="1:15" ht="24" thickBot="1" x14ac:dyDescent="0.35">
      <c r="A1791" s="274" t="s">
        <v>103</v>
      </c>
      <c r="B1791" s="1019" t="s">
        <v>172</v>
      </c>
      <c r="C1791" s="1020"/>
      <c r="D1791" s="1050"/>
      <c r="E1791" s="330">
        <f>+E1774+E1790</f>
        <v>3965500</v>
      </c>
      <c r="F1791" s="331">
        <f t="shared" ref="F1791:I1791" si="2265">+F1774+F1790</f>
        <v>559000</v>
      </c>
      <c r="G1791" s="330">
        <f t="shared" si="2265"/>
        <v>126890</v>
      </c>
      <c r="H1791" s="328">
        <f t="shared" si="2265"/>
        <v>125968</v>
      </c>
      <c r="I1791" s="328">
        <f t="shared" si="2265"/>
        <v>922</v>
      </c>
      <c r="J1791" s="350">
        <f>+G1791/F1791</f>
        <v>0.22699463327370303</v>
      </c>
      <c r="K1791" s="330">
        <f>+K1774+K1790</f>
        <v>3216752</v>
      </c>
      <c r="L1791" s="328">
        <f t="shared" ref="L1791:M1791" si="2266">+L1774+L1790</f>
        <v>3200898</v>
      </c>
      <c r="M1791" s="329">
        <f t="shared" si="2266"/>
        <v>15854</v>
      </c>
      <c r="N1791" s="342">
        <f>IFERROR(K1791/E1791,"-")</f>
        <v>0.81118446601941752</v>
      </c>
      <c r="O1791" s="350">
        <f t="shared" si="2235"/>
        <v>4.928573915552085E-3</v>
      </c>
    </row>
    <row r="1792" spans="1:15" ht="23.4" x14ac:dyDescent="0.3">
      <c r="A1792" s="268" t="s">
        <v>101</v>
      </c>
      <c r="B1792" s="1051" t="s">
        <v>26</v>
      </c>
      <c r="C1792" s="893" t="s">
        <v>297</v>
      </c>
      <c r="D1792" s="898" t="s">
        <v>177</v>
      </c>
      <c r="E1792" s="895"/>
      <c r="F1792" s="271"/>
      <c r="G1792" s="332">
        <f t="shared" ref="G1792:G1801" si="2267">+H1792+I1792</f>
        <v>0</v>
      </c>
      <c r="H1792" s="272">
        <v>0</v>
      </c>
      <c r="I1792" s="272">
        <v>0</v>
      </c>
      <c r="J1792" s="351" t="str">
        <f>IFERROR(G1792/F1792,"-")</f>
        <v>-</v>
      </c>
      <c r="K1792" s="332">
        <f t="shared" ref="K1792:K1801" si="2268">+L1792+M1792</f>
        <v>0</v>
      </c>
      <c r="L1792" s="272">
        <f t="shared" ref="L1792:L1801" si="2269">+H1792+L1675</f>
        <v>0</v>
      </c>
      <c r="M1792" s="273">
        <f t="shared" ref="M1792:M1801" si="2270">+I1792+M1675</f>
        <v>0</v>
      </c>
      <c r="N1792" s="336" t="str">
        <f t="shared" ref="N1792:N1810" si="2271">IFERROR(K1792/E1792,"-")</f>
        <v>-</v>
      </c>
      <c r="O1792" s="346" t="str">
        <f t="shared" si="2235"/>
        <v>-</v>
      </c>
    </row>
    <row r="1793" spans="1:15" ht="23.4" x14ac:dyDescent="0.3">
      <c r="A1793" s="274" t="s">
        <v>101</v>
      </c>
      <c r="B1793" s="1051"/>
      <c r="C1793" s="253" t="s">
        <v>424</v>
      </c>
      <c r="D1793" s="899" t="s">
        <v>423</v>
      </c>
      <c r="E1793" s="511">
        <v>314432</v>
      </c>
      <c r="F1793" s="277"/>
      <c r="G1793" s="333">
        <f t="shared" si="2267"/>
        <v>0</v>
      </c>
      <c r="H1793" s="278">
        <v>0</v>
      </c>
      <c r="I1793" s="278">
        <v>0</v>
      </c>
      <c r="J1793" s="351" t="str">
        <f t="shared" ref="J1793:J1801" si="2272">IFERROR(G1793/F1793,"-")</f>
        <v>-</v>
      </c>
      <c r="K1793" s="333">
        <f t="shared" si="2268"/>
        <v>265434</v>
      </c>
      <c r="L1793" s="272">
        <f t="shared" si="2269"/>
        <v>262548</v>
      </c>
      <c r="M1793" s="273">
        <f t="shared" si="2270"/>
        <v>2886</v>
      </c>
      <c r="N1793" s="337">
        <f t="shared" si="2271"/>
        <v>0.84416980460004076</v>
      </c>
      <c r="O1793" s="263">
        <f t="shared" si="2235"/>
        <v>1.0872759330002939E-2</v>
      </c>
    </row>
    <row r="1794" spans="1:15" ht="23.4" x14ac:dyDescent="0.3">
      <c r="A1794" s="274" t="s">
        <v>101</v>
      </c>
      <c r="B1794" s="1051"/>
      <c r="C1794" s="813" t="s">
        <v>27</v>
      </c>
      <c r="D1794" s="899" t="s">
        <v>334</v>
      </c>
      <c r="E1794" s="896">
        <v>932448</v>
      </c>
      <c r="F1794" s="281"/>
      <c r="G1794" s="333">
        <f t="shared" si="2267"/>
        <v>0</v>
      </c>
      <c r="H1794" s="278">
        <v>0</v>
      </c>
      <c r="I1794" s="278">
        <v>0</v>
      </c>
      <c r="J1794" s="351" t="str">
        <f t="shared" si="2272"/>
        <v>-</v>
      </c>
      <c r="K1794" s="333">
        <f t="shared" si="2268"/>
        <v>37943</v>
      </c>
      <c r="L1794" s="272">
        <f t="shared" si="2269"/>
        <v>35802</v>
      </c>
      <c r="M1794" s="273">
        <f t="shared" si="2270"/>
        <v>2141</v>
      </c>
      <c r="N1794" s="337">
        <f t="shared" si="2271"/>
        <v>4.0691813377260716E-2</v>
      </c>
      <c r="O1794" s="263">
        <f t="shared" si="2235"/>
        <v>5.6426745381229743E-2</v>
      </c>
    </row>
    <row r="1795" spans="1:15" ht="23.4" x14ac:dyDescent="0.3">
      <c r="A1795" s="274" t="s">
        <v>101</v>
      </c>
      <c r="B1795" s="1051"/>
      <c r="C1795" s="813" t="s">
        <v>27</v>
      </c>
      <c r="D1795" s="900" t="s">
        <v>492</v>
      </c>
      <c r="E1795" s="896"/>
      <c r="F1795" s="281"/>
      <c r="G1795" s="333">
        <f t="shared" si="2267"/>
        <v>0</v>
      </c>
      <c r="H1795" s="278">
        <v>0</v>
      </c>
      <c r="I1795" s="278">
        <v>0</v>
      </c>
      <c r="J1795" s="351" t="str">
        <f t="shared" si="2272"/>
        <v>-</v>
      </c>
      <c r="K1795" s="333">
        <f t="shared" si="2268"/>
        <v>274869</v>
      </c>
      <c r="L1795" s="272">
        <f t="shared" si="2269"/>
        <v>270504</v>
      </c>
      <c r="M1795" s="273">
        <f t="shared" si="2270"/>
        <v>4365</v>
      </c>
      <c r="N1795" s="337" t="str">
        <f t="shared" si="2271"/>
        <v>-</v>
      </c>
      <c r="O1795" s="263">
        <f t="shared" si="2235"/>
        <v>1.588029206640254E-2</v>
      </c>
    </row>
    <row r="1796" spans="1:15" ht="23.4" x14ac:dyDescent="0.3">
      <c r="A1796" s="274" t="s">
        <v>101</v>
      </c>
      <c r="B1796" s="1051"/>
      <c r="C1796" s="893" t="s">
        <v>521</v>
      </c>
      <c r="D1796" s="899" t="s">
        <v>234</v>
      </c>
      <c r="E1796" s="896">
        <v>136768</v>
      </c>
      <c r="F1796" s="281"/>
      <c r="G1796" s="333">
        <f t="shared" si="2267"/>
        <v>0</v>
      </c>
      <c r="H1796" s="278">
        <v>0</v>
      </c>
      <c r="I1796" s="278">
        <v>0</v>
      </c>
      <c r="J1796" s="351" t="str">
        <f t="shared" si="2272"/>
        <v>-</v>
      </c>
      <c r="K1796" s="333">
        <f t="shared" si="2268"/>
        <v>57116</v>
      </c>
      <c r="L1796" s="272">
        <f t="shared" si="2269"/>
        <v>55692</v>
      </c>
      <c r="M1796" s="273">
        <f t="shared" si="2270"/>
        <v>1424</v>
      </c>
      <c r="N1796" s="337">
        <f t="shared" si="2271"/>
        <v>0.41761230697239121</v>
      </c>
      <c r="O1796" s="263">
        <f t="shared" si="2235"/>
        <v>2.4931717907416485E-2</v>
      </c>
    </row>
    <row r="1797" spans="1:15" ht="23.4" x14ac:dyDescent="0.3">
      <c r="A1797" s="274"/>
      <c r="B1797" s="1051"/>
      <c r="C1797" s="813" t="s">
        <v>575</v>
      </c>
      <c r="D1797" s="899" t="s">
        <v>178</v>
      </c>
      <c r="E1797" s="896"/>
      <c r="F1797" s="281"/>
      <c r="G1797" s="334">
        <f t="shared" si="2267"/>
        <v>20133</v>
      </c>
      <c r="H1797" s="278">
        <v>19890</v>
      </c>
      <c r="I1797" s="278">
        <v>243</v>
      </c>
      <c r="J1797" s="351" t="str">
        <f t="shared" si="2272"/>
        <v>-</v>
      </c>
      <c r="K1797" s="334">
        <f t="shared" si="2268"/>
        <v>20133</v>
      </c>
      <c r="L1797" s="272">
        <f t="shared" si="2269"/>
        <v>19890</v>
      </c>
      <c r="M1797" s="273">
        <f t="shared" si="2270"/>
        <v>243</v>
      </c>
      <c r="N1797" s="337" t="str">
        <f t="shared" si="2271"/>
        <v>-</v>
      </c>
      <c r="O1797" s="263">
        <f t="shared" si="2235"/>
        <v>1.2069736253911488E-2</v>
      </c>
    </row>
    <row r="1798" spans="1:15" ht="23.4" x14ac:dyDescent="0.3">
      <c r="A1798" s="274"/>
      <c r="B1798" s="1051"/>
      <c r="C1798" s="813" t="s">
        <v>333</v>
      </c>
      <c r="D1798" s="899" t="s">
        <v>94</v>
      </c>
      <c r="E1798" s="896">
        <v>32016</v>
      </c>
      <c r="F1798" s="281"/>
      <c r="G1798" s="334">
        <f t="shared" si="2267"/>
        <v>0</v>
      </c>
      <c r="H1798" s="278">
        <v>0</v>
      </c>
      <c r="I1798" s="278">
        <v>0</v>
      </c>
      <c r="J1798" s="351" t="str">
        <f t="shared" si="2272"/>
        <v>-</v>
      </c>
      <c r="K1798" s="334">
        <f t="shared" si="2268"/>
        <v>0</v>
      </c>
      <c r="L1798" s="272">
        <f t="shared" si="2269"/>
        <v>0</v>
      </c>
      <c r="M1798" s="273">
        <f t="shared" si="2270"/>
        <v>0</v>
      </c>
      <c r="N1798" s="337">
        <f t="shared" si="2271"/>
        <v>0</v>
      </c>
      <c r="O1798" s="263" t="str">
        <f t="shared" si="2235"/>
        <v>-</v>
      </c>
    </row>
    <row r="1799" spans="1:15" ht="23.4" x14ac:dyDescent="0.3">
      <c r="A1799" s="274"/>
      <c r="B1799" s="1051"/>
      <c r="C1799" s="813" t="s">
        <v>433</v>
      </c>
      <c r="D1799" s="899" t="s">
        <v>540</v>
      </c>
      <c r="E1799" s="896"/>
      <c r="F1799" s="281"/>
      <c r="G1799" s="334">
        <f t="shared" si="2267"/>
        <v>0</v>
      </c>
      <c r="H1799" s="278">
        <v>0</v>
      </c>
      <c r="I1799" s="278">
        <v>0</v>
      </c>
      <c r="J1799" s="351" t="str">
        <f t="shared" si="2272"/>
        <v>-</v>
      </c>
      <c r="K1799" s="334">
        <f t="shared" si="2268"/>
        <v>358419</v>
      </c>
      <c r="L1799" s="272">
        <f t="shared" si="2269"/>
        <v>354042</v>
      </c>
      <c r="M1799" s="272">
        <f t="shared" si="2270"/>
        <v>4377</v>
      </c>
      <c r="N1799" s="337" t="str">
        <f t="shared" si="2271"/>
        <v>-</v>
      </c>
      <c r="O1799" s="263">
        <f t="shared" si="2235"/>
        <v>1.2211964209486663E-2</v>
      </c>
    </row>
    <row r="1800" spans="1:15" ht="23.4" x14ac:dyDescent="0.3">
      <c r="A1800" s="274"/>
      <c r="B1800" s="1051"/>
      <c r="C1800" s="813" t="s">
        <v>382</v>
      </c>
      <c r="D1800" s="899" t="s">
        <v>366</v>
      </c>
      <c r="E1800" s="896"/>
      <c r="F1800" s="281"/>
      <c r="G1800" s="334">
        <f t="shared" si="2267"/>
        <v>0</v>
      </c>
      <c r="H1800" s="278">
        <v>0</v>
      </c>
      <c r="I1800" s="278">
        <v>0</v>
      </c>
      <c r="J1800" s="351" t="str">
        <f t="shared" si="2272"/>
        <v>-</v>
      </c>
      <c r="K1800" s="334">
        <f t="shared" si="2268"/>
        <v>201807</v>
      </c>
      <c r="L1800" s="272">
        <f t="shared" si="2269"/>
        <v>198900</v>
      </c>
      <c r="M1800" s="273">
        <f t="shared" si="2270"/>
        <v>2907</v>
      </c>
      <c r="N1800" s="337" t="str">
        <f t="shared" si="2271"/>
        <v>-</v>
      </c>
      <c r="O1800" s="263">
        <f t="shared" si="2235"/>
        <v>1.4404852160727824E-2</v>
      </c>
    </row>
    <row r="1801" spans="1:15" ht="24" thickBot="1" x14ac:dyDescent="0.35">
      <c r="A1801" s="274" t="s">
        <v>101</v>
      </c>
      <c r="B1801" s="1051"/>
      <c r="C1801" s="894" t="s">
        <v>290</v>
      </c>
      <c r="D1801" s="901" t="s">
        <v>289</v>
      </c>
      <c r="E1801" s="896"/>
      <c r="F1801" s="281"/>
      <c r="G1801" s="334">
        <f t="shared" si="2267"/>
        <v>0</v>
      </c>
      <c r="H1801" s="278">
        <v>0</v>
      </c>
      <c r="I1801" s="278">
        <v>0</v>
      </c>
      <c r="J1801" s="351" t="str">
        <f t="shared" si="2272"/>
        <v>-</v>
      </c>
      <c r="K1801" s="334">
        <f t="shared" si="2268"/>
        <v>0</v>
      </c>
      <c r="L1801" s="272">
        <f t="shared" si="2269"/>
        <v>0</v>
      </c>
      <c r="M1801" s="273">
        <f t="shared" si="2270"/>
        <v>0</v>
      </c>
      <c r="N1801" s="337" t="str">
        <f t="shared" si="2271"/>
        <v>-</v>
      </c>
      <c r="O1801" s="347" t="str">
        <f t="shared" si="2235"/>
        <v>-</v>
      </c>
    </row>
    <row r="1802" spans="1:15" ht="24" thickBot="1" x14ac:dyDescent="0.35">
      <c r="A1802" s="274" t="s">
        <v>101</v>
      </c>
      <c r="B1802" s="1052"/>
      <c r="C1802" s="301"/>
      <c r="D1802" s="897" t="s">
        <v>52</v>
      </c>
      <c r="E1802" s="284">
        <f>SUM(E1792:E1801)</f>
        <v>1415664</v>
      </c>
      <c r="F1802" s="285">
        <v>160000</v>
      </c>
      <c r="G1802" s="320">
        <f>SUM(G1792:G1801)</f>
        <v>20133</v>
      </c>
      <c r="H1802" s="321">
        <f>SUM(H1792:H1801)</f>
        <v>19890</v>
      </c>
      <c r="I1802" s="321">
        <f>SUM(I1792:I1801)</f>
        <v>243</v>
      </c>
      <c r="J1802" s="345">
        <f>+G1802/F1802</f>
        <v>0.12583125000000001</v>
      </c>
      <c r="K1802" s="320">
        <f>SUM(K1792:K1801)</f>
        <v>1215721</v>
      </c>
      <c r="L1802" s="321">
        <f>SUM(L1792:L1801)</f>
        <v>1197378</v>
      </c>
      <c r="M1802" s="322">
        <f>SUM(M1792:M1801)</f>
        <v>18343</v>
      </c>
      <c r="N1802" s="339">
        <f t="shared" si="2271"/>
        <v>0.85876380271024766</v>
      </c>
      <c r="O1802" s="345">
        <f t="shared" si="2235"/>
        <v>1.5088165788038538E-2</v>
      </c>
    </row>
    <row r="1803" spans="1:15" ht="23.4" x14ac:dyDescent="0.3">
      <c r="A1803" s="274" t="s">
        <v>101</v>
      </c>
      <c r="B1803" s="1053" t="s">
        <v>28</v>
      </c>
      <c r="C1803" s="299" t="s">
        <v>27</v>
      </c>
      <c r="D1803" s="297" t="s">
        <v>492</v>
      </c>
      <c r="E1803" s="270"/>
      <c r="F1803" s="271"/>
      <c r="G1803" s="332">
        <f t="shared" ref="G1803:G1807" si="2273">+H1803+I1803</f>
        <v>0</v>
      </c>
      <c r="H1803" s="272">
        <v>0</v>
      </c>
      <c r="I1803" s="272">
        <v>0</v>
      </c>
      <c r="J1803" s="351" t="str">
        <f>IFERROR(G1803/F1803,"-")</f>
        <v>-</v>
      </c>
      <c r="K1803" s="332">
        <f t="shared" ref="K1803:K1809" si="2274">+L1803+M1803</f>
        <v>170343</v>
      </c>
      <c r="L1803" s="272">
        <f t="shared" ref="L1803:L1809" si="2275">+H1803+L1686</f>
        <v>167076</v>
      </c>
      <c r="M1803" s="273">
        <f t="shared" ref="M1803:M1809" si="2276">+I1803+M1686</f>
        <v>3267</v>
      </c>
      <c r="N1803" s="336" t="str">
        <f t="shared" si="2271"/>
        <v>-</v>
      </c>
      <c r="O1803" s="346">
        <f t="shared" si="2235"/>
        <v>1.9178950705341577E-2</v>
      </c>
    </row>
    <row r="1804" spans="1:15" ht="23.4" x14ac:dyDescent="0.3">
      <c r="A1804" s="274" t="s">
        <v>101</v>
      </c>
      <c r="B1804" s="1051"/>
      <c r="C1804" s="299" t="s">
        <v>385</v>
      </c>
      <c r="D1804" s="299" t="s">
        <v>334</v>
      </c>
      <c r="E1804" s="276"/>
      <c r="F1804" s="277"/>
      <c r="G1804" s="333">
        <f t="shared" si="2273"/>
        <v>0</v>
      </c>
      <c r="H1804" s="278">
        <v>0</v>
      </c>
      <c r="I1804" s="278">
        <v>0</v>
      </c>
      <c r="J1804" s="351" t="str">
        <f t="shared" ref="J1804:J1809" si="2277">IFERROR(G1804/F1804,"-")</f>
        <v>-</v>
      </c>
      <c r="K1804" s="333">
        <f t="shared" si="2274"/>
        <v>96975</v>
      </c>
      <c r="L1804" s="272">
        <f t="shared" si="2275"/>
        <v>95472</v>
      </c>
      <c r="M1804" s="273">
        <f t="shared" si="2276"/>
        <v>1503</v>
      </c>
      <c r="N1804" s="337" t="str">
        <f t="shared" si="2271"/>
        <v>-</v>
      </c>
      <c r="O1804" s="263">
        <f t="shared" si="2235"/>
        <v>1.5498839907192575E-2</v>
      </c>
    </row>
    <row r="1805" spans="1:15" ht="23.4" x14ac:dyDescent="0.3">
      <c r="A1805" s="274" t="s">
        <v>101</v>
      </c>
      <c r="B1805" s="1051"/>
      <c r="C1805" s="299" t="s">
        <v>27</v>
      </c>
      <c r="D1805" s="299" t="s">
        <v>334</v>
      </c>
      <c r="E1805" s="276"/>
      <c r="F1805" s="277"/>
      <c r="G1805" s="333">
        <f t="shared" si="2273"/>
        <v>0</v>
      </c>
      <c r="H1805" s="278">
        <v>0</v>
      </c>
      <c r="I1805" s="278">
        <v>0</v>
      </c>
      <c r="J1805" s="351" t="str">
        <f t="shared" si="2277"/>
        <v>-</v>
      </c>
      <c r="K1805" s="333">
        <f t="shared" si="2274"/>
        <v>0</v>
      </c>
      <c r="L1805" s="272">
        <f t="shared" si="2275"/>
        <v>0</v>
      </c>
      <c r="M1805" s="273">
        <f t="shared" si="2276"/>
        <v>0</v>
      </c>
      <c r="N1805" s="337" t="str">
        <f t="shared" si="2271"/>
        <v>-</v>
      </c>
      <c r="O1805" s="263" t="str">
        <f t="shared" si="2235"/>
        <v>-</v>
      </c>
    </row>
    <row r="1806" spans="1:15" ht="23.4" x14ac:dyDescent="0.3">
      <c r="A1806" s="274"/>
      <c r="B1806" s="1051"/>
      <c r="C1806" s="299" t="s">
        <v>460</v>
      </c>
      <c r="D1806" s="299" t="s">
        <v>334</v>
      </c>
      <c r="E1806" s="280"/>
      <c r="F1806" s="281"/>
      <c r="G1806" s="333">
        <f t="shared" si="2273"/>
        <v>0</v>
      </c>
      <c r="H1806" s="278">
        <v>0</v>
      </c>
      <c r="I1806" s="278">
        <v>0</v>
      </c>
      <c r="J1806" s="351" t="str">
        <f t="shared" si="2277"/>
        <v>-</v>
      </c>
      <c r="K1806" s="333">
        <f t="shared" si="2274"/>
        <v>4348</v>
      </c>
      <c r="L1806" s="272">
        <f t="shared" si="2275"/>
        <v>3978</v>
      </c>
      <c r="M1806" s="273">
        <f t="shared" si="2276"/>
        <v>370</v>
      </c>
      <c r="N1806" s="337" t="str">
        <f t="shared" si="2271"/>
        <v>-</v>
      </c>
      <c r="O1806" s="263">
        <f t="shared" si="2235"/>
        <v>8.5096596136154556E-2</v>
      </c>
    </row>
    <row r="1807" spans="1:15" ht="23.4" x14ac:dyDescent="0.3">
      <c r="A1807" s="274" t="s">
        <v>101</v>
      </c>
      <c r="B1807" s="1051"/>
      <c r="C1807" s="299" t="s">
        <v>433</v>
      </c>
      <c r="D1807" s="299" t="s">
        <v>540</v>
      </c>
      <c r="E1807" s="280"/>
      <c r="F1807" s="281"/>
      <c r="G1807" s="334">
        <f t="shared" si="2273"/>
        <v>0</v>
      </c>
      <c r="H1807" s="278">
        <v>0</v>
      </c>
      <c r="I1807" s="278">
        <v>0</v>
      </c>
      <c r="J1807" s="351" t="str">
        <f t="shared" si="2277"/>
        <v>-</v>
      </c>
      <c r="K1807" s="334">
        <f t="shared" si="2274"/>
        <v>128335</v>
      </c>
      <c r="L1807" s="272">
        <f t="shared" si="2275"/>
        <v>127296</v>
      </c>
      <c r="M1807" s="702">
        <f t="shared" si="2276"/>
        <v>1039</v>
      </c>
      <c r="N1807" s="338" t="str">
        <f t="shared" si="2271"/>
        <v>-</v>
      </c>
      <c r="O1807" s="347">
        <f t="shared" si="2235"/>
        <v>8.0959987532629452E-3</v>
      </c>
    </row>
    <row r="1808" spans="1:15" ht="23.4" x14ac:dyDescent="0.3">
      <c r="A1808" s="274"/>
      <c r="B1808" s="1051"/>
      <c r="C1808" s="299" t="s">
        <v>458</v>
      </c>
      <c r="D1808" s="300" t="s">
        <v>280</v>
      </c>
      <c r="E1808" s="280">
        <v>200000</v>
      </c>
      <c r="F1808" s="281"/>
      <c r="G1808" s="334"/>
      <c r="H1808" s="278">
        <v>0</v>
      </c>
      <c r="I1808" s="278">
        <v>0</v>
      </c>
      <c r="J1808" s="351" t="str">
        <f t="shared" si="2277"/>
        <v>-</v>
      </c>
      <c r="K1808" s="334">
        <f t="shared" si="2274"/>
        <v>0</v>
      </c>
      <c r="L1808" s="272">
        <f t="shared" si="2275"/>
        <v>0</v>
      </c>
      <c r="M1808" s="272">
        <f t="shared" si="2276"/>
        <v>0</v>
      </c>
      <c r="N1808" s="338">
        <f t="shared" si="2271"/>
        <v>0</v>
      </c>
      <c r="O1808" s="347" t="str">
        <f t="shared" si="2235"/>
        <v>-</v>
      </c>
    </row>
    <row r="1809" spans="1:15" ht="24" thickBot="1" x14ac:dyDescent="0.35">
      <c r="A1809" s="274" t="s">
        <v>101</v>
      </c>
      <c r="B1809" s="1051"/>
      <c r="C1809" s="299" t="s">
        <v>27</v>
      </c>
      <c r="D1809" s="300" t="s">
        <v>234</v>
      </c>
      <c r="E1809" s="280">
        <v>250000</v>
      </c>
      <c r="F1809" s="281"/>
      <c r="G1809" s="334">
        <f t="shared" ref="G1809" si="2278">+H1809+I1809</f>
        <v>0</v>
      </c>
      <c r="H1809" s="278">
        <v>0</v>
      </c>
      <c r="I1809" s="278">
        <v>0</v>
      </c>
      <c r="J1809" s="351" t="str">
        <f t="shared" si="2277"/>
        <v>-</v>
      </c>
      <c r="K1809" s="334">
        <f t="shared" si="2274"/>
        <v>0</v>
      </c>
      <c r="L1809" s="272">
        <f t="shared" si="2275"/>
        <v>0</v>
      </c>
      <c r="M1809" s="702">
        <f t="shared" si="2276"/>
        <v>0</v>
      </c>
      <c r="N1809" s="338">
        <f t="shared" si="2271"/>
        <v>0</v>
      </c>
      <c r="O1809" s="347" t="str">
        <f t="shared" si="2235"/>
        <v>-</v>
      </c>
    </row>
    <row r="1810" spans="1:15" ht="24" thickBot="1" x14ac:dyDescent="0.35">
      <c r="A1810" s="274" t="s">
        <v>101</v>
      </c>
      <c r="B1810" s="1051"/>
      <c r="C1810" s="304"/>
      <c r="D1810" s="305" t="s">
        <v>52</v>
      </c>
      <c r="E1810" s="306">
        <f>SUM(E1803:E1809)</f>
        <v>450000</v>
      </c>
      <c r="F1810" s="307">
        <v>80000</v>
      </c>
      <c r="G1810" s="366">
        <f>SUM(G1803:G1809)</f>
        <v>0</v>
      </c>
      <c r="H1810" s="365">
        <f>SUM(H1803:H1809)</f>
        <v>0</v>
      </c>
      <c r="I1810" s="365">
        <f>SUM(I1803:I1809)</f>
        <v>0</v>
      </c>
      <c r="J1810" s="356">
        <f>+G1810/F1810</f>
        <v>0</v>
      </c>
      <c r="K1810" s="366">
        <f>SUM(K1803:K1809)</f>
        <v>400001</v>
      </c>
      <c r="L1810" s="365">
        <f>SUM(L1803:L1809)</f>
        <v>393822</v>
      </c>
      <c r="M1810" s="367">
        <f>SUM(M1803:M1809)</f>
        <v>6179</v>
      </c>
      <c r="N1810" s="355">
        <f t="shared" si="2271"/>
        <v>0.88889111111111108</v>
      </c>
      <c r="O1810" s="356">
        <f t="shared" si="2235"/>
        <v>1.5447461381346547E-2</v>
      </c>
    </row>
    <row r="1811" spans="1:15" ht="24" thickBot="1" x14ac:dyDescent="0.35">
      <c r="A1811" s="969" t="s">
        <v>101</v>
      </c>
      <c r="B1811" s="1054" t="s">
        <v>162</v>
      </c>
      <c r="C1811" s="1055"/>
      <c r="D1811" s="1056"/>
      <c r="E1811" s="308">
        <f>+E1810+E1802</f>
        <v>1865664</v>
      </c>
      <c r="F1811" s="309">
        <f>+F1810+F1802</f>
        <v>240000</v>
      </c>
      <c r="G1811" s="369">
        <f>+G1802+G1810</f>
        <v>20133</v>
      </c>
      <c r="H1811" s="368">
        <f>+H1802+H1810</f>
        <v>19890</v>
      </c>
      <c r="I1811" s="368">
        <f>+I1802+I1810</f>
        <v>243</v>
      </c>
      <c r="J1811" s="358">
        <f>+G1811/F1811</f>
        <v>8.3887500000000004E-2</v>
      </c>
      <c r="K1811" s="369">
        <f>+K1802+K1810</f>
        <v>1615722</v>
      </c>
      <c r="L1811" s="368">
        <f>+L1802+L1810</f>
        <v>1591200</v>
      </c>
      <c r="M1811" s="370">
        <f>+M1802+M1810</f>
        <v>24522</v>
      </c>
      <c r="N1811" s="357">
        <f>IFERROR(K1811/E1811,"-")</f>
        <v>0.86603053926108886</v>
      </c>
      <c r="O1811" s="358">
        <f t="shared" si="2235"/>
        <v>1.5177115865229291E-2</v>
      </c>
    </row>
    <row r="1812" spans="1:15" ht="23.4" x14ac:dyDescent="0.3">
      <c r="A1812" s="274" t="s">
        <v>101</v>
      </c>
      <c r="B1812" s="1051" t="s">
        <v>30</v>
      </c>
      <c r="C1812" s="303" t="s">
        <v>446</v>
      </c>
      <c r="D1812" s="299" t="s">
        <v>492</v>
      </c>
      <c r="E1812" s="270">
        <v>225000</v>
      </c>
      <c r="F1812" s="271"/>
      <c r="G1812" s="332">
        <f t="shared" ref="G1812:G1814" si="2279">+H1812+I1812</f>
        <v>57210</v>
      </c>
      <c r="H1812" s="272">
        <v>56160</v>
      </c>
      <c r="I1812" s="272">
        <v>1050</v>
      </c>
      <c r="J1812" s="351" t="str">
        <f>IFERROR(G1812/F1812,"-")</f>
        <v>-</v>
      </c>
      <c r="K1812" s="332">
        <f t="shared" ref="K1812:K1814" si="2280">+L1812+M1812</f>
        <v>237623</v>
      </c>
      <c r="L1812" s="272">
        <f t="shared" ref="L1812:L1814" si="2281">+H1812+L1695</f>
        <v>232128</v>
      </c>
      <c r="M1812" s="273">
        <f t="shared" ref="M1812:M1814" si="2282">+I1812+M1695</f>
        <v>5495</v>
      </c>
      <c r="N1812" s="336">
        <f t="shared" ref="N1812:N1825" si="2283">IFERROR(K1812/E1812,"-")</f>
        <v>1.0561022222222223</v>
      </c>
      <c r="O1812" s="346">
        <f t="shared" si="2235"/>
        <v>2.3124865858944632E-2</v>
      </c>
    </row>
    <row r="1813" spans="1:15" ht="23.4" x14ac:dyDescent="0.3">
      <c r="A1813" s="274" t="s">
        <v>101</v>
      </c>
      <c r="B1813" s="1051"/>
      <c r="C1813" s="300" t="s">
        <v>548</v>
      </c>
      <c r="D1813" s="303" t="s">
        <v>522</v>
      </c>
      <c r="E1813" s="276">
        <v>125000</v>
      </c>
      <c r="F1813" s="277"/>
      <c r="G1813" s="333">
        <f t="shared" si="2279"/>
        <v>0</v>
      </c>
      <c r="H1813" s="278">
        <v>0</v>
      </c>
      <c r="I1813" s="278">
        <v>0</v>
      </c>
      <c r="J1813" s="351" t="str">
        <f t="shared" ref="J1813:J1814" si="2284">IFERROR(G1813/F1813,"-")</f>
        <v>-</v>
      </c>
      <c r="K1813" s="333">
        <f t="shared" si="2280"/>
        <v>0</v>
      </c>
      <c r="L1813" s="272">
        <f t="shared" si="2281"/>
        <v>0</v>
      </c>
      <c r="M1813" s="273">
        <f t="shared" si="2282"/>
        <v>0</v>
      </c>
      <c r="N1813" s="337">
        <f t="shared" si="2283"/>
        <v>0</v>
      </c>
      <c r="O1813" s="263" t="str">
        <f t="shared" si="2235"/>
        <v>-</v>
      </c>
    </row>
    <row r="1814" spans="1:15" ht="24" thickBot="1" x14ac:dyDescent="0.35">
      <c r="A1814" s="274" t="s">
        <v>101</v>
      </c>
      <c r="B1814" s="1051"/>
      <c r="C1814" s="300" t="s">
        <v>291</v>
      </c>
      <c r="D1814" s="300" t="s">
        <v>366</v>
      </c>
      <c r="E1814" s="280"/>
      <c r="F1814" s="281"/>
      <c r="G1814" s="334">
        <f t="shared" si="2279"/>
        <v>0</v>
      </c>
      <c r="H1814" s="282">
        <v>0</v>
      </c>
      <c r="I1814" s="282">
        <v>0</v>
      </c>
      <c r="J1814" s="351" t="str">
        <f t="shared" si="2284"/>
        <v>-</v>
      </c>
      <c r="K1814" s="334">
        <f t="shared" si="2280"/>
        <v>53195</v>
      </c>
      <c r="L1814" s="272">
        <f t="shared" si="2281"/>
        <v>51828</v>
      </c>
      <c r="M1814" s="273">
        <f t="shared" si="2282"/>
        <v>1367</v>
      </c>
      <c r="N1814" s="338" t="str">
        <f t="shared" si="2283"/>
        <v>-</v>
      </c>
      <c r="O1814" s="347">
        <f t="shared" si="2235"/>
        <v>2.569790393834007E-2</v>
      </c>
    </row>
    <row r="1815" spans="1:15" ht="24" thickBot="1" x14ac:dyDescent="0.35">
      <c r="A1815" s="274" t="s">
        <v>101</v>
      </c>
      <c r="B1815" s="1051"/>
      <c r="C1815" s="301"/>
      <c r="D1815" s="302" t="s">
        <v>50</v>
      </c>
      <c r="E1815" s="284">
        <f>SUM(E1812:E1814)</f>
        <v>350000</v>
      </c>
      <c r="F1815" s="285">
        <v>50000</v>
      </c>
      <c r="G1815" s="320">
        <f>SUM(G1812:G1814)</f>
        <v>57210</v>
      </c>
      <c r="H1815" s="321">
        <f>SUM(H1812:H1814)</f>
        <v>56160</v>
      </c>
      <c r="I1815" s="321">
        <f>SUM(I1812:I1814)</f>
        <v>1050</v>
      </c>
      <c r="J1815" s="345">
        <f>+G1815/F1815</f>
        <v>1.1442000000000001</v>
      </c>
      <c r="K1815" s="320">
        <f>SUM(K1812:K1814)</f>
        <v>290818</v>
      </c>
      <c r="L1815" s="321">
        <f>SUM(L1812:L1814)</f>
        <v>283956</v>
      </c>
      <c r="M1815" s="322">
        <f>SUM(M1812:M1814)</f>
        <v>6862</v>
      </c>
      <c r="N1815" s="339">
        <f t="shared" si="2283"/>
        <v>0.83090857142857144</v>
      </c>
      <c r="O1815" s="345">
        <f t="shared" si="2235"/>
        <v>2.3595513345116191E-2</v>
      </c>
    </row>
    <row r="1816" spans="1:15" ht="23.4" x14ac:dyDescent="0.3">
      <c r="A1816" s="274" t="s">
        <v>101</v>
      </c>
      <c r="B1816" s="1051"/>
      <c r="C1816" s="297" t="s">
        <v>434</v>
      </c>
      <c r="D1816" s="297" t="s">
        <v>92</v>
      </c>
      <c r="E1816" s="270"/>
      <c r="F1816" s="271"/>
      <c r="G1816" s="332">
        <f t="shared" ref="G1816:G1821" si="2285">+H1816+I1816</f>
        <v>0</v>
      </c>
      <c r="H1816" s="272">
        <v>0</v>
      </c>
      <c r="I1816" s="272">
        <v>0</v>
      </c>
      <c r="J1816" s="351" t="str">
        <f>IFERROR(G1816/F1816,"-")</f>
        <v>-</v>
      </c>
      <c r="K1816" s="332">
        <f t="shared" ref="K1816:K1821" si="2286">+L1816+M1816</f>
        <v>0</v>
      </c>
      <c r="L1816" s="272">
        <f t="shared" ref="L1816:L1821" si="2287">+H1816+L1699</f>
        <v>0</v>
      </c>
      <c r="M1816" s="273">
        <f t="shared" ref="M1816:M1821" si="2288">+I1816+M1699</f>
        <v>0</v>
      </c>
      <c r="N1816" s="336" t="str">
        <f t="shared" si="2283"/>
        <v>-</v>
      </c>
      <c r="O1816" s="346" t="str">
        <f t="shared" si="2235"/>
        <v>-</v>
      </c>
    </row>
    <row r="1817" spans="1:15" ht="23.4" x14ac:dyDescent="0.3">
      <c r="A1817" s="274"/>
      <c r="B1817" s="1051"/>
      <c r="C1817" s="303" t="s">
        <v>449</v>
      </c>
      <c r="D1817" s="299" t="s">
        <v>334</v>
      </c>
      <c r="E1817" s="270"/>
      <c r="F1817" s="271"/>
      <c r="G1817" s="332">
        <f t="shared" si="2285"/>
        <v>0</v>
      </c>
      <c r="H1817" s="272">
        <v>0</v>
      </c>
      <c r="I1817" s="272">
        <v>0</v>
      </c>
      <c r="J1817" s="351" t="str">
        <f t="shared" ref="J1817:J1821" si="2289">IFERROR(G1817/F1817,"-")</f>
        <v>-</v>
      </c>
      <c r="K1817" s="332">
        <f t="shared" si="2286"/>
        <v>0</v>
      </c>
      <c r="L1817" s="272">
        <f t="shared" si="2287"/>
        <v>0</v>
      </c>
      <c r="M1817" s="273">
        <f t="shared" si="2288"/>
        <v>0</v>
      </c>
      <c r="N1817" s="337" t="str">
        <f t="shared" si="2283"/>
        <v>-</v>
      </c>
      <c r="O1817" s="346" t="str">
        <f t="shared" si="2235"/>
        <v>-</v>
      </c>
    </row>
    <row r="1818" spans="1:15" ht="23.4" x14ac:dyDescent="0.3">
      <c r="A1818" s="274"/>
      <c r="B1818" s="1051"/>
      <c r="C1818" s="303" t="s">
        <v>452</v>
      </c>
      <c r="D1818" s="299" t="s">
        <v>334</v>
      </c>
      <c r="E1818" s="270"/>
      <c r="F1818" s="271"/>
      <c r="G1818" s="332">
        <f t="shared" si="2285"/>
        <v>0</v>
      </c>
      <c r="H1818" s="272">
        <v>0</v>
      </c>
      <c r="I1818" s="272">
        <v>0</v>
      </c>
      <c r="J1818" s="351" t="str">
        <f t="shared" si="2289"/>
        <v>-</v>
      </c>
      <c r="K1818" s="332">
        <f t="shared" si="2286"/>
        <v>0</v>
      </c>
      <c r="L1818" s="272">
        <f t="shared" si="2287"/>
        <v>0</v>
      </c>
      <c r="M1818" s="273">
        <f t="shared" si="2288"/>
        <v>0</v>
      </c>
      <c r="N1818" s="337" t="str">
        <f t="shared" si="2283"/>
        <v>-</v>
      </c>
      <c r="O1818" s="346" t="str">
        <f t="shared" si="2235"/>
        <v>-</v>
      </c>
    </row>
    <row r="1819" spans="1:15" ht="23.4" x14ac:dyDescent="0.3">
      <c r="A1819" s="274" t="s">
        <v>101</v>
      </c>
      <c r="B1819" s="1051"/>
      <c r="C1819" s="303" t="s">
        <v>501</v>
      </c>
      <c r="D1819" s="300" t="s">
        <v>423</v>
      </c>
      <c r="E1819" s="276"/>
      <c r="F1819" s="277"/>
      <c r="G1819" s="333">
        <f t="shared" si="2285"/>
        <v>0</v>
      </c>
      <c r="H1819" s="278">
        <v>0</v>
      </c>
      <c r="I1819" s="272">
        <v>0</v>
      </c>
      <c r="J1819" s="351" t="str">
        <f t="shared" si="2289"/>
        <v>-</v>
      </c>
      <c r="K1819" s="333">
        <f t="shared" si="2286"/>
        <v>8116</v>
      </c>
      <c r="L1819" s="272">
        <f t="shared" si="2287"/>
        <v>7488</v>
      </c>
      <c r="M1819" s="273">
        <f t="shared" si="2288"/>
        <v>628</v>
      </c>
      <c r="N1819" s="337" t="str">
        <f t="shared" si="2283"/>
        <v>-</v>
      </c>
      <c r="O1819" s="263">
        <f t="shared" si="2235"/>
        <v>7.737801872843765E-2</v>
      </c>
    </row>
    <row r="1820" spans="1:15" ht="23.4" x14ac:dyDescent="0.3">
      <c r="A1820" s="274"/>
      <c r="B1820" s="1051"/>
      <c r="C1820" s="300" t="s">
        <v>459</v>
      </c>
      <c r="D1820" s="300" t="s">
        <v>366</v>
      </c>
      <c r="E1820" s="280"/>
      <c r="F1820" s="281"/>
      <c r="G1820" s="334">
        <f t="shared" si="2285"/>
        <v>0</v>
      </c>
      <c r="H1820" s="282">
        <v>0</v>
      </c>
      <c r="I1820" s="278">
        <v>0</v>
      </c>
      <c r="J1820" s="351" t="str">
        <f t="shared" si="2289"/>
        <v>-</v>
      </c>
      <c r="K1820" s="333">
        <f t="shared" si="2286"/>
        <v>80554</v>
      </c>
      <c r="L1820" s="272">
        <f t="shared" si="2287"/>
        <v>78624</v>
      </c>
      <c r="M1820" s="272">
        <f t="shared" si="2288"/>
        <v>1930</v>
      </c>
      <c r="N1820" s="337" t="str">
        <f t="shared" si="2283"/>
        <v>-</v>
      </c>
      <c r="O1820" s="263">
        <f t="shared" si="2235"/>
        <v>2.3959083347816372E-2</v>
      </c>
    </row>
    <row r="1821" spans="1:15" ht="24" thickBot="1" x14ac:dyDescent="0.35">
      <c r="A1821" s="274" t="s">
        <v>101</v>
      </c>
      <c r="B1821" s="1051"/>
      <c r="C1821" s="300" t="s">
        <v>435</v>
      </c>
      <c r="D1821" s="300" t="s">
        <v>423</v>
      </c>
      <c r="E1821" s="280"/>
      <c r="F1821" s="281"/>
      <c r="G1821" s="334">
        <f t="shared" si="2285"/>
        <v>0</v>
      </c>
      <c r="H1821" s="282">
        <v>0</v>
      </c>
      <c r="I1821" s="272">
        <v>0</v>
      </c>
      <c r="J1821" s="351" t="str">
        <f t="shared" si="2289"/>
        <v>-</v>
      </c>
      <c r="K1821" s="334">
        <f t="shared" si="2286"/>
        <v>0</v>
      </c>
      <c r="L1821" s="272">
        <f t="shared" si="2287"/>
        <v>0</v>
      </c>
      <c r="M1821" s="273">
        <f t="shared" si="2288"/>
        <v>0</v>
      </c>
      <c r="N1821" s="338" t="str">
        <f t="shared" si="2283"/>
        <v>-</v>
      </c>
      <c r="O1821" s="347" t="str">
        <f t="shared" si="2235"/>
        <v>-</v>
      </c>
    </row>
    <row r="1822" spans="1:15" ht="24" thickBot="1" x14ac:dyDescent="0.35">
      <c r="A1822" s="274" t="s">
        <v>101</v>
      </c>
      <c r="B1822" s="1051"/>
      <c r="C1822" s="304"/>
      <c r="D1822" s="305" t="s">
        <v>51</v>
      </c>
      <c r="E1822" s="306">
        <f>SUM(E1816:E1821)</f>
        <v>0</v>
      </c>
      <c r="F1822" s="307">
        <v>50000</v>
      </c>
      <c r="G1822" s="366">
        <f>SUM(G1816:G1821)</f>
        <v>0</v>
      </c>
      <c r="H1822" s="365">
        <f t="shared" ref="H1822:I1822" si="2290">SUM(H1816:H1821)</f>
        <v>0</v>
      </c>
      <c r="I1822" s="365">
        <f t="shared" si="2290"/>
        <v>0</v>
      </c>
      <c r="J1822" s="356">
        <f>+G1822/F1822</f>
        <v>0</v>
      </c>
      <c r="K1822" s="366">
        <f t="shared" ref="K1822:M1822" si="2291">SUM(K1816:K1821)</f>
        <v>88670</v>
      </c>
      <c r="L1822" s="365">
        <f t="shared" si="2291"/>
        <v>86112</v>
      </c>
      <c r="M1822" s="367">
        <f t="shared" si="2291"/>
        <v>2558</v>
      </c>
      <c r="N1822" s="355" t="str">
        <f t="shared" si="2283"/>
        <v>-</v>
      </c>
      <c r="O1822" s="356">
        <f t="shared" si="2235"/>
        <v>2.8848539528589151E-2</v>
      </c>
    </row>
    <row r="1823" spans="1:15" ht="24" thickBot="1" x14ac:dyDescent="0.35">
      <c r="A1823" s="274" t="s">
        <v>101</v>
      </c>
      <c r="B1823" s="1054" t="s">
        <v>163</v>
      </c>
      <c r="C1823" s="1055"/>
      <c r="D1823" s="1056"/>
      <c r="E1823" s="308">
        <f>+E1822+E1815</f>
        <v>350000</v>
      </c>
      <c r="F1823" s="309">
        <v>50000</v>
      </c>
      <c r="G1823" s="369">
        <f>+G1815+G1822</f>
        <v>57210</v>
      </c>
      <c r="H1823" s="368">
        <f t="shared" ref="H1823:I1823" si="2292">+H1815+H1822</f>
        <v>56160</v>
      </c>
      <c r="I1823" s="368">
        <f t="shared" si="2292"/>
        <v>1050</v>
      </c>
      <c r="J1823" s="358">
        <f>+G1823/F1823</f>
        <v>1.1442000000000001</v>
      </c>
      <c r="K1823" s="369">
        <f t="shared" ref="K1823:M1823" si="2293">+K1815+K1822</f>
        <v>379488</v>
      </c>
      <c r="L1823" s="368">
        <f t="shared" si="2293"/>
        <v>370068</v>
      </c>
      <c r="M1823" s="370">
        <f t="shared" si="2293"/>
        <v>9420</v>
      </c>
      <c r="N1823" s="357">
        <f t="shared" si="2283"/>
        <v>1.0842514285714286</v>
      </c>
      <c r="O1823" s="358">
        <f t="shared" si="2235"/>
        <v>2.4822919301796104E-2</v>
      </c>
    </row>
    <row r="1824" spans="1:15" ht="24" thickBot="1" x14ac:dyDescent="0.35">
      <c r="A1824" s="274" t="s">
        <v>101</v>
      </c>
      <c r="B1824" s="598" t="s">
        <v>32</v>
      </c>
      <c r="C1824" s="965"/>
      <c r="D1824" s="310" t="s">
        <v>32</v>
      </c>
      <c r="E1824" s="287">
        <v>0</v>
      </c>
      <c r="F1824" s="288">
        <v>110000</v>
      </c>
      <c r="G1824" s="335">
        <f t="shared" ref="G1824" si="2294">+H1824+I1824</f>
        <v>0</v>
      </c>
      <c r="H1824" s="289">
        <v>0</v>
      </c>
      <c r="I1824" s="289">
        <v>0</v>
      </c>
      <c r="J1824" s="354">
        <f>IFERROR(G1824/F1824,"-")</f>
        <v>0</v>
      </c>
      <c r="K1824" s="335">
        <f>+L1824+M1824</f>
        <v>0</v>
      </c>
      <c r="L1824" s="289">
        <f>+H1824+L1707</f>
        <v>0</v>
      </c>
      <c r="M1824" s="290">
        <f>+I1824+M1707</f>
        <v>0</v>
      </c>
      <c r="N1824" s="340" t="str">
        <f t="shared" si="2283"/>
        <v>-</v>
      </c>
      <c r="O1824" s="348" t="str">
        <f t="shared" si="2235"/>
        <v>-</v>
      </c>
    </row>
    <row r="1825" spans="1:15" ht="24" thickBot="1" x14ac:dyDescent="0.35">
      <c r="A1825" s="274" t="s">
        <v>101</v>
      </c>
      <c r="B1825" s="1047" t="s">
        <v>21</v>
      </c>
      <c r="C1825" s="1048"/>
      <c r="D1825" s="1049"/>
      <c r="E1825" s="326">
        <f>+E1811+E1823+E1824</f>
        <v>2215664</v>
      </c>
      <c r="F1825" s="327">
        <f>+F1811+F1823+F1824</f>
        <v>400000</v>
      </c>
      <c r="G1825" s="326">
        <f>+G1811+G1823+G1824</f>
        <v>77343</v>
      </c>
      <c r="H1825" s="324">
        <f>+H1811+H1823+H1824</f>
        <v>76050</v>
      </c>
      <c r="I1825" s="324">
        <f>+I1811+I1823+I1824</f>
        <v>1293</v>
      </c>
      <c r="J1825" s="349">
        <f>+G1825/F1825</f>
        <v>0.19335749999999999</v>
      </c>
      <c r="K1825" s="326">
        <f>+K1811+K1823+K1824</f>
        <v>1995210</v>
      </c>
      <c r="L1825" s="324">
        <f>+L1811+L1823+L1824</f>
        <v>1961268</v>
      </c>
      <c r="M1825" s="325">
        <f>+M1811+M1823+M1824</f>
        <v>33942</v>
      </c>
      <c r="N1825" s="341">
        <f t="shared" si="2283"/>
        <v>0.90050206168444313</v>
      </c>
      <c r="O1825" s="349">
        <f t="shared" si="2235"/>
        <v>1.7011743124783856E-2</v>
      </c>
    </row>
    <row r="1826" spans="1:15" ht="24" thickBot="1" x14ac:dyDescent="0.35">
      <c r="A1826" s="274" t="s">
        <v>101</v>
      </c>
      <c r="B1826" s="1019" t="s">
        <v>171</v>
      </c>
      <c r="C1826" s="1020"/>
      <c r="D1826" s="1021"/>
      <c r="E1826" s="330">
        <f>+E1825</f>
        <v>2215664</v>
      </c>
      <c r="F1826" s="331">
        <f t="shared" ref="F1826:I1826" si="2295">+F1825</f>
        <v>400000</v>
      </c>
      <c r="G1826" s="330">
        <f t="shared" si="2295"/>
        <v>77343</v>
      </c>
      <c r="H1826" s="328">
        <f t="shared" si="2295"/>
        <v>76050</v>
      </c>
      <c r="I1826" s="328">
        <f t="shared" si="2295"/>
        <v>1293</v>
      </c>
      <c r="J1826" s="872">
        <f>+G1826/F1826</f>
        <v>0.19335749999999999</v>
      </c>
      <c r="K1826" s="330">
        <f>+K1825</f>
        <v>1995210</v>
      </c>
      <c r="L1826" s="328">
        <f t="shared" ref="L1826" si="2296">+L1825</f>
        <v>1961268</v>
      </c>
      <c r="M1826" s="329">
        <f>+M1825</f>
        <v>33942</v>
      </c>
      <c r="N1826" s="342">
        <f t="shared" ref="N1826:O1826" si="2297">+N1825</f>
        <v>0.90050206168444313</v>
      </c>
      <c r="O1826" s="350">
        <f t="shared" si="2297"/>
        <v>1.7011743124783856E-2</v>
      </c>
    </row>
    <row r="1827" spans="1:15" ht="23.4" x14ac:dyDescent="0.3">
      <c r="A1827" s="268" t="s">
        <v>102</v>
      </c>
      <c r="B1827" s="1022" t="s">
        <v>401</v>
      </c>
      <c r="C1827" s="311" t="s">
        <v>113</v>
      </c>
      <c r="D1827" s="311"/>
      <c r="E1827" s="270"/>
      <c r="F1827" s="271"/>
      <c r="G1827" s="332">
        <f t="shared" ref="G1827:G1829" si="2298">+H1827+I1827</f>
        <v>0</v>
      </c>
      <c r="H1827" s="272">
        <v>0</v>
      </c>
      <c r="I1827" s="272">
        <v>0</v>
      </c>
      <c r="J1827" s="351" t="str">
        <f>IFERROR(G1827/F1827,"-")</f>
        <v>-</v>
      </c>
      <c r="K1827" s="332">
        <f t="shared" ref="K1827:K1829" si="2299">+L1827+M1827</f>
        <v>0</v>
      </c>
      <c r="L1827" s="272">
        <f t="shared" ref="L1827:L1829" si="2300">+H1827+L1710</f>
        <v>0</v>
      </c>
      <c r="M1827" s="273">
        <f t="shared" ref="M1827:M1829" si="2301">+I1827+M1710</f>
        <v>0</v>
      </c>
      <c r="N1827" s="336" t="str">
        <f t="shared" ref="N1827:N1834" si="2302">IFERROR(K1827/E1827,"-")</f>
        <v>-</v>
      </c>
      <c r="O1827" s="346" t="str">
        <f t="shared" ref="O1827:O1852" si="2303">IFERROR(M1827/K1827,"-")</f>
        <v>-</v>
      </c>
    </row>
    <row r="1828" spans="1:15" ht="23.4" x14ac:dyDescent="0.3">
      <c r="A1828" s="274" t="s">
        <v>102</v>
      </c>
      <c r="B1828" s="1023"/>
      <c r="C1828" s="312" t="s">
        <v>247</v>
      </c>
      <c r="D1828" s="312"/>
      <c r="E1828" s="276">
        <v>2000</v>
      </c>
      <c r="F1828" s="277"/>
      <c r="G1828" s="333">
        <f t="shared" si="2298"/>
        <v>0</v>
      </c>
      <c r="H1828" s="278">
        <v>0</v>
      </c>
      <c r="I1828" s="278">
        <v>0</v>
      </c>
      <c r="J1828" s="351" t="str">
        <f t="shared" ref="J1828:J1829" si="2304">IFERROR(G1828/F1828,"-")</f>
        <v>-</v>
      </c>
      <c r="K1828" s="333">
        <f t="shared" si="2299"/>
        <v>9638</v>
      </c>
      <c r="L1828" s="272">
        <f t="shared" si="2300"/>
        <v>9149</v>
      </c>
      <c r="M1828" s="273">
        <f t="shared" si="2301"/>
        <v>489</v>
      </c>
      <c r="N1828" s="337">
        <f t="shared" si="2302"/>
        <v>4.819</v>
      </c>
      <c r="O1828" s="263">
        <f t="shared" si="2303"/>
        <v>5.0736667358373108E-2</v>
      </c>
    </row>
    <row r="1829" spans="1:15" ht="24" thickBot="1" x14ac:dyDescent="0.35">
      <c r="A1829" s="274" t="s">
        <v>102</v>
      </c>
      <c r="B1829" s="1024"/>
      <c r="C1829" s="313" t="s">
        <v>33</v>
      </c>
      <c r="D1829" s="313"/>
      <c r="E1829" s="280"/>
      <c r="F1829" s="281"/>
      <c r="G1829" s="334">
        <f t="shared" si="2298"/>
        <v>0</v>
      </c>
      <c r="H1829" s="282">
        <v>0</v>
      </c>
      <c r="I1829" s="282">
        <v>0</v>
      </c>
      <c r="J1829" s="351" t="str">
        <f t="shared" si="2304"/>
        <v>-</v>
      </c>
      <c r="K1829" s="334">
        <f t="shared" si="2299"/>
        <v>0</v>
      </c>
      <c r="L1829" s="272">
        <f t="shared" si="2300"/>
        <v>0</v>
      </c>
      <c r="M1829" s="273">
        <f t="shared" si="2301"/>
        <v>0</v>
      </c>
      <c r="N1829" s="338" t="str">
        <f t="shared" si="2302"/>
        <v>-</v>
      </c>
      <c r="O1829" s="347" t="str">
        <f t="shared" si="2303"/>
        <v>-</v>
      </c>
    </row>
    <row r="1830" spans="1:15" ht="24" thickBot="1" x14ac:dyDescent="0.35">
      <c r="A1830" s="274" t="s">
        <v>102</v>
      </c>
      <c r="B1830" s="1025" t="s">
        <v>34</v>
      </c>
      <c r="C1830" s="1026"/>
      <c r="D1830" s="1027"/>
      <c r="E1830" s="284">
        <f>SUM(E1827:E1829)</f>
        <v>2000</v>
      </c>
      <c r="F1830" s="285">
        <v>6500</v>
      </c>
      <c r="G1830" s="320">
        <f>SUM(G1827:G1829)</f>
        <v>0</v>
      </c>
      <c r="H1830" s="321">
        <f t="shared" ref="H1830:I1830" si="2305">SUM(H1827:H1829)</f>
        <v>0</v>
      </c>
      <c r="I1830" s="321">
        <f t="shared" si="2305"/>
        <v>0</v>
      </c>
      <c r="J1830" s="345">
        <f>IFERROR(G1830/F1830,"-")</f>
        <v>0</v>
      </c>
      <c r="K1830" s="320">
        <f t="shared" ref="K1830:M1830" si="2306">SUM(K1827:K1829)</f>
        <v>9638</v>
      </c>
      <c r="L1830" s="321">
        <f t="shared" si="2306"/>
        <v>9149</v>
      </c>
      <c r="M1830" s="322">
        <f t="shared" si="2306"/>
        <v>489</v>
      </c>
      <c r="N1830" s="339">
        <f t="shared" si="2302"/>
        <v>4.819</v>
      </c>
      <c r="O1830" s="345">
        <f t="shared" si="2303"/>
        <v>5.0736667358373108E-2</v>
      </c>
    </row>
    <row r="1831" spans="1:15" ht="23.4" x14ac:dyDescent="0.3">
      <c r="A1831" s="274" t="s">
        <v>102</v>
      </c>
      <c r="B1831" s="1022" t="s">
        <v>35</v>
      </c>
      <c r="C1831" s="311" t="s">
        <v>113</v>
      </c>
      <c r="D1831" s="311"/>
      <c r="E1831" s="270">
        <v>116160</v>
      </c>
      <c r="F1831" s="271"/>
      <c r="G1831" s="332">
        <f t="shared" ref="G1831:G1834" si="2307">+H1831+I1831</f>
        <v>0</v>
      </c>
      <c r="H1831" s="272">
        <v>0</v>
      </c>
      <c r="I1831" s="272">
        <v>0</v>
      </c>
      <c r="J1831" s="351" t="str">
        <f>IFERROR(G1831/F1831,"-")</f>
        <v>-</v>
      </c>
      <c r="K1831" s="332">
        <f t="shared" ref="K1831:K1834" si="2308">+L1831+M1831</f>
        <v>0</v>
      </c>
      <c r="L1831" s="272">
        <f t="shared" ref="L1831:L1834" si="2309">+H1831+L1714</f>
        <v>0</v>
      </c>
      <c r="M1831" s="273">
        <f t="shared" ref="M1831:M1834" si="2310">+I1831+M1714</f>
        <v>0</v>
      </c>
      <c r="N1831" s="336">
        <f t="shared" si="2302"/>
        <v>0</v>
      </c>
      <c r="O1831" s="346" t="str">
        <f t="shared" si="2303"/>
        <v>-</v>
      </c>
    </row>
    <row r="1832" spans="1:15" ht="23.4" x14ac:dyDescent="0.3">
      <c r="A1832" s="274" t="s">
        <v>102</v>
      </c>
      <c r="B1832" s="1023"/>
      <c r="C1832" s="312" t="s">
        <v>247</v>
      </c>
      <c r="D1832" s="312"/>
      <c r="E1832" s="276"/>
      <c r="F1832" s="277"/>
      <c r="G1832" s="333">
        <f t="shared" si="2307"/>
        <v>5955</v>
      </c>
      <c r="H1832" s="278">
        <f>1280+4480</f>
        <v>5760</v>
      </c>
      <c r="I1832" s="278">
        <f>65+130</f>
        <v>195</v>
      </c>
      <c r="J1832" s="351" t="str">
        <f t="shared" ref="J1832:J1834" si="2311">IFERROR(G1832/F1832,"-")</f>
        <v>-</v>
      </c>
      <c r="K1832" s="333">
        <f t="shared" si="2308"/>
        <v>17696</v>
      </c>
      <c r="L1832" s="272">
        <f t="shared" si="2309"/>
        <v>16320</v>
      </c>
      <c r="M1832" s="273">
        <f t="shared" si="2310"/>
        <v>1376</v>
      </c>
      <c r="N1832" s="337" t="str">
        <f t="shared" si="2302"/>
        <v>-</v>
      </c>
      <c r="O1832" s="263">
        <f t="shared" si="2303"/>
        <v>7.7757685352622063E-2</v>
      </c>
    </row>
    <row r="1833" spans="1:15" ht="23.4" x14ac:dyDescent="0.3">
      <c r="A1833" s="274" t="s">
        <v>102</v>
      </c>
      <c r="B1833" s="1023"/>
      <c r="C1833" s="312" t="s">
        <v>496</v>
      </c>
      <c r="D1833" s="312"/>
      <c r="E1833" s="276">
        <v>20000</v>
      </c>
      <c r="F1833" s="277"/>
      <c r="G1833" s="333">
        <f t="shared" si="2307"/>
        <v>0</v>
      </c>
      <c r="H1833" s="278">
        <v>0</v>
      </c>
      <c r="I1833" s="278">
        <v>0</v>
      </c>
      <c r="J1833" s="351" t="str">
        <f t="shared" si="2311"/>
        <v>-</v>
      </c>
      <c r="K1833" s="333">
        <f t="shared" si="2308"/>
        <v>0</v>
      </c>
      <c r="L1833" s="272">
        <f t="shared" si="2309"/>
        <v>0</v>
      </c>
      <c r="M1833" s="273">
        <f t="shared" si="2310"/>
        <v>0</v>
      </c>
      <c r="N1833" s="337">
        <f t="shared" si="2302"/>
        <v>0</v>
      </c>
      <c r="O1833" s="263" t="str">
        <f t="shared" si="2303"/>
        <v>-</v>
      </c>
    </row>
    <row r="1834" spans="1:15" ht="24" thickBot="1" x14ac:dyDescent="0.35">
      <c r="A1834" s="274" t="s">
        <v>102</v>
      </c>
      <c r="B1834" s="1024"/>
      <c r="C1834" s="313" t="s">
        <v>36</v>
      </c>
      <c r="D1834" s="313"/>
      <c r="E1834" s="280"/>
      <c r="F1834" s="281"/>
      <c r="G1834" s="334">
        <f t="shared" si="2307"/>
        <v>0</v>
      </c>
      <c r="H1834" s="278">
        <v>0</v>
      </c>
      <c r="I1834" s="278">
        <v>0</v>
      </c>
      <c r="J1834" s="351" t="str">
        <f t="shared" si="2311"/>
        <v>-</v>
      </c>
      <c r="K1834" s="334">
        <f t="shared" si="2308"/>
        <v>0</v>
      </c>
      <c r="L1834" s="272">
        <f t="shared" si="2309"/>
        <v>0</v>
      </c>
      <c r="M1834" s="273">
        <f t="shared" si="2310"/>
        <v>0</v>
      </c>
      <c r="N1834" s="338" t="str">
        <f t="shared" si="2302"/>
        <v>-</v>
      </c>
      <c r="O1834" s="347" t="str">
        <f t="shared" si="2303"/>
        <v>-</v>
      </c>
    </row>
    <row r="1835" spans="1:15" ht="24" thickBot="1" x14ac:dyDescent="0.35">
      <c r="A1835" s="274" t="s">
        <v>102</v>
      </c>
      <c r="B1835" s="1025" t="s">
        <v>37</v>
      </c>
      <c r="C1835" s="1026"/>
      <c r="D1835" s="1027"/>
      <c r="E1835" s="284">
        <f>SUM(E1831:E1834)</f>
        <v>136160</v>
      </c>
      <c r="F1835" s="285">
        <v>6500</v>
      </c>
      <c r="G1835" s="320">
        <f>SUM(G1831:G1834)</f>
        <v>5955</v>
      </c>
      <c r="H1835" s="321">
        <f t="shared" ref="H1835:I1835" si="2312">SUM(H1831:H1834)</f>
        <v>5760</v>
      </c>
      <c r="I1835" s="321">
        <f t="shared" si="2312"/>
        <v>195</v>
      </c>
      <c r="J1835" s="345">
        <f>IFERROR(G1835/F1835,"-")</f>
        <v>0.91615384615384621</v>
      </c>
      <c r="K1835" s="320">
        <f t="shared" ref="K1835:M1835" si="2313">SUM(K1831:K1834)</f>
        <v>17696</v>
      </c>
      <c r="L1835" s="321">
        <f t="shared" si="2313"/>
        <v>16320</v>
      </c>
      <c r="M1835" s="322">
        <f t="shared" si="2313"/>
        <v>1376</v>
      </c>
      <c r="N1835" s="339">
        <f>IFERROR(K1835/E1835,"-")</f>
        <v>0.12996474735605171</v>
      </c>
      <c r="O1835" s="345">
        <f t="shared" si="2303"/>
        <v>7.7757685352622063E-2</v>
      </c>
    </row>
    <row r="1836" spans="1:15" ht="23.4" x14ac:dyDescent="0.3">
      <c r="A1836" s="274" t="s">
        <v>102</v>
      </c>
      <c r="B1836" s="1022" t="s">
        <v>402</v>
      </c>
      <c r="C1836" s="314" t="s">
        <v>116</v>
      </c>
      <c r="D1836" s="314"/>
      <c r="E1836" s="270">
        <v>31000</v>
      </c>
      <c r="F1836" s="271"/>
      <c r="G1836" s="332">
        <f t="shared" ref="G1836:G1837" si="2314">+H1836+I1836</f>
        <v>0</v>
      </c>
      <c r="H1836" s="272">
        <v>0</v>
      </c>
      <c r="I1836" s="272">
        <v>0</v>
      </c>
      <c r="J1836" s="351" t="str">
        <f>IFERROR(G1836/F1836,"-")</f>
        <v>-</v>
      </c>
      <c r="K1836" s="332">
        <f t="shared" ref="K1836:K1837" si="2315">+L1836+M1836</f>
        <v>0</v>
      </c>
      <c r="L1836" s="272">
        <f t="shared" ref="L1836:L1837" si="2316">+H1836+L1719</f>
        <v>0</v>
      </c>
      <c r="M1836" s="273">
        <f t="shared" ref="M1836:M1837" si="2317">+I1836+M1719</f>
        <v>0</v>
      </c>
      <c r="N1836" s="336">
        <f t="shared" ref="N1836:N1852" si="2318">IFERROR(K1836/E1836,"-")</f>
        <v>0</v>
      </c>
      <c r="O1836" s="346" t="str">
        <f t="shared" si="2303"/>
        <v>-</v>
      </c>
    </row>
    <row r="1837" spans="1:15" ht="24" thickBot="1" x14ac:dyDescent="0.35">
      <c r="A1837" s="274" t="s">
        <v>102</v>
      </c>
      <c r="B1837" s="1024"/>
      <c r="C1837" s="286" t="s">
        <v>132</v>
      </c>
      <c r="D1837" s="286"/>
      <c r="E1837" s="280"/>
      <c r="F1837" s="281"/>
      <c r="G1837" s="334">
        <f t="shared" si="2314"/>
        <v>0</v>
      </c>
      <c r="H1837" s="282">
        <v>0</v>
      </c>
      <c r="I1837" s="282">
        <v>0</v>
      </c>
      <c r="J1837" s="351" t="str">
        <f>IFERROR(G1837/F1837,"-")</f>
        <v>-</v>
      </c>
      <c r="K1837" s="334">
        <f t="shared" si="2315"/>
        <v>22797</v>
      </c>
      <c r="L1837" s="272">
        <f t="shared" si="2316"/>
        <v>21790</v>
      </c>
      <c r="M1837" s="273">
        <f t="shared" si="2317"/>
        <v>1007</v>
      </c>
      <c r="N1837" s="338" t="str">
        <f t="shared" si="2318"/>
        <v>-</v>
      </c>
      <c r="O1837" s="347">
        <f t="shared" si="2303"/>
        <v>4.4172478834934421E-2</v>
      </c>
    </row>
    <row r="1838" spans="1:15" ht="24" thickBot="1" x14ac:dyDescent="0.35">
      <c r="A1838" s="969" t="s">
        <v>102</v>
      </c>
      <c r="B1838" s="1025" t="s">
        <v>38</v>
      </c>
      <c r="C1838" s="1026"/>
      <c r="D1838" s="1027"/>
      <c r="E1838" s="284">
        <f>SUM(E1836:E1837)</f>
        <v>31000</v>
      </c>
      <c r="F1838" s="285">
        <v>2800</v>
      </c>
      <c r="G1838" s="320">
        <f>SUM(G1836:G1837)</f>
        <v>0</v>
      </c>
      <c r="H1838" s="321">
        <f t="shared" ref="H1838:I1838" si="2319">SUM(H1836:H1837)</f>
        <v>0</v>
      </c>
      <c r="I1838" s="321">
        <f t="shared" si="2319"/>
        <v>0</v>
      </c>
      <c r="J1838" s="345" t="str">
        <f>IFERROR(G1838/F1828,"-")</f>
        <v>-</v>
      </c>
      <c r="K1838" s="320">
        <f t="shared" ref="K1838:M1838" si="2320">SUM(K1836:K1837)</f>
        <v>22797</v>
      </c>
      <c r="L1838" s="321">
        <f t="shared" si="2320"/>
        <v>21790</v>
      </c>
      <c r="M1838" s="322">
        <f t="shared" si="2320"/>
        <v>1007</v>
      </c>
      <c r="N1838" s="339">
        <f t="shared" si="2318"/>
        <v>0.73538709677419356</v>
      </c>
      <c r="O1838" s="345">
        <f t="shared" si="2303"/>
        <v>4.4172478834934421E-2</v>
      </c>
    </row>
    <row r="1839" spans="1:15" ht="23.4" x14ac:dyDescent="0.3">
      <c r="A1839" s="274" t="s">
        <v>102</v>
      </c>
      <c r="B1839" s="1022" t="s">
        <v>403</v>
      </c>
      <c r="C1839" s="269" t="s">
        <v>306</v>
      </c>
      <c r="D1839" s="269"/>
      <c r="E1839" s="270">
        <v>978200</v>
      </c>
      <c r="F1839" s="315"/>
      <c r="G1839" s="332">
        <f t="shared" ref="G1839:G1843" si="2321">+H1839+I1839</f>
        <v>16890</v>
      </c>
      <c r="H1839" s="272">
        <v>16800</v>
      </c>
      <c r="I1839" s="272">
        <v>90</v>
      </c>
      <c r="J1839" s="371" t="str">
        <f>IFERROR(G1839/F1839,"-")</f>
        <v>-</v>
      </c>
      <c r="K1839" s="332">
        <f t="shared" ref="K1839:K1843" si="2322">+L1839+M1839</f>
        <v>368628</v>
      </c>
      <c r="L1839" s="272">
        <f t="shared" ref="L1839:L1843" si="2323">+H1839+L1722</f>
        <v>365760</v>
      </c>
      <c r="M1839" s="272">
        <f t="shared" ref="M1839:M1843" si="2324">+I1839+M1722</f>
        <v>2868</v>
      </c>
      <c r="N1839" s="359">
        <f t="shared" si="2318"/>
        <v>0.37684318135350642</v>
      </c>
      <c r="O1839" s="360">
        <f t="shared" si="2303"/>
        <v>7.7802011784237771E-3</v>
      </c>
    </row>
    <row r="1840" spans="1:15" ht="23.4" x14ac:dyDescent="0.3">
      <c r="A1840" s="274" t="s">
        <v>102</v>
      </c>
      <c r="B1840" s="1023"/>
      <c r="C1840" s="269" t="s">
        <v>307</v>
      </c>
      <c r="D1840" s="275"/>
      <c r="E1840" s="276"/>
      <c r="F1840" s="316"/>
      <c r="G1840" s="333">
        <f t="shared" si="2321"/>
        <v>0</v>
      </c>
      <c r="H1840" s="278">
        <v>0</v>
      </c>
      <c r="I1840" s="278">
        <v>0</v>
      </c>
      <c r="J1840" s="371" t="str">
        <f t="shared" ref="J1840:J1843" si="2325">IFERROR(G1840/F1840,"-")</f>
        <v>-</v>
      </c>
      <c r="K1840" s="333">
        <f t="shared" si="2322"/>
        <v>0</v>
      </c>
      <c r="L1840" s="272">
        <f t="shared" si="2323"/>
        <v>0</v>
      </c>
      <c r="M1840" s="273">
        <f t="shared" si="2324"/>
        <v>0</v>
      </c>
      <c r="N1840" s="361" t="str">
        <f t="shared" si="2318"/>
        <v>-</v>
      </c>
      <c r="O1840" s="362" t="str">
        <f t="shared" si="2303"/>
        <v>-</v>
      </c>
    </row>
    <row r="1841" spans="1:15" ht="23.4" x14ac:dyDescent="0.3">
      <c r="A1841" s="274" t="s">
        <v>102</v>
      </c>
      <c r="B1841" s="1023"/>
      <c r="C1841" s="275" t="s">
        <v>499</v>
      </c>
      <c r="D1841" s="275"/>
      <c r="E1841" s="276">
        <f>70000+15000</f>
        <v>85000</v>
      </c>
      <c r="F1841" s="316"/>
      <c r="G1841" s="333">
        <f t="shared" si="2321"/>
        <v>0</v>
      </c>
      <c r="H1841" s="278">
        <v>0</v>
      </c>
      <c r="I1841" s="278">
        <v>0</v>
      </c>
      <c r="J1841" s="371" t="str">
        <f t="shared" si="2325"/>
        <v>-</v>
      </c>
      <c r="K1841" s="333">
        <f t="shared" si="2322"/>
        <v>49665</v>
      </c>
      <c r="L1841" s="272">
        <f t="shared" si="2323"/>
        <v>49032</v>
      </c>
      <c r="M1841" s="273">
        <f t="shared" si="2324"/>
        <v>633</v>
      </c>
      <c r="N1841" s="361">
        <f t="shared" si="2318"/>
        <v>0.58429411764705885</v>
      </c>
      <c r="O1841" s="362">
        <f t="shared" si="2303"/>
        <v>1.2745394140742978E-2</v>
      </c>
    </row>
    <row r="1842" spans="1:15" ht="23.4" x14ac:dyDescent="0.3">
      <c r="A1842" s="274" t="s">
        <v>102</v>
      </c>
      <c r="B1842" s="1023"/>
      <c r="C1842" s="275" t="s">
        <v>157</v>
      </c>
      <c r="D1842" s="275"/>
      <c r="E1842" s="276">
        <v>60040</v>
      </c>
      <c r="F1842" s="316"/>
      <c r="G1842" s="333">
        <f t="shared" si="2321"/>
        <v>0</v>
      </c>
      <c r="H1842" s="278">
        <v>0</v>
      </c>
      <c r="I1842" s="278">
        <v>0</v>
      </c>
      <c r="J1842" s="371" t="str">
        <f t="shared" si="2325"/>
        <v>-</v>
      </c>
      <c r="K1842" s="333">
        <f t="shared" si="2322"/>
        <v>0</v>
      </c>
      <c r="L1842" s="272">
        <f t="shared" si="2323"/>
        <v>0</v>
      </c>
      <c r="M1842" s="273">
        <f t="shared" si="2324"/>
        <v>0</v>
      </c>
      <c r="N1842" s="361">
        <f t="shared" si="2318"/>
        <v>0</v>
      </c>
      <c r="O1842" s="362" t="str">
        <f t="shared" si="2303"/>
        <v>-</v>
      </c>
    </row>
    <row r="1843" spans="1:15" ht="24" thickBot="1" x14ac:dyDescent="0.35">
      <c r="A1843" s="274" t="s">
        <v>102</v>
      </c>
      <c r="B1843" s="1024"/>
      <c r="C1843" s="279" t="s">
        <v>158</v>
      </c>
      <c r="D1843" s="279"/>
      <c r="E1843" s="280"/>
      <c r="F1843" s="317"/>
      <c r="G1843" s="334">
        <f t="shared" si="2321"/>
        <v>0</v>
      </c>
      <c r="H1843" s="278">
        <v>0</v>
      </c>
      <c r="I1843" s="278">
        <v>0</v>
      </c>
      <c r="J1843" s="371" t="str">
        <f t="shared" si="2325"/>
        <v>-</v>
      </c>
      <c r="K1843" s="334">
        <f t="shared" si="2322"/>
        <v>0</v>
      </c>
      <c r="L1843" s="272">
        <f t="shared" si="2323"/>
        <v>0</v>
      </c>
      <c r="M1843" s="273">
        <f t="shared" si="2324"/>
        <v>0</v>
      </c>
      <c r="N1843" s="363" t="str">
        <f t="shared" si="2318"/>
        <v>-</v>
      </c>
      <c r="O1843" s="364" t="str">
        <f t="shared" si="2303"/>
        <v>-</v>
      </c>
    </row>
    <row r="1844" spans="1:15" ht="24" thickBot="1" x14ac:dyDescent="0.35">
      <c r="A1844" s="274" t="s">
        <v>102</v>
      </c>
      <c r="B1844" s="1025" t="s">
        <v>39</v>
      </c>
      <c r="C1844" s="1026"/>
      <c r="D1844" s="1027"/>
      <c r="E1844" s="320">
        <f>SUM(E1839:E1843)</f>
        <v>1123240</v>
      </c>
      <c r="F1844" s="285">
        <v>25000</v>
      </c>
      <c r="G1844" s="320">
        <f>SUM(G1839:G1843)</f>
        <v>16890</v>
      </c>
      <c r="H1844" s="321">
        <f>SUM(H1839:H1843)</f>
        <v>16800</v>
      </c>
      <c r="I1844" s="321">
        <f>SUM(I1839:I1843)</f>
        <v>90</v>
      </c>
      <c r="J1844" s="345">
        <f>IFERROR(G1844/F1844,"-")</f>
        <v>0.67559999999999998</v>
      </c>
      <c r="K1844" s="320">
        <f>SUM(K1839:K1843)</f>
        <v>418293</v>
      </c>
      <c r="L1844" s="321">
        <f>SUM(L1839:L1843)</f>
        <v>414792</v>
      </c>
      <c r="M1844" s="322">
        <f>SUM(M1839:M1843)</f>
        <v>3501</v>
      </c>
      <c r="N1844" s="339">
        <f t="shared" si="2318"/>
        <v>0.37239859691606425</v>
      </c>
      <c r="O1844" s="345">
        <f t="shared" si="2303"/>
        <v>8.3697312649267386E-3</v>
      </c>
    </row>
    <row r="1845" spans="1:15" ht="23.4" x14ac:dyDescent="0.3">
      <c r="A1845" s="274" t="s">
        <v>102</v>
      </c>
      <c r="B1845" s="1022" t="s">
        <v>404</v>
      </c>
      <c r="C1845" s="269" t="s">
        <v>186</v>
      </c>
      <c r="D1845" s="269"/>
      <c r="E1845" s="270"/>
      <c r="F1845" s="271"/>
      <c r="G1845" s="332">
        <f t="shared" ref="G1845:G1847" si="2326">+H1845+I1845</f>
        <v>0</v>
      </c>
      <c r="H1845" s="272">
        <v>0</v>
      </c>
      <c r="I1845" s="272">
        <v>0</v>
      </c>
      <c r="J1845" s="351" t="str">
        <f>IFERROR(G1845/F1845,"-")</f>
        <v>-</v>
      </c>
      <c r="K1845" s="332">
        <f t="shared" ref="K1845:K1847" si="2327">+L1845+M1845</f>
        <v>0</v>
      </c>
      <c r="L1845" s="272">
        <f t="shared" ref="L1845:L1847" si="2328">+H1845+L1728</f>
        <v>0</v>
      </c>
      <c r="M1845" s="273">
        <f t="shared" ref="M1845:M1847" si="2329">+I1845+M1728</f>
        <v>0</v>
      </c>
      <c r="N1845" s="336" t="str">
        <f t="shared" si="2318"/>
        <v>-</v>
      </c>
      <c r="O1845" s="346" t="str">
        <f t="shared" si="2303"/>
        <v>-</v>
      </c>
    </row>
    <row r="1846" spans="1:15" ht="23.4" x14ac:dyDescent="0.3">
      <c r="A1846" s="274" t="s">
        <v>102</v>
      </c>
      <c r="B1846" s="1023"/>
      <c r="C1846" s="275" t="s">
        <v>497</v>
      </c>
      <c r="D1846" s="275"/>
      <c r="E1846" s="276"/>
      <c r="F1846" s="277"/>
      <c r="G1846" s="333">
        <f t="shared" si="2326"/>
        <v>0</v>
      </c>
      <c r="H1846" s="278">
        <v>0</v>
      </c>
      <c r="I1846" s="278">
        <v>0</v>
      </c>
      <c r="J1846" s="351" t="str">
        <f t="shared" ref="J1846:J1847" si="2330">IFERROR(G1846/F1846,"-")</f>
        <v>-</v>
      </c>
      <c r="K1846" s="333">
        <f t="shared" si="2327"/>
        <v>11826</v>
      </c>
      <c r="L1846" s="714">
        <f t="shared" si="2328"/>
        <v>11400</v>
      </c>
      <c r="M1846" s="273">
        <f t="shared" si="2329"/>
        <v>426</v>
      </c>
      <c r="N1846" s="361" t="str">
        <f t="shared" si="2318"/>
        <v>-</v>
      </c>
      <c r="O1846" s="362">
        <f t="shared" si="2303"/>
        <v>3.6022323693556568E-2</v>
      </c>
    </row>
    <row r="1847" spans="1:15" ht="24" thickBot="1" x14ac:dyDescent="0.35">
      <c r="A1847" s="274" t="s">
        <v>102</v>
      </c>
      <c r="B1847" s="1024"/>
      <c r="C1847" s="279" t="s">
        <v>498</v>
      </c>
      <c r="D1847" s="279"/>
      <c r="E1847" s="280"/>
      <c r="F1847" s="281"/>
      <c r="G1847" s="334">
        <f t="shared" si="2326"/>
        <v>0</v>
      </c>
      <c r="H1847" s="278">
        <v>0</v>
      </c>
      <c r="I1847" s="278">
        <v>0</v>
      </c>
      <c r="J1847" s="351" t="str">
        <f t="shared" si="2330"/>
        <v>-</v>
      </c>
      <c r="K1847" s="334">
        <f t="shared" si="2327"/>
        <v>0</v>
      </c>
      <c r="L1847" s="272">
        <f t="shared" si="2328"/>
        <v>0</v>
      </c>
      <c r="M1847" s="273">
        <f t="shared" si="2329"/>
        <v>0</v>
      </c>
      <c r="N1847" s="363" t="str">
        <f t="shared" si="2318"/>
        <v>-</v>
      </c>
      <c r="O1847" s="364" t="str">
        <f t="shared" si="2303"/>
        <v>-</v>
      </c>
    </row>
    <row r="1848" spans="1:15" ht="24" thickBot="1" x14ac:dyDescent="0.35">
      <c r="A1848" s="274" t="s">
        <v>102</v>
      </c>
      <c r="B1848" s="1034" t="s">
        <v>41</v>
      </c>
      <c r="C1848" s="1035"/>
      <c r="D1848" s="1036"/>
      <c r="E1848" s="320">
        <f>SUM(E1845:E1847)</f>
        <v>0</v>
      </c>
      <c r="F1848" s="285"/>
      <c r="G1848" s="320">
        <f>SUM(G1845:G1847)</f>
        <v>0</v>
      </c>
      <c r="H1848" s="321">
        <f t="shared" ref="H1848:I1848" si="2331">SUM(H1845:H1847)</f>
        <v>0</v>
      </c>
      <c r="I1848" s="321">
        <f t="shared" si="2331"/>
        <v>0</v>
      </c>
      <c r="J1848" s="345" t="str">
        <f>IFERROR(G1848/F1848,"-")</f>
        <v>-</v>
      </c>
      <c r="K1848" s="320">
        <f t="shared" ref="K1848:M1848" si="2332">SUM(K1845:K1847)</f>
        <v>11826</v>
      </c>
      <c r="L1848" s="365">
        <f t="shared" si="2332"/>
        <v>11400</v>
      </c>
      <c r="M1848" s="367">
        <f t="shared" si="2332"/>
        <v>426</v>
      </c>
      <c r="N1848" s="339" t="str">
        <f t="shared" si="2318"/>
        <v>-</v>
      </c>
      <c r="O1848" s="345">
        <f t="shared" si="2303"/>
        <v>3.6022323693556568E-2</v>
      </c>
    </row>
    <row r="1849" spans="1:15" ht="24" thickBot="1" x14ac:dyDescent="0.35">
      <c r="A1849" s="274" t="s">
        <v>102</v>
      </c>
      <c r="B1849" s="1022" t="s">
        <v>42</v>
      </c>
      <c r="C1849" s="269" t="s">
        <v>160</v>
      </c>
      <c r="D1849" s="269"/>
      <c r="E1849" s="270"/>
      <c r="F1849" s="271"/>
      <c r="G1849" s="332">
        <f t="shared" ref="G1849:G1850" si="2333">+H1849+I1849</f>
        <v>6519</v>
      </c>
      <c r="H1849" s="272">
        <v>6400</v>
      </c>
      <c r="I1849" s="272">
        <v>119</v>
      </c>
      <c r="J1849" s="371" t="str">
        <f>IFERROR(G1849/F1849,"-")</f>
        <v>-</v>
      </c>
      <c r="K1849" s="695">
        <f t="shared" ref="K1849:K1850" si="2334">+L1849+M1849</f>
        <v>8672</v>
      </c>
      <c r="L1849" s="688">
        <f t="shared" ref="L1849:L1850" si="2335">+H1849+L1732</f>
        <v>8000</v>
      </c>
      <c r="M1849" s="688">
        <f t="shared" ref="M1849:M1850" si="2336">+I1849+M1732</f>
        <v>672</v>
      </c>
      <c r="N1849" s="359" t="str">
        <f t="shared" si="2318"/>
        <v>-</v>
      </c>
      <c r="O1849" s="360">
        <f t="shared" si="2303"/>
        <v>7.7490774907749083E-2</v>
      </c>
    </row>
    <row r="1850" spans="1:15" ht="24" thickBot="1" x14ac:dyDescent="0.35">
      <c r="A1850" s="274" t="s">
        <v>102</v>
      </c>
      <c r="B1850" s="1024"/>
      <c r="C1850" s="279" t="s">
        <v>161</v>
      </c>
      <c r="D1850" s="279"/>
      <c r="E1850" s="280"/>
      <c r="F1850" s="281"/>
      <c r="G1850" s="334">
        <f t="shared" si="2333"/>
        <v>0</v>
      </c>
      <c r="H1850" s="282">
        <v>0</v>
      </c>
      <c r="I1850" s="282">
        <v>0</v>
      </c>
      <c r="J1850" s="373" t="str">
        <f>IFERROR(G1850/F1850,"-")</f>
        <v>-</v>
      </c>
      <c r="K1850" s="696">
        <f t="shared" si="2334"/>
        <v>0</v>
      </c>
      <c r="L1850" s="688">
        <f t="shared" si="2335"/>
        <v>0</v>
      </c>
      <c r="M1850" s="688">
        <f t="shared" si="2336"/>
        <v>0</v>
      </c>
      <c r="N1850" s="363" t="str">
        <f t="shared" si="2318"/>
        <v>-</v>
      </c>
      <c r="O1850" s="364" t="str">
        <f t="shared" si="2303"/>
        <v>-</v>
      </c>
    </row>
    <row r="1851" spans="1:15" ht="24" thickBot="1" x14ac:dyDescent="0.35">
      <c r="A1851" s="274" t="s">
        <v>102</v>
      </c>
      <c r="B1851" s="1034" t="s">
        <v>43</v>
      </c>
      <c r="C1851" s="1035"/>
      <c r="D1851" s="1036"/>
      <c r="E1851" s="284">
        <f>SUM(E1849:E1850)</f>
        <v>0</v>
      </c>
      <c r="F1851" s="285">
        <v>25000</v>
      </c>
      <c r="G1851" s="320">
        <f>SUM(G1849:G1850)</f>
        <v>6519</v>
      </c>
      <c r="H1851" s="321">
        <f t="shared" ref="H1851:I1851" si="2337">SUM(H1849:H1850)</f>
        <v>6400</v>
      </c>
      <c r="I1851" s="321">
        <f t="shared" si="2337"/>
        <v>119</v>
      </c>
      <c r="J1851" s="345">
        <f>IFERROR(G1851/F1851,"-")</f>
        <v>0.26075999999999999</v>
      </c>
      <c r="K1851" s="760">
        <f t="shared" ref="K1851:M1851" si="2338">SUM(K1849:K1850)</f>
        <v>8672</v>
      </c>
      <c r="L1851" s="761">
        <f t="shared" si="2338"/>
        <v>8000</v>
      </c>
      <c r="M1851" s="761">
        <f t="shared" si="2338"/>
        <v>672</v>
      </c>
      <c r="N1851" s="339" t="str">
        <f t="shared" si="2318"/>
        <v>-</v>
      </c>
      <c r="O1851" s="345">
        <f t="shared" si="2303"/>
        <v>7.7490774907749083E-2</v>
      </c>
    </row>
    <row r="1852" spans="1:15" ht="24" thickBot="1" x14ac:dyDescent="0.35">
      <c r="A1852" s="274" t="s">
        <v>102</v>
      </c>
      <c r="B1852" s="1028" t="s">
        <v>25</v>
      </c>
      <c r="C1852" s="1029"/>
      <c r="D1852" s="1030"/>
      <c r="E1852" s="326">
        <f t="shared" ref="E1852:F1852" si="2339">+E1830+E1835+E1838+E1844+E1848+E1851</f>
        <v>1292400</v>
      </c>
      <c r="F1852" s="327">
        <f t="shared" si="2339"/>
        <v>65800</v>
      </c>
      <c r="G1852" s="326">
        <f>+G1830+G1835+G1838+G1844+G1848+G1851</f>
        <v>29364</v>
      </c>
      <c r="H1852" s="324">
        <f>+H1830+H1835+H1838+H1844+H1848+H1851</f>
        <v>28960</v>
      </c>
      <c r="I1852" s="324">
        <f t="shared" ref="I1852" si="2340">+I1830+I1835+I1838+I1844+I1848+I1851</f>
        <v>404</v>
      </c>
      <c r="J1852" s="349">
        <f>IFERROR(G1852/F1852,"-")</f>
        <v>0.44626139817629179</v>
      </c>
      <c r="K1852" s="326">
        <f>+K1830+K1835+K1838+K1844+K1848+K1851</f>
        <v>488922</v>
      </c>
      <c r="L1852" s="759">
        <f t="shared" ref="L1852:M1852" si="2341">+L1830+L1835+L1838+L1844+L1848+L1851</f>
        <v>481451</v>
      </c>
      <c r="M1852" s="325">
        <f t="shared" si="2341"/>
        <v>7471</v>
      </c>
      <c r="N1852" s="341">
        <f t="shared" si="2318"/>
        <v>0.37830547818012999</v>
      </c>
      <c r="O1852" s="349">
        <f t="shared" si="2303"/>
        <v>1.5280555998707361E-2</v>
      </c>
    </row>
    <row r="1853" spans="1:15" ht="24" thickBot="1" x14ac:dyDescent="0.35">
      <c r="A1853" s="318" t="s">
        <v>102</v>
      </c>
      <c r="B1853" s="1020" t="s">
        <v>173</v>
      </c>
      <c r="C1853" s="1020"/>
      <c r="D1853" s="1021"/>
      <c r="E1853" s="330">
        <f>+E1852</f>
        <v>1292400</v>
      </c>
      <c r="F1853" s="331">
        <f t="shared" ref="F1853:I1853" si="2342">+F1852</f>
        <v>65800</v>
      </c>
      <c r="G1853" s="330">
        <f t="shared" si="2342"/>
        <v>29364</v>
      </c>
      <c r="H1853" s="328">
        <f t="shared" si="2342"/>
        <v>28960</v>
      </c>
      <c r="I1853" s="328">
        <f t="shared" si="2342"/>
        <v>404</v>
      </c>
      <c r="J1853" s="350">
        <f>+G1853/F1853</f>
        <v>0.44626139817629179</v>
      </c>
      <c r="K1853" s="330">
        <f t="shared" ref="K1853:O1853" si="2343">+K1852</f>
        <v>488922</v>
      </c>
      <c r="L1853" s="328">
        <f t="shared" si="2343"/>
        <v>481451</v>
      </c>
      <c r="M1853" s="329">
        <f t="shared" si="2343"/>
        <v>7471</v>
      </c>
      <c r="N1853" s="342">
        <f t="shared" si="2343"/>
        <v>0.37830547818012999</v>
      </c>
      <c r="O1853" s="350">
        <f t="shared" si="2343"/>
        <v>1.5280555998707361E-2</v>
      </c>
    </row>
    <row r="1854" spans="1:15" ht="24.6" thickBot="1" x14ac:dyDescent="0.35">
      <c r="A1854" s="319"/>
      <c r="B1854" s="1031" t="s">
        <v>174</v>
      </c>
      <c r="C1854" s="1032"/>
      <c r="D1854" s="1033"/>
      <c r="E1854" s="374">
        <f>+E1791+E1826+E1853</f>
        <v>7473564</v>
      </c>
      <c r="F1854" s="374">
        <f>+F1791+F1826+F1853</f>
        <v>1024800</v>
      </c>
      <c r="G1854" s="374">
        <f>+G1791+G1826+G1853</f>
        <v>233597</v>
      </c>
      <c r="H1854" s="374">
        <f>+H1791+H1826+H1853</f>
        <v>230978</v>
      </c>
      <c r="I1854" s="374">
        <f>+I1791+I1826+I1853</f>
        <v>2619</v>
      </c>
      <c r="J1854" s="375">
        <f>IFERROR(G1854/F1854,"-")</f>
        <v>0.22794398907103824</v>
      </c>
      <c r="K1854" s="374">
        <f>+K1791+K1826+K1853</f>
        <v>5700884</v>
      </c>
      <c r="L1854" s="374">
        <f>+L1791+L1826+L1853</f>
        <v>5643617</v>
      </c>
      <c r="M1854" s="374">
        <f>+M1791+M1826+M1853</f>
        <v>57267</v>
      </c>
      <c r="N1854" s="375">
        <f>IFERROR(K1854/E1854,"-")</f>
        <v>0.76280660739641759</v>
      </c>
      <c r="O1854" s="375">
        <f>IFERROR(M1854/K1854,"-")</f>
        <v>1.0045284205046094E-2</v>
      </c>
    </row>
    <row r="1855" spans="1:15" ht="23.4" x14ac:dyDescent="0.3">
      <c r="A1855" s="1057" t="s">
        <v>1</v>
      </c>
      <c r="B1855" s="1060" t="s">
        <v>2</v>
      </c>
      <c r="C1855" s="1063" t="s">
        <v>396</v>
      </c>
      <c r="D1855" s="1063" t="s">
        <v>397</v>
      </c>
      <c r="E1855" s="1066" t="s">
        <v>4</v>
      </c>
      <c r="F1855" s="1067"/>
      <c r="G1855" s="1067"/>
      <c r="H1855" s="1067"/>
      <c r="I1855" s="1067"/>
      <c r="J1855" s="1067"/>
      <c r="K1855" s="1067"/>
      <c r="L1855" s="1067"/>
      <c r="M1855" s="1067"/>
      <c r="N1855" s="1067"/>
      <c r="O1855" s="1068"/>
    </row>
    <row r="1856" spans="1:15" ht="23.4" x14ac:dyDescent="0.3">
      <c r="A1856" s="1058"/>
      <c r="B1856" s="1061"/>
      <c r="C1856" s="1064"/>
      <c r="D1856" s="1064"/>
      <c r="E1856" s="1069" t="s">
        <v>7</v>
      </c>
      <c r="F1856" s="1071" t="s">
        <v>108</v>
      </c>
      <c r="G1856" s="1073" t="s">
        <v>576</v>
      </c>
      <c r="H1856" s="1074"/>
      <c r="I1856" s="1074"/>
      <c r="J1856" s="1075"/>
      <c r="K1856" s="1076" t="s">
        <v>398</v>
      </c>
      <c r="L1856" s="1077"/>
      <c r="M1856" s="1078"/>
      <c r="N1856" s="1079" t="s">
        <v>399</v>
      </c>
      <c r="O1856" s="1081" t="s">
        <v>164</v>
      </c>
    </row>
    <row r="1857" spans="1:15" ht="41.4" thickBot="1" x14ac:dyDescent="0.35">
      <c r="A1857" s="1059"/>
      <c r="B1857" s="1062"/>
      <c r="C1857" s="1065"/>
      <c r="D1857" s="1065"/>
      <c r="E1857" s="1070"/>
      <c r="F1857" s="1072"/>
      <c r="G1857" s="452" t="s">
        <v>13</v>
      </c>
      <c r="H1857" s="453" t="s">
        <v>14</v>
      </c>
      <c r="I1857" s="453" t="s">
        <v>15</v>
      </c>
      <c r="J1857" s="454" t="s">
        <v>166</v>
      </c>
      <c r="K1857" s="680" t="s">
        <v>13</v>
      </c>
      <c r="L1857" s="678" t="s">
        <v>14</v>
      </c>
      <c r="M1857" s="679" t="s">
        <v>15</v>
      </c>
      <c r="N1857" s="1080"/>
      <c r="O1857" s="1082"/>
    </row>
    <row r="1858" spans="1:15" ht="23.4" x14ac:dyDescent="0.3">
      <c r="A1858" s="268" t="s">
        <v>103</v>
      </c>
      <c r="B1858" s="1043" t="s">
        <v>16</v>
      </c>
      <c r="C1858" s="269" t="s">
        <v>549</v>
      </c>
      <c r="D1858" s="269" t="s">
        <v>369</v>
      </c>
      <c r="E1858" s="270">
        <v>20000</v>
      </c>
      <c r="F1858" s="271"/>
      <c r="G1858" s="332">
        <f>+H1858+I1858</f>
        <v>0</v>
      </c>
      <c r="H1858" s="272">
        <v>0</v>
      </c>
      <c r="I1858" s="272">
        <v>0</v>
      </c>
      <c r="J1858" s="352" t="str">
        <f>IFERROR(G1858/F1858,"-")</f>
        <v>-</v>
      </c>
      <c r="K1858" s="694">
        <f>+L1858+M1858</f>
        <v>19671</v>
      </c>
      <c r="L1858" s="527">
        <f>+H1858+L1741</f>
        <v>18620</v>
      </c>
      <c r="M1858" s="459">
        <f>+I1858+M1741</f>
        <v>1051</v>
      </c>
      <c r="N1858" s="336">
        <f>IFERROR(K1858/E1858,"-")</f>
        <v>0.98355000000000004</v>
      </c>
      <c r="O1858" s="343">
        <f t="shared" ref="O1858:O1859" si="2344">IFERROR(M1858/K1858,"-")</f>
        <v>5.3428905495399318E-2</v>
      </c>
    </row>
    <row r="1859" spans="1:15" ht="23.4" x14ac:dyDescent="0.3">
      <c r="A1859" s="274" t="s">
        <v>103</v>
      </c>
      <c r="B1859" s="1044"/>
      <c r="C1859" s="275" t="s">
        <v>376</v>
      </c>
      <c r="D1859" s="275" t="s">
        <v>375</v>
      </c>
      <c r="E1859" s="276"/>
      <c r="F1859" s="277"/>
      <c r="G1859" s="333">
        <f t="shared" ref="G1859:G1861" si="2345">+H1859+I1859</f>
        <v>0</v>
      </c>
      <c r="H1859" s="278"/>
      <c r="I1859" s="278"/>
      <c r="J1859" s="352" t="str">
        <f t="shared" ref="J1859:J1861" si="2346">IFERROR(G1859/F1859,"-")</f>
        <v>-</v>
      </c>
      <c r="K1859" s="690">
        <f t="shared" ref="K1859:K1861" si="2347">+L1859+M1859</f>
        <v>0</v>
      </c>
      <c r="L1859" s="276">
        <f t="shared" ref="L1859:L1861" si="2348">+H1859+L1742</f>
        <v>0</v>
      </c>
      <c r="M1859" s="436">
        <f t="shared" ref="M1859:M1861" si="2349">+I1859+M1742</f>
        <v>0</v>
      </c>
      <c r="N1859" s="337" t="str">
        <f t="shared" ref="N1859:N1861" si="2350">IFERROR(K1859/E1859,"-")</f>
        <v>-</v>
      </c>
      <c r="O1859" s="265" t="str">
        <f t="shared" si="2344"/>
        <v>-</v>
      </c>
    </row>
    <row r="1860" spans="1:15" ht="23.4" x14ac:dyDescent="0.3">
      <c r="A1860" s="274" t="s">
        <v>103</v>
      </c>
      <c r="B1860" s="1044"/>
      <c r="C1860" s="573" t="s">
        <v>431</v>
      </c>
      <c r="D1860" s="573" t="s">
        <v>366</v>
      </c>
      <c r="E1860" s="720"/>
      <c r="F1860" s="721"/>
      <c r="G1860" s="333">
        <f t="shared" si="2345"/>
        <v>2465</v>
      </c>
      <c r="H1860" s="722">
        <f>2240+150</f>
        <v>2390</v>
      </c>
      <c r="I1860" s="722">
        <f>75+0</f>
        <v>75</v>
      </c>
      <c r="J1860" s="352" t="str">
        <f t="shared" si="2346"/>
        <v>-</v>
      </c>
      <c r="K1860" s="690">
        <f t="shared" si="2347"/>
        <v>13206</v>
      </c>
      <c r="L1860" s="276">
        <f t="shared" si="2348"/>
        <v>12950</v>
      </c>
      <c r="M1860" s="436">
        <f t="shared" si="2349"/>
        <v>256</v>
      </c>
      <c r="N1860" s="337" t="str">
        <f t="shared" si="2350"/>
        <v>-</v>
      </c>
      <c r="O1860" s="265">
        <f>IFERROR(M1860/K1860,"-")</f>
        <v>1.9385127972133879E-2</v>
      </c>
    </row>
    <row r="1861" spans="1:15" ht="24" thickBot="1" x14ac:dyDescent="0.35">
      <c r="A1861" s="274" t="s">
        <v>103</v>
      </c>
      <c r="B1861" s="1045"/>
      <c r="C1861" s="279" t="s">
        <v>428</v>
      </c>
      <c r="D1861" s="279" t="s">
        <v>374</v>
      </c>
      <c r="E1861" s="280"/>
      <c r="F1861" s="281"/>
      <c r="G1861" s="334">
        <f t="shared" si="2345"/>
        <v>0</v>
      </c>
      <c r="H1861" s="272"/>
      <c r="I1861" s="272"/>
      <c r="J1861" s="352" t="str">
        <f t="shared" si="2346"/>
        <v>-</v>
      </c>
      <c r="K1861" s="691">
        <f t="shared" si="2347"/>
        <v>0</v>
      </c>
      <c r="L1861" s="530">
        <f t="shared" si="2348"/>
        <v>0</v>
      </c>
      <c r="M1861" s="462">
        <f t="shared" si="2349"/>
        <v>0</v>
      </c>
      <c r="N1861" s="338" t="str">
        <f t="shared" si="2350"/>
        <v>-</v>
      </c>
      <c r="O1861" s="344" t="str">
        <f t="shared" ref="O1861:O1879" si="2351">IFERROR(M1861/K1861,"-")</f>
        <v>-</v>
      </c>
    </row>
    <row r="1862" spans="1:15" ht="24" thickBot="1" x14ac:dyDescent="0.35">
      <c r="A1862" s="274" t="s">
        <v>103</v>
      </c>
      <c r="B1862" s="1025" t="s">
        <v>44</v>
      </c>
      <c r="C1862" s="1026"/>
      <c r="D1862" s="1027"/>
      <c r="E1862" s="320">
        <f>SUM(E1858:E1861)</f>
        <v>20000</v>
      </c>
      <c r="F1862" s="285">
        <v>15000</v>
      </c>
      <c r="G1862" s="320">
        <f>SUM(G1858:G1861)</f>
        <v>2465</v>
      </c>
      <c r="H1862" s="321">
        <f t="shared" ref="H1862:I1862" si="2352">SUM(H1858:H1861)</f>
        <v>2390</v>
      </c>
      <c r="I1862" s="321">
        <f t="shared" si="2352"/>
        <v>75</v>
      </c>
      <c r="J1862" s="345">
        <f>+G1862/F1862</f>
        <v>0.16433333333333333</v>
      </c>
      <c r="K1862" s="320">
        <f t="shared" ref="K1862" si="2353">SUM(K1858:K1861)</f>
        <v>32877</v>
      </c>
      <c r="L1862" s="692">
        <f>SUM(L1858:L1861)</f>
        <v>31570</v>
      </c>
      <c r="M1862" s="693">
        <f>SUM(M1858:M1861)</f>
        <v>1307</v>
      </c>
      <c r="N1862" s="339">
        <f>IFERROR(K1862/E1862,"-")</f>
        <v>1.64385</v>
      </c>
      <c r="O1862" s="345">
        <f t="shared" si="2351"/>
        <v>3.9754235483772847E-2</v>
      </c>
    </row>
    <row r="1863" spans="1:15" ht="23.4" x14ac:dyDescent="0.3">
      <c r="A1863" s="274" t="s">
        <v>103</v>
      </c>
      <c r="B1863" s="1043" t="s">
        <v>17</v>
      </c>
      <c r="C1863" s="269" t="s">
        <v>294</v>
      </c>
      <c r="D1863" s="269"/>
      <c r="E1863" s="270"/>
      <c r="F1863" s="271"/>
      <c r="G1863" s="332">
        <f t="shared" ref="G1863:G1869" si="2354">+H1863+I1863</f>
        <v>0</v>
      </c>
      <c r="H1863" s="272">
        <v>0</v>
      </c>
      <c r="I1863" s="272">
        <v>0</v>
      </c>
      <c r="J1863" s="351" t="str">
        <f>IFERROR(G1863/F1863,"-")</f>
        <v>-</v>
      </c>
      <c r="K1863" s="694">
        <f t="shared" ref="K1863:K1869" si="2355">+L1863+M1863</f>
        <v>0</v>
      </c>
      <c r="L1863" s="527">
        <f t="shared" ref="L1863:L1869" si="2356">+H1863+L1746</f>
        <v>0</v>
      </c>
      <c r="M1863" s="459">
        <f t="shared" ref="M1863:M1869" si="2357">+I1863+M1746</f>
        <v>0</v>
      </c>
      <c r="N1863" s="336" t="str">
        <f t="shared" ref="N1863:N1869" si="2358">IFERROR(K1863/E1863,"-")</f>
        <v>-</v>
      </c>
      <c r="O1863" s="346" t="str">
        <f t="shared" si="2351"/>
        <v>-</v>
      </c>
    </row>
    <row r="1864" spans="1:15" ht="23.4" x14ac:dyDescent="0.3">
      <c r="A1864" s="274" t="s">
        <v>103</v>
      </c>
      <c r="B1864" s="1044"/>
      <c r="C1864" s="275" t="s">
        <v>344</v>
      </c>
      <c r="D1864" s="275" t="s">
        <v>232</v>
      </c>
      <c r="E1864" s="276">
        <v>1600000</v>
      </c>
      <c r="F1864" s="277"/>
      <c r="G1864" s="333">
        <f t="shared" si="2354"/>
        <v>0</v>
      </c>
      <c r="H1864" s="278">
        <v>0</v>
      </c>
      <c r="I1864" s="278">
        <v>0</v>
      </c>
      <c r="J1864" s="351" t="str">
        <f t="shared" ref="J1864:J1869" si="2359">IFERROR(G1864/F1864,"-")</f>
        <v>-</v>
      </c>
      <c r="K1864" s="690">
        <f t="shared" si="2355"/>
        <v>6120</v>
      </c>
      <c r="L1864" s="276">
        <f t="shared" si="2356"/>
        <v>5980</v>
      </c>
      <c r="M1864" s="436">
        <f t="shared" si="2357"/>
        <v>140</v>
      </c>
      <c r="N1864" s="337">
        <f t="shared" si="2358"/>
        <v>3.8249999999999998E-3</v>
      </c>
      <c r="O1864" s="263">
        <f t="shared" si="2351"/>
        <v>2.2875816993464051E-2</v>
      </c>
    </row>
    <row r="1865" spans="1:15" ht="23.4" x14ac:dyDescent="0.3">
      <c r="A1865" s="274" t="s">
        <v>103</v>
      </c>
      <c r="B1865" s="1044"/>
      <c r="C1865" s="275" t="s">
        <v>367</v>
      </c>
      <c r="D1865" s="275" t="s">
        <v>187</v>
      </c>
      <c r="E1865" s="276">
        <v>1000000</v>
      </c>
      <c r="F1865" s="277"/>
      <c r="G1865" s="333">
        <f t="shared" si="2354"/>
        <v>55270</v>
      </c>
      <c r="H1865" s="278">
        <v>55080</v>
      </c>
      <c r="I1865" s="278">
        <v>190</v>
      </c>
      <c r="J1865" s="351" t="str">
        <f t="shared" si="2359"/>
        <v>-</v>
      </c>
      <c r="K1865" s="690">
        <f t="shared" si="2355"/>
        <v>1304950</v>
      </c>
      <c r="L1865" s="276">
        <f t="shared" si="2356"/>
        <v>1297440</v>
      </c>
      <c r="M1865" s="436">
        <f t="shared" si="2357"/>
        <v>7510</v>
      </c>
      <c r="N1865" s="337">
        <f t="shared" si="2358"/>
        <v>1.3049500000000001</v>
      </c>
      <c r="O1865" s="263">
        <f t="shared" si="2351"/>
        <v>5.7550097704892906E-3</v>
      </c>
    </row>
    <row r="1866" spans="1:15" ht="23.4" x14ac:dyDescent="0.3">
      <c r="A1866" s="274" t="s">
        <v>103</v>
      </c>
      <c r="B1866" s="1044"/>
      <c r="C1866" s="275" t="s">
        <v>530</v>
      </c>
      <c r="D1866" s="275" t="s">
        <v>529</v>
      </c>
      <c r="E1866" s="276"/>
      <c r="F1866" s="277"/>
      <c r="G1866" s="333">
        <f t="shared" si="2354"/>
        <v>0</v>
      </c>
      <c r="H1866" s="278">
        <v>0</v>
      </c>
      <c r="I1866" s="278">
        <v>0</v>
      </c>
      <c r="J1866" s="351" t="str">
        <f t="shared" si="2359"/>
        <v>-</v>
      </c>
      <c r="K1866" s="690">
        <f t="shared" si="2355"/>
        <v>41558</v>
      </c>
      <c r="L1866" s="276">
        <f t="shared" si="2356"/>
        <v>41350</v>
      </c>
      <c r="M1866" s="436">
        <f t="shared" si="2357"/>
        <v>208</v>
      </c>
      <c r="N1866" s="337" t="str">
        <f t="shared" si="2358"/>
        <v>-</v>
      </c>
      <c r="O1866" s="263">
        <f t="shared" si="2351"/>
        <v>5.0050531786900235E-3</v>
      </c>
    </row>
    <row r="1867" spans="1:15" ht="23.4" x14ac:dyDescent="0.3">
      <c r="A1867" s="274" t="s">
        <v>103</v>
      </c>
      <c r="B1867" s="1044"/>
      <c r="C1867" s="275" t="s">
        <v>323</v>
      </c>
      <c r="D1867" s="275" t="s">
        <v>318</v>
      </c>
      <c r="E1867" s="276"/>
      <c r="F1867" s="277"/>
      <c r="G1867" s="333">
        <f t="shared" si="2354"/>
        <v>0</v>
      </c>
      <c r="H1867" s="278">
        <v>0</v>
      </c>
      <c r="I1867" s="278">
        <v>0</v>
      </c>
      <c r="J1867" s="351" t="str">
        <f t="shared" si="2359"/>
        <v>-</v>
      </c>
      <c r="K1867" s="690">
        <f t="shared" si="2355"/>
        <v>0</v>
      </c>
      <c r="L1867" s="276">
        <f t="shared" si="2356"/>
        <v>0</v>
      </c>
      <c r="M1867" s="436">
        <f t="shared" si="2357"/>
        <v>0</v>
      </c>
      <c r="N1867" s="337" t="str">
        <f t="shared" si="2358"/>
        <v>-</v>
      </c>
      <c r="O1867" s="263" t="str">
        <f t="shared" si="2351"/>
        <v>-</v>
      </c>
    </row>
    <row r="1868" spans="1:15" ht="23.4" x14ac:dyDescent="0.3">
      <c r="A1868" s="274" t="s">
        <v>103</v>
      </c>
      <c r="B1868" s="1044"/>
      <c r="C1868" s="275" t="s">
        <v>528</v>
      </c>
      <c r="D1868" s="275" t="s">
        <v>189</v>
      </c>
      <c r="E1868" s="276"/>
      <c r="F1868" s="277"/>
      <c r="G1868" s="333">
        <f t="shared" si="2354"/>
        <v>0</v>
      </c>
      <c r="H1868" s="278">
        <v>0</v>
      </c>
      <c r="I1868" s="278">
        <v>0</v>
      </c>
      <c r="J1868" s="351" t="str">
        <f t="shared" si="2359"/>
        <v>-</v>
      </c>
      <c r="K1868" s="690">
        <f t="shared" si="2355"/>
        <v>33900</v>
      </c>
      <c r="L1868" s="276">
        <f t="shared" si="2356"/>
        <v>33760</v>
      </c>
      <c r="M1868" s="436">
        <f t="shared" si="2357"/>
        <v>140</v>
      </c>
      <c r="N1868" s="337" t="str">
        <f t="shared" si="2358"/>
        <v>-</v>
      </c>
      <c r="O1868" s="263">
        <f t="shared" si="2351"/>
        <v>4.1297935103244837E-3</v>
      </c>
    </row>
    <row r="1869" spans="1:15" ht="24" thickBot="1" x14ac:dyDescent="0.35">
      <c r="A1869" s="274" t="s">
        <v>103</v>
      </c>
      <c r="B1869" s="1045"/>
      <c r="C1869" s="279" t="s">
        <v>341</v>
      </c>
      <c r="D1869" s="279" t="s">
        <v>232</v>
      </c>
      <c r="E1869" s="280"/>
      <c r="F1869" s="281"/>
      <c r="G1869" s="334">
        <f t="shared" si="2354"/>
        <v>0</v>
      </c>
      <c r="H1869" s="278">
        <v>0</v>
      </c>
      <c r="I1869" s="278">
        <v>0</v>
      </c>
      <c r="J1869" s="351" t="str">
        <f t="shared" si="2359"/>
        <v>-</v>
      </c>
      <c r="K1869" s="691">
        <f t="shared" si="2355"/>
        <v>0</v>
      </c>
      <c r="L1869" s="530">
        <f t="shared" si="2356"/>
        <v>0</v>
      </c>
      <c r="M1869" s="462">
        <f t="shared" si="2357"/>
        <v>0</v>
      </c>
      <c r="N1869" s="338" t="str">
        <f t="shared" si="2358"/>
        <v>-</v>
      </c>
      <c r="O1869" s="347" t="str">
        <f t="shared" si="2351"/>
        <v>-</v>
      </c>
    </row>
    <row r="1870" spans="1:15" ht="24" thickBot="1" x14ac:dyDescent="0.35">
      <c r="A1870" s="274" t="s">
        <v>103</v>
      </c>
      <c r="B1870" s="1025" t="s">
        <v>45</v>
      </c>
      <c r="C1870" s="1026"/>
      <c r="D1870" s="1027"/>
      <c r="E1870" s="320">
        <f>SUM(E1863:E1869)</f>
        <v>2600000</v>
      </c>
      <c r="F1870" s="285">
        <v>100000</v>
      </c>
      <c r="G1870" s="320">
        <f>SUM(G1863:G1869)</f>
        <v>55270</v>
      </c>
      <c r="H1870" s="321">
        <f t="shared" ref="H1870:I1870" si="2360">SUM(H1863:H1869)</f>
        <v>55080</v>
      </c>
      <c r="I1870" s="321">
        <f t="shared" si="2360"/>
        <v>190</v>
      </c>
      <c r="J1870" s="345">
        <f>+G1870/F1870</f>
        <v>0.55269999999999997</v>
      </c>
      <c r="K1870" s="320">
        <f>SUM(K1863:K1869)</f>
        <v>1386528</v>
      </c>
      <c r="L1870" s="519">
        <f>SUM(L1863:L1869)</f>
        <v>1378530</v>
      </c>
      <c r="M1870" s="689">
        <f t="shared" ref="M1870" si="2361">SUM(M1863:M1869)</f>
        <v>7998</v>
      </c>
      <c r="N1870" s="339">
        <f>IFERROR(K1870/E1870,"-")</f>
        <v>0.53327999999999998</v>
      </c>
      <c r="O1870" s="345">
        <f t="shared" si="2351"/>
        <v>5.7683652980682681E-3</v>
      </c>
    </row>
    <row r="1871" spans="1:15" ht="23.4" x14ac:dyDescent="0.3">
      <c r="A1871" s="274" t="s">
        <v>103</v>
      </c>
      <c r="B1871" s="1043" t="s">
        <v>18</v>
      </c>
      <c r="C1871" s="269" t="s">
        <v>312</v>
      </c>
      <c r="D1871" s="269" t="s">
        <v>92</v>
      </c>
      <c r="E1871" s="270"/>
      <c r="F1871" s="271"/>
      <c r="G1871" s="332">
        <f t="shared" ref="G1871:G1877" si="2362">+H1871+I1871</f>
        <v>0</v>
      </c>
      <c r="H1871" s="272">
        <v>0</v>
      </c>
      <c r="I1871" s="272">
        <v>0</v>
      </c>
      <c r="J1871" s="351" t="str">
        <f>IFERROR(G1871/F1871,"-")</f>
        <v>-</v>
      </c>
      <c r="K1871" s="332">
        <f t="shared" ref="K1871:K1877" si="2363">+L1871+M1871</f>
        <v>0</v>
      </c>
      <c r="L1871" s="272">
        <f t="shared" ref="L1871:L1877" si="2364">+H1871+L1754</f>
        <v>0</v>
      </c>
      <c r="M1871" s="273">
        <f t="shared" ref="M1871:M1877" si="2365">+I1871+M1754</f>
        <v>0</v>
      </c>
      <c r="N1871" s="336" t="str">
        <f t="shared" ref="N1871:N1878" si="2366">IFERROR(K1871/E1871,"-")</f>
        <v>-</v>
      </c>
      <c r="O1871" s="346" t="str">
        <f t="shared" si="2351"/>
        <v>-</v>
      </c>
    </row>
    <row r="1872" spans="1:15" ht="23.4" x14ac:dyDescent="0.3">
      <c r="A1872" s="274" t="s">
        <v>103</v>
      </c>
      <c r="B1872" s="1044"/>
      <c r="C1872" s="275" t="s">
        <v>233</v>
      </c>
      <c r="D1872" s="275" t="s">
        <v>234</v>
      </c>
      <c r="E1872" s="276"/>
      <c r="F1872" s="277"/>
      <c r="G1872" s="333">
        <f t="shared" si="2362"/>
        <v>0</v>
      </c>
      <c r="H1872" s="278">
        <v>0</v>
      </c>
      <c r="I1872" s="278">
        <v>0</v>
      </c>
      <c r="J1872" s="351" t="str">
        <f t="shared" ref="J1872:J1877" si="2367">IFERROR(G1872/F1872,"-")</f>
        <v>-</v>
      </c>
      <c r="K1872" s="333">
        <f t="shared" si="2363"/>
        <v>0</v>
      </c>
      <c r="L1872" s="272">
        <f t="shared" si="2364"/>
        <v>0</v>
      </c>
      <c r="M1872" s="273">
        <f t="shared" si="2365"/>
        <v>0</v>
      </c>
      <c r="N1872" s="337" t="str">
        <f t="shared" si="2366"/>
        <v>-</v>
      </c>
      <c r="O1872" s="263" t="str">
        <f t="shared" si="2351"/>
        <v>-</v>
      </c>
    </row>
    <row r="1873" spans="1:15" ht="23.4" x14ac:dyDescent="0.3">
      <c r="A1873" s="274" t="s">
        <v>103</v>
      </c>
      <c r="B1873" s="1044"/>
      <c r="C1873" s="275" t="s">
        <v>115</v>
      </c>
      <c r="D1873" s="275"/>
      <c r="E1873" s="276"/>
      <c r="F1873" s="277"/>
      <c r="G1873" s="333">
        <f t="shared" si="2362"/>
        <v>0</v>
      </c>
      <c r="H1873" s="278">
        <v>0</v>
      </c>
      <c r="I1873" s="278">
        <v>0</v>
      </c>
      <c r="J1873" s="351" t="str">
        <f t="shared" si="2367"/>
        <v>-</v>
      </c>
      <c r="K1873" s="333">
        <f t="shared" si="2363"/>
        <v>0</v>
      </c>
      <c r="L1873" s="272">
        <f t="shared" si="2364"/>
        <v>0</v>
      </c>
      <c r="M1873" s="273">
        <f t="shared" si="2365"/>
        <v>0</v>
      </c>
      <c r="N1873" s="337" t="str">
        <f t="shared" si="2366"/>
        <v>-</v>
      </c>
      <c r="O1873" s="263" t="str">
        <f t="shared" si="2351"/>
        <v>-</v>
      </c>
    </row>
    <row r="1874" spans="1:15" ht="23.4" x14ac:dyDescent="0.3">
      <c r="A1874" s="274" t="s">
        <v>103</v>
      </c>
      <c r="B1874" s="1044"/>
      <c r="C1874" s="275" t="s">
        <v>122</v>
      </c>
      <c r="D1874" s="275"/>
      <c r="E1874" s="276"/>
      <c r="F1874" s="277"/>
      <c r="G1874" s="333">
        <f t="shared" si="2362"/>
        <v>0</v>
      </c>
      <c r="H1874" s="278">
        <v>0</v>
      </c>
      <c r="I1874" s="278">
        <v>0</v>
      </c>
      <c r="J1874" s="351" t="str">
        <f t="shared" si="2367"/>
        <v>-</v>
      </c>
      <c r="K1874" s="333">
        <f t="shared" si="2363"/>
        <v>0</v>
      </c>
      <c r="L1874" s="272">
        <f t="shared" si="2364"/>
        <v>0</v>
      </c>
      <c r="M1874" s="273">
        <f t="shared" si="2365"/>
        <v>0</v>
      </c>
      <c r="N1874" s="337" t="str">
        <f t="shared" si="2366"/>
        <v>-</v>
      </c>
      <c r="O1874" s="263" t="str">
        <f t="shared" si="2351"/>
        <v>-</v>
      </c>
    </row>
    <row r="1875" spans="1:15" ht="23.4" x14ac:dyDescent="0.3">
      <c r="A1875" s="274" t="s">
        <v>103</v>
      </c>
      <c r="B1875" s="1044"/>
      <c r="C1875" s="275" t="s">
        <v>176</v>
      </c>
      <c r="D1875" s="275" t="s">
        <v>177</v>
      </c>
      <c r="E1875" s="276"/>
      <c r="F1875" s="277"/>
      <c r="G1875" s="333">
        <f t="shared" si="2362"/>
        <v>0</v>
      </c>
      <c r="H1875" s="278">
        <v>0</v>
      </c>
      <c r="I1875" s="278">
        <v>0</v>
      </c>
      <c r="J1875" s="351" t="str">
        <f t="shared" si="2367"/>
        <v>-</v>
      </c>
      <c r="K1875" s="333">
        <f t="shared" si="2363"/>
        <v>0</v>
      </c>
      <c r="L1875" s="272">
        <f t="shared" si="2364"/>
        <v>0</v>
      </c>
      <c r="M1875" s="273">
        <f t="shared" si="2365"/>
        <v>0</v>
      </c>
      <c r="N1875" s="337" t="str">
        <f t="shared" si="2366"/>
        <v>-</v>
      </c>
      <c r="O1875" s="263" t="str">
        <f t="shared" si="2351"/>
        <v>-</v>
      </c>
    </row>
    <row r="1876" spans="1:15" ht="23.4" x14ac:dyDescent="0.3">
      <c r="A1876" s="274" t="s">
        <v>103</v>
      </c>
      <c r="B1876" s="1044"/>
      <c r="C1876" s="275" t="s">
        <v>179</v>
      </c>
      <c r="D1876" s="275" t="s">
        <v>178</v>
      </c>
      <c r="E1876" s="276"/>
      <c r="F1876" s="277"/>
      <c r="G1876" s="333">
        <f t="shared" si="2362"/>
        <v>0</v>
      </c>
      <c r="H1876" s="278">
        <v>0</v>
      </c>
      <c r="I1876" s="278">
        <v>0</v>
      </c>
      <c r="J1876" s="351" t="str">
        <f t="shared" si="2367"/>
        <v>-</v>
      </c>
      <c r="K1876" s="333">
        <f t="shared" si="2363"/>
        <v>0</v>
      </c>
      <c r="L1876" s="272">
        <f t="shared" si="2364"/>
        <v>0</v>
      </c>
      <c r="M1876" s="273">
        <f t="shared" si="2365"/>
        <v>0</v>
      </c>
      <c r="N1876" s="337" t="str">
        <f t="shared" si="2366"/>
        <v>-</v>
      </c>
      <c r="O1876" s="263" t="str">
        <f t="shared" si="2351"/>
        <v>-</v>
      </c>
    </row>
    <row r="1877" spans="1:15" ht="24" thickBot="1" x14ac:dyDescent="0.35">
      <c r="A1877" s="274" t="s">
        <v>103</v>
      </c>
      <c r="B1877" s="1045"/>
      <c r="C1877" s="286" t="s">
        <v>180</v>
      </c>
      <c r="D1877" s="286" t="s">
        <v>107</v>
      </c>
      <c r="E1877" s="280"/>
      <c r="F1877" s="281"/>
      <c r="G1877" s="334">
        <f t="shared" si="2362"/>
        <v>0</v>
      </c>
      <c r="H1877" s="282">
        <v>0</v>
      </c>
      <c r="I1877" s="282">
        <v>0</v>
      </c>
      <c r="J1877" s="351" t="str">
        <f t="shared" si="2367"/>
        <v>-</v>
      </c>
      <c r="K1877" s="334">
        <f t="shared" si="2363"/>
        <v>0</v>
      </c>
      <c r="L1877" s="272">
        <f t="shared" si="2364"/>
        <v>0</v>
      </c>
      <c r="M1877" s="273">
        <f t="shared" si="2365"/>
        <v>0</v>
      </c>
      <c r="N1877" s="338" t="str">
        <f t="shared" si="2366"/>
        <v>-</v>
      </c>
      <c r="O1877" s="347" t="str">
        <f t="shared" si="2351"/>
        <v>-</v>
      </c>
    </row>
    <row r="1878" spans="1:15" ht="24" thickBot="1" x14ac:dyDescent="0.35">
      <c r="A1878" s="274" t="s">
        <v>103</v>
      </c>
      <c r="B1878" s="1025" t="s">
        <v>29</v>
      </c>
      <c r="C1878" s="1083"/>
      <c r="D1878" s="1084"/>
      <c r="E1878" s="366">
        <f t="shared" ref="E1878" si="2368">SUM(E1871:E1877)</f>
        <v>0</v>
      </c>
      <c r="F1878" s="307">
        <v>80000</v>
      </c>
      <c r="G1878" s="366">
        <f>SUM(G1871:G1877)</f>
        <v>0</v>
      </c>
      <c r="H1878" s="365">
        <f t="shared" ref="H1878:I1878" si="2369">SUM(H1871:H1877)</f>
        <v>0</v>
      </c>
      <c r="I1878" s="365">
        <f t="shared" si="2369"/>
        <v>0</v>
      </c>
      <c r="J1878" s="356">
        <f>+G1878/F1878</f>
        <v>0</v>
      </c>
      <c r="K1878" s="366">
        <f t="shared" ref="K1878" si="2370">SUM(K1871:K1877)</f>
        <v>0</v>
      </c>
      <c r="L1878" s="365">
        <f>SUM(L1871:L1877)</f>
        <v>0</v>
      </c>
      <c r="M1878" s="367">
        <f t="shared" ref="M1878" si="2371">SUM(M1871:M1877)</f>
        <v>0</v>
      </c>
      <c r="N1878" s="355" t="str">
        <f t="shared" si="2366"/>
        <v>-</v>
      </c>
      <c r="O1878" s="356" t="str">
        <f t="shared" si="2351"/>
        <v>-</v>
      </c>
    </row>
    <row r="1879" spans="1:15" ht="23.4" x14ac:dyDescent="0.3">
      <c r="A1879" s="252" t="s">
        <v>103</v>
      </c>
      <c r="B1879" s="1037" t="s">
        <v>19</v>
      </c>
      <c r="C1879" s="669" t="s">
        <v>235</v>
      </c>
      <c r="D1879" s="883" t="s">
        <v>177</v>
      </c>
      <c r="E1879" s="912"/>
      <c r="F1879" s="838">
        <v>220000</v>
      </c>
      <c r="G1879" s="457">
        <f t="shared" ref="G1879:G1885" si="2372">+H1879+I1879</f>
        <v>84655</v>
      </c>
      <c r="H1879" s="458">
        <v>84480</v>
      </c>
      <c r="I1879" s="458">
        <v>175</v>
      </c>
      <c r="J1879" s="531">
        <f>IFERROR(G1879/F1879,"-")</f>
        <v>0.38479545454545455</v>
      </c>
      <c r="K1879" s="869">
        <f>+L1879+M1879</f>
        <v>516918</v>
      </c>
      <c r="L1879" s="527">
        <f t="shared" ref="L1879:L1885" si="2373">+H1879+L1762</f>
        <v>515328</v>
      </c>
      <c r="M1879" s="838">
        <f t="shared" ref="M1879:M1885" si="2374">+I1879+M1762</f>
        <v>1590</v>
      </c>
      <c r="N1879" s="646" t="str">
        <f>IFERROR(K1879/E1879,"-")</f>
        <v>-</v>
      </c>
      <c r="O1879" s="647">
        <f t="shared" si="2351"/>
        <v>3.0759230671015517E-3</v>
      </c>
    </row>
    <row r="1880" spans="1:15" ht="23.4" x14ac:dyDescent="0.3">
      <c r="A1880" s="252"/>
      <c r="B1880" s="1038"/>
      <c r="C1880" s="840" t="s">
        <v>377</v>
      </c>
      <c r="D1880" s="876" t="s">
        <v>423</v>
      </c>
      <c r="E1880" s="511">
        <v>1000000</v>
      </c>
      <c r="F1880" s="277"/>
      <c r="G1880" s="333">
        <f t="shared" si="2372"/>
        <v>0</v>
      </c>
      <c r="H1880" s="278">
        <v>0</v>
      </c>
      <c r="I1880" s="278">
        <v>0</v>
      </c>
      <c r="J1880" s="352" t="str">
        <f t="shared" ref="J1880:J1885" si="2375">IFERROR(G1880/F1880,"-")</f>
        <v>-</v>
      </c>
      <c r="K1880" s="870">
        <f>+L1880+M1880</f>
        <v>576188</v>
      </c>
      <c r="L1880" s="276">
        <f t="shared" si="2373"/>
        <v>574464</v>
      </c>
      <c r="M1880" s="277">
        <f t="shared" si="2374"/>
        <v>1724</v>
      </c>
      <c r="N1880" s="836">
        <f t="shared" ref="N1880:N1885" si="2376">IFERROR(K1880/E1880,"-")</f>
        <v>0.57618800000000003</v>
      </c>
      <c r="O1880" s="263">
        <f>IFERROR(M1880/K1880,"-")</f>
        <v>2.9920789742236909E-3</v>
      </c>
    </row>
    <row r="1881" spans="1:15" ht="23.4" x14ac:dyDescent="0.3">
      <c r="A1881" s="252"/>
      <c r="B1881" s="1038"/>
      <c r="C1881" s="840" t="s">
        <v>235</v>
      </c>
      <c r="D1881" s="876" t="s">
        <v>522</v>
      </c>
      <c r="E1881" s="511"/>
      <c r="F1881" s="277"/>
      <c r="G1881" s="333">
        <f t="shared" si="2372"/>
        <v>0</v>
      </c>
      <c r="H1881" s="278">
        <v>0</v>
      </c>
      <c r="I1881" s="278">
        <v>0</v>
      </c>
      <c r="J1881" s="352" t="str">
        <f t="shared" si="2375"/>
        <v>-</v>
      </c>
      <c r="K1881" s="870">
        <f t="shared" ref="K1881:K1884" si="2377">+L1881+M1881</f>
        <v>214277</v>
      </c>
      <c r="L1881" s="276">
        <f t="shared" si="2373"/>
        <v>213712</v>
      </c>
      <c r="M1881" s="277">
        <f t="shared" si="2374"/>
        <v>565</v>
      </c>
      <c r="N1881" s="836" t="str">
        <f t="shared" si="2376"/>
        <v>-</v>
      </c>
      <c r="O1881" s="263">
        <f t="shared" ref="O1881:O1942" si="2378">IFERROR(M1881/K1881,"-")</f>
        <v>2.6367738954717491E-3</v>
      </c>
    </row>
    <row r="1882" spans="1:15" ht="23.4" x14ac:dyDescent="0.3">
      <c r="A1882" s="252"/>
      <c r="B1882" s="1038"/>
      <c r="C1882" s="840" t="s">
        <v>377</v>
      </c>
      <c r="D1882" s="876" t="s">
        <v>522</v>
      </c>
      <c r="E1882" s="511"/>
      <c r="F1882" s="277"/>
      <c r="G1882" s="333">
        <f t="shared" si="2372"/>
        <v>0</v>
      </c>
      <c r="H1882" s="278">
        <v>0</v>
      </c>
      <c r="I1882" s="278">
        <v>0</v>
      </c>
      <c r="J1882" s="352" t="str">
        <f t="shared" si="2375"/>
        <v>-</v>
      </c>
      <c r="K1882" s="870">
        <f t="shared" si="2377"/>
        <v>288207</v>
      </c>
      <c r="L1882" s="276">
        <f t="shared" si="2373"/>
        <v>287232</v>
      </c>
      <c r="M1882" s="277">
        <f t="shared" si="2374"/>
        <v>975</v>
      </c>
      <c r="N1882" s="836" t="str">
        <f t="shared" si="2376"/>
        <v>-</v>
      </c>
      <c r="O1882" s="263">
        <f t="shared" si="2378"/>
        <v>3.3829851460929123E-3</v>
      </c>
    </row>
    <row r="1883" spans="1:15" ht="23.4" x14ac:dyDescent="0.3">
      <c r="A1883" s="252"/>
      <c r="B1883" s="1038"/>
      <c r="C1883" s="840" t="s">
        <v>551</v>
      </c>
      <c r="D1883" s="876" t="s">
        <v>522</v>
      </c>
      <c r="E1883" s="511"/>
      <c r="F1883" s="277"/>
      <c r="G1883" s="333">
        <f t="shared" si="2372"/>
        <v>0</v>
      </c>
      <c r="H1883" s="278">
        <v>0</v>
      </c>
      <c r="I1883" s="278">
        <v>0</v>
      </c>
      <c r="J1883" s="352" t="str">
        <f t="shared" si="2375"/>
        <v>-</v>
      </c>
      <c r="K1883" s="870">
        <f t="shared" si="2377"/>
        <v>151526</v>
      </c>
      <c r="L1883" s="276">
        <f t="shared" si="2373"/>
        <v>149952</v>
      </c>
      <c r="M1883" s="277">
        <f t="shared" si="2374"/>
        <v>1574</v>
      </c>
      <c r="N1883" s="836" t="str">
        <f t="shared" si="2376"/>
        <v>-</v>
      </c>
      <c r="O1883" s="263">
        <f t="shared" si="2378"/>
        <v>1.0387656243812942E-2</v>
      </c>
    </row>
    <row r="1884" spans="1:15" ht="23.4" x14ac:dyDescent="0.3">
      <c r="A1884" s="252"/>
      <c r="B1884" s="1038"/>
      <c r="C1884" s="840"/>
      <c r="D1884" s="876"/>
      <c r="E1884" s="511"/>
      <c r="F1884" s="277"/>
      <c r="G1884" s="333">
        <f t="shared" si="2372"/>
        <v>0</v>
      </c>
      <c r="H1884" s="278">
        <v>0</v>
      </c>
      <c r="I1884" s="278">
        <v>0</v>
      </c>
      <c r="J1884" s="352" t="str">
        <f t="shared" si="2375"/>
        <v>-</v>
      </c>
      <c r="K1884" s="870">
        <f t="shared" si="2377"/>
        <v>0</v>
      </c>
      <c r="L1884" s="276">
        <f t="shared" si="2373"/>
        <v>0</v>
      </c>
      <c r="M1884" s="277">
        <f t="shared" si="2374"/>
        <v>0</v>
      </c>
      <c r="N1884" s="836" t="str">
        <f t="shared" si="2376"/>
        <v>-</v>
      </c>
      <c r="O1884" s="263" t="str">
        <f t="shared" si="2378"/>
        <v>-</v>
      </c>
    </row>
    <row r="1885" spans="1:15" ht="24" thickBot="1" x14ac:dyDescent="0.35">
      <c r="A1885" s="252"/>
      <c r="B1885" s="1039"/>
      <c r="C1885" s="670" t="s">
        <v>342</v>
      </c>
      <c r="D1885" s="884"/>
      <c r="E1885" s="913">
        <v>150000</v>
      </c>
      <c r="F1885" s="839"/>
      <c r="G1885" s="460">
        <f t="shared" si="2372"/>
        <v>0</v>
      </c>
      <c r="H1885" s="461">
        <v>0</v>
      </c>
      <c r="I1885" s="461">
        <v>0</v>
      </c>
      <c r="J1885" s="532" t="str">
        <f t="shared" si="2375"/>
        <v>-</v>
      </c>
      <c r="K1885" s="871">
        <f>+L1885+M1885</f>
        <v>0</v>
      </c>
      <c r="L1885" s="530">
        <f t="shared" si="2373"/>
        <v>0</v>
      </c>
      <c r="M1885" s="839">
        <f t="shared" si="2374"/>
        <v>0</v>
      </c>
      <c r="N1885" s="837">
        <f t="shared" si="2376"/>
        <v>0</v>
      </c>
      <c r="O1885" s="264" t="str">
        <f t="shared" si="2378"/>
        <v>-</v>
      </c>
    </row>
    <row r="1886" spans="1:15" ht="24" thickBot="1" x14ac:dyDescent="0.35">
      <c r="A1886" s="274" t="s">
        <v>103</v>
      </c>
      <c r="B1886" s="1040" t="s">
        <v>46</v>
      </c>
      <c r="C1886" s="1041"/>
      <c r="D1886" s="1042"/>
      <c r="E1886" s="513">
        <f>SUM(E1879:E1885)</f>
        <v>1150000</v>
      </c>
      <c r="F1886" s="859">
        <f t="shared" ref="F1886" si="2379">SUM(F1879)</f>
        <v>220000</v>
      </c>
      <c r="G1886" s="513">
        <f>SUM(G1879:G1885)</f>
        <v>84655</v>
      </c>
      <c r="H1886" s="519">
        <f>SUM(H1879:H1885)</f>
        <v>84480</v>
      </c>
      <c r="I1886" s="519">
        <f>SUM(I1879:I1885)</f>
        <v>175</v>
      </c>
      <c r="J1886" s="520">
        <f>+G1886/F1886</f>
        <v>0.38479545454545455</v>
      </c>
      <c r="K1886" s="835">
        <f>SUM(K1879:K1885)</f>
        <v>1747116</v>
      </c>
      <c r="L1886" s="519">
        <f>SUM(L1879:L1885)</f>
        <v>1740688</v>
      </c>
      <c r="M1886" s="689">
        <f>SUM(M1879:M1885)</f>
        <v>6428</v>
      </c>
      <c r="N1886" s="521">
        <f>IFERROR(K1886/E1886,"-")</f>
        <v>1.5192313043478261</v>
      </c>
      <c r="O1886" s="520">
        <f t="shared" si="2378"/>
        <v>3.6792061889422338E-3</v>
      </c>
    </row>
    <row r="1887" spans="1:15" ht="23.4" x14ac:dyDescent="0.3">
      <c r="A1887" s="274" t="s">
        <v>103</v>
      </c>
      <c r="B1887" s="1043" t="s">
        <v>20</v>
      </c>
      <c r="C1887" s="291" t="s">
        <v>317</v>
      </c>
      <c r="D1887" s="291" t="s">
        <v>289</v>
      </c>
      <c r="E1887" s="270"/>
      <c r="F1887" s="271"/>
      <c r="G1887" s="332">
        <f t="shared" ref="G1887:G1889" si="2380">+H1887+I1887</f>
        <v>0</v>
      </c>
      <c r="H1887" s="272">
        <v>0</v>
      </c>
      <c r="I1887" s="272">
        <v>0</v>
      </c>
      <c r="J1887" s="351" t="str">
        <f>IFERROR(G1887/F1887,"-")</f>
        <v>-</v>
      </c>
      <c r="K1887" s="332">
        <f t="shared" ref="K1887:K1889" si="2381">+L1887+M1887</f>
        <v>0</v>
      </c>
      <c r="L1887" s="272">
        <f t="shared" ref="L1887:L1889" si="2382">+H1887+L1770</f>
        <v>0</v>
      </c>
      <c r="M1887" s="273">
        <f t="shared" ref="M1887:M1889" si="2383">+I1887+M1770</f>
        <v>0</v>
      </c>
      <c r="N1887" s="336" t="str">
        <f t="shared" ref="N1887:N1890" si="2384">IFERROR(K1887/E1887,"-")</f>
        <v>-</v>
      </c>
      <c r="O1887" s="346" t="str">
        <f t="shared" si="2378"/>
        <v>-</v>
      </c>
    </row>
    <row r="1888" spans="1:15" ht="23.4" x14ac:dyDescent="0.3">
      <c r="A1888" s="274" t="s">
        <v>103</v>
      </c>
      <c r="B1888" s="1044"/>
      <c r="C1888" s="292" t="s">
        <v>114</v>
      </c>
      <c r="D1888" s="292"/>
      <c r="E1888" s="276"/>
      <c r="F1888" s="277"/>
      <c r="G1888" s="333">
        <f t="shared" si="2380"/>
        <v>0</v>
      </c>
      <c r="H1888" s="278">
        <v>0</v>
      </c>
      <c r="I1888" s="278">
        <v>0</v>
      </c>
      <c r="J1888" s="351" t="str">
        <f t="shared" ref="J1888:J1889" si="2385">IFERROR(G1888/F1888,"-")</f>
        <v>-</v>
      </c>
      <c r="K1888" s="333">
        <f t="shared" si="2381"/>
        <v>0</v>
      </c>
      <c r="L1888" s="272">
        <f t="shared" si="2382"/>
        <v>0</v>
      </c>
      <c r="M1888" s="273">
        <f t="shared" si="2383"/>
        <v>0</v>
      </c>
      <c r="N1888" s="337" t="str">
        <f t="shared" si="2384"/>
        <v>-</v>
      </c>
      <c r="O1888" s="263" t="str">
        <f t="shared" si="2378"/>
        <v>-</v>
      </c>
    </row>
    <row r="1889" spans="1:15" ht="24" thickBot="1" x14ac:dyDescent="0.35">
      <c r="A1889" s="274" t="s">
        <v>103</v>
      </c>
      <c r="B1889" s="1045"/>
      <c r="C1889" s="293" t="s">
        <v>120</v>
      </c>
      <c r="D1889" s="293"/>
      <c r="E1889" s="280"/>
      <c r="F1889" s="281"/>
      <c r="G1889" s="334">
        <f t="shared" si="2380"/>
        <v>0</v>
      </c>
      <c r="H1889" s="282">
        <v>0</v>
      </c>
      <c r="I1889" s="282">
        <v>0</v>
      </c>
      <c r="J1889" s="351" t="str">
        <f t="shared" si="2385"/>
        <v>-</v>
      </c>
      <c r="K1889" s="334">
        <f t="shared" si="2381"/>
        <v>0</v>
      </c>
      <c r="L1889" s="272">
        <f t="shared" si="2382"/>
        <v>0</v>
      </c>
      <c r="M1889" s="273">
        <f t="shared" si="2383"/>
        <v>0</v>
      </c>
      <c r="N1889" s="338" t="str">
        <f t="shared" si="2384"/>
        <v>-</v>
      </c>
      <c r="O1889" s="347" t="str">
        <f t="shared" si="2378"/>
        <v>-</v>
      </c>
    </row>
    <row r="1890" spans="1:15" ht="24" thickBot="1" x14ac:dyDescent="0.35">
      <c r="A1890" s="274" t="s">
        <v>103</v>
      </c>
      <c r="B1890" s="1026" t="s">
        <v>47</v>
      </c>
      <c r="C1890" s="1026"/>
      <c r="D1890" s="1046"/>
      <c r="E1890" s="320">
        <f t="shared" ref="E1890" si="2386">SUM(E1887:E1889)</f>
        <v>0</v>
      </c>
      <c r="F1890" s="285">
        <v>50000</v>
      </c>
      <c r="G1890" s="320">
        <f>SUM(G1887:G1889)</f>
        <v>0</v>
      </c>
      <c r="H1890" s="321">
        <f t="shared" ref="H1890:I1890" si="2387">SUM(H1887:H1889)</f>
        <v>0</v>
      </c>
      <c r="I1890" s="321">
        <f t="shared" si="2387"/>
        <v>0</v>
      </c>
      <c r="J1890" s="345">
        <f>+G1890/F1890</f>
        <v>0</v>
      </c>
      <c r="K1890" s="320">
        <f t="shared" ref="K1890:M1890" si="2388">SUM(K1887:K1889)</f>
        <v>0</v>
      </c>
      <c r="L1890" s="321">
        <f t="shared" si="2388"/>
        <v>0</v>
      </c>
      <c r="M1890" s="322">
        <f t="shared" si="2388"/>
        <v>0</v>
      </c>
      <c r="N1890" s="339" t="str">
        <f t="shared" si="2384"/>
        <v>-</v>
      </c>
      <c r="O1890" s="345" t="str">
        <f t="shared" si="2378"/>
        <v>-</v>
      </c>
    </row>
    <row r="1891" spans="1:15" ht="24" thickBot="1" x14ac:dyDescent="0.35">
      <c r="A1891" s="274" t="s">
        <v>103</v>
      </c>
      <c r="B1891" s="1047" t="s">
        <v>21</v>
      </c>
      <c r="C1891" s="1048"/>
      <c r="D1891" s="1049"/>
      <c r="E1891" s="326">
        <f>+E1862+E1870+E1878+E1886+E1890</f>
        <v>3770000</v>
      </c>
      <c r="F1891" s="327">
        <f>+F1862+F1870+F1878+F1886+F1890</f>
        <v>465000</v>
      </c>
      <c r="G1891" s="326">
        <f>+G1862+G1870+G1878+G1886+G1890</f>
        <v>142390</v>
      </c>
      <c r="H1891" s="324">
        <f>+H1862+H1870+H1878+H1886+H1890</f>
        <v>141950</v>
      </c>
      <c r="I1891" s="324">
        <f>+I1862+I1870+I1878+I1886+I1890</f>
        <v>440</v>
      </c>
      <c r="J1891" s="349">
        <f>+G1891/F1891</f>
        <v>0.30621505376344088</v>
      </c>
      <c r="K1891" s="326">
        <f>+K1862+K1870+K1878+K1886+K1890</f>
        <v>3166521</v>
      </c>
      <c r="L1891" s="324">
        <f>+L1862+L1870+L1878+L1886+L1890</f>
        <v>3150788</v>
      </c>
      <c r="M1891" s="325">
        <f>+M1862+M1870+M1878+M1886+M1890</f>
        <v>15733</v>
      </c>
      <c r="N1891" s="341">
        <f>IFERROR(K1891/E1891,"-")</f>
        <v>0.83992599469496021</v>
      </c>
      <c r="O1891" s="349">
        <f t="shared" si="2378"/>
        <v>4.9685443425134396E-3</v>
      </c>
    </row>
    <row r="1892" spans="1:15" ht="23.4" x14ac:dyDescent="0.3">
      <c r="A1892" s="274" t="s">
        <v>103</v>
      </c>
      <c r="B1892" s="1043" t="s">
        <v>400</v>
      </c>
      <c r="C1892" s="269" t="s">
        <v>125</v>
      </c>
      <c r="D1892" s="269"/>
      <c r="E1892" s="270"/>
      <c r="F1892" s="271"/>
      <c r="G1892" s="332">
        <f t="shared" ref="G1892:G1895" si="2389">+H1892+I1892</f>
        <v>0</v>
      </c>
      <c r="H1892" s="272">
        <v>0</v>
      </c>
      <c r="I1892" s="272">
        <v>0</v>
      </c>
      <c r="J1892" s="351" t="str">
        <f>IFERROR(G1892/F1892,"-")</f>
        <v>-</v>
      </c>
      <c r="K1892" s="332">
        <f t="shared" ref="K1892:K1895" si="2390">+L1892+M1892</f>
        <v>0</v>
      </c>
      <c r="L1892" s="272">
        <f t="shared" ref="L1892:L1895" si="2391">+H1892+L1775</f>
        <v>0</v>
      </c>
      <c r="M1892" s="273">
        <f t="shared" ref="M1892:M1895" si="2392">+I1892+M1775</f>
        <v>0</v>
      </c>
      <c r="N1892" s="336" t="str">
        <f t="shared" ref="N1892:N1907" si="2393">IFERROR(K1892/E1892,"-")</f>
        <v>-</v>
      </c>
      <c r="O1892" s="346" t="str">
        <f t="shared" si="2378"/>
        <v>-</v>
      </c>
    </row>
    <row r="1893" spans="1:15" ht="23.4" x14ac:dyDescent="0.3">
      <c r="A1893" s="274" t="s">
        <v>103</v>
      </c>
      <c r="B1893" s="1044"/>
      <c r="C1893" s="295" t="s">
        <v>263</v>
      </c>
      <c r="D1893" s="295" t="s">
        <v>181</v>
      </c>
      <c r="E1893" s="276"/>
      <c r="F1893" s="277"/>
      <c r="G1893" s="333">
        <f t="shared" si="2389"/>
        <v>0</v>
      </c>
      <c r="H1893" s="278">
        <v>0</v>
      </c>
      <c r="I1893" s="278">
        <v>0</v>
      </c>
      <c r="J1893" s="351" t="str">
        <f t="shared" ref="J1893:J1895" si="2394">IFERROR(G1893/F1893,"-")</f>
        <v>-</v>
      </c>
      <c r="K1893" s="333">
        <f t="shared" si="2390"/>
        <v>0</v>
      </c>
      <c r="L1893" s="272">
        <f t="shared" si="2391"/>
        <v>0</v>
      </c>
      <c r="M1893" s="273">
        <f t="shared" si="2392"/>
        <v>0</v>
      </c>
      <c r="N1893" s="337" t="str">
        <f t="shared" si="2393"/>
        <v>-</v>
      </c>
      <c r="O1893" s="263" t="str">
        <f t="shared" si="2378"/>
        <v>-</v>
      </c>
    </row>
    <row r="1894" spans="1:15" ht="23.4" x14ac:dyDescent="0.3">
      <c r="A1894" s="274" t="s">
        <v>103</v>
      </c>
      <c r="B1894" s="1044"/>
      <c r="C1894" s="295" t="s">
        <v>362</v>
      </c>
      <c r="D1894" s="295" t="s">
        <v>181</v>
      </c>
      <c r="E1894" s="276"/>
      <c r="F1894" s="277"/>
      <c r="G1894" s="333">
        <f t="shared" si="2389"/>
        <v>23831</v>
      </c>
      <c r="H1894" s="278">
        <v>23760</v>
      </c>
      <c r="I1894" s="278">
        <v>71</v>
      </c>
      <c r="J1894" s="351" t="str">
        <f t="shared" si="2394"/>
        <v>-</v>
      </c>
      <c r="K1894" s="333">
        <f t="shared" si="2390"/>
        <v>47670</v>
      </c>
      <c r="L1894" s="272">
        <f t="shared" si="2391"/>
        <v>47520</v>
      </c>
      <c r="M1894" s="273">
        <f t="shared" si="2392"/>
        <v>150</v>
      </c>
      <c r="N1894" s="337" t="str">
        <f t="shared" si="2393"/>
        <v>-</v>
      </c>
      <c r="O1894" s="263">
        <f t="shared" si="2378"/>
        <v>3.1466331025802393E-3</v>
      </c>
    </row>
    <row r="1895" spans="1:15" ht="24" thickBot="1" x14ac:dyDescent="0.35">
      <c r="A1895" s="274" t="s">
        <v>103</v>
      </c>
      <c r="B1895" s="1045"/>
      <c r="C1895" s="279" t="s">
        <v>182</v>
      </c>
      <c r="D1895" s="279" t="s">
        <v>93</v>
      </c>
      <c r="E1895" s="280"/>
      <c r="F1895" s="281"/>
      <c r="G1895" s="334">
        <f t="shared" si="2389"/>
        <v>0</v>
      </c>
      <c r="H1895" s="278">
        <v>0</v>
      </c>
      <c r="I1895" s="278">
        <v>0</v>
      </c>
      <c r="J1895" s="351" t="str">
        <f t="shared" si="2394"/>
        <v>-</v>
      </c>
      <c r="K1895" s="334">
        <f t="shared" si="2390"/>
        <v>168782</v>
      </c>
      <c r="L1895" s="272">
        <f t="shared" si="2391"/>
        <v>168300</v>
      </c>
      <c r="M1895" s="273">
        <f t="shared" si="2392"/>
        <v>482</v>
      </c>
      <c r="N1895" s="338" t="str">
        <f t="shared" si="2393"/>
        <v>-</v>
      </c>
      <c r="O1895" s="347">
        <f t="shared" si="2378"/>
        <v>2.8557547605787348E-3</v>
      </c>
    </row>
    <row r="1896" spans="1:15" ht="24" thickBot="1" x14ac:dyDescent="0.35">
      <c r="A1896" s="274" t="s">
        <v>103</v>
      </c>
      <c r="B1896" s="1025" t="s">
        <v>48</v>
      </c>
      <c r="C1896" s="1026"/>
      <c r="D1896" s="1027"/>
      <c r="E1896" s="284">
        <f>SUM(E1892:E1895)</f>
        <v>0</v>
      </c>
      <c r="F1896" s="285">
        <v>80000</v>
      </c>
      <c r="G1896" s="320">
        <f>SUM(G1892:G1895)</f>
        <v>23831</v>
      </c>
      <c r="H1896" s="321">
        <f t="shared" ref="H1896:I1896" si="2395">SUM(H1892:H1895)</f>
        <v>23760</v>
      </c>
      <c r="I1896" s="321">
        <f t="shared" si="2395"/>
        <v>71</v>
      </c>
      <c r="J1896" s="345">
        <f>+G1896/F1896</f>
        <v>0.29788750000000003</v>
      </c>
      <c r="K1896" s="320">
        <f t="shared" ref="K1896" si="2396">SUM(K1892:K1895)</f>
        <v>216452</v>
      </c>
      <c r="L1896" s="321">
        <f>SUM(L1892:L1895)</f>
        <v>215820</v>
      </c>
      <c r="M1896" s="322">
        <f t="shared" ref="M1896" si="2397">SUM(M1892:M1895)</f>
        <v>632</v>
      </c>
      <c r="N1896" s="339" t="str">
        <f t="shared" si="2393"/>
        <v>-</v>
      </c>
      <c r="O1896" s="345">
        <f t="shared" si="2378"/>
        <v>2.9198159407166483E-3</v>
      </c>
    </row>
    <row r="1897" spans="1:15" ht="23.4" x14ac:dyDescent="0.3">
      <c r="A1897" s="274" t="s">
        <v>103</v>
      </c>
      <c r="B1897" s="1043" t="s">
        <v>23</v>
      </c>
      <c r="C1897" s="275" t="s">
        <v>500</v>
      </c>
      <c r="D1897" s="296" t="s">
        <v>238</v>
      </c>
      <c r="E1897" s="270">
        <v>10000</v>
      </c>
      <c r="F1897" s="271"/>
      <c r="G1897" s="332">
        <f t="shared" ref="G1897:G1905" si="2398">+H1897+I1897</f>
        <v>0</v>
      </c>
      <c r="H1897" s="272">
        <v>0</v>
      </c>
      <c r="I1897" s="272">
        <v>0</v>
      </c>
      <c r="J1897" s="351" t="str">
        <f>IFERROR(G1897/F1897,"-")</f>
        <v>-</v>
      </c>
      <c r="K1897" s="332">
        <f t="shared" ref="K1897:K1905" si="2399">+L1897+M1897</f>
        <v>0</v>
      </c>
      <c r="L1897" s="272">
        <f t="shared" ref="L1897:L1905" si="2400">+H1897+L1780</f>
        <v>0</v>
      </c>
      <c r="M1897" s="273">
        <f t="shared" ref="M1897:M1905" si="2401">+I1897+M1780</f>
        <v>0</v>
      </c>
      <c r="N1897" s="336">
        <f t="shared" si="2393"/>
        <v>0</v>
      </c>
      <c r="O1897" s="346" t="str">
        <f t="shared" si="2378"/>
        <v>-</v>
      </c>
    </row>
    <row r="1898" spans="1:15" ht="23.4" x14ac:dyDescent="0.3">
      <c r="A1898" s="274" t="s">
        <v>103</v>
      </c>
      <c r="B1898" s="1044"/>
      <c r="C1898" s="275" t="s">
        <v>24</v>
      </c>
      <c r="D1898" s="275" t="s">
        <v>238</v>
      </c>
      <c r="E1898" s="276">
        <v>112000</v>
      </c>
      <c r="F1898" s="277"/>
      <c r="G1898" s="333">
        <f t="shared" si="2398"/>
        <v>0</v>
      </c>
      <c r="H1898" s="278">
        <v>0</v>
      </c>
      <c r="I1898" s="278">
        <v>0</v>
      </c>
      <c r="J1898" s="351" t="str">
        <f t="shared" ref="J1898:J1905" si="2402">IFERROR(G1898/F1898,"-")</f>
        <v>-</v>
      </c>
      <c r="K1898" s="333">
        <f t="shared" si="2399"/>
        <v>0</v>
      </c>
      <c r="L1898" s="272">
        <f t="shared" si="2400"/>
        <v>0</v>
      </c>
      <c r="M1898" s="273">
        <f t="shared" si="2401"/>
        <v>0</v>
      </c>
      <c r="N1898" s="337">
        <f t="shared" si="2393"/>
        <v>0</v>
      </c>
      <c r="O1898" s="263" t="str">
        <f t="shared" si="2378"/>
        <v>-</v>
      </c>
    </row>
    <row r="1899" spans="1:15" ht="23.4" x14ac:dyDescent="0.3">
      <c r="A1899" s="274" t="s">
        <v>103</v>
      </c>
      <c r="B1899" s="1044"/>
      <c r="C1899" s="275" t="s">
        <v>236</v>
      </c>
      <c r="D1899" s="275" t="s">
        <v>238</v>
      </c>
      <c r="E1899" s="276">
        <v>40000</v>
      </c>
      <c r="F1899" s="277"/>
      <c r="G1899" s="333">
        <f t="shared" si="2398"/>
        <v>0</v>
      </c>
      <c r="H1899" s="278">
        <v>0</v>
      </c>
      <c r="I1899" s="278">
        <v>0</v>
      </c>
      <c r="J1899" s="351" t="str">
        <f t="shared" si="2402"/>
        <v>-</v>
      </c>
      <c r="K1899" s="333">
        <f t="shared" si="2399"/>
        <v>0</v>
      </c>
      <c r="L1899" s="272">
        <f t="shared" si="2400"/>
        <v>0</v>
      </c>
      <c r="M1899" s="273">
        <f t="shared" si="2401"/>
        <v>0</v>
      </c>
      <c r="N1899" s="337">
        <f t="shared" si="2393"/>
        <v>0</v>
      </c>
      <c r="O1899" s="263" t="str">
        <f t="shared" si="2378"/>
        <v>-</v>
      </c>
    </row>
    <row r="1900" spans="1:15" ht="23.4" x14ac:dyDescent="0.3">
      <c r="A1900" s="274" t="s">
        <v>103</v>
      </c>
      <c r="B1900" s="1044"/>
      <c r="C1900" s="275" t="s">
        <v>239</v>
      </c>
      <c r="D1900" s="275" t="s">
        <v>238</v>
      </c>
      <c r="E1900" s="276">
        <v>4000</v>
      </c>
      <c r="F1900" s="277"/>
      <c r="G1900" s="333">
        <f t="shared" si="2398"/>
        <v>0</v>
      </c>
      <c r="H1900" s="278">
        <v>0</v>
      </c>
      <c r="I1900" s="278">
        <v>0</v>
      </c>
      <c r="J1900" s="351" t="str">
        <f t="shared" si="2402"/>
        <v>-</v>
      </c>
      <c r="K1900" s="333">
        <f t="shared" si="2399"/>
        <v>0</v>
      </c>
      <c r="L1900" s="272">
        <f t="shared" si="2400"/>
        <v>0</v>
      </c>
      <c r="M1900" s="273">
        <f t="shared" si="2401"/>
        <v>0</v>
      </c>
      <c r="N1900" s="337">
        <f t="shared" si="2393"/>
        <v>0</v>
      </c>
      <c r="O1900" s="263" t="str">
        <f t="shared" si="2378"/>
        <v>-</v>
      </c>
    </row>
    <row r="1901" spans="1:15" ht="23.4" x14ac:dyDescent="0.3">
      <c r="A1901" s="274" t="s">
        <v>103</v>
      </c>
      <c r="B1901" s="1044"/>
      <c r="C1901" s="295" t="s">
        <v>394</v>
      </c>
      <c r="D1901" s="275" t="s">
        <v>238</v>
      </c>
      <c r="E1901" s="276">
        <v>8500</v>
      </c>
      <c r="F1901" s="277"/>
      <c r="G1901" s="333">
        <f t="shared" si="2398"/>
        <v>0</v>
      </c>
      <c r="H1901" s="278">
        <v>0</v>
      </c>
      <c r="I1901" s="278">
        <v>0</v>
      </c>
      <c r="J1901" s="351" t="str">
        <f t="shared" si="2402"/>
        <v>-</v>
      </c>
      <c r="K1901" s="333">
        <f t="shared" si="2399"/>
        <v>0</v>
      </c>
      <c r="L1901" s="272">
        <f t="shared" si="2400"/>
        <v>0</v>
      </c>
      <c r="M1901" s="273">
        <f t="shared" si="2401"/>
        <v>0</v>
      </c>
      <c r="N1901" s="337">
        <f t="shared" si="2393"/>
        <v>0</v>
      </c>
      <c r="O1901" s="263" t="str">
        <f t="shared" si="2378"/>
        <v>-</v>
      </c>
    </row>
    <row r="1902" spans="1:15" ht="23.4" x14ac:dyDescent="0.3">
      <c r="A1902" s="274" t="s">
        <v>103</v>
      </c>
      <c r="B1902" s="1044"/>
      <c r="C1902" s="295" t="s">
        <v>422</v>
      </c>
      <c r="D1902" s="275" t="s">
        <v>238</v>
      </c>
      <c r="E1902" s="276">
        <v>10000</v>
      </c>
      <c r="F1902" s="277"/>
      <c r="G1902" s="333">
        <f t="shared" si="2398"/>
        <v>0</v>
      </c>
      <c r="H1902" s="278">
        <v>0</v>
      </c>
      <c r="I1902" s="278">
        <v>0</v>
      </c>
      <c r="J1902" s="351" t="str">
        <f t="shared" si="2402"/>
        <v>-</v>
      </c>
      <c r="K1902" s="333">
        <f t="shared" si="2399"/>
        <v>0</v>
      </c>
      <c r="L1902" s="272">
        <f t="shared" si="2400"/>
        <v>0</v>
      </c>
      <c r="M1902" s="273">
        <f t="shared" si="2401"/>
        <v>0</v>
      </c>
      <c r="N1902" s="337">
        <f t="shared" si="2393"/>
        <v>0</v>
      </c>
      <c r="O1902" s="263" t="str">
        <f t="shared" si="2378"/>
        <v>-</v>
      </c>
    </row>
    <row r="1903" spans="1:15" ht="23.4" x14ac:dyDescent="0.3">
      <c r="A1903" s="274" t="s">
        <v>103</v>
      </c>
      <c r="B1903" s="1044"/>
      <c r="C1903" s="295" t="s">
        <v>241</v>
      </c>
      <c r="D1903" s="275" t="s">
        <v>243</v>
      </c>
      <c r="E1903" s="276"/>
      <c r="F1903" s="277"/>
      <c r="G1903" s="333">
        <f t="shared" si="2398"/>
        <v>0</v>
      </c>
      <c r="H1903" s="278">
        <v>0</v>
      </c>
      <c r="I1903" s="278">
        <v>0</v>
      </c>
      <c r="J1903" s="351" t="str">
        <f t="shared" si="2402"/>
        <v>-</v>
      </c>
      <c r="K1903" s="333">
        <f t="shared" si="2399"/>
        <v>0</v>
      </c>
      <c r="L1903" s="272">
        <f t="shared" si="2400"/>
        <v>0</v>
      </c>
      <c r="M1903" s="273">
        <f t="shared" si="2401"/>
        <v>0</v>
      </c>
      <c r="N1903" s="337" t="str">
        <f t="shared" si="2393"/>
        <v>-</v>
      </c>
      <c r="O1903" s="263" t="str">
        <f t="shared" si="2378"/>
        <v>-</v>
      </c>
    </row>
    <row r="1904" spans="1:15" ht="23.4" x14ac:dyDescent="0.3">
      <c r="A1904" s="274"/>
      <c r="B1904" s="1045"/>
      <c r="C1904" s="295" t="s">
        <v>546</v>
      </c>
      <c r="D1904" s="275" t="s">
        <v>238</v>
      </c>
      <c r="E1904" s="280">
        <v>6000</v>
      </c>
      <c r="F1904" s="281"/>
      <c r="G1904" s="333">
        <f t="shared" si="2398"/>
        <v>0</v>
      </c>
      <c r="H1904" s="278">
        <v>0</v>
      </c>
      <c r="I1904" s="278">
        <v>0</v>
      </c>
      <c r="J1904" s="351" t="str">
        <f t="shared" si="2402"/>
        <v>-</v>
      </c>
      <c r="K1904" s="333">
        <f t="shared" si="2399"/>
        <v>0</v>
      </c>
      <c r="L1904" s="272">
        <f t="shared" si="2400"/>
        <v>0</v>
      </c>
      <c r="M1904" s="273">
        <f t="shared" si="2401"/>
        <v>0</v>
      </c>
      <c r="N1904" s="337">
        <f t="shared" si="2393"/>
        <v>0</v>
      </c>
      <c r="O1904" s="263" t="str">
        <f t="shared" si="2378"/>
        <v>-</v>
      </c>
    </row>
    <row r="1905" spans="1:15" ht="24" thickBot="1" x14ac:dyDescent="0.35">
      <c r="A1905" s="274" t="s">
        <v>103</v>
      </c>
      <c r="B1905" s="1045"/>
      <c r="C1905" s="295" t="s">
        <v>242</v>
      </c>
      <c r="D1905" s="275" t="s">
        <v>238</v>
      </c>
      <c r="E1905" s="280">
        <v>5000</v>
      </c>
      <c r="F1905" s="281"/>
      <c r="G1905" s="334">
        <f t="shared" si="2398"/>
        <v>0</v>
      </c>
      <c r="H1905" s="278">
        <v>0</v>
      </c>
      <c r="I1905" s="278">
        <v>0</v>
      </c>
      <c r="J1905" s="351" t="str">
        <f t="shared" si="2402"/>
        <v>-</v>
      </c>
      <c r="K1905" s="334">
        <f t="shared" si="2399"/>
        <v>0</v>
      </c>
      <c r="L1905" s="272">
        <f t="shared" si="2400"/>
        <v>0</v>
      </c>
      <c r="M1905" s="273">
        <f t="shared" si="2401"/>
        <v>0</v>
      </c>
      <c r="N1905" s="338">
        <f t="shared" si="2393"/>
        <v>0</v>
      </c>
      <c r="O1905" s="347" t="str">
        <f t="shared" si="2378"/>
        <v>-</v>
      </c>
    </row>
    <row r="1906" spans="1:15" ht="24" thickBot="1" x14ac:dyDescent="0.35">
      <c r="A1906" s="274" t="s">
        <v>103</v>
      </c>
      <c r="B1906" s="1025" t="s">
        <v>49</v>
      </c>
      <c r="C1906" s="1026"/>
      <c r="D1906" s="1027"/>
      <c r="E1906" s="284">
        <f>SUM(E1897:E1905)</f>
        <v>195500</v>
      </c>
      <c r="F1906" s="285">
        <v>14000</v>
      </c>
      <c r="G1906" s="320">
        <f>SUM(G1897:G1905)</f>
        <v>0</v>
      </c>
      <c r="H1906" s="321">
        <f t="shared" ref="H1906:I1906" si="2403">SUM(H1897:H1905)</f>
        <v>0</v>
      </c>
      <c r="I1906" s="321">
        <f t="shared" si="2403"/>
        <v>0</v>
      </c>
      <c r="J1906" s="345">
        <f>+G1907/F1907</f>
        <v>0.25352127659574469</v>
      </c>
      <c r="K1906" s="320">
        <f>SUM(K1897:K1905)</f>
        <v>0</v>
      </c>
      <c r="L1906" s="321">
        <f>+H1906</f>
        <v>0</v>
      </c>
      <c r="M1906" s="322">
        <f>+I1906</f>
        <v>0</v>
      </c>
      <c r="N1906" s="339">
        <f t="shared" si="2393"/>
        <v>0</v>
      </c>
      <c r="O1906" s="345" t="str">
        <f t="shared" si="2378"/>
        <v>-</v>
      </c>
    </row>
    <row r="1907" spans="1:15" ht="24" thickBot="1" x14ac:dyDescent="0.35">
      <c r="A1907" s="274" t="s">
        <v>103</v>
      </c>
      <c r="B1907" s="1047" t="s">
        <v>25</v>
      </c>
      <c r="C1907" s="1048"/>
      <c r="D1907" s="1049"/>
      <c r="E1907" s="326">
        <f t="shared" ref="E1907:F1907" si="2404">+E1896+E1906</f>
        <v>195500</v>
      </c>
      <c r="F1907" s="327">
        <f t="shared" si="2404"/>
        <v>94000</v>
      </c>
      <c r="G1907" s="326">
        <f>+G1896+G1906</f>
        <v>23831</v>
      </c>
      <c r="H1907" s="324">
        <f t="shared" ref="H1907:I1907" si="2405">+H1896+H1906</f>
        <v>23760</v>
      </c>
      <c r="I1907" s="324">
        <f t="shared" si="2405"/>
        <v>71</v>
      </c>
      <c r="J1907" s="349" t="str">
        <f>IFERROR(G1907/#REF!,"-")</f>
        <v>-</v>
      </c>
      <c r="K1907" s="326">
        <f t="shared" ref="K1907" si="2406">+K1896+K1906</f>
        <v>216452</v>
      </c>
      <c r="L1907" s="324">
        <f>+L1896+L1906</f>
        <v>215820</v>
      </c>
      <c r="M1907" s="325">
        <f t="shared" ref="M1907" si="2407">+M1896+M1906</f>
        <v>632</v>
      </c>
      <c r="N1907" s="341">
        <f t="shared" si="2393"/>
        <v>1.1071713554987213</v>
      </c>
      <c r="O1907" s="349">
        <f t="shared" si="2378"/>
        <v>2.9198159407166483E-3</v>
      </c>
    </row>
    <row r="1908" spans="1:15" ht="24" thickBot="1" x14ac:dyDescent="0.35">
      <c r="A1908" s="274" t="s">
        <v>103</v>
      </c>
      <c r="B1908" s="1019" t="s">
        <v>172</v>
      </c>
      <c r="C1908" s="1020"/>
      <c r="D1908" s="1050"/>
      <c r="E1908" s="330">
        <f>+E1891+E1907</f>
        <v>3965500</v>
      </c>
      <c r="F1908" s="331">
        <f t="shared" ref="F1908:I1908" si="2408">+F1891+F1907</f>
        <v>559000</v>
      </c>
      <c r="G1908" s="330">
        <f t="shared" si="2408"/>
        <v>166221</v>
      </c>
      <c r="H1908" s="328">
        <f t="shared" si="2408"/>
        <v>165710</v>
      </c>
      <c r="I1908" s="328">
        <f t="shared" si="2408"/>
        <v>511</v>
      </c>
      <c r="J1908" s="350">
        <f>+G1908/F1908</f>
        <v>0.2973542039355993</v>
      </c>
      <c r="K1908" s="330">
        <f>+K1891+K1907</f>
        <v>3382973</v>
      </c>
      <c r="L1908" s="328">
        <f t="shared" ref="L1908:M1908" si="2409">+L1891+L1907</f>
        <v>3366608</v>
      </c>
      <c r="M1908" s="329">
        <f t="shared" si="2409"/>
        <v>16365</v>
      </c>
      <c r="N1908" s="342">
        <f>IFERROR(K1908/E1908,"-")</f>
        <v>0.85310124826629685</v>
      </c>
      <c r="O1908" s="350">
        <f t="shared" si="2378"/>
        <v>4.8374610143208357E-3</v>
      </c>
    </row>
    <row r="1909" spans="1:15" ht="23.4" x14ac:dyDescent="0.3">
      <c r="A1909" s="268" t="s">
        <v>101</v>
      </c>
      <c r="B1909" s="1051" t="s">
        <v>26</v>
      </c>
      <c r="C1909" s="893" t="s">
        <v>297</v>
      </c>
      <c r="D1909" s="898" t="s">
        <v>177</v>
      </c>
      <c r="E1909" s="895"/>
      <c r="F1909" s="271"/>
      <c r="G1909" s="332">
        <f t="shared" ref="G1909:G1918" si="2410">+H1909+I1909</f>
        <v>0</v>
      </c>
      <c r="H1909" s="272">
        <v>0</v>
      </c>
      <c r="I1909" s="272">
        <v>0</v>
      </c>
      <c r="J1909" s="351" t="str">
        <f>IFERROR(G1909/F1909,"-")</f>
        <v>-</v>
      </c>
      <c r="K1909" s="332">
        <f t="shared" ref="K1909:K1918" si="2411">+L1909+M1909</f>
        <v>0</v>
      </c>
      <c r="L1909" s="272">
        <f t="shared" ref="L1909:L1918" si="2412">+H1909+L1792</f>
        <v>0</v>
      </c>
      <c r="M1909" s="273">
        <f t="shared" ref="M1909:M1918" si="2413">+I1909+M1792</f>
        <v>0</v>
      </c>
      <c r="N1909" s="336" t="str">
        <f t="shared" ref="N1909:N1927" si="2414">IFERROR(K1909/E1909,"-")</f>
        <v>-</v>
      </c>
      <c r="O1909" s="346" t="str">
        <f t="shared" si="2378"/>
        <v>-</v>
      </c>
    </row>
    <row r="1910" spans="1:15" ht="23.4" x14ac:dyDescent="0.3">
      <c r="A1910" s="274" t="s">
        <v>101</v>
      </c>
      <c r="B1910" s="1051"/>
      <c r="C1910" s="253" t="s">
        <v>424</v>
      </c>
      <c r="D1910" s="899" t="s">
        <v>423</v>
      </c>
      <c r="E1910" s="511">
        <v>314432</v>
      </c>
      <c r="F1910" s="277"/>
      <c r="G1910" s="333">
        <f t="shared" si="2410"/>
        <v>0</v>
      </c>
      <c r="H1910" s="278">
        <v>0</v>
      </c>
      <c r="I1910" s="278">
        <v>0</v>
      </c>
      <c r="J1910" s="351" t="str">
        <f t="shared" ref="J1910:J1918" si="2415">IFERROR(G1910/F1910,"-")</f>
        <v>-</v>
      </c>
      <c r="K1910" s="333">
        <f t="shared" si="2411"/>
        <v>265434</v>
      </c>
      <c r="L1910" s="272">
        <f t="shared" si="2412"/>
        <v>262548</v>
      </c>
      <c r="M1910" s="273">
        <f t="shared" si="2413"/>
        <v>2886</v>
      </c>
      <c r="N1910" s="337">
        <f t="shared" si="2414"/>
        <v>0.84416980460004076</v>
      </c>
      <c r="O1910" s="263">
        <f t="shared" si="2378"/>
        <v>1.0872759330002939E-2</v>
      </c>
    </row>
    <row r="1911" spans="1:15" ht="23.4" x14ac:dyDescent="0.3">
      <c r="A1911" s="274" t="s">
        <v>101</v>
      </c>
      <c r="B1911" s="1051"/>
      <c r="C1911" s="813" t="s">
        <v>27</v>
      </c>
      <c r="D1911" s="899" t="s">
        <v>334</v>
      </c>
      <c r="E1911" s="896">
        <v>932448</v>
      </c>
      <c r="F1911" s="281"/>
      <c r="G1911" s="333">
        <f t="shared" si="2410"/>
        <v>0</v>
      </c>
      <c r="H1911" s="278">
        <v>0</v>
      </c>
      <c r="I1911" s="278">
        <v>0</v>
      </c>
      <c r="J1911" s="351" t="str">
        <f t="shared" si="2415"/>
        <v>-</v>
      </c>
      <c r="K1911" s="333">
        <f t="shared" si="2411"/>
        <v>37943</v>
      </c>
      <c r="L1911" s="272">
        <f t="shared" si="2412"/>
        <v>35802</v>
      </c>
      <c r="M1911" s="273">
        <f t="shared" si="2413"/>
        <v>2141</v>
      </c>
      <c r="N1911" s="337">
        <f t="shared" si="2414"/>
        <v>4.0691813377260716E-2</v>
      </c>
      <c r="O1911" s="263">
        <f t="shared" si="2378"/>
        <v>5.6426745381229743E-2</v>
      </c>
    </row>
    <row r="1912" spans="1:15" ht="23.4" x14ac:dyDescent="0.3">
      <c r="A1912" s="274" t="s">
        <v>101</v>
      </c>
      <c r="B1912" s="1051"/>
      <c r="C1912" s="813" t="s">
        <v>27</v>
      </c>
      <c r="D1912" s="900" t="s">
        <v>492</v>
      </c>
      <c r="E1912" s="896"/>
      <c r="F1912" s="281"/>
      <c r="G1912" s="333">
        <f t="shared" si="2410"/>
        <v>0</v>
      </c>
      <c r="H1912" s="278">
        <v>0</v>
      </c>
      <c r="I1912" s="278">
        <v>0</v>
      </c>
      <c r="J1912" s="351" t="str">
        <f t="shared" si="2415"/>
        <v>-</v>
      </c>
      <c r="K1912" s="333">
        <f t="shared" si="2411"/>
        <v>274869</v>
      </c>
      <c r="L1912" s="272">
        <f t="shared" si="2412"/>
        <v>270504</v>
      </c>
      <c r="M1912" s="273">
        <f t="shared" si="2413"/>
        <v>4365</v>
      </c>
      <c r="N1912" s="337" t="str">
        <f t="shared" si="2414"/>
        <v>-</v>
      </c>
      <c r="O1912" s="263">
        <f t="shared" si="2378"/>
        <v>1.588029206640254E-2</v>
      </c>
    </row>
    <row r="1913" spans="1:15" ht="23.4" x14ac:dyDescent="0.3">
      <c r="A1913" s="274" t="s">
        <v>101</v>
      </c>
      <c r="B1913" s="1051"/>
      <c r="C1913" s="893" t="s">
        <v>521</v>
      </c>
      <c r="D1913" s="899" t="s">
        <v>234</v>
      </c>
      <c r="E1913" s="896">
        <v>136768</v>
      </c>
      <c r="F1913" s="281"/>
      <c r="G1913" s="333">
        <f t="shared" si="2410"/>
        <v>0</v>
      </c>
      <c r="H1913" s="278">
        <v>0</v>
      </c>
      <c r="I1913" s="278">
        <v>0</v>
      </c>
      <c r="J1913" s="351" t="str">
        <f t="shared" si="2415"/>
        <v>-</v>
      </c>
      <c r="K1913" s="333">
        <f t="shared" si="2411"/>
        <v>57116</v>
      </c>
      <c r="L1913" s="272">
        <f t="shared" si="2412"/>
        <v>55692</v>
      </c>
      <c r="M1913" s="273">
        <f t="shared" si="2413"/>
        <v>1424</v>
      </c>
      <c r="N1913" s="337">
        <f t="shared" si="2414"/>
        <v>0.41761230697239121</v>
      </c>
      <c r="O1913" s="263">
        <f t="shared" si="2378"/>
        <v>2.4931717907416485E-2</v>
      </c>
    </row>
    <row r="1914" spans="1:15" ht="23.4" x14ac:dyDescent="0.3">
      <c r="A1914" s="274"/>
      <c r="B1914" s="1051"/>
      <c r="C1914" s="813" t="s">
        <v>575</v>
      </c>
      <c r="D1914" s="899" t="s">
        <v>178</v>
      </c>
      <c r="E1914" s="896"/>
      <c r="F1914" s="281"/>
      <c r="G1914" s="334">
        <f t="shared" si="2410"/>
        <v>0</v>
      </c>
      <c r="H1914" s="278">
        <v>0</v>
      </c>
      <c r="I1914" s="278">
        <v>0</v>
      </c>
      <c r="J1914" s="351" t="str">
        <f t="shared" si="2415"/>
        <v>-</v>
      </c>
      <c r="K1914" s="334">
        <f t="shared" si="2411"/>
        <v>20133</v>
      </c>
      <c r="L1914" s="272">
        <f t="shared" si="2412"/>
        <v>19890</v>
      </c>
      <c r="M1914" s="273">
        <f t="shared" si="2413"/>
        <v>243</v>
      </c>
      <c r="N1914" s="337" t="str">
        <f t="shared" si="2414"/>
        <v>-</v>
      </c>
      <c r="O1914" s="263">
        <f t="shared" si="2378"/>
        <v>1.2069736253911488E-2</v>
      </c>
    </row>
    <row r="1915" spans="1:15" ht="23.4" x14ac:dyDescent="0.3">
      <c r="A1915" s="274"/>
      <c r="B1915" s="1051"/>
      <c r="C1915" s="813" t="s">
        <v>333</v>
      </c>
      <c r="D1915" s="899" t="s">
        <v>94</v>
      </c>
      <c r="E1915" s="896">
        <v>32016</v>
      </c>
      <c r="F1915" s="281"/>
      <c r="G1915" s="334">
        <f t="shared" si="2410"/>
        <v>0</v>
      </c>
      <c r="H1915" s="278">
        <v>0</v>
      </c>
      <c r="I1915" s="278">
        <v>0</v>
      </c>
      <c r="J1915" s="351" t="str">
        <f t="shared" si="2415"/>
        <v>-</v>
      </c>
      <c r="K1915" s="334">
        <f t="shared" si="2411"/>
        <v>0</v>
      </c>
      <c r="L1915" s="272">
        <f t="shared" si="2412"/>
        <v>0</v>
      </c>
      <c r="M1915" s="273">
        <f t="shared" si="2413"/>
        <v>0</v>
      </c>
      <c r="N1915" s="337">
        <f t="shared" si="2414"/>
        <v>0</v>
      </c>
      <c r="O1915" s="263" t="str">
        <f t="shared" si="2378"/>
        <v>-</v>
      </c>
    </row>
    <row r="1916" spans="1:15" ht="23.4" x14ac:dyDescent="0.3">
      <c r="A1916" s="274"/>
      <c r="B1916" s="1051"/>
      <c r="C1916" s="813" t="s">
        <v>433</v>
      </c>
      <c r="D1916" s="899" t="s">
        <v>540</v>
      </c>
      <c r="E1916" s="896"/>
      <c r="F1916" s="281"/>
      <c r="G1916" s="334">
        <f t="shared" si="2410"/>
        <v>0</v>
      </c>
      <c r="H1916" s="278">
        <v>0</v>
      </c>
      <c r="I1916" s="278">
        <v>0</v>
      </c>
      <c r="J1916" s="351" t="str">
        <f t="shared" si="2415"/>
        <v>-</v>
      </c>
      <c r="K1916" s="334">
        <f t="shared" si="2411"/>
        <v>358419</v>
      </c>
      <c r="L1916" s="272">
        <f t="shared" si="2412"/>
        <v>354042</v>
      </c>
      <c r="M1916" s="272">
        <f t="shared" si="2413"/>
        <v>4377</v>
      </c>
      <c r="N1916" s="337" t="str">
        <f t="shared" si="2414"/>
        <v>-</v>
      </c>
      <c r="O1916" s="263">
        <f t="shared" si="2378"/>
        <v>1.2211964209486663E-2</v>
      </c>
    </row>
    <row r="1917" spans="1:15" ht="23.4" x14ac:dyDescent="0.3">
      <c r="A1917" s="274"/>
      <c r="B1917" s="1051"/>
      <c r="C1917" s="813" t="s">
        <v>382</v>
      </c>
      <c r="D1917" s="899" t="s">
        <v>366</v>
      </c>
      <c r="E1917" s="896"/>
      <c r="F1917" s="281"/>
      <c r="G1917" s="334">
        <f t="shared" si="2410"/>
        <v>68168</v>
      </c>
      <c r="H1917" s="278">
        <v>67626</v>
      </c>
      <c r="I1917" s="278">
        <v>542</v>
      </c>
      <c r="J1917" s="351" t="str">
        <f t="shared" si="2415"/>
        <v>-</v>
      </c>
      <c r="K1917" s="334">
        <f t="shared" si="2411"/>
        <v>269975</v>
      </c>
      <c r="L1917" s="272">
        <f t="shared" si="2412"/>
        <v>266526</v>
      </c>
      <c r="M1917" s="273">
        <f t="shared" si="2413"/>
        <v>3449</v>
      </c>
      <c r="N1917" s="337" t="str">
        <f t="shared" si="2414"/>
        <v>-</v>
      </c>
      <c r="O1917" s="263">
        <f t="shared" si="2378"/>
        <v>1.2775256968237799E-2</v>
      </c>
    </row>
    <row r="1918" spans="1:15" ht="24" thickBot="1" x14ac:dyDescent="0.35">
      <c r="A1918" s="274" t="s">
        <v>101</v>
      </c>
      <c r="B1918" s="1051"/>
      <c r="C1918" s="894" t="s">
        <v>290</v>
      </c>
      <c r="D1918" s="901" t="s">
        <v>289</v>
      </c>
      <c r="E1918" s="896"/>
      <c r="F1918" s="281"/>
      <c r="G1918" s="334">
        <f t="shared" si="2410"/>
        <v>0</v>
      </c>
      <c r="H1918" s="278">
        <v>0</v>
      </c>
      <c r="I1918" s="278">
        <v>0</v>
      </c>
      <c r="J1918" s="351" t="str">
        <f t="shared" si="2415"/>
        <v>-</v>
      </c>
      <c r="K1918" s="334">
        <f t="shared" si="2411"/>
        <v>0</v>
      </c>
      <c r="L1918" s="272">
        <f t="shared" si="2412"/>
        <v>0</v>
      </c>
      <c r="M1918" s="273">
        <f t="shared" si="2413"/>
        <v>0</v>
      </c>
      <c r="N1918" s="337" t="str">
        <f t="shared" si="2414"/>
        <v>-</v>
      </c>
      <c r="O1918" s="347" t="str">
        <f t="shared" si="2378"/>
        <v>-</v>
      </c>
    </row>
    <row r="1919" spans="1:15" ht="24" thickBot="1" x14ac:dyDescent="0.35">
      <c r="A1919" s="274" t="s">
        <v>101</v>
      </c>
      <c r="B1919" s="1052"/>
      <c r="C1919" s="301"/>
      <c r="D1919" s="897" t="s">
        <v>52</v>
      </c>
      <c r="E1919" s="284">
        <f>SUM(E1909:E1918)</f>
        <v>1415664</v>
      </c>
      <c r="F1919" s="285">
        <v>160000</v>
      </c>
      <c r="G1919" s="320">
        <f>SUM(G1909:G1918)</f>
        <v>68168</v>
      </c>
      <c r="H1919" s="321">
        <f>SUM(H1909:H1918)</f>
        <v>67626</v>
      </c>
      <c r="I1919" s="321">
        <f>SUM(I1909:I1918)</f>
        <v>542</v>
      </c>
      <c r="J1919" s="345">
        <f>+G1919/F1919</f>
        <v>0.42604999999999998</v>
      </c>
      <c r="K1919" s="320">
        <f>SUM(K1909:K1918)</f>
        <v>1283889</v>
      </c>
      <c r="L1919" s="321">
        <f>SUM(L1909:L1918)</f>
        <v>1265004</v>
      </c>
      <c r="M1919" s="322">
        <f>SUM(M1909:M1918)</f>
        <v>18885</v>
      </c>
      <c r="N1919" s="339">
        <f t="shared" si="2414"/>
        <v>0.90691647170515033</v>
      </c>
      <c r="O1919" s="345">
        <f t="shared" si="2378"/>
        <v>1.4709215516294633E-2</v>
      </c>
    </row>
    <row r="1920" spans="1:15" ht="23.4" x14ac:dyDescent="0.3">
      <c r="A1920" s="274" t="s">
        <v>101</v>
      </c>
      <c r="B1920" s="1053" t="s">
        <v>28</v>
      </c>
      <c r="C1920" s="299" t="s">
        <v>27</v>
      </c>
      <c r="D1920" s="297" t="s">
        <v>492</v>
      </c>
      <c r="E1920" s="270"/>
      <c r="F1920" s="271"/>
      <c r="G1920" s="332">
        <f t="shared" ref="G1920:G1924" si="2416">+H1920+I1920</f>
        <v>0</v>
      </c>
      <c r="H1920" s="272">
        <v>0</v>
      </c>
      <c r="I1920" s="272">
        <v>0</v>
      </c>
      <c r="J1920" s="351" t="str">
        <f>IFERROR(G1920/F1920,"-")</f>
        <v>-</v>
      </c>
      <c r="K1920" s="332">
        <f t="shared" ref="K1920:K1926" si="2417">+L1920+M1920</f>
        <v>170343</v>
      </c>
      <c r="L1920" s="272">
        <f t="shared" ref="L1920:L1926" si="2418">+H1920+L1803</f>
        <v>167076</v>
      </c>
      <c r="M1920" s="273">
        <f t="shared" ref="M1920:M1926" si="2419">+I1920+M1803</f>
        <v>3267</v>
      </c>
      <c r="N1920" s="336" t="str">
        <f t="shared" si="2414"/>
        <v>-</v>
      </c>
      <c r="O1920" s="346">
        <f t="shared" si="2378"/>
        <v>1.9178950705341577E-2</v>
      </c>
    </row>
    <row r="1921" spans="1:15" ht="23.4" x14ac:dyDescent="0.3">
      <c r="A1921" s="274" t="s">
        <v>101</v>
      </c>
      <c r="B1921" s="1051"/>
      <c r="C1921" s="299" t="s">
        <v>385</v>
      </c>
      <c r="D1921" s="299" t="s">
        <v>334</v>
      </c>
      <c r="E1921" s="276"/>
      <c r="F1921" s="277"/>
      <c r="G1921" s="333">
        <f t="shared" si="2416"/>
        <v>0</v>
      </c>
      <c r="H1921" s="278">
        <v>0</v>
      </c>
      <c r="I1921" s="278">
        <v>0</v>
      </c>
      <c r="J1921" s="351" t="str">
        <f t="shared" ref="J1921:J1926" si="2420">IFERROR(G1921/F1921,"-")</f>
        <v>-</v>
      </c>
      <c r="K1921" s="333">
        <f t="shared" si="2417"/>
        <v>96975</v>
      </c>
      <c r="L1921" s="272">
        <f t="shared" si="2418"/>
        <v>95472</v>
      </c>
      <c r="M1921" s="273">
        <f t="shared" si="2419"/>
        <v>1503</v>
      </c>
      <c r="N1921" s="337" t="str">
        <f t="shared" si="2414"/>
        <v>-</v>
      </c>
      <c r="O1921" s="263">
        <f t="shared" si="2378"/>
        <v>1.5498839907192575E-2</v>
      </c>
    </row>
    <row r="1922" spans="1:15" ht="23.4" x14ac:dyDescent="0.3">
      <c r="A1922" s="274" t="s">
        <v>101</v>
      </c>
      <c r="B1922" s="1051"/>
      <c r="C1922" s="299" t="s">
        <v>27</v>
      </c>
      <c r="D1922" s="299" t="s">
        <v>334</v>
      </c>
      <c r="E1922" s="276"/>
      <c r="F1922" s="277"/>
      <c r="G1922" s="333">
        <f t="shared" si="2416"/>
        <v>0</v>
      </c>
      <c r="H1922" s="278">
        <v>0</v>
      </c>
      <c r="I1922" s="278">
        <v>0</v>
      </c>
      <c r="J1922" s="351" t="str">
        <f t="shared" si="2420"/>
        <v>-</v>
      </c>
      <c r="K1922" s="333">
        <f t="shared" si="2417"/>
        <v>0</v>
      </c>
      <c r="L1922" s="272">
        <f t="shared" si="2418"/>
        <v>0</v>
      </c>
      <c r="M1922" s="273">
        <f t="shared" si="2419"/>
        <v>0</v>
      </c>
      <c r="N1922" s="337" t="str">
        <f t="shared" si="2414"/>
        <v>-</v>
      </c>
      <c r="O1922" s="263" t="str">
        <f t="shared" si="2378"/>
        <v>-</v>
      </c>
    </row>
    <row r="1923" spans="1:15" ht="23.4" x14ac:dyDescent="0.3">
      <c r="A1923" s="274"/>
      <c r="B1923" s="1051"/>
      <c r="C1923" s="299" t="s">
        <v>460</v>
      </c>
      <c r="D1923" s="299" t="s">
        <v>334</v>
      </c>
      <c r="E1923" s="280"/>
      <c r="F1923" s="281"/>
      <c r="G1923" s="333">
        <f t="shared" si="2416"/>
        <v>0</v>
      </c>
      <c r="H1923" s="278">
        <v>0</v>
      </c>
      <c r="I1923" s="278">
        <v>0</v>
      </c>
      <c r="J1923" s="351" t="str">
        <f t="shared" si="2420"/>
        <v>-</v>
      </c>
      <c r="K1923" s="333">
        <f t="shared" si="2417"/>
        <v>4348</v>
      </c>
      <c r="L1923" s="272">
        <f t="shared" si="2418"/>
        <v>3978</v>
      </c>
      <c r="M1923" s="273">
        <f t="shared" si="2419"/>
        <v>370</v>
      </c>
      <c r="N1923" s="337" t="str">
        <f t="shared" si="2414"/>
        <v>-</v>
      </c>
      <c r="O1923" s="263">
        <f t="shared" si="2378"/>
        <v>8.5096596136154556E-2</v>
      </c>
    </row>
    <row r="1924" spans="1:15" ht="23.4" x14ac:dyDescent="0.3">
      <c r="A1924" s="274" t="s">
        <v>101</v>
      </c>
      <c r="B1924" s="1051"/>
      <c r="C1924" s="299" t="s">
        <v>433</v>
      </c>
      <c r="D1924" s="299" t="s">
        <v>540</v>
      </c>
      <c r="E1924" s="280"/>
      <c r="F1924" s="281"/>
      <c r="G1924" s="334">
        <f t="shared" si="2416"/>
        <v>0</v>
      </c>
      <c r="H1924" s="278">
        <v>0</v>
      </c>
      <c r="I1924" s="278">
        <v>0</v>
      </c>
      <c r="J1924" s="351" t="str">
        <f t="shared" si="2420"/>
        <v>-</v>
      </c>
      <c r="K1924" s="334">
        <f t="shared" si="2417"/>
        <v>128335</v>
      </c>
      <c r="L1924" s="272">
        <f t="shared" si="2418"/>
        <v>127296</v>
      </c>
      <c r="M1924" s="702">
        <f t="shared" si="2419"/>
        <v>1039</v>
      </c>
      <c r="N1924" s="338" t="str">
        <f t="shared" si="2414"/>
        <v>-</v>
      </c>
      <c r="O1924" s="347">
        <f t="shared" si="2378"/>
        <v>8.0959987532629452E-3</v>
      </c>
    </row>
    <row r="1925" spans="1:15" ht="23.4" x14ac:dyDescent="0.3">
      <c r="A1925" s="274"/>
      <c r="B1925" s="1051"/>
      <c r="C1925" s="299" t="s">
        <v>458</v>
      </c>
      <c r="D1925" s="300" t="s">
        <v>280</v>
      </c>
      <c r="E1925" s="280">
        <v>200000</v>
      </c>
      <c r="F1925" s="281"/>
      <c r="G1925" s="334"/>
      <c r="H1925" s="278">
        <v>0</v>
      </c>
      <c r="I1925" s="278">
        <v>0</v>
      </c>
      <c r="J1925" s="351" t="str">
        <f t="shared" si="2420"/>
        <v>-</v>
      </c>
      <c r="K1925" s="334">
        <f t="shared" si="2417"/>
        <v>0</v>
      </c>
      <c r="L1925" s="272">
        <f t="shared" si="2418"/>
        <v>0</v>
      </c>
      <c r="M1925" s="272">
        <f t="shared" si="2419"/>
        <v>0</v>
      </c>
      <c r="N1925" s="338">
        <f t="shared" si="2414"/>
        <v>0</v>
      </c>
      <c r="O1925" s="347" t="str">
        <f t="shared" si="2378"/>
        <v>-</v>
      </c>
    </row>
    <row r="1926" spans="1:15" ht="24" thickBot="1" x14ac:dyDescent="0.35">
      <c r="A1926" s="274" t="s">
        <v>101</v>
      </c>
      <c r="B1926" s="1051"/>
      <c r="C1926" s="299" t="s">
        <v>27</v>
      </c>
      <c r="D1926" s="300" t="s">
        <v>234</v>
      </c>
      <c r="E1926" s="280">
        <v>250000</v>
      </c>
      <c r="F1926" s="281"/>
      <c r="G1926" s="334">
        <f t="shared" ref="G1926" si="2421">+H1926+I1926</f>
        <v>3978</v>
      </c>
      <c r="H1926" s="278">
        <v>3978</v>
      </c>
      <c r="I1926" s="278">
        <v>0</v>
      </c>
      <c r="J1926" s="351" t="str">
        <f t="shared" si="2420"/>
        <v>-</v>
      </c>
      <c r="K1926" s="334">
        <f t="shared" si="2417"/>
        <v>3978</v>
      </c>
      <c r="L1926" s="272">
        <f t="shared" si="2418"/>
        <v>3978</v>
      </c>
      <c r="M1926" s="702">
        <f t="shared" si="2419"/>
        <v>0</v>
      </c>
      <c r="N1926" s="338">
        <f t="shared" si="2414"/>
        <v>1.5911999999999999E-2</v>
      </c>
      <c r="O1926" s="347">
        <f t="shared" si="2378"/>
        <v>0</v>
      </c>
    </row>
    <row r="1927" spans="1:15" ht="24" thickBot="1" x14ac:dyDescent="0.35">
      <c r="A1927" s="274" t="s">
        <v>101</v>
      </c>
      <c r="B1927" s="1051"/>
      <c r="C1927" s="304"/>
      <c r="D1927" s="305" t="s">
        <v>52</v>
      </c>
      <c r="E1927" s="306">
        <f>SUM(E1920:E1926)</f>
        <v>450000</v>
      </c>
      <c r="F1927" s="307">
        <v>80000</v>
      </c>
      <c r="G1927" s="366">
        <f>SUM(G1920:G1926)</f>
        <v>3978</v>
      </c>
      <c r="H1927" s="365">
        <f>SUM(H1920:H1926)</f>
        <v>3978</v>
      </c>
      <c r="I1927" s="365">
        <f>SUM(I1920:I1926)</f>
        <v>0</v>
      </c>
      <c r="J1927" s="356">
        <f>+G1927/F1927</f>
        <v>4.9724999999999998E-2</v>
      </c>
      <c r="K1927" s="366">
        <f>SUM(K1920:K1926)</f>
        <v>403979</v>
      </c>
      <c r="L1927" s="365">
        <f>SUM(L1920:L1926)</f>
        <v>397800</v>
      </c>
      <c r="M1927" s="367">
        <f>SUM(M1920:M1926)</f>
        <v>6179</v>
      </c>
      <c r="N1927" s="355">
        <f t="shared" si="2414"/>
        <v>0.89773111111111115</v>
      </c>
      <c r="O1927" s="356">
        <f t="shared" si="2378"/>
        <v>1.5295349510741895E-2</v>
      </c>
    </row>
    <row r="1928" spans="1:15" ht="24" thickBot="1" x14ac:dyDescent="0.35">
      <c r="A1928" s="977" t="s">
        <v>101</v>
      </c>
      <c r="B1928" s="1054" t="s">
        <v>162</v>
      </c>
      <c r="C1928" s="1055"/>
      <c r="D1928" s="1056"/>
      <c r="E1928" s="308">
        <f>+E1927+E1919</f>
        <v>1865664</v>
      </c>
      <c r="F1928" s="309">
        <f>+F1927+F1919</f>
        <v>240000</v>
      </c>
      <c r="G1928" s="369">
        <f>+G1919+G1927</f>
        <v>72146</v>
      </c>
      <c r="H1928" s="368">
        <f>+H1919+H1927</f>
        <v>71604</v>
      </c>
      <c r="I1928" s="368">
        <f>+I1919+I1927</f>
        <v>542</v>
      </c>
      <c r="J1928" s="358">
        <f>+G1928/F1928</f>
        <v>0.30060833333333331</v>
      </c>
      <c r="K1928" s="369">
        <f>+K1919+K1927</f>
        <v>1687868</v>
      </c>
      <c r="L1928" s="368">
        <f>+L1919+L1927</f>
        <v>1662804</v>
      </c>
      <c r="M1928" s="370">
        <f>+M1919+M1927</f>
        <v>25064</v>
      </c>
      <c r="N1928" s="357">
        <f>IFERROR(K1928/E1928,"-")</f>
        <v>0.90470095365510617</v>
      </c>
      <c r="O1928" s="358">
        <f t="shared" si="2378"/>
        <v>1.4849502449243662E-2</v>
      </c>
    </row>
    <row r="1929" spans="1:15" ht="23.4" x14ac:dyDescent="0.3">
      <c r="A1929" s="274" t="s">
        <v>101</v>
      </c>
      <c r="B1929" s="1051" t="s">
        <v>30</v>
      </c>
      <c r="C1929" s="303" t="s">
        <v>446</v>
      </c>
      <c r="D1929" s="299" t="s">
        <v>492</v>
      </c>
      <c r="E1929" s="270">
        <v>225000</v>
      </c>
      <c r="F1929" s="271"/>
      <c r="G1929" s="332">
        <f t="shared" ref="G1929:G1931" si="2422">+H1929+I1929</f>
        <v>26798</v>
      </c>
      <c r="H1929" s="272">
        <v>26208</v>
      </c>
      <c r="I1929" s="272">
        <v>590</v>
      </c>
      <c r="J1929" s="351" t="str">
        <f>IFERROR(G1929/F1929,"-")</f>
        <v>-</v>
      </c>
      <c r="K1929" s="332">
        <f t="shared" ref="K1929:K1931" si="2423">+L1929+M1929</f>
        <v>264421</v>
      </c>
      <c r="L1929" s="272">
        <f t="shared" ref="L1929:L1931" si="2424">+H1929+L1812</f>
        <v>258336</v>
      </c>
      <c r="M1929" s="273">
        <f t="shared" ref="M1929:M1931" si="2425">+I1929+M1812</f>
        <v>6085</v>
      </c>
      <c r="N1929" s="336">
        <f t="shared" ref="N1929:N1942" si="2426">IFERROR(K1929/E1929,"-")</f>
        <v>1.1752044444444445</v>
      </c>
      <c r="O1929" s="346">
        <f t="shared" si="2378"/>
        <v>2.3012544389439567E-2</v>
      </c>
    </row>
    <row r="1930" spans="1:15" ht="23.4" x14ac:dyDescent="0.3">
      <c r="A1930" s="274" t="s">
        <v>101</v>
      </c>
      <c r="B1930" s="1051"/>
      <c r="C1930" s="300" t="s">
        <v>548</v>
      </c>
      <c r="D1930" s="303" t="s">
        <v>522</v>
      </c>
      <c r="E1930" s="276">
        <v>125000</v>
      </c>
      <c r="F1930" s="277"/>
      <c r="G1930" s="333">
        <f t="shared" si="2422"/>
        <v>0</v>
      </c>
      <c r="H1930" s="278">
        <v>0</v>
      </c>
      <c r="I1930" s="278">
        <v>0</v>
      </c>
      <c r="J1930" s="351" t="str">
        <f t="shared" ref="J1930:J1931" si="2427">IFERROR(G1930/F1930,"-")</f>
        <v>-</v>
      </c>
      <c r="K1930" s="333">
        <f t="shared" si="2423"/>
        <v>0</v>
      </c>
      <c r="L1930" s="272">
        <f t="shared" si="2424"/>
        <v>0</v>
      </c>
      <c r="M1930" s="273">
        <f t="shared" si="2425"/>
        <v>0</v>
      </c>
      <c r="N1930" s="337">
        <f t="shared" si="2426"/>
        <v>0</v>
      </c>
      <c r="O1930" s="263" t="str">
        <f t="shared" si="2378"/>
        <v>-</v>
      </c>
    </row>
    <row r="1931" spans="1:15" ht="24" thickBot="1" x14ac:dyDescent="0.35">
      <c r="A1931" s="274" t="s">
        <v>101</v>
      </c>
      <c r="B1931" s="1051"/>
      <c r="C1931" s="300" t="s">
        <v>291</v>
      </c>
      <c r="D1931" s="300" t="s">
        <v>366</v>
      </c>
      <c r="E1931" s="280"/>
      <c r="F1931" s="281"/>
      <c r="G1931" s="334">
        <f t="shared" si="2422"/>
        <v>0</v>
      </c>
      <c r="H1931" s="282">
        <v>0</v>
      </c>
      <c r="I1931" s="282">
        <v>0</v>
      </c>
      <c r="J1931" s="351" t="str">
        <f t="shared" si="2427"/>
        <v>-</v>
      </c>
      <c r="K1931" s="334">
        <f t="shared" si="2423"/>
        <v>53195</v>
      </c>
      <c r="L1931" s="272">
        <f t="shared" si="2424"/>
        <v>51828</v>
      </c>
      <c r="M1931" s="273">
        <f t="shared" si="2425"/>
        <v>1367</v>
      </c>
      <c r="N1931" s="338" t="str">
        <f t="shared" si="2426"/>
        <v>-</v>
      </c>
      <c r="O1931" s="347">
        <f t="shared" si="2378"/>
        <v>2.569790393834007E-2</v>
      </c>
    </row>
    <row r="1932" spans="1:15" ht="24" thickBot="1" x14ac:dyDescent="0.35">
      <c r="A1932" s="274" t="s">
        <v>101</v>
      </c>
      <c r="B1932" s="1051"/>
      <c r="C1932" s="301"/>
      <c r="D1932" s="302" t="s">
        <v>50</v>
      </c>
      <c r="E1932" s="284">
        <f>SUM(E1929:E1931)</f>
        <v>350000</v>
      </c>
      <c r="F1932" s="285">
        <v>50000</v>
      </c>
      <c r="G1932" s="320">
        <f>SUM(G1929:G1931)</f>
        <v>26798</v>
      </c>
      <c r="H1932" s="321">
        <f>SUM(H1929:H1931)</f>
        <v>26208</v>
      </c>
      <c r="I1932" s="321">
        <f>SUM(I1929:I1931)</f>
        <v>590</v>
      </c>
      <c r="J1932" s="345">
        <f>+G1932/F1932</f>
        <v>0.53595999999999999</v>
      </c>
      <c r="K1932" s="320">
        <f>SUM(K1929:K1931)</f>
        <v>317616</v>
      </c>
      <c r="L1932" s="321">
        <f>SUM(L1929:L1931)</f>
        <v>310164</v>
      </c>
      <c r="M1932" s="322">
        <f>SUM(M1929:M1931)</f>
        <v>7452</v>
      </c>
      <c r="N1932" s="339">
        <f t="shared" si="2426"/>
        <v>0.90747428571428568</v>
      </c>
      <c r="O1932" s="345">
        <f t="shared" si="2378"/>
        <v>2.3462294090977786E-2</v>
      </c>
    </row>
    <row r="1933" spans="1:15" ht="23.4" x14ac:dyDescent="0.3">
      <c r="A1933" s="274" t="s">
        <v>101</v>
      </c>
      <c r="B1933" s="1051"/>
      <c r="C1933" s="297" t="s">
        <v>434</v>
      </c>
      <c r="D1933" s="297" t="s">
        <v>92</v>
      </c>
      <c r="E1933" s="270"/>
      <c r="F1933" s="271"/>
      <c r="G1933" s="332">
        <f t="shared" ref="G1933:G1938" si="2428">+H1933+I1933</f>
        <v>0</v>
      </c>
      <c r="H1933" s="272">
        <v>0</v>
      </c>
      <c r="I1933" s="272">
        <v>0</v>
      </c>
      <c r="J1933" s="351" t="str">
        <f>IFERROR(G1933/F1933,"-")</f>
        <v>-</v>
      </c>
      <c r="K1933" s="332">
        <f t="shared" ref="K1933:K1938" si="2429">+L1933+M1933</f>
        <v>0</v>
      </c>
      <c r="L1933" s="272">
        <f t="shared" ref="L1933:L1938" si="2430">+H1933+L1816</f>
        <v>0</v>
      </c>
      <c r="M1933" s="273">
        <f t="shared" ref="M1933:M1938" si="2431">+I1933+M1816</f>
        <v>0</v>
      </c>
      <c r="N1933" s="336" t="str">
        <f t="shared" si="2426"/>
        <v>-</v>
      </c>
      <c r="O1933" s="346" t="str">
        <f t="shared" si="2378"/>
        <v>-</v>
      </c>
    </row>
    <row r="1934" spans="1:15" ht="23.4" x14ac:dyDescent="0.3">
      <c r="A1934" s="274"/>
      <c r="B1934" s="1051"/>
      <c r="C1934" s="303" t="s">
        <v>449</v>
      </c>
      <c r="D1934" s="299" t="s">
        <v>334</v>
      </c>
      <c r="E1934" s="270"/>
      <c r="F1934" s="271"/>
      <c r="G1934" s="332">
        <f t="shared" si="2428"/>
        <v>0</v>
      </c>
      <c r="H1934" s="272">
        <v>0</v>
      </c>
      <c r="I1934" s="272">
        <v>0</v>
      </c>
      <c r="J1934" s="351" t="str">
        <f t="shared" ref="J1934:J1938" si="2432">IFERROR(G1934/F1934,"-")</f>
        <v>-</v>
      </c>
      <c r="K1934" s="332">
        <f t="shared" si="2429"/>
        <v>0</v>
      </c>
      <c r="L1934" s="272">
        <f t="shared" si="2430"/>
        <v>0</v>
      </c>
      <c r="M1934" s="273">
        <f t="shared" si="2431"/>
        <v>0</v>
      </c>
      <c r="N1934" s="337" t="str">
        <f t="shared" si="2426"/>
        <v>-</v>
      </c>
      <c r="O1934" s="346" t="str">
        <f t="shared" si="2378"/>
        <v>-</v>
      </c>
    </row>
    <row r="1935" spans="1:15" ht="23.4" x14ac:dyDescent="0.3">
      <c r="A1935" s="274"/>
      <c r="B1935" s="1051"/>
      <c r="C1935" s="303" t="s">
        <v>452</v>
      </c>
      <c r="D1935" s="299" t="s">
        <v>334</v>
      </c>
      <c r="E1935" s="270"/>
      <c r="F1935" s="271"/>
      <c r="G1935" s="332">
        <f t="shared" si="2428"/>
        <v>0</v>
      </c>
      <c r="H1935" s="272">
        <v>0</v>
      </c>
      <c r="I1935" s="272">
        <v>0</v>
      </c>
      <c r="J1935" s="351" t="str">
        <f t="shared" si="2432"/>
        <v>-</v>
      </c>
      <c r="K1935" s="332">
        <f t="shared" si="2429"/>
        <v>0</v>
      </c>
      <c r="L1935" s="272">
        <f t="shared" si="2430"/>
        <v>0</v>
      </c>
      <c r="M1935" s="273">
        <f t="shared" si="2431"/>
        <v>0</v>
      </c>
      <c r="N1935" s="337" t="str">
        <f t="shared" si="2426"/>
        <v>-</v>
      </c>
      <c r="O1935" s="346" t="str">
        <f t="shared" si="2378"/>
        <v>-</v>
      </c>
    </row>
    <row r="1936" spans="1:15" ht="23.4" x14ac:dyDescent="0.3">
      <c r="A1936" s="274" t="s">
        <v>101</v>
      </c>
      <c r="B1936" s="1051"/>
      <c r="C1936" s="303" t="s">
        <v>501</v>
      </c>
      <c r="D1936" s="300" t="s">
        <v>423</v>
      </c>
      <c r="E1936" s="276"/>
      <c r="F1936" s="277"/>
      <c r="G1936" s="333">
        <f t="shared" si="2428"/>
        <v>0</v>
      </c>
      <c r="H1936" s="278">
        <v>0</v>
      </c>
      <c r="I1936" s="272">
        <v>0</v>
      </c>
      <c r="J1936" s="351" t="str">
        <f t="shared" si="2432"/>
        <v>-</v>
      </c>
      <c r="K1936" s="333">
        <f t="shared" si="2429"/>
        <v>8116</v>
      </c>
      <c r="L1936" s="272">
        <f t="shared" si="2430"/>
        <v>7488</v>
      </c>
      <c r="M1936" s="273">
        <f t="shared" si="2431"/>
        <v>628</v>
      </c>
      <c r="N1936" s="337" t="str">
        <f t="shared" si="2426"/>
        <v>-</v>
      </c>
      <c r="O1936" s="263">
        <f t="shared" si="2378"/>
        <v>7.737801872843765E-2</v>
      </c>
    </row>
    <row r="1937" spans="1:15" ht="23.4" x14ac:dyDescent="0.3">
      <c r="A1937" s="274"/>
      <c r="B1937" s="1051"/>
      <c r="C1937" s="300" t="s">
        <v>459</v>
      </c>
      <c r="D1937" s="300" t="s">
        <v>366</v>
      </c>
      <c r="E1937" s="280"/>
      <c r="F1937" s="281"/>
      <c r="G1937" s="334">
        <f t="shared" si="2428"/>
        <v>0</v>
      </c>
      <c r="H1937" s="282">
        <v>0</v>
      </c>
      <c r="I1937" s="278">
        <v>0</v>
      </c>
      <c r="J1937" s="351" t="str">
        <f t="shared" si="2432"/>
        <v>-</v>
      </c>
      <c r="K1937" s="333">
        <f t="shared" si="2429"/>
        <v>80554</v>
      </c>
      <c r="L1937" s="272">
        <f t="shared" si="2430"/>
        <v>78624</v>
      </c>
      <c r="M1937" s="272">
        <f t="shared" si="2431"/>
        <v>1930</v>
      </c>
      <c r="N1937" s="337" t="str">
        <f t="shared" si="2426"/>
        <v>-</v>
      </c>
      <c r="O1937" s="263">
        <f t="shared" si="2378"/>
        <v>2.3959083347816372E-2</v>
      </c>
    </row>
    <row r="1938" spans="1:15" ht="24" thickBot="1" x14ac:dyDescent="0.35">
      <c r="A1938" s="274" t="s">
        <v>101</v>
      </c>
      <c r="B1938" s="1051"/>
      <c r="C1938" s="300" t="s">
        <v>435</v>
      </c>
      <c r="D1938" s="300" t="s">
        <v>423</v>
      </c>
      <c r="E1938" s="280"/>
      <c r="F1938" s="281"/>
      <c r="G1938" s="334">
        <f t="shared" si="2428"/>
        <v>0</v>
      </c>
      <c r="H1938" s="282">
        <v>0</v>
      </c>
      <c r="I1938" s="272">
        <v>0</v>
      </c>
      <c r="J1938" s="351" t="str">
        <f t="shared" si="2432"/>
        <v>-</v>
      </c>
      <c r="K1938" s="334">
        <f t="shared" si="2429"/>
        <v>0</v>
      </c>
      <c r="L1938" s="272">
        <f t="shared" si="2430"/>
        <v>0</v>
      </c>
      <c r="M1938" s="273">
        <f t="shared" si="2431"/>
        <v>0</v>
      </c>
      <c r="N1938" s="338" t="str">
        <f t="shared" si="2426"/>
        <v>-</v>
      </c>
      <c r="O1938" s="347" t="str">
        <f t="shared" si="2378"/>
        <v>-</v>
      </c>
    </row>
    <row r="1939" spans="1:15" ht="24" thickBot="1" x14ac:dyDescent="0.35">
      <c r="A1939" s="274" t="s">
        <v>101</v>
      </c>
      <c r="B1939" s="1051"/>
      <c r="C1939" s="304"/>
      <c r="D1939" s="305" t="s">
        <v>51</v>
      </c>
      <c r="E1939" s="306">
        <f>SUM(E1933:E1938)</f>
        <v>0</v>
      </c>
      <c r="F1939" s="307">
        <v>50000</v>
      </c>
      <c r="G1939" s="366">
        <f>SUM(G1933:G1938)</f>
        <v>0</v>
      </c>
      <c r="H1939" s="365">
        <f t="shared" ref="H1939:I1939" si="2433">SUM(H1933:H1938)</f>
        <v>0</v>
      </c>
      <c r="I1939" s="365">
        <f t="shared" si="2433"/>
        <v>0</v>
      </c>
      <c r="J1939" s="356">
        <f>+G1939/F1939</f>
        <v>0</v>
      </c>
      <c r="K1939" s="366">
        <f t="shared" ref="K1939:M1939" si="2434">SUM(K1933:K1938)</f>
        <v>88670</v>
      </c>
      <c r="L1939" s="365">
        <f t="shared" si="2434"/>
        <v>86112</v>
      </c>
      <c r="M1939" s="367">
        <f t="shared" si="2434"/>
        <v>2558</v>
      </c>
      <c r="N1939" s="355" t="str">
        <f t="shared" si="2426"/>
        <v>-</v>
      </c>
      <c r="O1939" s="356">
        <f t="shared" si="2378"/>
        <v>2.8848539528589151E-2</v>
      </c>
    </row>
    <row r="1940" spans="1:15" ht="24" thickBot="1" x14ac:dyDescent="0.35">
      <c r="A1940" s="274" t="s">
        <v>101</v>
      </c>
      <c r="B1940" s="1054" t="s">
        <v>163</v>
      </c>
      <c r="C1940" s="1055"/>
      <c r="D1940" s="1056"/>
      <c r="E1940" s="308">
        <f>+E1939+E1932</f>
        <v>350000</v>
      </c>
      <c r="F1940" s="309">
        <v>50000</v>
      </c>
      <c r="G1940" s="369">
        <f>+G1932+G1939</f>
        <v>26798</v>
      </c>
      <c r="H1940" s="368">
        <f t="shared" ref="H1940:I1940" si="2435">+H1932+H1939</f>
        <v>26208</v>
      </c>
      <c r="I1940" s="368">
        <f t="shared" si="2435"/>
        <v>590</v>
      </c>
      <c r="J1940" s="358">
        <f>+G1940/F1940</f>
        <v>0.53595999999999999</v>
      </c>
      <c r="K1940" s="369">
        <f t="shared" ref="K1940:M1940" si="2436">+K1932+K1939</f>
        <v>406286</v>
      </c>
      <c r="L1940" s="368">
        <f t="shared" si="2436"/>
        <v>396276</v>
      </c>
      <c r="M1940" s="370">
        <f t="shared" si="2436"/>
        <v>10010</v>
      </c>
      <c r="N1940" s="357">
        <f t="shared" si="2426"/>
        <v>1.1608171428571428</v>
      </c>
      <c r="O1940" s="358">
        <f t="shared" si="2378"/>
        <v>2.4637816710396124E-2</v>
      </c>
    </row>
    <row r="1941" spans="1:15" ht="24" thickBot="1" x14ac:dyDescent="0.35">
      <c r="A1941" s="274" t="s">
        <v>101</v>
      </c>
      <c r="B1941" s="598" t="s">
        <v>32</v>
      </c>
      <c r="C1941" s="973"/>
      <c r="D1941" s="310" t="s">
        <v>32</v>
      </c>
      <c r="E1941" s="287">
        <v>0</v>
      </c>
      <c r="F1941" s="288">
        <v>110000</v>
      </c>
      <c r="G1941" s="335">
        <f t="shared" ref="G1941" si="2437">+H1941+I1941</f>
        <v>0</v>
      </c>
      <c r="H1941" s="289">
        <v>0</v>
      </c>
      <c r="I1941" s="289">
        <v>0</v>
      </c>
      <c r="J1941" s="354">
        <f>IFERROR(G1941/F1941,"-")</f>
        <v>0</v>
      </c>
      <c r="K1941" s="335">
        <f>+L1941+M1941</f>
        <v>0</v>
      </c>
      <c r="L1941" s="289">
        <f>+H1941+L1824</f>
        <v>0</v>
      </c>
      <c r="M1941" s="290">
        <f>+I1941+M1824</f>
        <v>0</v>
      </c>
      <c r="N1941" s="340" t="str">
        <f t="shared" si="2426"/>
        <v>-</v>
      </c>
      <c r="O1941" s="348" t="str">
        <f t="shared" si="2378"/>
        <v>-</v>
      </c>
    </row>
    <row r="1942" spans="1:15" ht="24" thickBot="1" x14ac:dyDescent="0.35">
      <c r="A1942" s="274" t="s">
        <v>101</v>
      </c>
      <c r="B1942" s="1047" t="s">
        <v>21</v>
      </c>
      <c r="C1942" s="1048"/>
      <c r="D1942" s="1049"/>
      <c r="E1942" s="326">
        <f>+E1928+E1940+E1941</f>
        <v>2215664</v>
      </c>
      <c r="F1942" s="327">
        <f>+F1928+F1940+F1941</f>
        <v>400000</v>
      </c>
      <c r="G1942" s="326">
        <f>+G1928+G1940+G1941</f>
        <v>98944</v>
      </c>
      <c r="H1942" s="324">
        <f>+H1928+H1940+H1941</f>
        <v>97812</v>
      </c>
      <c r="I1942" s="324">
        <f>+I1928+I1940+I1941</f>
        <v>1132</v>
      </c>
      <c r="J1942" s="349">
        <f>+G1942/F1942</f>
        <v>0.24736</v>
      </c>
      <c r="K1942" s="326">
        <f>+K1928+K1940+K1941</f>
        <v>2094154</v>
      </c>
      <c r="L1942" s="324">
        <f>+L1928+L1940+L1941</f>
        <v>2059080</v>
      </c>
      <c r="M1942" s="325">
        <f>+M1928+M1940+M1941</f>
        <v>35074</v>
      </c>
      <c r="N1942" s="341">
        <f t="shared" si="2426"/>
        <v>0.9451586522144152</v>
      </c>
      <c r="O1942" s="349">
        <f t="shared" si="2378"/>
        <v>1.6748529477774797E-2</v>
      </c>
    </row>
    <row r="1943" spans="1:15" ht="24" thickBot="1" x14ac:dyDescent="0.35">
      <c r="A1943" s="274" t="s">
        <v>101</v>
      </c>
      <c r="B1943" s="1019" t="s">
        <v>171</v>
      </c>
      <c r="C1943" s="1020"/>
      <c r="D1943" s="1021"/>
      <c r="E1943" s="330">
        <f>+E1942</f>
        <v>2215664</v>
      </c>
      <c r="F1943" s="331">
        <f t="shared" ref="F1943:I1943" si="2438">+F1942</f>
        <v>400000</v>
      </c>
      <c r="G1943" s="330">
        <f t="shared" si="2438"/>
        <v>98944</v>
      </c>
      <c r="H1943" s="328">
        <f t="shared" si="2438"/>
        <v>97812</v>
      </c>
      <c r="I1943" s="328">
        <f t="shared" si="2438"/>
        <v>1132</v>
      </c>
      <c r="J1943" s="872">
        <f>+G1943/F1943</f>
        <v>0.24736</v>
      </c>
      <c r="K1943" s="330">
        <f>+K1942</f>
        <v>2094154</v>
      </c>
      <c r="L1943" s="328">
        <f t="shared" ref="L1943" si="2439">+L1942</f>
        <v>2059080</v>
      </c>
      <c r="M1943" s="329">
        <f>+M1942</f>
        <v>35074</v>
      </c>
      <c r="N1943" s="342">
        <f t="shared" ref="N1943:O1943" si="2440">+N1942</f>
        <v>0.9451586522144152</v>
      </c>
      <c r="O1943" s="350">
        <f t="shared" si="2440"/>
        <v>1.6748529477774797E-2</v>
      </c>
    </row>
    <row r="1944" spans="1:15" ht="23.4" x14ac:dyDescent="0.3">
      <c r="A1944" s="268" t="s">
        <v>102</v>
      </c>
      <c r="B1944" s="1022" t="s">
        <v>401</v>
      </c>
      <c r="C1944" s="311" t="s">
        <v>113</v>
      </c>
      <c r="D1944" s="311"/>
      <c r="E1944" s="270"/>
      <c r="F1944" s="271"/>
      <c r="G1944" s="332">
        <f t="shared" ref="G1944:G1946" si="2441">+H1944+I1944</f>
        <v>0</v>
      </c>
      <c r="H1944" s="272">
        <v>0</v>
      </c>
      <c r="I1944" s="272">
        <v>0</v>
      </c>
      <c r="J1944" s="351" t="str">
        <f>IFERROR(G1944/F1944,"-")</f>
        <v>-</v>
      </c>
      <c r="K1944" s="332">
        <f t="shared" ref="K1944:K1946" si="2442">+L1944+M1944</f>
        <v>0</v>
      </c>
      <c r="L1944" s="272">
        <f t="shared" ref="L1944:L1946" si="2443">+H1944+L1827</f>
        <v>0</v>
      </c>
      <c r="M1944" s="273">
        <f t="shared" ref="M1944:M1946" si="2444">+I1944+M1827</f>
        <v>0</v>
      </c>
      <c r="N1944" s="336" t="str">
        <f t="shared" ref="N1944:N1951" si="2445">IFERROR(K1944/E1944,"-")</f>
        <v>-</v>
      </c>
      <c r="O1944" s="346" t="str">
        <f t="shared" ref="O1944:O1969" si="2446">IFERROR(M1944/K1944,"-")</f>
        <v>-</v>
      </c>
    </row>
    <row r="1945" spans="1:15" ht="23.4" x14ac:dyDescent="0.3">
      <c r="A1945" s="274" t="s">
        <v>102</v>
      </c>
      <c r="B1945" s="1023"/>
      <c r="C1945" s="312" t="s">
        <v>247</v>
      </c>
      <c r="D1945" s="312"/>
      <c r="E1945" s="276">
        <v>2000</v>
      </c>
      <c r="F1945" s="277"/>
      <c r="G1945" s="333">
        <f t="shared" si="2441"/>
        <v>0</v>
      </c>
      <c r="H1945" s="278">
        <v>0</v>
      </c>
      <c r="I1945" s="278">
        <v>0</v>
      </c>
      <c r="J1945" s="351" t="str">
        <f t="shared" ref="J1945:J1946" si="2447">IFERROR(G1945/F1945,"-")</f>
        <v>-</v>
      </c>
      <c r="K1945" s="333">
        <f t="shared" si="2442"/>
        <v>9638</v>
      </c>
      <c r="L1945" s="272">
        <f t="shared" si="2443"/>
        <v>9149</v>
      </c>
      <c r="M1945" s="273">
        <f t="shared" si="2444"/>
        <v>489</v>
      </c>
      <c r="N1945" s="337">
        <f t="shared" si="2445"/>
        <v>4.819</v>
      </c>
      <c r="O1945" s="263">
        <f t="shared" si="2446"/>
        <v>5.0736667358373108E-2</v>
      </c>
    </row>
    <row r="1946" spans="1:15" ht="24" thickBot="1" x14ac:dyDescent="0.35">
      <c r="A1946" s="274" t="s">
        <v>102</v>
      </c>
      <c r="B1946" s="1024"/>
      <c r="C1946" s="313" t="s">
        <v>33</v>
      </c>
      <c r="D1946" s="313"/>
      <c r="E1946" s="280"/>
      <c r="F1946" s="281"/>
      <c r="G1946" s="334">
        <f t="shared" si="2441"/>
        <v>0</v>
      </c>
      <c r="H1946" s="282">
        <v>0</v>
      </c>
      <c r="I1946" s="282">
        <v>0</v>
      </c>
      <c r="J1946" s="351" t="str">
        <f t="shared" si="2447"/>
        <v>-</v>
      </c>
      <c r="K1946" s="334">
        <f t="shared" si="2442"/>
        <v>0</v>
      </c>
      <c r="L1946" s="272">
        <f t="shared" si="2443"/>
        <v>0</v>
      </c>
      <c r="M1946" s="273">
        <f t="shared" si="2444"/>
        <v>0</v>
      </c>
      <c r="N1946" s="338" t="str">
        <f t="shared" si="2445"/>
        <v>-</v>
      </c>
      <c r="O1946" s="347" t="str">
        <f t="shared" si="2446"/>
        <v>-</v>
      </c>
    </row>
    <row r="1947" spans="1:15" ht="24" thickBot="1" x14ac:dyDescent="0.35">
      <c r="A1947" s="274" t="s">
        <v>102</v>
      </c>
      <c r="B1947" s="1025" t="s">
        <v>34</v>
      </c>
      <c r="C1947" s="1026"/>
      <c r="D1947" s="1027"/>
      <c r="E1947" s="284">
        <f>SUM(E1944:E1946)</f>
        <v>2000</v>
      </c>
      <c r="F1947" s="285">
        <v>6500</v>
      </c>
      <c r="G1947" s="320">
        <f>SUM(G1944:G1946)</f>
        <v>0</v>
      </c>
      <c r="H1947" s="321">
        <f t="shared" ref="H1947:I1947" si="2448">SUM(H1944:H1946)</f>
        <v>0</v>
      </c>
      <c r="I1947" s="321">
        <f t="shared" si="2448"/>
        <v>0</v>
      </c>
      <c r="J1947" s="345">
        <f>IFERROR(G1947/F1947,"-")</f>
        <v>0</v>
      </c>
      <c r="K1947" s="320">
        <f t="shared" ref="K1947:M1947" si="2449">SUM(K1944:K1946)</f>
        <v>9638</v>
      </c>
      <c r="L1947" s="321">
        <f t="shared" si="2449"/>
        <v>9149</v>
      </c>
      <c r="M1947" s="322">
        <f t="shared" si="2449"/>
        <v>489</v>
      </c>
      <c r="N1947" s="339">
        <f t="shared" si="2445"/>
        <v>4.819</v>
      </c>
      <c r="O1947" s="345">
        <f t="shared" si="2446"/>
        <v>5.0736667358373108E-2</v>
      </c>
    </row>
    <row r="1948" spans="1:15" ht="23.4" x14ac:dyDescent="0.3">
      <c r="A1948" s="274" t="s">
        <v>102</v>
      </c>
      <c r="B1948" s="1022" t="s">
        <v>35</v>
      </c>
      <c r="C1948" s="311" t="s">
        <v>113</v>
      </c>
      <c r="D1948" s="311"/>
      <c r="E1948" s="270">
        <v>116160</v>
      </c>
      <c r="F1948" s="271"/>
      <c r="G1948" s="332">
        <f t="shared" ref="G1948:G1951" si="2450">+H1948+I1948</f>
        <v>0</v>
      </c>
      <c r="H1948" s="272">
        <v>0</v>
      </c>
      <c r="I1948" s="272">
        <v>0</v>
      </c>
      <c r="J1948" s="351" t="str">
        <f>IFERROR(G1948/F1948,"-")</f>
        <v>-</v>
      </c>
      <c r="K1948" s="332">
        <f t="shared" ref="K1948:K1951" si="2451">+L1948+M1948</f>
        <v>0</v>
      </c>
      <c r="L1948" s="272">
        <f t="shared" ref="L1948:L1951" si="2452">+H1948+L1831</f>
        <v>0</v>
      </c>
      <c r="M1948" s="273">
        <f t="shared" ref="M1948:M1951" si="2453">+I1948+M1831</f>
        <v>0</v>
      </c>
      <c r="N1948" s="336">
        <f t="shared" si="2445"/>
        <v>0</v>
      </c>
      <c r="O1948" s="346" t="str">
        <f t="shared" si="2446"/>
        <v>-</v>
      </c>
    </row>
    <row r="1949" spans="1:15" ht="23.4" x14ac:dyDescent="0.3">
      <c r="A1949" s="274" t="s">
        <v>102</v>
      </c>
      <c r="B1949" s="1023"/>
      <c r="C1949" s="312" t="s">
        <v>247</v>
      </c>
      <c r="D1949" s="312"/>
      <c r="E1949" s="276"/>
      <c r="F1949" s="277"/>
      <c r="G1949" s="333">
        <f t="shared" si="2450"/>
        <v>7899</v>
      </c>
      <c r="H1949" s="278">
        <f>1600+6080</f>
        <v>7680</v>
      </c>
      <c r="I1949" s="278">
        <f>149+70</f>
        <v>219</v>
      </c>
      <c r="J1949" s="351" t="str">
        <f t="shared" ref="J1949:J1951" si="2454">IFERROR(G1949/F1949,"-")</f>
        <v>-</v>
      </c>
      <c r="K1949" s="333">
        <f t="shared" si="2451"/>
        <v>25595</v>
      </c>
      <c r="L1949" s="272">
        <f t="shared" si="2452"/>
        <v>24000</v>
      </c>
      <c r="M1949" s="273">
        <f t="shared" si="2453"/>
        <v>1595</v>
      </c>
      <c r="N1949" s="337" t="str">
        <f t="shared" si="2445"/>
        <v>-</v>
      </c>
      <c r="O1949" s="263">
        <f t="shared" si="2446"/>
        <v>6.231685876147685E-2</v>
      </c>
    </row>
    <row r="1950" spans="1:15" ht="23.4" x14ac:dyDescent="0.3">
      <c r="A1950" s="274" t="s">
        <v>102</v>
      </c>
      <c r="B1950" s="1023"/>
      <c r="C1950" s="312" t="s">
        <v>496</v>
      </c>
      <c r="D1950" s="312"/>
      <c r="E1950" s="276">
        <v>20000</v>
      </c>
      <c r="F1950" s="277"/>
      <c r="G1950" s="333">
        <f t="shared" si="2450"/>
        <v>0</v>
      </c>
      <c r="H1950" s="278">
        <v>0</v>
      </c>
      <c r="I1950" s="278">
        <v>0</v>
      </c>
      <c r="J1950" s="351" t="str">
        <f t="shared" si="2454"/>
        <v>-</v>
      </c>
      <c r="K1950" s="333">
        <f t="shared" si="2451"/>
        <v>0</v>
      </c>
      <c r="L1950" s="272">
        <f t="shared" si="2452"/>
        <v>0</v>
      </c>
      <c r="M1950" s="273">
        <f t="shared" si="2453"/>
        <v>0</v>
      </c>
      <c r="N1950" s="337">
        <f t="shared" si="2445"/>
        <v>0</v>
      </c>
      <c r="O1950" s="263" t="str">
        <f t="shared" si="2446"/>
        <v>-</v>
      </c>
    </row>
    <row r="1951" spans="1:15" ht="24" thickBot="1" x14ac:dyDescent="0.35">
      <c r="A1951" s="274" t="s">
        <v>102</v>
      </c>
      <c r="B1951" s="1024"/>
      <c r="C1951" s="313" t="s">
        <v>36</v>
      </c>
      <c r="D1951" s="313"/>
      <c r="E1951" s="280"/>
      <c r="F1951" s="281"/>
      <c r="G1951" s="334">
        <f t="shared" si="2450"/>
        <v>0</v>
      </c>
      <c r="H1951" s="278">
        <v>0</v>
      </c>
      <c r="I1951" s="278">
        <v>0</v>
      </c>
      <c r="J1951" s="351" t="str">
        <f t="shared" si="2454"/>
        <v>-</v>
      </c>
      <c r="K1951" s="334">
        <f t="shared" si="2451"/>
        <v>0</v>
      </c>
      <c r="L1951" s="272">
        <f t="shared" si="2452"/>
        <v>0</v>
      </c>
      <c r="M1951" s="273">
        <f t="shared" si="2453"/>
        <v>0</v>
      </c>
      <c r="N1951" s="338" t="str">
        <f t="shared" si="2445"/>
        <v>-</v>
      </c>
      <c r="O1951" s="347" t="str">
        <f t="shared" si="2446"/>
        <v>-</v>
      </c>
    </row>
    <row r="1952" spans="1:15" ht="24" thickBot="1" x14ac:dyDescent="0.35">
      <c r="A1952" s="274" t="s">
        <v>102</v>
      </c>
      <c r="B1952" s="1025" t="s">
        <v>37</v>
      </c>
      <c r="C1952" s="1026"/>
      <c r="D1952" s="1027"/>
      <c r="E1952" s="284">
        <f>SUM(E1948:E1951)</f>
        <v>136160</v>
      </c>
      <c r="F1952" s="285">
        <v>6500</v>
      </c>
      <c r="G1952" s="320">
        <f>SUM(G1948:G1951)</f>
        <v>7899</v>
      </c>
      <c r="H1952" s="321">
        <f t="shared" ref="H1952:I1952" si="2455">SUM(H1948:H1951)</f>
        <v>7680</v>
      </c>
      <c r="I1952" s="321">
        <f t="shared" si="2455"/>
        <v>219</v>
      </c>
      <c r="J1952" s="345">
        <f>IFERROR(G1952/F1952,"-")</f>
        <v>1.2152307692307693</v>
      </c>
      <c r="K1952" s="320">
        <f t="shared" ref="K1952:M1952" si="2456">SUM(K1948:K1951)</f>
        <v>25595</v>
      </c>
      <c r="L1952" s="321">
        <f t="shared" si="2456"/>
        <v>24000</v>
      </c>
      <c r="M1952" s="322">
        <f t="shared" si="2456"/>
        <v>1595</v>
      </c>
      <c r="N1952" s="339">
        <f>IFERROR(K1952/E1952,"-")</f>
        <v>0.18797737955346652</v>
      </c>
      <c r="O1952" s="345">
        <f t="shared" si="2446"/>
        <v>6.231685876147685E-2</v>
      </c>
    </row>
    <row r="1953" spans="1:15" ht="23.4" x14ac:dyDescent="0.3">
      <c r="A1953" s="274" t="s">
        <v>102</v>
      </c>
      <c r="B1953" s="1022" t="s">
        <v>402</v>
      </c>
      <c r="C1953" s="314" t="s">
        <v>116</v>
      </c>
      <c r="D1953" s="314"/>
      <c r="E1953" s="270">
        <v>31000</v>
      </c>
      <c r="F1953" s="271"/>
      <c r="G1953" s="332">
        <f t="shared" ref="G1953:G1954" si="2457">+H1953+I1953</f>
        <v>0</v>
      </c>
      <c r="H1953" s="272">
        <v>0</v>
      </c>
      <c r="I1953" s="272">
        <v>0</v>
      </c>
      <c r="J1953" s="351" t="str">
        <f>IFERROR(G1953/F1953,"-")</f>
        <v>-</v>
      </c>
      <c r="K1953" s="332">
        <f t="shared" ref="K1953:K1954" si="2458">+L1953+M1953</f>
        <v>0</v>
      </c>
      <c r="L1953" s="272">
        <f t="shared" ref="L1953:L1954" si="2459">+H1953+L1836</f>
        <v>0</v>
      </c>
      <c r="M1953" s="273">
        <f t="shared" ref="M1953:M1954" si="2460">+I1953+M1836</f>
        <v>0</v>
      </c>
      <c r="N1953" s="336">
        <f t="shared" ref="N1953:N1969" si="2461">IFERROR(K1953/E1953,"-")</f>
        <v>0</v>
      </c>
      <c r="O1953" s="346" t="str">
        <f t="shared" si="2446"/>
        <v>-</v>
      </c>
    </row>
    <row r="1954" spans="1:15" ht="24" thickBot="1" x14ac:dyDescent="0.35">
      <c r="A1954" s="274" t="s">
        <v>102</v>
      </c>
      <c r="B1954" s="1024"/>
      <c r="C1954" s="286" t="s">
        <v>132</v>
      </c>
      <c r="D1954" s="286"/>
      <c r="E1954" s="280"/>
      <c r="F1954" s="281"/>
      <c r="G1954" s="334">
        <f t="shared" si="2457"/>
        <v>0</v>
      </c>
      <c r="H1954" s="282">
        <v>0</v>
      </c>
      <c r="I1954" s="282">
        <v>0</v>
      </c>
      <c r="J1954" s="351" t="str">
        <f>IFERROR(G1954/F1954,"-")</f>
        <v>-</v>
      </c>
      <c r="K1954" s="334">
        <f t="shared" si="2458"/>
        <v>22797</v>
      </c>
      <c r="L1954" s="272">
        <f t="shared" si="2459"/>
        <v>21790</v>
      </c>
      <c r="M1954" s="273">
        <f t="shared" si="2460"/>
        <v>1007</v>
      </c>
      <c r="N1954" s="338" t="str">
        <f t="shared" si="2461"/>
        <v>-</v>
      </c>
      <c r="O1954" s="347">
        <f t="shared" si="2446"/>
        <v>4.4172478834934421E-2</v>
      </c>
    </row>
    <row r="1955" spans="1:15" ht="24" thickBot="1" x14ac:dyDescent="0.35">
      <c r="A1955" s="977" t="s">
        <v>102</v>
      </c>
      <c r="B1955" s="1025" t="s">
        <v>38</v>
      </c>
      <c r="C1955" s="1026"/>
      <c r="D1955" s="1027"/>
      <c r="E1955" s="284">
        <f>SUM(E1953:E1954)</f>
        <v>31000</v>
      </c>
      <c r="F1955" s="285">
        <v>2800</v>
      </c>
      <c r="G1955" s="320">
        <f>SUM(G1953:G1954)</f>
        <v>0</v>
      </c>
      <c r="H1955" s="321">
        <f t="shared" ref="H1955:I1955" si="2462">SUM(H1953:H1954)</f>
        <v>0</v>
      </c>
      <c r="I1955" s="321">
        <f t="shared" si="2462"/>
        <v>0</v>
      </c>
      <c r="J1955" s="345" t="str">
        <f>IFERROR(G1955/F1945,"-")</f>
        <v>-</v>
      </c>
      <c r="K1955" s="320">
        <f t="shared" ref="K1955:M1955" si="2463">SUM(K1953:K1954)</f>
        <v>22797</v>
      </c>
      <c r="L1955" s="321">
        <f t="shared" si="2463"/>
        <v>21790</v>
      </c>
      <c r="M1955" s="322">
        <f t="shared" si="2463"/>
        <v>1007</v>
      </c>
      <c r="N1955" s="339">
        <f t="shared" si="2461"/>
        <v>0.73538709677419356</v>
      </c>
      <c r="O1955" s="345">
        <f t="shared" si="2446"/>
        <v>4.4172478834934421E-2</v>
      </c>
    </row>
    <row r="1956" spans="1:15" ht="23.4" x14ac:dyDescent="0.3">
      <c r="A1956" s="274" t="s">
        <v>102</v>
      </c>
      <c r="B1956" s="1022" t="s">
        <v>403</v>
      </c>
      <c r="C1956" s="269" t="s">
        <v>306</v>
      </c>
      <c r="D1956" s="269"/>
      <c r="E1956" s="270">
        <v>978200</v>
      </c>
      <c r="F1956" s="315"/>
      <c r="G1956" s="332">
        <f t="shared" ref="G1956:G1960" si="2464">+H1956+I1956</f>
        <v>27179</v>
      </c>
      <c r="H1956" s="272">
        <f>11760+15204</f>
        <v>26964</v>
      </c>
      <c r="I1956" s="272">
        <f>144+71</f>
        <v>215</v>
      </c>
      <c r="J1956" s="371" t="str">
        <f>IFERROR(G1956/F1956,"-")</f>
        <v>-</v>
      </c>
      <c r="K1956" s="332">
        <f t="shared" ref="K1956:K1960" si="2465">+L1956+M1956</f>
        <v>395807</v>
      </c>
      <c r="L1956" s="272">
        <f t="shared" ref="L1956:L1960" si="2466">+H1956+L1839</f>
        <v>392724</v>
      </c>
      <c r="M1956" s="272">
        <f t="shared" ref="M1956:M1960" si="2467">+I1956+M1839</f>
        <v>3083</v>
      </c>
      <c r="N1956" s="359">
        <f t="shared" si="2461"/>
        <v>0.4046278879574729</v>
      </c>
      <c r="O1956" s="360">
        <f t="shared" si="2446"/>
        <v>7.7891497623841927E-3</v>
      </c>
    </row>
    <row r="1957" spans="1:15" ht="23.4" x14ac:dyDescent="0.3">
      <c r="A1957" s="274" t="s">
        <v>102</v>
      </c>
      <c r="B1957" s="1023"/>
      <c r="C1957" s="269" t="s">
        <v>307</v>
      </c>
      <c r="D1957" s="275"/>
      <c r="E1957" s="276"/>
      <c r="F1957" s="316"/>
      <c r="G1957" s="333">
        <f t="shared" si="2464"/>
        <v>0</v>
      </c>
      <c r="H1957" s="278">
        <v>0</v>
      </c>
      <c r="I1957" s="278">
        <v>0</v>
      </c>
      <c r="J1957" s="371" t="str">
        <f t="shared" ref="J1957:J1960" si="2468">IFERROR(G1957/F1957,"-")</f>
        <v>-</v>
      </c>
      <c r="K1957" s="333">
        <f t="shared" si="2465"/>
        <v>0</v>
      </c>
      <c r="L1957" s="272">
        <f t="shared" si="2466"/>
        <v>0</v>
      </c>
      <c r="M1957" s="273">
        <f t="shared" si="2467"/>
        <v>0</v>
      </c>
      <c r="N1957" s="361" t="str">
        <f t="shared" si="2461"/>
        <v>-</v>
      </c>
      <c r="O1957" s="362" t="str">
        <f t="shared" si="2446"/>
        <v>-</v>
      </c>
    </row>
    <row r="1958" spans="1:15" ht="23.4" x14ac:dyDescent="0.3">
      <c r="A1958" s="274" t="s">
        <v>102</v>
      </c>
      <c r="B1958" s="1023"/>
      <c r="C1958" s="275" t="s">
        <v>499</v>
      </c>
      <c r="D1958" s="275"/>
      <c r="E1958" s="276">
        <f>70000+15000</f>
        <v>85000</v>
      </c>
      <c r="F1958" s="316"/>
      <c r="G1958" s="333">
        <f t="shared" si="2464"/>
        <v>0</v>
      </c>
      <c r="H1958" s="278">
        <v>0</v>
      </c>
      <c r="I1958" s="278">
        <v>0</v>
      </c>
      <c r="J1958" s="371" t="str">
        <f t="shared" si="2468"/>
        <v>-</v>
      </c>
      <c r="K1958" s="333">
        <f t="shared" si="2465"/>
        <v>49665</v>
      </c>
      <c r="L1958" s="272">
        <f t="shared" si="2466"/>
        <v>49032</v>
      </c>
      <c r="M1958" s="273">
        <f t="shared" si="2467"/>
        <v>633</v>
      </c>
      <c r="N1958" s="361">
        <f t="shared" si="2461"/>
        <v>0.58429411764705885</v>
      </c>
      <c r="O1958" s="362">
        <f t="shared" si="2446"/>
        <v>1.2745394140742978E-2</v>
      </c>
    </row>
    <row r="1959" spans="1:15" ht="23.4" x14ac:dyDescent="0.3">
      <c r="A1959" s="274" t="s">
        <v>102</v>
      </c>
      <c r="B1959" s="1023"/>
      <c r="C1959" s="275" t="s">
        <v>157</v>
      </c>
      <c r="D1959" s="275"/>
      <c r="E1959" s="276">
        <v>60040</v>
      </c>
      <c r="F1959" s="316"/>
      <c r="G1959" s="333">
        <f t="shared" si="2464"/>
        <v>0</v>
      </c>
      <c r="H1959" s="278">
        <v>0</v>
      </c>
      <c r="I1959" s="278">
        <v>0</v>
      </c>
      <c r="J1959" s="371" t="str">
        <f t="shared" si="2468"/>
        <v>-</v>
      </c>
      <c r="K1959" s="333">
        <f t="shared" si="2465"/>
        <v>0</v>
      </c>
      <c r="L1959" s="272">
        <f t="shared" si="2466"/>
        <v>0</v>
      </c>
      <c r="M1959" s="273">
        <f t="shared" si="2467"/>
        <v>0</v>
      </c>
      <c r="N1959" s="361">
        <f t="shared" si="2461"/>
        <v>0</v>
      </c>
      <c r="O1959" s="362" t="str">
        <f t="shared" si="2446"/>
        <v>-</v>
      </c>
    </row>
    <row r="1960" spans="1:15" ht="24" thickBot="1" x14ac:dyDescent="0.35">
      <c r="A1960" s="274" t="s">
        <v>102</v>
      </c>
      <c r="B1960" s="1024"/>
      <c r="C1960" s="279" t="s">
        <v>158</v>
      </c>
      <c r="D1960" s="279"/>
      <c r="E1960" s="280"/>
      <c r="F1960" s="317"/>
      <c r="G1960" s="334">
        <f t="shared" si="2464"/>
        <v>0</v>
      </c>
      <c r="H1960" s="278">
        <v>0</v>
      </c>
      <c r="I1960" s="278">
        <v>0</v>
      </c>
      <c r="J1960" s="371" t="str">
        <f t="shared" si="2468"/>
        <v>-</v>
      </c>
      <c r="K1960" s="334">
        <f t="shared" si="2465"/>
        <v>0</v>
      </c>
      <c r="L1960" s="272">
        <f t="shared" si="2466"/>
        <v>0</v>
      </c>
      <c r="M1960" s="273">
        <f t="shared" si="2467"/>
        <v>0</v>
      </c>
      <c r="N1960" s="363" t="str">
        <f t="shared" si="2461"/>
        <v>-</v>
      </c>
      <c r="O1960" s="364" t="str">
        <f t="shared" si="2446"/>
        <v>-</v>
      </c>
    </row>
    <row r="1961" spans="1:15" ht="24" thickBot="1" x14ac:dyDescent="0.35">
      <c r="A1961" s="274" t="s">
        <v>102</v>
      </c>
      <c r="B1961" s="1025" t="s">
        <v>39</v>
      </c>
      <c r="C1961" s="1026"/>
      <c r="D1961" s="1027"/>
      <c r="E1961" s="320">
        <f>SUM(E1956:E1960)</f>
        <v>1123240</v>
      </c>
      <c r="F1961" s="285">
        <v>25000</v>
      </c>
      <c r="G1961" s="320">
        <f>SUM(G1956:G1960)</f>
        <v>27179</v>
      </c>
      <c r="H1961" s="321">
        <f>SUM(H1956:H1960)</f>
        <v>26964</v>
      </c>
      <c r="I1961" s="321">
        <f>SUM(I1956:I1960)</f>
        <v>215</v>
      </c>
      <c r="J1961" s="345">
        <f>IFERROR(G1961/F1961,"-")</f>
        <v>1.0871599999999999</v>
      </c>
      <c r="K1961" s="320">
        <f>SUM(K1956:K1960)</f>
        <v>445472</v>
      </c>
      <c r="L1961" s="321">
        <f>SUM(L1956:L1960)</f>
        <v>441756</v>
      </c>
      <c r="M1961" s="322">
        <f>SUM(M1956:M1960)</f>
        <v>3716</v>
      </c>
      <c r="N1961" s="339">
        <f t="shared" si="2461"/>
        <v>0.39659556283608133</v>
      </c>
      <c r="O1961" s="345">
        <f t="shared" si="2446"/>
        <v>8.3417139573306511E-3</v>
      </c>
    </row>
    <row r="1962" spans="1:15" ht="23.4" x14ac:dyDescent="0.3">
      <c r="A1962" s="274" t="s">
        <v>102</v>
      </c>
      <c r="B1962" s="1022" t="s">
        <v>404</v>
      </c>
      <c r="C1962" s="269" t="s">
        <v>186</v>
      </c>
      <c r="D1962" s="269"/>
      <c r="E1962" s="270"/>
      <c r="F1962" s="271"/>
      <c r="G1962" s="332">
        <f t="shared" ref="G1962:G1964" si="2469">+H1962+I1962</f>
        <v>0</v>
      </c>
      <c r="H1962" s="272">
        <v>0</v>
      </c>
      <c r="I1962" s="272">
        <v>0</v>
      </c>
      <c r="J1962" s="351" t="str">
        <f>IFERROR(G1962/F1962,"-")</f>
        <v>-</v>
      </c>
      <c r="K1962" s="332">
        <f t="shared" ref="K1962:K1964" si="2470">+L1962+M1962</f>
        <v>0</v>
      </c>
      <c r="L1962" s="272">
        <f t="shared" ref="L1962:L1964" si="2471">+H1962+L1845</f>
        <v>0</v>
      </c>
      <c r="M1962" s="273">
        <f t="shared" ref="M1962:M1964" si="2472">+I1962+M1845</f>
        <v>0</v>
      </c>
      <c r="N1962" s="336" t="str">
        <f t="shared" si="2461"/>
        <v>-</v>
      </c>
      <c r="O1962" s="346" t="str">
        <f t="shared" si="2446"/>
        <v>-</v>
      </c>
    </row>
    <row r="1963" spans="1:15" ht="23.4" x14ac:dyDescent="0.3">
      <c r="A1963" s="274" t="s">
        <v>102</v>
      </c>
      <c r="B1963" s="1023"/>
      <c r="C1963" s="275" t="s">
        <v>497</v>
      </c>
      <c r="D1963" s="275"/>
      <c r="E1963" s="276"/>
      <c r="F1963" s="277"/>
      <c r="G1963" s="333">
        <f t="shared" si="2469"/>
        <v>0</v>
      </c>
      <c r="H1963" s="278">
        <v>0</v>
      </c>
      <c r="I1963" s="278">
        <v>0</v>
      </c>
      <c r="J1963" s="351" t="str">
        <f t="shared" ref="J1963:J1964" si="2473">IFERROR(G1963/F1963,"-")</f>
        <v>-</v>
      </c>
      <c r="K1963" s="333">
        <f t="shared" si="2470"/>
        <v>11826</v>
      </c>
      <c r="L1963" s="714">
        <f t="shared" si="2471"/>
        <v>11400</v>
      </c>
      <c r="M1963" s="273">
        <f t="shared" si="2472"/>
        <v>426</v>
      </c>
      <c r="N1963" s="361" t="str">
        <f t="shared" si="2461"/>
        <v>-</v>
      </c>
      <c r="O1963" s="362">
        <f t="shared" si="2446"/>
        <v>3.6022323693556568E-2</v>
      </c>
    </row>
    <row r="1964" spans="1:15" ht="24" thickBot="1" x14ac:dyDescent="0.35">
      <c r="A1964" s="274" t="s">
        <v>102</v>
      </c>
      <c r="B1964" s="1024"/>
      <c r="C1964" s="279" t="s">
        <v>498</v>
      </c>
      <c r="D1964" s="279"/>
      <c r="E1964" s="280"/>
      <c r="F1964" s="281"/>
      <c r="G1964" s="334">
        <f t="shared" si="2469"/>
        <v>0</v>
      </c>
      <c r="H1964" s="278">
        <v>0</v>
      </c>
      <c r="I1964" s="278">
        <v>0</v>
      </c>
      <c r="J1964" s="351" t="str">
        <f t="shared" si="2473"/>
        <v>-</v>
      </c>
      <c r="K1964" s="334">
        <f t="shared" si="2470"/>
        <v>0</v>
      </c>
      <c r="L1964" s="272">
        <f t="shared" si="2471"/>
        <v>0</v>
      </c>
      <c r="M1964" s="273">
        <f t="shared" si="2472"/>
        <v>0</v>
      </c>
      <c r="N1964" s="363" t="str">
        <f t="shared" si="2461"/>
        <v>-</v>
      </c>
      <c r="O1964" s="364" t="str">
        <f t="shared" si="2446"/>
        <v>-</v>
      </c>
    </row>
    <row r="1965" spans="1:15" ht="24" thickBot="1" x14ac:dyDescent="0.35">
      <c r="A1965" s="274" t="s">
        <v>102</v>
      </c>
      <c r="B1965" s="1034" t="s">
        <v>41</v>
      </c>
      <c r="C1965" s="1035"/>
      <c r="D1965" s="1036"/>
      <c r="E1965" s="320">
        <f>SUM(E1962:E1964)</f>
        <v>0</v>
      </c>
      <c r="F1965" s="285"/>
      <c r="G1965" s="320">
        <f>SUM(G1962:G1964)</f>
        <v>0</v>
      </c>
      <c r="H1965" s="321">
        <f t="shared" ref="H1965:I1965" si="2474">SUM(H1962:H1964)</f>
        <v>0</v>
      </c>
      <c r="I1965" s="321">
        <f t="shared" si="2474"/>
        <v>0</v>
      </c>
      <c r="J1965" s="345" t="str">
        <f>IFERROR(G1965/F1965,"-")</f>
        <v>-</v>
      </c>
      <c r="K1965" s="320">
        <f t="shared" ref="K1965:M1965" si="2475">SUM(K1962:K1964)</f>
        <v>11826</v>
      </c>
      <c r="L1965" s="365">
        <f t="shared" si="2475"/>
        <v>11400</v>
      </c>
      <c r="M1965" s="367">
        <f t="shared" si="2475"/>
        <v>426</v>
      </c>
      <c r="N1965" s="339" t="str">
        <f t="shared" si="2461"/>
        <v>-</v>
      </c>
      <c r="O1965" s="345">
        <f t="shared" si="2446"/>
        <v>3.6022323693556568E-2</v>
      </c>
    </row>
    <row r="1966" spans="1:15" ht="24" thickBot="1" x14ac:dyDescent="0.35">
      <c r="A1966" s="274" t="s">
        <v>102</v>
      </c>
      <c r="B1966" s="1022" t="s">
        <v>42</v>
      </c>
      <c r="C1966" s="269" t="s">
        <v>160</v>
      </c>
      <c r="D1966" s="269"/>
      <c r="E1966" s="270"/>
      <c r="F1966" s="271"/>
      <c r="G1966" s="332">
        <f t="shared" ref="G1966:G1967" si="2476">+H1966+I1966</f>
        <v>0</v>
      </c>
      <c r="H1966" s="272">
        <v>0</v>
      </c>
      <c r="I1966" s="272">
        <v>0</v>
      </c>
      <c r="J1966" s="371" t="str">
        <f>IFERROR(G1966/F1966,"-")</f>
        <v>-</v>
      </c>
      <c r="K1966" s="695">
        <f t="shared" ref="K1966:K1967" si="2477">+L1966+M1966</f>
        <v>8672</v>
      </c>
      <c r="L1966" s="688">
        <f t="shared" ref="L1966:L1967" si="2478">+H1966+L1849</f>
        <v>8000</v>
      </c>
      <c r="M1966" s="688">
        <f t="shared" ref="M1966:M1967" si="2479">+I1966+M1849</f>
        <v>672</v>
      </c>
      <c r="N1966" s="359" t="str">
        <f t="shared" si="2461"/>
        <v>-</v>
      </c>
      <c r="O1966" s="360">
        <f t="shared" si="2446"/>
        <v>7.7490774907749083E-2</v>
      </c>
    </row>
    <row r="1967" spans="1:15" ht="24" thickBot="1" x14ac:dyDescent="0.35">
      <c r="A1967" s="274" t="s">
        <v>102</v>
      </c>
      <c r="B1967" s="1024"/>
      <c r="C1967" s="279" t="s">
        <v>161</v>
      </c>
      <c r="D1967" s="279"/>
      <c r="E1967" s="280"/>
      <c r="F1967" s="281"/>
      <c r="G1967" s="334">
        <f t="shared" si="2476"/>
        <v>0</v>
      </c>
      <c r="H1967" s="282">
        <v>0</v>
      </c>
      <c r="I1967" s="282">
        <v>0</v>
      </c>
      <c r="J1967" s="373" t="str">
        <f>IFERROR(G1967/F1967,"-")</f>
        <v>-</v>
      </c>
      <c r="K1967" s="696">
        <f t="shared" si="2477"/>
        <v>0</v>
      </c>
      <c r="L1967" s="688">
        <f t="shared" si="2478"/>
        <v>0</v>
      </c>
      <c r="M1967" s="688">
        <f t="shared" si="2479"/>
        <v>0</v>
      </c>
      <c r="N1967" s="363" t="str">
        <f t="shared" si="2461"/>
        <v>-</v>
      </c>
      <c r="O1967" s="364" t="str">
        <f t="shared" si="2446"/>
        <v>-</v>
      </c>
    </row>
    <row r="1968" spans="1:15" ht="24" thickBot="1" x14ac:dyDescent="0.35">
      <c r="A1968" s="274" t="s">
        <v>102</v>
      </c>
      <c r="B1968" s="1034" t="s">
        <v>43</v>
      </c>
      <c r="C1968" s="1035"/>
      <c r="D1968" s="1036"/>
      <c r="E1968" s="284">
        <f>SUM(E1966:E1967)</f>
        <v>0</v>
      </c>
      <c r="F1968" s="285">
        <v>25000</v>
      </c>
      <c r="G1968" s="320">
        <f>SUM(G1966:G1967)</f>
        <v>0</v>
      </c>
      <c r="H1968" s="321">
        <f t="shared" ref="H1968:I1968" si="2480">SUM(H1966:H1967)</f>
        <v>0</v>
      </c>
      <c r="I1968" s="321">
        <f t="shared" si="2480"/>
        <v>0</v>
      </c>
      <c r="J1968" s="345">
        <f>IFERROR(G1968/F1968,"-")</f>
        <v>0</v>
      </c>
      <c r="K1968" s="760">
        <f t="shared" ref="K1968:M1968" si="2481">SUM(K1966:K1967)</f>
        <v>8672</v>
      </c>
      <c r="L1968" s="761">
        <f t="shared" si="2481"/>
        <v>8000</v>
      </c>
      <c r="M1968" s="761">
        <f t="shared" si="2481"/>
        <v>672</v>
      </c>
      <c r="N1968" s="339" t="str">
        <f t="shared" si="2461"/>
        <v>-</v>
      </c>
      <c r="O1968" s="345">
        <f t="shared" si="2446"/>
        <v>7.7490774907749083E-2</v>
      </c>
    </row>
    <row r="1969" spans="1:15" ht="24" thickBot="1" x14ac:dyDescent="0.35">
      <c r="A1969" s="274" t="s">
        <v>102</v>
      </c>
      <c r="B1969" s="1028" t="s">
        <v>25</v>
      </c>
      <c r="C1969" s="1029"/>
      <c r="D1969" s="1030"/>
      <c r="E1969" s="326">
        <f t="shared" ref="E1969:F1969" si="2482">+E1947+E1952+E1955+E1961+E1965+E1968</f>
        <v>1292400</v>
      </c>
      <c r="F1969" s="327">
        <f t="shared" si="2482"/>
        <v>65800</v>
      </c>
      <c r="G1969" s="326">
        <f>+G1947+G1952+G1955+G1961+G1965+G1968</f>
        <v>35078</v>
      </c>
      <c r="H1969" s="324">
        <f>+H1947+H1952+H1955+H1961+H1965+H1968</f>
        <v>34644</v>
      </c>
      <c r="I1969" s="324">
        <f t="shared" ref="I1969" si="2483">+I1947+I1952+I1955+I1961+I1965+I1968</f>
        <v>434</v>
      </c>
      <c r="J1969" s="349">
        <f>IFERROR(G1969/F1969,"-")</f>
        <v>0.53310030395136776</v>
      </c>
      <c r="K1969" s="326">
        <f>+K1947+K1952+K1955+K1961+K1965+K1968</f>
        <v>524000</v>
      </c>
      <c r="L1969" s="759">
        <f t="shared" ref="L1969:M1969" si="2484">+L1947+L1952+L1955+L1961+L1965+L1968</f>
        <v>516095</v>
      </c>
      <c r="M1969" s="325">
        <f t="shared" si="2484"/>
        <v>7905</v>
      </c>
      <c r="N1969" s="341">
        <f t="shared" si="2461"/>
        <v>0.40544722995976479</v>
      </c>
      <c r="O1969" s="349">
        <f t="shared" si="2446"/>
        <v>1.508587786259542E-2</v>
      </c>
    </row>
    <row r="1970" spans="1:15" ht="24" thickBot="1" x14ac:dyDescent="0.35">
      <c r="A1970" s="318" t="s">
        <v>102</v>
      </c>
      <c r="B1970" s="1020" t="s">
        <v>173</v>
      </c>
      <c r="C1970" s="1020"/>
      <c r="D1970" s="1021"/>
      <c r="E1970" s="330">
        <f>+E1969</f>
        <v>1292400</v>
      </c>
      <c r="F1970" s="331">
        <f t="shared" ref="F1970:I1970" si="2485">+F1969</f>
        <v>65800</v>
      </c>
      <c r="G1970" s="330">
        <f t="shared" si="2485"/>
        <v>35078</v>
      </c>
      <c r="H1970" s="328">
        <f t="shared" si="2485"/>
        <v>34644</v>
      </c>
      <c r="I1970" s="328">
        <f t="shared" si="2485"/>
        <v>434</v>
      </c>
      <c r="J1970" s="350">
        <f>+G1970/F1970</f>
        <v>0.53310030395136776</v>
      </c>
      <c r="K1970" s="330">
        <f t="shared" ref="K1970:O1970" si="2486">+K1969</f>
        <v>524000</v>
      </c>
      <c r="L1970" s="328">
        <f t="shared" si="2486"/>
        <v>516095</v>
      </c>
      <c r="M1970" s="329">
        <f t="shared" si="2486"/>
        <v>7905</v>
      </c>
      <c r="N1970" s="342">
        <f t="shared" si="2486"/>
        <v>0.40544722995976479</v>
      </c>
      <c r="O1970" s="350">
        <f t="shared" si="2486"/>
        <v>1.508587786259542E-2</v>
      </c>
    </row>
    <row r="1971" spans="1:15" ht="24.6" thickBot="1" x14ac:dyDescent="0.35">
      <c r="A1971" s="319"/>
      <c r="B1971" s="1031" t="s">
        <v>174</v>
      </c>
      <c r="C1971" s="1032"/>
      <c r="D1971" s="1033"/>
      <c r="E1971" s="374">
        <f>+E1908+E1943+E1970</f>
        <v>7473564</v>
      </c>
      <c r="F1971" s="374">
        <f>+F1908+F1943+F1970</f>
        <v>1024800</v>
      </c>
      <c r="G1971" s="374">
        <f>+G1908+G1943+G1970</f>
        <v>300243</v>
      </c>
      <c r="H1971" s="374">
        <f>+H1908+H1943+H1970</f>
        <v>298166</v>
      </c>
      <c r="I1971" s="374">
        <f>+I1908+I1943+I1970</f>
        <v>2077</v>
      </c>
      <c r="J1971" s="375">
        <f>IFERROR(G1971/F1971,"-")</f>
        <v>0.29297716627634662</v>
      </c>
      <c r="K1971" s="374">
        <f>+K1908+K1943+K1970</f>
        <v>6001127</v>
      </c>
      <c r="L1971" s="374">
        <f>+L1908+L1943+L1970</f>
        <v>5941783</v>
      </c>
      <c r="M1971" s="374">
        <f>+M1908+M1943+M1970</f>
        <v>59344</v>
      </c>
      <c r="N1971" s="375">
        <f>IFERROR(K1971/E1971,"-")</f>
        <v>0.80298061273041887</v>
      </c>
      <c r="O1971" s="375">
        <f>IFERROR(M1971/K1971,"-")</f>
        <v>9.8888092186684273E-3</v>
      </c>
    </row>
    <row r="1972" spans="1:15" ht="23.4" x14ac:dyDescent="0.3">
      <c r="A1972" s="1057" t="s">
        <v>1</v>
      </c>
      <c r="B1972" s="1060" t="s">
        <v>2</v>
      </c>
      <c r="C1972" s="1063" t="s">
        <v>396</v>
      </c>
      <c r="D1972" s="1063" t="s">
        <v>397</v>
      </c>
      <c r="E1972" s="1066" t="s">
        <v>4</v>
      </c>
      <c r="F1972" s="1067"/>
      <c r="G1972" s="1067"/>
      <c r="H1972" s="1067"/>
      <c r="I1972" s="1067"/>
      <c r="J1972" s="1067"/>
      <c r="K1972" s="1067"/>
      <c r="L1972" s="1067"/>
      <c r="M1972" s="1067"/>
      <c r="N1972" s="1067"/>
      <c r="O1972" s="1068"/>
    </row>
    <row r="1973" spans="1:15" ht="23.4" x14ac:dyDescent="0.3">
      <c r="A1973" s="1058"/>
      <c r="B1973" s="1061"/>
      <c r="C1973" s="1064"/>
      <c r="D1973" s="1064"/>
      <c r="E1973" s="1069" t="s">
        <v>7</v>
      </c>
      <c r="F1973" s="1071" t="s">
        <v>108</v>
      </c>
      <c r="G1973" s="1073" t="s">
        <v>584</v>
      </c>
      <c r="H1973" s="1074"/>
      <c r="I1973" s="1074"/>
      <c r="J1973" s="1075"/>
      <c r="K1973" s="1076" t="s">
        <v>398</v>
      </c>
      <c r="L1973" s="1077"/>
      <c r="M1973" s="1078"/>
      <c r="N1973" s="1079" t="s">
        <v>399</v>
      </c>
      <c r="O1973" s="1081" t="s">
        <v>164</v>
      </c>
    </row>
    <row r="1974" spans="1:15" ht="41.4" thickBot="1" x14ac:dyDescent="0.35">
      <c r="A1974" s="1059"/>
      <c r="B1974" s="1062"/>
      <c r="C1974" s="1065"/>
      <c r="D1974" s="1065"/>
      <c r="E1974" s="1070"/>
      <c r="F1974" s="1072"/>
      <c r="G1974" s="452" t="s">
        <v>13</v>
      </c>
      <c r="H1974" s="453" t="s">
        <v>14</v>
      </c>
      <c r="I1974" s="453" t="s">
        <v>15</v>
      </c>
      <c r="J1974" s="454" t="s">
        <v>166</v>
      </c>
      <c r="K1974" s="680" t="s">
        <v>13</v>
      </c>
      <c r="L1974" s="678" t="s">
        <v>14</v>
      </c>
      <c r="M1974" s="679" t="s">
        <v>15</v>
      </c>
      <c r="N1974" s="1080"/>
      <c r="O1974" s="1082"/>
    </row>
    <row r="1975" spans="1:15" ht="23.4" x14ac:dyDescent="0.3">
      <c r="A1975" s="268" t="s">
        <v>103</v>
      </c>
      <c r="B1975" s="1043" t="s">
        <v>16</v>
      </c>
      <c r="C1975" s="269" t="s">
        <v>549</v>
      </c>
      <c r="D1975" s="269" t="s">
        <v>369</v>
      </c>
      <c r="E1975" s="270">
        <v>20000</v>
      </c>
      <c r="F1975" s="271"/>
      <c r="G1975" s="332">
        <f>+H1975+I1975</f>
        <v>0</v>
      </c>
      <c r="H1975" s="272">
        <v>0</v>
      </c>
      <c r="I1975" s="272">
        <v>0</v>
      </c>
      <c r="J1975" s="352" t="str">
        <f>IFERROR(G1975/F1975,"-")</f>
        <v>-</v>
      </c>
      <c r="K1975" s="694">
        <f>+L1975+M1975</f>
        <v>19671</v>
      </c>
      <c r="L1975" s="527">
        <f>+H1975+L1858</f>
        <v>18620</v>
      </c>
      <c r="M1975" s="459">
        <f>+I1975+M1858</f>
        <v>1051</v>
      </c>
      <c r="N1975" s="336">
        <f>IFERROR(K1975/E1975,"-")</f>
        <v>0.98355000000000004</v>
      </c>
      <c r="O1975" s="343">
        <f t="shared" ref="O1975:O1976" si="2487">IFERROR(M1975/K1975,"-")</f>
        <v>5.3428905495399318E-2</v>
      </c>
    </row>
    <row r="1976" spans="1:15" ht="23.4" x14ac:dyDescent="0.3">
      <c r="A1976" s="274" t="s">
        <v>103</v>
      </c>
      <c r="B1976" s="1044"/>
      <c r="C1976" s="275" t="s">
        <v>376</v>
      </c>
      <c r="D1976" s="275" t="s">
        <v>375</v>
      </c>
      <c r="E1976" s="276"/>
      <c r="F1976" s="277"/>
      <c r="G1976" s="333">
        <f t="shared" ref="G1976:G1978" si="2488">+H1976+I1976</f>
        <v>0</v>
      </c>
      <c r="H1976" s="278"/>
      <c r="I1976" s="278"/>
      <c r="J1976" s="352" t="str">
        <f t="shared" ref="J1976:J1978" si="2489">IFERROR(G1976/F1976,"-")</f>
        <v>-</v>
      </c>
      <c r="K1976" s="690">
        <f t="shared" ref="K1976:K1978" si="2490">+L1976+M1976</f>
        <v>0</v>
      </c>
      <c r="L1976" s="276">
        <f t="shared" ref="L1976:L1978" si="2491">+H1976+L1859</f>
        <v>0</v>
      </c>
      <c r="M1976" s="436">
        <f t="shared" ref="M1976:M1978" si="2492">+I1976+M1859</f>
        <v>0</v>
      </c>
      <c r="N1976" s="337" t="str">
        <f t="shared" ref="N1976:N1978" si="2493">IFERROR(K1976/E1976,"-")</f>
        <v>-</v>
      </c>
      <c r="O1976" s="265" t="str">
        <f t="shared" si="2487"/>
        <v>-</v>
      </c>
    </row>
    <row r="1977" spans="1:15" ht="23.4" x14ac:dyDescent="0.3">
      <c r="A1977" s="274" t="s">
        <v>103</v>
      </c>
      <c r="B1977" s="1044"/>
      <c r="C1977" s="573" t="s">
        <v>431</v>
      </c>
      <c r="D1977" s="573" t="s">
        <v>366</v>
      </c>
      <c r="E1977" s="720"/>
      <c r="F1977" s="721"/>
      <c r="G1977" s="333">
        <f t="shared" si="2488"/>
        <v>4630</v>
      </c>
      <c r="H1977" s="722">
        <v>4480</v>
      </c>
      <c r="I1977" s="722">
        <v>150</v>
      </c>
      <c r="J1977" s="352" t="str">
        <f t="shared" si="2489"/>
        <v>-</v>
      </c>
      <c r="K1977" s="690">
        <f t="shared" si="2490"/>
        <v>17836</v>
      </c>
      <c r="L1977" s="276">
        <f t="shared" si="2491"/>
        <v>17430</v>
      </c>
      <c r="M1977" s="436">
        <f t="shared" si="2492"/>
        <v>406</v>
      </c>
      <c r="N1977" s="337" t="str">
        <f t="shared" si="2493"/>
        <v>-</v>
      </c>
      <c r="O1977" s="265">
        <f>IFERROR(M1977/K1977,"-")</f>
        <v>2.2762951334379906E-2</v>
      </c>
    </row>
    <row r="1978" spans="1:15" ht="24" thickBot="1" x14ac:dyDescent="0.35">
      <c r="A1978" s="274" t="s">
        <v>103</v>
      </c>
      <c r="B1978" s="1045"/>
      <c r="C1978" s="279" t="s">
        <v>428</v>
      </c>
      <c r="D1978" s="279" t="s">
        <v>374</v>
      </c>
      <c r="E1978" s="280"/>
      <c r="F1978" s="281"/>
      <c r="G1978" s="334">
        <f t="shared" si="2488"/>
        <v>0</v>
      </c>
      <c r="H1978" s="272"/>
      <c r="I1978" s="272"/>
      <c r="J1978" s="352" t="str">
        <f t="shared" si="2489"/>
        <v>-</v>
      </c>
      <c r="K1978" s="691">
        <f t="shared" si="2490"/>
        <v>0</v>
      </c>
      <c r="L1978" s="530">
        <f t="shared" si="2491"/>
        <v>0</v>
      </c>
      <c r="M1978" s="462">
        <f t="shared" si="2492"/>
        <v>0</v>
      </c>
      <c r="N1978" s="338" t="str">
        <f t="shared" si="2493"/>
        <v>-</v>
      </c>
      <c r="O1978" s="344" t="str">
        <f t="shared" ref="O1978:O1996" si="2494">IFERROR(M1978/K1978,"-")</f>
        <v>-</v>
      </c>
    </row>
    <row r="1979" spans="1:15" ht="24" thickBot="1" x14ac:dyDescent="0.35">
      <c r="A1979" s="274" t="s">
        <v>103</v>
      </c>
      <c r="B1979" s="1025" t="s">
        <v>44</v>
      </c>
      <c r="C1979" s="1026"/>
      <c r="D1979" s="1027"/>
      <c r="E1979" s="320">
        <f>SUM(E1975:E1978)</f>
        <v>20000</v>
      </c>
      <c r="F1979" s="285">
        <v>15000</v>
      </c>
      <c r="G1979" s="320">
        <f>SUM(G1975:G1978)</f>
        <v>4630</v>
      </c>
      <c r="H1979" s="321">
        <f t="shared" ref="H1979:I1979" si="2495">SUM(H1975:H1978)</f>
        <v>4480</v>
      </c>
      <c r="I1979" s="321">
        <f t="shared" si="2495"/>
        <v>150</v>
      </c>
      <c r="J1979" s="345">
        <f>+G1979/F1979</f>
        <v>0.30866666666666664</v>
      </c>
      <c r="K1979" s="320">
        <f t="shared" ref="K1979" si="2496">SUM(K1975:K1978)</f>
        <v>37507</v>
      </c>
      <c r="L1979" s="692">
        <f>SUM(L1975:L1978)</f>
        <v>36050</v>
      </c>
      <c r="M1979" s="693">
        <f>SUM(M1975:M1978)</f>
        <v>1457</v>
      </c>
      <c r="N1979" s="339">
        <f>IFERROR(K1979/E1979,"-")</f>
        <v>1.8753500000000001</v>
      </c>
      <c r="O1979" s="345">
        <f t="shared" si="2494"/>
        <v>3.8846082064681257E-2</v>
      </c>
    </row>
    <row r="1980" spans="1:15" ht="23.4" x14ac:dyDescent="0.3">
      <c r="A1980" s="274" t="s">
        <v>103</v>
      </c>
      <c r="B1980" s="1043" t="s">
        <v>17</v>
      </c>
      <c r="C1980" s="269" t="s">
        <v>294</v>
      </c>
      <c r="D1980" s="269"/>
      <c r="E1980" s="270"/>
      <c r="F1980" s="271"/>
      <c r="G1980" s="332">
        <f t="shared" ref="G1980:G1986" si="2497">+H1980+I1980</f>
        <v>0</v>
      </c>
      <c r="H1980" s="272">
        <v>0</v>
      </c>
      <c r="I1980" s="272">
        <v>0</v>
      </c>
      <c r="J1980" s="351" t="str">
        <f>IFERROR(G1980/F1980,"-")</f>
        <v>-</v>
      </c>
      <c r="K1980" s="694">
        <f t="shared" ref="K1980:K1986" si="2498">+L1980+M1980</f>
        <v>0</v>
      </c>
      <c r="L1980" s="527">
        <f t="shared" ref="L1980:L1986" si="2499">+H1980+L1863</f>
        <v>0</v>
      </c>
      <c r="M1980" s="459">
        <f t="shared" ref="M1980:M1986" si="2500">+I1980+M1863</f>
        <v>0</v>
      </c>
      <c r="N1980" s="336" t="str">
        <f t="shared" ref="N1980:N1986" si="2501">IFERROR(K1980/E1980,"-")</f>
        <v>-</v>
      </c>
      <c r="O1980" s="346" t="str">
        <f t="shared" si="2494"/>
        <v>-</v>
      </c>
    </row>
    <row r="1981" spans="1:15" ht="23.4" x14ac:dyDescent="0.3">
      <c r="A1981" s="274" t="s">
        <v>103</v>
      </c>
      <c r="B1981" s="1044"/>
      <c r="C1981" s="275" t="s">
        <v>344</v>
      </c>
      <c r="D1981" s="275" t="s">
        <v>232</v>
      </c>
      <c r="E1981" s="276">
        <v>1600000</v>
      </c>
      <c r="F1981" s="277"/>
      <c r="G1981" s="333">
        <f t="shared" si="2497"/>
        <v>0</v>
      </c>
      <c r="H1981" s="278">
        <v>0</v>
      </c>
      <c r="I1981" s="278">
        <v>0</v>
      </c>
      <c r="J1981" s="351" t="str">
        <f t="shared" ref="J1981:J1986" si="2502">IFERROR(G1981/F1981,"-")</f>
        <v>-</v>
      </c>
      <c r="K1981" s="690">
        <f t="shared" si="2498"/>
        <v>6120</v>
      </c>
      <c r="L1981" s="276">
        <f t="shared" si="2499"/>
        <v>5980</v>
      </c>
      <c r="M1981" s="436">
        <f t="shared" si="2500"/>
        <v>140</v>
      </c>
      <c r="N1981" s="337">
        <f t="shared" si="2501"/>
        <v>3.8249999999999998E-3</v>
      </c>
      <c r="O1981" s="263">
        <f t="shared" si="2494"/>
        <v>2.2875816993464051E-2</v>
      </c>
    </row>
    <row r="1982" spans="1:15" ht="23.4" x14ac:dyDescent="0.3">
      <c r="A1982" s="274" t="s">
        <v>103</v>
      </c>
      <c r="B1982" s="1044"/>
      <c r="C1982" s="275" t="s">
        <v>367</v>
      </c>
      <c r="D1982" s="275" t="s">
        <v>187</v>
      </c>
      <c r="E1982" s="276">
        <v>1000000</v>
      </c>
      <c r="F1982" s="277"/>
      <c r="G1982" s="333">
        <f t="shared" si="2497"/>
        <v>36915</v>
      </c>
      <c r="H1982" s="278">
        <v>36720</v>
      </c>
      <c r="I1982" s="278">
        <v>195</v>
      </c>
      <c r="J1982" s="351" t="str">
        <f t="shared" si="2502"/>
        <v>-</v>
      </c>
      <c r="K1982" s="690">
        <f t="shared" si="2498"/>
        <v>1341865</v>
      </c>
      <c r="L1982" s="276">
        <f t="shared" si="2499"/>
        <v>1334160</v>
      </c>
      <c r="M1982" s="436">
        <f t="shared" si="2500"/>
        <v>7705</v>
      </c>
      <c r="N1982" s="337">
        <f t="shared" si="2501"/>
        <v>1.3418650000000001</v>
      </c>
      <c r="O1982" s="263">
        <f t="shared" si="2494"/>
        <v>5.742008324235299E-3</v>
      </c>
    </row>
    <row r="1983" spans="1:15" ht="23.4" x14ac:dyDescent="0.3">
      <c r="A1983" s="274" t="s">
        <v>103</v>
      </c>
      <c r="B1983" s="1044"/>
      <c r="C1983" s="275" t="s">
        <v>530</v>
      </c>
      <c r="D1983" s="275" t="s">
        <v>529</v>
      </c>
      <c r="E1983" s="276"/>
      <c r="F1983" s="277"/>
      <c r="G1983" s="333">
        <f t="shared" si="2497"/>
        <v>0</v>
      </c>
      <c r="H1983" s="278">
        <v>0</v>
      </c>
      <c r="I1983" s="278">
        <v>0</v>
      </c>
      <c r="J1983" s="351" t="str">
        <f t="shared" si="2502"/>
        <v>-</v>
      </c>
      <c r="K1983" s="690">
        <f t="shared" si="2498"/>
        <v>41558</v>
      </c>
      <c r="L1983" s="276">
        <f t="shared" si="2499"/>
        <v>41350</v>
      </c>
      <c r="M1983" s="436">
        <f t="shared" si="2500"/>
        <v>208</v>
      </c>
      <c r="N1983" s="337" t="str">
        <f t="shared" si="2501"/>
        <v>-</v>
      </c>
      <c r="O1983" s="263">
        <f t="shared" si="2494"/>
        <v>5.0050531786900235E-3</v>
      </c>
    </row>
    <row r="1984" spans="1:15" ht="23.4" x14ac:dyDescent="0.3">
      <c r="A1984" s="274" t="s">
        <v>103</v>
      </c>
      <c r="B1984" s="1044"/>
      <c r="C1984" s="275" t="s">
        <v>323</v>
      </c>
      <c r="D1984" s="275" t="s">
        <v>318</v>
      </c>
      <c r="E1984" s="276"/>
      <c r="F1984" s="277"/>
      <c r="G1984" s="333">
        <f t="shared" si="2497"/>
        <v>0</v>
      </c>
      <c r="H1984" s="278">
        <v>0</v>
      </c>
      <c r="I1984" s="278">
        <v>0</v>
      </c>
      <c r="J1984" s="351" t="str">
        <f t="shared" si="2502"/>
        <v>-</v>
      </c>
      <c r="K1984" s="690">
        <f t="shared" si="2498"/>
        <v>0</v>
      </c>
      <c r="L1984" s="276">
        <f t="shared" si="2499"/>
        <v>0</v>
      </c>
      <c r="M1984" s="436">
        <f t="shared" si="2500"/>
        <v>0</v>
      </c>
      <c r="N1984" s="337" t="str">
        <f t="shared" si="2501"/>
        <v>-</v>
      </c>
      <c r="O1984" s="263" t="str">
        <f t="shared" si="2494"/>
        <v>-</v>
      </c>
    </row>
    <row r="1985" spans="1:15" ht="23.4" x14ac:dyDescent="0.3">
      <c r="A1985" s="274" t="s">
        <v>103</v>
      </c>
      <c r="B1985" s="1044"/>
      <c r="C1985" s="275" t="s">
        <v>528</v>
      </c>
      <c r="D1985" s="275" t="s">
        <v>189</v>
      </c>
      <c r="E1985" s="276"/>
      <c r="F1985" s="277"/>
      <c r="G1985" s="333">
        <f t="shared" si="2497"/>
        <v>0</v>
      </c>
      <c r="H1985" s="278">
        <v>0</v>
      </c>
      <c r="I1985" s="278">
        <v>0</v>
      </c>
      <c r="J1985" s="351" t="str">
        <f t="shared" si="2502"/>
        <v>-</v>
      </c>
      <c r="K1985" s="690">
        <f t="shared" si="2498"/>
        <v>33900</v>
      </c>
      <c r="L1985" s="276">
        <f t="shared" si="2499"/>
        <v>33760</v>
      </c>
      <c r="M1985" s="436">
        <f t="shared" si="2500"/>
        <v>140</v>
      </c>
      <c r="N1985" s="337" t="str">
        <f t="shared" si="2501"/>
        <v>-</v>
      </c>
      <c r="O1985" s="263">
        <f t="shared" si="2494"/>
        <v>4.1297935103244837E-3</v>
      </c>
    </row>
    <row r="1986" spans="1:15" ht="24" thickBot="1" x14ac:dyDescent="0.35">
      <c r="A1986" s="274" t="s">
        <v>103</v>
      </c>
      <c r="B1986" s="1045"/>
      <c r="C1986" s="279" t="s">
        <v>341</v>
      </c>
      <c r="D1986" s="279" t="s">
        <v>232</v>
      </c>
      <c r="E1986" s="280"/>
      <c r="F1986" s="281"/>
      <c r="G1986" s="334">
        <f t="shared" si="2497"/>
        <v>0</v>
      </c>
      <c r="H1986" s="278">
        <v>0</v>
      </c>
      <c r="I1986" s="278">
        <v>0</v>
      </c>
      <c r="J1986" s="351" t="str">
        <f t="shared" si="2502"/>
        <v>-</v>
      </c>
      <c r="K1986" s="691">
        <f t="shared" si="2498"/>
        <v>0</v>
      </c>
      <c r="L1986" s="530">
        <f t="shared" si="2499"/>
        <v>0</v>
      </c>
      <c r="M1986" s="462">
        <f t="shared" si="2500"/>
        <v>0</v>
      </c>
      <c r="N1986" s="338" t="str">
        <f t="shared" si="2501"/>
        <v>-</v>
      </c>
      <c r="O1986" s="347" t="str">
        <f t="shared" si="2494"/>
        <v>-</v>
      </c>
    </row>
    <row r="1987" spans="1:15" ht="24" thickBot="1" x14ac:dyDescent="0.35">
      <c r="A1987" s="274" t="s">
        <v>103</v>
      </c>
      <c r="B1987" s="1025" t="s">
        <v>45</v>
      </c>
      <c r="C1987" s="1026"/>
      <c r="D1987" s="1027"/>
      <c r="E1987" s="320">
        <f>SUM(E1980:E1986)</f>
        <v>2600000</v>
      </c>
      <c r="F1987" s="285">
        <v>100000</v>
      </c>
      <c r="G1987" s="320">
        <f>SUM(G1980:G1986)</f>
        <v>36915</v>
      </c>
      <c r="H1987" s="321">
        <f t="shared" ref="H1987:I1987" si="2503">SUM(H1980:H1986)</f>
        <v>36720</v>
      </c>
      <c r="I1987" s="321">
        <f t="shared" si="2503"/>
        <v>195</v>
      </c>
      <c r="J1987" s="345">
        <f>+G1987/F1987</f>
        <v>0.36914999999999998</v>
      </c>
      <c r="K1987" s="320">
        <f>SUM(K1980:K1986)</f>
        <v>1423443</v>
      </c>
      <c r="L1987" s="519">
        <f>SUM(L1980:L1986)</f>
        <v>1415250</v>
      </c>
      <c r="M1987" s="689">
        <f t="shared" ref="M1987" si="2504">SUM(M1980:M1986)</f>
        <v>8193</v>
      </c>
      <c r="N1987" s="339">
        <f>IFERROR(K1987/E1987,"-")</f>
        <v>0.54747807692307693</v>
      </c>
      <c r="O1987" s="345">
        <f t="shared" si="2494"/>
        <v>5.7557626122015423E-3</v>
      </c>
    </row>
    <row r="1988" spans="1:15" ht="23.4" x14ac:dyDescent="0.3">
      <c r="A1988" s="274" t="s">
        <v>103</v>
      </c>
      <c r="B1988" s="1043" t="s">
        <v>18</v>
      </c>
      <c r="C1988" s="269" t="s">
        <v>312</v>
      </c>
      <c r="D1988" s="269" t="s">
        <v>92</v>
      </c>
      <c r="E1988" s="270"/>
      <c r="F1988" s="271"/>
      <c r="G1988" s="332">
        <f t="shared" ref="G1988:G1994" si="2505">+H1988+I1988</f>
        <v>0</v>
      </c>
      <c r="H1988" s="272">
        <v>0</v>
      </c>
      <c r="I1988" s="272">
        <v>0</v>
      </c>
      <c r="J1988" s="351" t="str">
        <f>IFERROR(G1988/F1988,"-")</f>
        <v>-</v>
      </c>
      <c r="K1988" s="332">
        <f t="shared" ref="K1988:K1994" si="2506">+L1988+M1988</f>
        <v>0</v>
      </c>
      <c r="L1988" s="272">
        <f t="shared" ref="L1988:L1994" si="2507">+H1988+L1871</f>
        <v>0</v>
      </c>
      <c r="M1988" s="273">
        <f t="shared" ref="M1988:M1994" si="2508">+I1988+M1871</f>
        <v>0</v>
      </c>
      <c r="N1988" s="336" t="str">
        <f t="shared" ref="N1988:N1995" si="2509">IFERROR(K1988/E1988,"-")</f>
        <v>-</v>
      </c>
      <c r="O1988" s="346" t="str">
        <f t="shared" si="2494"/>
        <v>-</v>
      </c>
    </row>
    <row r="1989" spans="1:15" ht="23.4" x14ac:dyDescent="0.3">
      <c r="A1989" s="274" t="s">
        <v>103</v>
      </c>
      <c r="B1989" s="1044"/>
      <c r="C1989" s="275" t="s">
        <v>233</v>
      </c>
      <c r="D1989" s="275" t="s">
        <v>234</v>
      </c>
      <c r="E1989" s="276"/>
      <c r="F1989" s="277"/>
      <c r="G1989" s="333">
        <f t="shared" si="2505"/>
        <v>0</v>
      </c>
      <c r="H1989" s="278">
        <v>0</v>
      </c>
      <c r="I1989" s="278">
        <v>0</v>
      </c>
      <c r="J1989" s="351" t="str">
        <f t="shared" ref="J1989:J1994" si="2510">IFERROR(G1989/F1989,"-")</f>
        <v>-</v>
      </c>
      <c r="K1989" s="333">
        <f t="shared" si="2506"/>
        <v>0</v>
      </c>
      <c r="L1989" s="272">
        <f t="shared" si="2507"/>
        <v>0</v>
      </c>
      <c r="M1989" s="273">
        <f t="shared" si="2508"/>
        <v>0</v>
      </c>
      <c r="N1989" s="337" t="str">
        <f t="shared" si="2509"/>
        <v>-</v>
      </c>
      <c r="O1989" s="263" t="str">
        <f t="shared" si="2494"/>
        <v>-</v>
      </c>
    </row>
    <row r="1990" spans="1:15" ht="23.4" x14ac:dyDescent="0.3">
      <c r="A1990" s="274" t="s">
        <v>103</v>
      </c>
      <c r="B1990" s="1044"/>
      <c r="C1990" s="275" t="s">
        <v>115</v>
      </c>
      <c r="D1990" s="275"/>
      <c r="E1990" s="276"/>
      <c r="F1990" s="277"/>
      <c r="G1990" s="333">
        <f t="shared" si="2505"/>
        <v>0</v>
      </c>
      <c r="H1990" s="278">
        <v>0</v>
      </c>
      <c r="I1990" s="278">
        <v>0</v>
      </c>
      <c r="J1990" s="351" t="str">
        <f t="shared" si="2510"/>
        <v>-</v>
      </c>
      <c r="K1990" s="333">
        <f t="shared" si="2506"/>
        <v>0</v>
      </c>
      <c r="L1990" s="272">
        <f t="shared" si="2507"/>
        <v>0</v>
      </c>
      <c r="M1990" s="273">
        <f t="shared" si="2508"/>
        <v>0</v>
      </c>
      <c r="N1990" s="337" t="str">
        <f t="shared" si="2509"/>
        <v>-</v>
      </c>
      <c r="O1990" s="263" t="str">
        <f t="shared" si="2494"/>
        <v>-</v>
      </c>
    </row>
    <row r="1991" spans="1:15" ht="23.4" x14ac:dyDescent="0.3">
      <c r="A1991" s="274" t="s">
        <v>103</v>
      </c>
      <c r="B1991" s="1044"/>
      <c r="C1991" s="275" t="s">
        <v>122</v>
      </c>
      <c r="D1991" s="275"/>
      <c r="E1991" s="276"/>
      <c r="F1991" s="277"/>
      <c r="G1991" s="333">
        <f t="shared" si="2505"/>
        <v>0</v>
      </c>
      <c r="H1991" s="278">
        <v>0</v>
      </c>
      <c r="I1991" s="278">
        <v>0</v>
      </c>
      <c r="J1991" s="351" t="str">
        <f t="shared" si="2510"/>
        <v>-</v>
      </c>
      <c r="K1991" s="333">
        <f t="shared" si="2506"/>
        <v>0</v>
      </c>
      <c r="L1991" s="272">
        <f t="shared" si="2507"/>
        <v>0</v>
      </c>
      <c r="M1991" s="273">
        <f t="shared" si="2508"/>
        <v>0</v>
      </c>
      <c r="N1991" s="337" t="str">
        <f t="shared" si="2509"/>
        <v>-</v>
      </c>
      <c r="O1991" s="263" t="str">
        <f t="shared" si="2494"/>
        <v>-</v>
      </c>
    </row>
    <row r="1992" spans="1:15" ht="23.4" x14ac:dyDescent="0.3">
      <c r="A1992" s="274" t="s">
        <v>103</v>
      </c>
      <c r="B1992" s="1044"/>
      <c r="C1992" s="275" t="s">
        <v>176</v>
      </c>
      <c r="D1992" s="275" t="s">
        <v>177</v>
      </c>
      <c r="E1992" s="276"/>
      <c r="F1992" s="277"/>
      <c r="G1992" s="333">
        <f t="shared" si="2505"/>
        <v>0</v>
      </c>
      <c r="H1992" s="278">
        <v>0</v>
      </c>
      <c r="I1992" s="278">
        <v>0</v>
      </c>
      <c r="J1992" s="351" t="str">
        <f t="shared" si="2510"/>
        <v>-</v>
      </c>
      <c r="K1992" s="333">
        <f t="shared" si="2506"/>
        <v>0</v>
      </c>
      <c r="L1992" s="272">
        <f t="shared" si="2507"/>
        <v>0</v>
      </c>
      <c r="M1992" s="273">
        <f t="shared" si="2508"/>
        <v>0</v>
      </c>
      <c r="N1992" s="337" t="str">
        <f t="shared" si="2509"/>
        <v>-</v>
      </c>
      <c r="O1992" s="263" t="str">
        <f t="shared" si="2494"/>
        <v>-</v>
      </c>
    </row>
    <row r="1993" spans="1:15" ht="23.4" x14ac:dyDescent="0.3">
      <c r="A1993" s="274" t="s">
        <v>103</v>
      </c>
      <c r="B1993" s="1044"/>
      <c r="C1993" s="275" t="s">
        <v>179</v>
      </c>
      <c r="D1993" s="275" t="s">
        <v>178</v>
      </c>
      <c r="E1993" s="276"/>
      <c r="F1993" s="277"/>
      <c r="G1993" s="333">
        <f t="shared" si="2505"/>
        <v>0</v>
      </c>
      <c r="H1993" s="278">
        <v>0</v>
      </c>
      <c r="I1993" s="278">
        <v>0</v>
      </c>
      <c r="J1993" s="351" t="str">
        <f t="shared" si="2510"/>
        <v>-</v>
      </c>
      <c r="K1993" s="333">
        <f t="shared" si="2506"/>
        <v>0</v>
      </c>
      <c r="L1993" s="272">
        <f t="shared" si="2507"/>
        <v>0</v>
      </c>
      <c r="M1993" s="273">
        <f t="shared" si="2508"/>
        <v>0</v>
      </c>
      <c r="N1993" s="337" t="str">
        <f t="shared" si="2509"/>
        <v>-</v>
      </c>
      <c r="O1993" s="263" t="str">
        <f t="shared" si="2494"/>
        <v>-</v>
      </c>
    </row>
    <row r="1994" spans="1:15" ht="24" thickBot="1" x14ac:dyDescent="0.35">
      <c r="A1994" s="274" t="s">
        <v>103</v>
      </c>
      <c r="B1994" s="1045"/>
      <c r="C1994" s="286" t="s">
        <v>180</v>
      </c>
      <c r="D1994" s="286" t="s">
        <v>107</v>
      </c>
      <c r="E1994" s="280"/>
      <c r="F1994" s="281"/>
      <c r="G1994" s="334">
        <f t="shared" si="2505"/>
        <v>0</v>
      </c>
      <c r="H1994" s="282">
        <v>0</v>
      </c>
      <c r="I1994" s="282">
        <v>0</v>
      </c>
      <c r="J1994" s="351" t="str">
        <f t="shared" si="2510"/>
        <v>-</v>
      </c>
      <c r="K1994" s="334">
        <f t="shared" si="2506"/>
        <v>0</v>
      </c>
      <c r="L1994" s="272">
        <f t="shared" si="2507"/>
        <v>0</v>
      </c>
      <c r="M1994" s="273">
        <f t="shared" si="2508"/>
        <v>0</v>
      </c>
      <c r="N1994" s="338" t="str">
        <f t="shared" si="2509"/>
        <v>-</v>
      </c>
      <c r="O1994" s="347" t="str">
        <f t="shared" si="2494"/>
        <v>-</v>
      </c>
    </row>
    <row r="1995" spans="1:15" ht="24" thickBot="1" x14ac:dyDescent="0.35">
      <c r="A1995" s="274" t="s">
        <v>103</v>
      </c>
      <c r="B1995" s="1025" t="s">
        <v>29</v>
      </c>
      <c r="C1995" s="1083"/>
      <c r="D1995" s="1084"/>
      <c r="E1995" s="366">
        <f t="shared" ref="E1995" si="2511">SUM(E1988:E1994)</f>
        <v>0</v>
      </c>
      <c r="F1995" s="307">
        <v>80000</v>
      </c>
      <c r="G1995" s="366">
        <f>SUM(G1988:G1994)</f>
        <v>0</v>
      </c>
      <c r="H1995" s="365">
        <f t="shared" ref="H1995:I1995" si="2512">SUM(H1988:H1994)</f>
        <v>0</v>
      </c>
      <c r="I1995" s="365">
        <f t="shared" si="2512"/>
        <v>0</v>
      </c>
      <c r="J1995" s="356">
        <f>+G1995/F1995</f>
        <v>0</v>
      </c>
      <c r="K1995" s="366">
        <f t="shared" ref="K1995" si="2513">SUM(K1988:K1994)</f>
        <v>0</v>
      </c>
      <c r="L1995" s="365">
        <f>SUM(L1988:L1994)</f>
        <v>0</v>
      </c>
      <c r="M1995" s="367">
        <f t="shared" ref="M1995" si="2514">SUM(M1988:M1994)</f>
        <v>0</v>
      </c>
      <c r="N1995" s="355" t="str">
        <f t="shared" si="2509"/>
        <v>-</v>
      </c>
      <c r="O1995" s="356" t="str">
        <f t="shared" si="2494"/>
        <v>-</v>
      </c>
    </row>
    <row r="1996" spans="1:15" ht="23.4" x14ac:dyDescent="0.3">
      <c r="A1996" s="252" t="s">
        <v>103</v>
      </c>
      <c r="B1996" s="1037" t="s">
        <v>19</v>
      </c>
      <c r="C1996" s="669" t="s">
        <v>235</v>
      </c>
      <c r="D1996" s="883" t="s">
        <v>177</v>
      </c>
      <c r="E1996" s="912"/>
      <c r="F1996" s="838">
        <v>110000</v>
      </c>
      <c r="G1996" s="457">
        <f t="shared" ref="G1996:G2002" si="2515">+H1996+I1996</f>
        <v>34042</v>
      </c>
      <c r="H1996" s="458">
        <v>33792</v>
      </c>
      <c r="I1996" s="458">
        <v>250</v>
      </c>
      <c r="J1996" s="531">
        <f>IFERROR(G1996/F1996,"-")</f>
        <v>0.30947272727272729</v>
      </c>
      <c r="K1996" s="869">
        <f>+L1996+M1996</f>
        <v>550960</v>
      </c>
      <c r="L1996" s="527">
        <f t="shared" ref="L1996:L2002" si="2516">+H1996+L1879</f>
        <v>549120</v>
      </c>
      <c r="M1996" s="838">
        <f t="shared" ref="M1996:M2002" si="2517">+I1996+M1879</f>
        <v>1840</v>
      </c>
      <c r="N1996" s="646" t="str">
        <f>IFERROR(K1996/E1996,"-")</f>
        <v>-</v>
      </c>
      <c r="O1996" s="647">
        <f t="shared" si="2494"/>
        <v>3.3396253811528967E-3</v>
      </c>
    </row>
    <row r="1997" spans="1:15" ht="23.4" x14ac:dyDescent="0.3">
      <c r="A1997" s="252"/>
      <c r="B1997" s="1038"/>
      <c r="C1997" s="840" t="s">
        <v>377</v>
      </c>
      <c r="D1997" s="876" t="s">
        <v>423</v>
      </c>
      <c r="E1997" s="511">
        <v>1000000</v>
      </c>
      <c r="F1997" s="277"/>
      <c r="G1997" s="333">
        <f t="shared" si="2515"/>
        <v>8448</v>
      </c>
      <c r="H1997" s="278">
        <v>8448</v>
      </c>
      <c r="I1997" s="278">
        <v>0</v>
      </c>
      <c r="J1997" s="352" t="str">
        <f t="shared" ref="J1997:J2002" si="2518">IFERROR(G1997/F1997,"-")</f>
        <v>-</v>
      </c>
      <c r="K1997" s="870">
        <f>+L1997+M1997</f>
        <v>584636</v>
      </c>
      <c r="L1997" s="276">
        <f t="shared" si="2516"/>
        <v>582912</v>
      </c>
      <c r="M1997" s="277">
        <f t="shared" si="2517"/>
        <v>1724</v>
      </c>
      <c r="N1997" s="836">
        <f t="shared" ref="N1997:N2002" si="2519">IFERROR(K1997/E1997,"-")</f>
        <v>0.58463600000000004</v>
      </c>
      <c r="O1997" s="263">
        <f>IFERROR(M1997/K1997,"-")</f>
        <v>2.9488433828912348E-3</v>
      </c>
    </row>
    <row r="1998" spans="1:15" ht="23.4" x14ac:dyDescent="0.3">
      <c r="A1998" s="252"/>
      <c r="B1998" s="1038"/>
      <c r="C1998" s="840" t="s">
        <v>235</v>
      </c>
      <c r="D1998" s="876" t="s">
        <v>522</v>
      </c>
      <c r="E1998" s="511"/>
      <c r="F1998" s="277"/>
      <c r="G1998" s="333">
        <f t="shared" si="2515"/>
        <v>0</v>
      </c>
      <c r="H1998" s="278">
        <v>0</v>
      </c>
      <c r="I1998" s="278">
        <v>0</v>
      </c>
      <c r="J1998" s="352" t="str">
        <f t="shared" si="2518"/>
        <v>-</v>
      </c>
      <c r="K1998" s="870">
        <f t="shared" ref="K1998:K2001" si="2520">+L1998+M1998</f>
        <v>214277</v>
      </c>
      <c r="L1998" s="276">
        <f t="shared" si="2516"/>
        <v>213712</v>
      </c>
      <c r="M1998" s="277">
        <f t="shared" si="2517"/>
        <v>565</v>
      </c>
      <c r="N1998" s="836" t="str">
        <f t="shared" si="2519"/>
        <v>-</v>
      </c>
      <c r="O1998" s="263">
        <f t="shared" ref="O1998:O2059" si="2521">IFERROR(M1998/K1998,"-")</f>
        <v>2.6367738954717491E-3</v>
      </c>
    </row>
    <row r="1999" spans="1:15" ht="23.4" x14ac:dyDescent="0.3">
      <c r="A1999" s="252"/>
      <c r="B1999" s="1038"/>
      <c r="C1999" s="840" t="s">
        <v>377</v>
      </c>
      <c r="D1999" s="876" t="s">
        <v>522</v>
      </c>
      <c r="E1999" s="511"/>
      <c r="F1999" s="277"/>
      <c r="G1999" s="333">
        <f t="shared" si="2515"/>
        <v>0</v>
      </c>
      <c r="H1999" s="278">
        <v>0</v>
      </c>
      <c r="I1999" s="278">
        <v>0</v>
      </c>
      <c r="J1999" s="352" t="str">
        <f t="shared" si="2518"/>
        <v>-</v>
      </c>
      <c r="K1999" s="870">
        <f t="shared" si="2520"/>
        <v>288207</v>
      </c>
      <c r="L1999" s="276">
        <f t="shared" si="2516"/>
        <v>287232</v>
      </c>
      <c r="M1999" s="277">
        <f t="shared" si="2517"/>
        <v>975</v>
      </c>
      <c r="N1999" s="836" t="str">
        <f t="shared" si="2519"/>
        <v>-</v>
      </c>
      <c r="O1999" s="263">
        <f t="shared" si="2521"/>
        <v>3.3829851460929123E-3</v>
      </c>
    </row>
    <row r="2000" spans="1:15" ht="23.4" x14ac:dyDescent="0.3">
      <c r="A2000" s="252"/>
      <c r="B2000" s="1038"/>
      <c r="C2000" s="840" t="s">
        <v>551</v>
      </c>
      <c r="D2000" s="876" t="s">
        <v>522</v>
      </c>
      <c r="E2000" s="511"/>
      <c r="F2000" s="277"/>
      <c r="G2000" s="333">
        <f t="shared" si="2515"/>
        <v>0</v>
      </c>
      <c r="H2000" s="278">
        <v>0</v>
      </c>
      <c r="I2000" s="278">
        <v>0</v>
      </c>
      <c r="J2000" s="352" t="str">
        <f t="shared" si="2518"/>
        <v>-</v>
      </c>
      <c r="K2000" s="870">
        <f t="shared" si="2520"/>
        <v>151526</v>
      </c>
      <c r="L2000" s="276">
        <f t="shared" si="2516"/>
        <v>149952</v>
      </c>
      <c r="M2000" s="277">
        <f t="shared" si="2517"/>
        <v>1574</v>
      </c>
      <c r="N2000" s="836" t="str">
        <f t="shared" si="2519"/>
        <v>-</v>
      </c>
      <c r="O2000" s="263">
        <f t="shared" si="2521"/>
        <v>1.0387656243812942E-2</v>
      </c>
    </row>
    <row r="2001" spans="1:15" ht="23.4" x14ac:dyDescent="0.3">
      <c r="A2001" s="252"/>
      <c r="B2001" s="1038"/>
      <c r="C2001" s="840"/>
      <c r="D2001" s="876"/>
      <c r="E2001" s="511"/>
      <c r="F2001" s="277"/>
      <c r="G2001" s="333">
        <f t="shared" si="2515"/>
        <v>0</v>
      </c>
      <c r="H2001" s="278">
        <v>0</v>
      </c>
      <c r="I2001" s="278">
        <v>0</v>
      </c>
      <c r="J2001" s="352" t="str">
        <f t="shared" si="2518"/>
        <v>-</v>
      </c>
      <c r="K2001" s="870">
        <f t="shared" si="2520"/>
        <v>0</v>
      </c>
      <c r="L2001" s="276">
        <f t="shared" si="2516"/>
        <v>0</v>
      </c>
      <c r="M2001" s="277">
        <f t="shared" si="2517"/>
        <v>0</v>
      </c>
      <c r="N2001" s="836" t="str">
        <f t="shared" si="2519"/>
        <v>-</v>
      </c>
      <c r="O2001" s="263" t="str">
        <f t="shared" si="2521"/>
        <v>-</v>
      </c>
    </row>
    <row r="2002" spans="1:15" ht="24" thickBot="1" x14ac:dyDescent="0.35">
      <c r="A2002" s="252"/>
      <c r="B2002" s="1039"/>
      <c r="C2002" s="670" t="s">
        <v>342</v>
      </c>
      <c r="D2002" s="884"/>
      <c r="E2002" s="913">
        <v>150000</v>
      </c>
      <c r="F2002" s="839"/>
      <c r="G2002" s="460">
        <f t="shared" si="2515"/>
        <v>0</v>
      </c>
      <c r="H2002" s="461">
        <v>0</v>
      </c>
      <c r="I2002" s="461">
        <v>0</v>
      </c>
      <c r="J2002" s="532" t="str">
        <f t="shared" si="2518"/>
        <v>-</v>
      </c>
      <c r="K2002" s="871">
        <f>+L2002+M2002</f>
        <v>0</v>
      </c>
      <c r="L2002" s="530">
        <f t="shared" si="2516"/>
        <v>0</v>
      </c>
      <c r="M2002" s="839">
        <f t="shared" si="2517"/>
        <v>0</v>
      </c>
      <c r="N2002" s="837">
        <f t="shared" si="2519"/>
        <v>0</v>
      </c>
      <c r="O2002" s="264" t="str">
        <f t="shared" si="2521"/>
        <v>-</v>
      </c>
    </row>
    <row r="2003" spans="1:15" ht="24" thickBot="1" x14ac:dyDescent="0.35">
      <c r="A2003" s="274" t="s">
        <v>103</v>
      </c>
      <c r="B2003" s="1040" t="s">
        <v>46</v>
      </c>
      <c r="C2003" s="1041"/>
      <c r="D2003" s="1042"/>
      <c r="E2003" s="513">
        <f>SUM(E1996:E2002)</f>
        <v>1150000</v>
      </c>
      <c r="F2003" s="859">
        <f t="shared" ref="F2003" si="2522">SUM(F1996)</f>
        <v>110000</v>
      </c>
      <c r="G2003" s="513">
        <f>SUM(G1996:G2002)</f>
        <v>42490</v>
      </c>
      <c r="H2003" s="519">
        <f>SUM(H1996:H2002)</f>
        <v>42240</v>
      </c>
      <c r="I2003" s="519">
        <f>SUM(I1996:I2002)</f>
        <v>250</v>
      </c>
      <c r="J2003" s="520">
        <f>+G2003/F2003</f>
        <v>0.38627272727272727</v>
      </c>
      <c r="K2003" s="835">
        <f>SUM(K1996:K2002)</f>
        <v>1789606</v>
      </c>
      <c r="L2003" s="519">
        <f>SUM(L1996:L2002)</f>
        <v>1782928</v>
      </c>
      <c r="M2003" s="689">
        <f>SUM(M1996:M2002)</f>
        <v>6678</v>
      </c>
      <c r="N2003" s="521">
        <f>IFERROR(K2003/E2003,"-")</f>
        <v>1.5561791304347825</v>
      </c>
      <c r="O2003" s="520">
        <f t="shared" si="2521"/>
        <v>3.7315476143911005E-3</v>
      </c>
    </row>
    <row r="2004" spans="1:15" ht="23.4" x14ac:dyDescent="0.3">
      <c r="A2004" s="274" t="s">
        <v>103</v>
      </c>
      <c r="B2004" s="1043" t="s">
        <v>20</v>
      </c>
      <c r="C2004" s="291" t="s">
        <v>583</v>
      </c>
      <c r="D2004" s="995" t="s">
        <v>289</v>
      </c>
      <c r="E2004" s="270"/>
      <c r="F2004" s="271"/>
      <c r="G2004" s="332">
        <f t="shared" ref="G2004:G2006" si="2523">+H2004+I2004</f>
        <v>15137</v>
      </c>
      <c r="H2004" s="272">
        <v>14979</v>
      </c>
      <c r="I2004" s="272">
        <v>158</v>
      </c>
      <c r="J2004" s="351" t="str">
        <f>IFERROR(G2004/F2004,"-")</f>
        <v>-</v>
      </c>
      <c r="K2004" s="332">
        <f t="shared" ref="K2004:K2006" si="2524">+L2004+M2004</f>
        <v>15137</v>
      </c>
      <c r="L2004" s="272">
        <f t="shared" ref="L2004:L2006" si="2525">+H2004+L1887</f>
        <v>14979</v>
      </c>
      <c r="M2004" s="273">
        <f t="shared" ref="M2004:M2006" si="2526">+I2004+M1887</f>
        <v>158</v>
      </c>
      <c r="N2004" s="336" t="str">
        <f t="shared" ref="N2004:N2007" si="2527">IFERROR(K2004/E2004,"-")</f>
        <v>-</v>
      </c>
      <c r="O2004" s="346">
        <f t="shared" si="2521"/>
        <v>1.0437999603620268E-2</v>
      </c>
    </row>
    <row r="2005" spans="1:15" ht="23.4" x14ac:dyDescent="0.3">
      <c r="A2005" s="274" t="s">
        <v>103</v>
      </c>
      <c r="B2005" s="1044"/>
      <c r="C2005" s="292" t="s">
        <v>114</v>
      </c>
      <c r="D2005" s="292"/>
      <c r="E2005" s="276"/>
      <c r="F2005" s="277"/>
      <c r="G2005" s="333">
        <f t="shared" si="2523"/>
        <v>0</v>
      </c>
      <c r="H2005" s="278">
        <v>0</v>
      </c>
      <c r="I2005" s="278">
        <v>0</v>
      </c>
      <c r="J2005" s="351" t="str">
        <f t="shared" ref="J2005:J2006" si="2528">IFERROR(G2005/F2005,"-")</f>
        <v>-</v>
      </c>
      <c r="K2005" s="333">
        <f t="shared" si="2524"/>
        <v>0</v>
      </c>
      <c r="L2005" s="272">
        <f t="shared" si="2525"/>
        <v>0</v>
      </c>
      <c r="M2005" s="273">
        <f t="shared" si="2526"/>
        <v>0</v>
      </c>
      <c r="N2005" s="337" t="str">
        <f t="shared" si="2527"/>
        <v>-</v>
      </c>
      <c r="O2005" s="263" t="str">
        <f t="shared" si="2521"/>
        <v>-</v>
      </c>
    </row>
    <row r="2006" spans="1:15" ht="24" thickBot="1" x14ac:dyDescent="0.35">
      <c r="A2006" s="274" t="s">
        <v>103</v>
      </c>
      <c r="B2006" s="1045"/>
      <c r="C2006" s="293" t="s">
        <v>120</v>
      </c>
      <c r="D2006" s="293"/>
      <c r="E2006" s="280"/>
      <c r="F2006" s="281"/>
      <c r="G2006" s="334">
        <f t="shared" si="2523"/>
        <v>0</v>
      </c>
      <c r="H2006" s="282">
        <v>0</v>
      </c>
      <c r="I2006" s="282">
        <v>0</v>
      </c>
      <c r="J2006" s="351" t="str">
        <f t="shared" si="2528"/>
        <v>-</v>
      </c>
      <c r="K2006" s="334">
        <f t="shared" si="2524"/>
        <v>0</v>
      </c>
      <c r="L2006" s="272">
        <f t="shared" si="2525"/>
        <v>0</v>
      </c>
      <c r="M2006" s="273">
        <f t="shared" si="2526"/>
        <v>0</v>
      </c>
      <c r="N2006" s="338" t="str">
        <f t="shared" si="2527"/>
        <v>-</v>
      </c>
      <c r="O2006" s="347" t="str">
        <f t="shared" si="2521"/>
        <v>-</v>
      </c>
    </row>
    <row r="2007" spans="1:15" ht="24" thickBot="1" x14ac:dyDescent="0.35">
      <c r="A2007" s="274" t="s">
        <v>103</v>
      </c>
      <c r="B2007" s="1026" t="s">
        <v>47</v>
      </c>
      <c r="C2007" s="1026"/>
      <c r="D2007" s="1046"/>
      <c r="E2007" s="320">
        <f t="shared" ref="E2007" si="2529">SUM(E2004:E2006)</f>
        <v>0</v>
      </c>
      <c r="F2007" s="285">
        <v>50000</v>
      </c>
      <c r="G2007" s="320">
        <f>SUM(G2004:G2006)</f>
        <v>15137</v>
      </c>
      <c r="H2007" s="321">
        <f t="shared" ref="H2007:I2007" si="2530">SUM(H2004:H2006)</f>
        <v>14979</v>
      </c>
      <c r="I2007" s="321">
        <f t="shared" si="2530"/>
        <v>158</v>
      </c>
      <c r="J2007" s="345">
        <f>+G2007/F2007</f>
        <v>0.30274000000000001</v>
      </c>
      <c r="K2007" s="320">
        <f t="shared" ref="K2007:M2007" si="2531">SUM(K2004:K2006)</f>
        <v>15137</v>
      </c>
      <c r="L2007" s="321">
        <f t="shared" si="2531"/>
        <v>14979</v>
      </c>
      <c r="M2007" s="322">
        <f t="shared" si="2531"/>
        <v>158</v>
      </c>
      <c r="N2007" s="339" t="str">
        <f t="shared" si="2527"/>
        <v>-</v>
      </c>
      <c r="O2007" s="345">
        <f t="shared" si="2521"/>
        <v>1.0437999603620268E-2</v>
      </c>
    </row>
    <row r="2008" spans="1:15" ht="24" thickBot="1" x14ac:dyDescent="0.35">
      <c r="A2008" s="274" t="s">
        <v>103</v>
      </c>
      <c r="B2008" s="1047" t="s">
        <v>21</v>
      </c>
      <c r="C2008" s="1048"/>
      <c r="D2008" s="1049"/>
      <c r="E2008" s="326">
        <f>+E1979+E1987+E1995+E2003+E2007</f>
        <v>3770000</v>
      </c>
      <c r="F2008" s="327">
        <f>+F1979+F1987+F1995+F2003+F2007</f>
        <v>355000</v>
      </c>
      <c r="G2008" s="326">
        <f>+G1979+G1987+G1995+G2003+G2007</f>
        <v>99172</v>
      </c>
      <c r="H2008" s="324">
        <f>+H1979+H1987+H1995+H2003+H2007</f>
        <v>98419</v>
      </c>
      <c r="I2008" s="324">
        <f>+I1979+I1987+I1995+I2003+I2007</f>
        <v>753</v>
      </c>
      <c r="J2008" s="349">
        <f>+G2008/F2008</f>
        <v>0.27935774647887324</v>
      </c>
      <c r="K2008" s="326">
        <f>+K1979+K1987+K1995+K2003+K2007</f>
        <v>3265693</v>
      </c>
      <c r="L2008" s="324">
        <f>+L1979+L1987+L1995+L2003+L2007</f>
        <v>3249207</v>
      </c>
      <c r="M2008" s="325">
        <f>+M1979+M1987+M1995+M2003+M2007</f>
        <v>16486</v>
      </c>
      <c r="N2008" s="341">
        <f>IFERROR(K2008/E2008,"-")</f>
        <v>0.86623156498673737</v>
      </c>
      <c r="O2008" s="349">
        <f t="shared" si="2521"/>
        <v>5.0482393782881616E-3</v>
      </c>
    </row>
    <row r="2009" spans="1:15" ht="23.4" x14ac:dyDescent="0.3">
      <c r="A2009" s="274" t="s">
        <v>103</v>
      </c>
      <c r="B2009" s="1043" t="s">
        <v>400</v>
      </c>
      <c r="C2009" s="269" t="s">
        <v>125</v>
      </c>
      <c r="D2009" s="269"/>
      <c r="E2009" s="270"/>
      <c r="F2009" s="271"/>
      <c r="G2009" s="332">
        <f t="shared" ref="G2009:G2012" si="2532">+H2009+I2009</f>
        <v>0</v>
      </c>
      <c r="H2009" s="272">
        <v>0</v>
      </c>
      <c r="I2009" s="272">
        <v>0</v>
      </c>
      <c r="J2009" s="351" t="str">
        <f>IFERROR(G2009/F2009,"-")</f>
        <v>-</v>
      </c>
      <c r="K2009" s="332">
        <f t="shared" ref="K2009:K2012" si="2533">+L2009+M2009</f>
        <v>0</v>
      </c>
      <c r="L2009" s="272">
        <f t="shared" ref="L2009:L2012" si="2534">+H2009+L1892</f>
        <v>0</v>
      </c>
      <c r="M2009" s="273">
        <f t="shared" ref="M2009:M2012" si="2535">+I2009+M1892</f>
        <v>0</v>
      </c>
      <c r="N2009" s="336" t="str">
        <f t="shared" ref="N2009:N2024" si="2536">IFERROR(K2009/E2009,"-")</f>
        <v>-</v>
      </c>
      <c r="O2009" s="346" t="str">
        <f t="shared" si="2521"/>
        <v>-</v>
      </c>
    </row>
    <row r="2010" spans="1:15" ht="23.4" x14ac:dyDescent="0.3">
      <c r="A2010" s="274" t="s">
        <v>103</v>
      </c>
      <c r="B2010" s="1044"/>
      <c r="C2010" s="295" t="s">
        <v>263</v>
      </c>
      <c r="D2010" s="295" t="s">
        <v>181</v>
      </c>
      <c r="E2010" s="276"/>
      <c r="F2010" s="277"/>
      <c r="G2010" s="333">
        <f t="shared" si="2532"/>
        <v>0</v>
      </c>
      <c r="H2010" s="278">
        <v>0</v>
      </c>
      <c r="I2010" s="278">
        <v>0</v>
      </c>
      <c r="J2010" s="351" t="str">
        <f t="shared" ref="J2010:J2012" si="2537">IFERROR(G2010/F2010,"-")</f>
        <v>-</v>
      </c>
      <c r="K2010" s="333">
        <f t="shared" si="2533"/>
        <v>0</v>
      </c>
      <c r="L2010" s="272">
        <f t="shared" si="2534"/>
        <v>0</v>
      </c>
      <c r="M2010" s="273">
        <f t="shared" si="2535"/>
        <v>0</v>
      </c>
      <c r="N2010" s="337" t="str">
        <f t="shared" si="2536"/>
        <v>-</v>
      </c>
      <c r="O2010" s="263" t="str">
        <f t="shared" si="2521"/>
        <v>-</v>
      </c>
    </row>
    <row r="2011" spans="1:15" ht="23.4" x14ac:dyDescent="0.3">
      <c r="A2011" s="274" t="s">
        <v>103</v>
      </c>
      <c r="B2011" s="1044"/>
      <c r="C2011" s="295" t="s">
        <v>362</v>
      </c>
      <c r="D2011" s="295" t="s">
        <v>181</v>
      </c>
      <c r="E2011" s="276"/>
      <c r="F2011" s="277"/>
      <c r="G2011" s="333">
        <f t="shared" si="2532"/>
        <v>0</v>
      </c>
      <c r="H2011" s="278">
        <v>0</v>
      </c>
      <c r="I2011" s="278">
        <v>0</v>
      </c>
      <c r="J2011" s="351" t="str">
        <f t="shared" si="2537"/>
        <v>-</v>
      </c>
      <c r="K2011" s="333">
        <f t="shared" si="2533"/>
        <v>47670</v>
      </c>
      <c r="L2011" s="272">
        <f t="shared" si="2534"/>
        <v>47520</v>
      </c>
      <c r="M2011" s="273">
        <f t="shared" si="2535"/>
        <v>150</v>
      </c>
      <c r="N2011" s="337" t="str">
        <f t="shared" si="2536"/>
        <v>-</v>
      </c>
      <c r="O2011" s="263">
        <f t="shared" si="2521"/>
        <v>3.1466331025802393E-3</v>
      </c>
    </row>
    <row r="2012" spans="1:15" ht="24" thickBot="1" x14ac:dyDescent="0.35">
      <c r="A2012" s="274" t="s">
        <v>103</v>
      </c>
      <c r="B2012" s="1045"/>
      <c r="C2012" s="279" t="s">
        <v>182</v>
      </c>
      <c r="D2012" s="279" t="s">
        <v>93</v>
      </c>
      <c r="E2012" s="280"/>
      <c r="F2012" s="281"/>
      <c r="G2012" s="334">
        <f t="shared" si="2532"/>
        <v>4190</v>
      </c>
      <c r="H2012" s="278">
        <v>3960</v>
      </c>
      <c r="I2012" s="278">
        <v>230</v>
      </c>
      <c r="J2012" s="351" t="str">
        <f t="shared" si="2537"/>
        <v>-</v>
      </c>
      <c r="K2012" s="334">
        <f t="shared" si="2533"/>
        <v>172972</v>
      </c>
      <c r="L2012" s="272">
        <f t="shared" si="2534"/>
        <v>172260</v>
      </c>
      <c r="M2012" s="273">
        <f t="shared" si="2535"/>
        <v>712</v>
      </c>
      <c r="N2012" s="338" t="str">
        <f t="shared" si="2536"/>
        <v>-</v>
      </c>
      <c r="O2012" s="347">
        <f t="shared" si="2521"/>
        <v>4.1162731540364912E-3</v>
      </c>
    </row>
    <row r="2013" spans="1:15" ht="24" thickBot="1" x14ac:dyDescent="0.35">
      <c r="A2013" s="274" t="s">
        <v>103</v>
      </c>
      <c r="B2013" s="1025" t="s">
        <v>48</v>
      </c>
      <c r="C2013" s="1026"/>
      <c r="D2013" s="1027"/>
      <c r="E2013" s="284">
        <f>SUM(E2009:E2012)</f>
        <v>0</v>
      </c>
      <c r="F2013" s="285">
        <v>80000</v>
      </c>
      <c r="G2013" s="320">
        <f>SUM(G2009:G2012)</f>
        <v>4190</v>
      </c>
      <c r="H2013" s="321">
        <f t="shared" ref="H2013:I2013" si="2538">SUM(H2009:H2012)</f>
        <v>3960</v>
      </c>
      <c r="I2013" s="321">
        <f t="shared" si="2538"/>
        <v>230</v>
      </c>
      <c r="J2013" s="345">
        <f>+G2013/F2013</f>
        <v>5.2374999999999998E-2</v>
      </c>
      <c r="K2013" s="320">
        <f t="shared" ref="K2013" si="2539">SUM(K2009:K2012)</f>
        <v>220642</v>
      </c>
      <c r="L2013" s="321">
        <f>SUM(L2009:L2012)</f>
        <v>219780</v>
      </c>
      <c r="M2013" s="322">
        <f t="shared" ref="M2013" si="2540">SUM(M2009:M2012)</f>
        <v>862</v>
      </c>
      <c r="N2013" s="339" t="str">
        <f t="shared" si="2536"/>
        <v>-</v>
      </c>
      <c r="O2013" s="345">
        <f t="shared" si="2521"/>
        <v>3.9067811205482188E-3</v>
      </c>
    </row>
    <row r="2014" spans="1:15" ht="23.4" x14ac:dyDescent="0.3">
      <c r="A2014" s="274" t="s">
        <v>103</v>
      </c>
      <c r="B2014" s="1043" t="s">
        <v>23</v>
      </c>
      <c r="C2014" s="275" t="s">
        <v>500</v>
      </c>
      <c r="D2014" s="296" t="s">
        <v>238</v>
      </c>
      <c r="E2014" s="270">
        <v>10000</v>
      </c>
      <c r="F2014" s="271"/>
      <c r="G2014" s="332">
        <f t="shared" ref="G2014:G2022" si="2541">+H2014+I2014</f>
        <v>0</v>
      </c>
      <c r="H2014" s="272">
        <v>0</v>
      </c>
      <c r="I2014" s="272">
        <v>0</v>
      </c>
      <c r="J2014" s="351" t="str">
        <f>IFERROR(G2014/F2014,"-")</f>
        <v>-</v>
      </c>
      <c r="K2014" s="332">
        <f t="shared" ref="K2014:K2022" si="2542">+L2014+M2014</f>
        <v>0</v>
      </c>
      <c r="L2014" s="272">
        <f t="shared" ref="L2014:L2022" si="2543">+H2014+L1897</f>
        <v>0</v>
      </c>
      <c r="M2014" s="273">
        <f t="shared" ref="M2014:M2022" si="2544">+I2014+M1897</f>
        <v>0</v>
      </c>
      <c r="N2014" s="336">
        <f t="shared" si="2536"/>
        <v>0</v>
      </c>
      <c r="O2014" s="346" t="str">
        <f t="shared" si="2521"/>
        <v>-</v>
      </c>
    </row>
    <row r="2015" spans="1:15" ht="23.4" x14ac:dyDescent="0.3">
      <c r="A2015" s="274" t="s">
        <v>103</v>
      </c>
      <c r="B2015" s="1044"/>
      <c r="C2015" s="275" t="s">
        <v>24</v>
      </c>
      <c r="D2015" s="275" t="s">
        <v>238</v>
      </c>
      <c r="E2015" s="276">
        <v>112000</v>
      </c>
      <c r="F2015" s="277"/>
      <c r="G2015" s="333">
        <f t="shared" si="2541"/>
        <v>0</v>
      </c>
      <c r="H2015" s="278">
        <v>0</v>
      </c>
      <c r="I2015" s="278">
        <v>0</v>
      </c>
      <c r="J2015" s="351" t="str">
        <f t="shared" ref="J2015:J2022" si="2545">IFERROR(G2015/F2015,"-")</f>
        <v>-</v>
      </c>
      <c r="K2015" s="333">
        <f t="shared" si="2542"/>
        <v>0</v>
      </c>
      <c r="L2015" s="272">
        <f t="shared" si="2543"/>
        <v>0</v>
      </c>
      <c r="M2015" s="273">
        <f t="shared" si="2544"/>
        <v>0</v>
      </c>
      <c r="N2015" s="337">
        <f t="shared" si="2536"/>
        <v>0</v>
      </c>
      <c r="O2015" s="263" t="str">
        <f t="shared" si="2521"/>
        <v>-</v>
      </c>
    </row>
    <row r="2016" spans="1:15" ht="23.4" x14ac:dyDescent="0.3">
      <c r="A2016" s="274" t="s">
        <v>103</v>
      </c>
      <c r="B2016" s="1044"/>
      <c r="C2016" s="275" t="s">
        <v>236</v>
      </c>
      <c r="D2016" s="275" t="s">
        <v>238</v>
      </c>
      <c r="E2016" s="276">
        <v>40000</v>
      </c>
      <c r="F2016" s="277"/>
      <c r="G2016" s="333">
        <f t="shared" si="2541"/>
        <v>0</v>
      </c>
      <c r="H2016" s="278">
        <v>0</v>
      </c>
      <c r="I2016" s="278">
        <v>0</v>
      </c>
      <c r="J2016" s="351" t="str">
        <f t="shared" si="2545"/>
        <v>-</v>
      </c>
      <c r="K2016" s="333">
        <f t="shared" si="2542"/>
        <v>0</v>
      </c>
      <c r="L2016" s="272">
        <f t="shared" si="2543"/>
        <v>0</v>
      </c>
      <c r="M2016" s="273">
        <f t="shared" si="2544"/>
        <v>0</v>
      </c>
      <c r="N2016" s="337">
        <f t="shared" si="2536"/>
        <v>0</v>
      </c>
      <c r="O2016" s="263" t="str">
        <f t="shared" si="2521"/>
        <v>-</v>
      </c>
    </row>
    <row r="2017" spans="1:15" ht="23.4" x14ac:dyDescent="0.3">
      <c r="A2017" s="274" t="s">
        <v>103</v>
      </c>
      <c r="B2017" s="1044"/>
      <c r="C2017" s="275" t="s">
        <v>239</v>
      </c>
      <c r="D2017" s="275" t="s">
        <v>238</v>
      </c>
      <c r="E2017" s="276">
        <v>4000</v>
      </c>
      <c r="F2017" s="277"/>
      <c r="G2017" s="333">
        <f t="shared" si="2541"/>
        <v>0</v>
      </c>
      <c r="H2017" s="278">
        <v>0</v>
      </c>
      <c r="I2017" s="278">
        <v>0</v>
      </c>
      <c r="J2017" s="351" t="str">
        <f t="shared" si="2545"/>
        <v>-</v>
      </c>
      <c r="K2017" s="333">
        <f t="shared" si="2542"/>
        <v>0</v>
      </c>
      <c r="L2017" s="272">
        <f t="shared" si="2543"/>
        <v>0</v>
      </c>
      <c r="M2017" s="273">
        <f t="shared" si="2544"/>
        <v>0</v>
      </c>
      <c r="N2017" s="337">
        <f t="shared" si="2536"/>
        <v>0</v>
      </c>
      <c r="O2017" s="263" t="str">
        <f t="shared" si="2521"/>
        <v>-</v>
      </c>
    </row>
    <row r="2018" spans="1:15" ht="23.4" x14ac:dyDescent="0.3">
      <c r="A2018" s="274" t="s">
        <v>103</v>
      </c>
      <c r="B2018" s="1044"/>
      <c r="C2018" s="295" t="s">
        <v>394</v>
      </c>
      <c r="D2018" s="275" t="s">
        <v>238</v>
      </c>
      <c r="E2018" s="276">
        <v>8500</v>
      </c>
      <c r="F2018" s="277"/>
      <c r="G2018" s="333">
        <f t="shared" si="2541"/>
        <v>0</v>
      </c>
      <c r="H2018" s="278">
        <v>0</v>
      </c>
      <c r="I2018" s="278">
        <v>0</v>
      </c>
      <c r="J2018" s="351" t="str">
        <f t="shared" si="2545"/>
        <v>-</v>
      </c>
      <c r="K2018" s="333">
        <f t="shared" si="2542"/>
        <v>0</v>
      </c>
      <c r="L2018" s="272">
        <f t="shared" si="2543"/>
        <v>0</v>
      </c>
      <c r="M2018" s="273">
        <f t="shared" si="2544"/>
        <v>0</v>
      </c>
      <c r="N2018" s="337">
        <f t="shared" si="2536"/>
        <v>0</v>
      </c>
      <c r="O2018" s="263" t="str">
        <f t="shared" si="2521"/>
        <v>-</v>
      </c>
    </row>
    <row r="2019" spans="1:15" ht="23.4" x14ac:dyDescent="0.3">
      <c r="A2019" s="274" t="s">
        <v>103</v>
      </c>
      <c r="B2019" s="1044"/>
      <c r="C2019" s="295" t="s">
        <v>422</v>
      </c>
      <c r="D2019" s="275" t="s">
        <v>238</v>
      </c>
      <c r="E2019" s="276">
        <v>10000</v>
      </c>
      <c r="F2019" s="277"/>
      <c r="G2019" s="333">
        <f t="shared" si="2541"/>
        <v>0</v>
      </c>
      <c r="H2019" s="278">
        <v>0</v>
      </c>
      <c r="I2019" s="278">
        <v>0</v>
      </c>
      <c r="J2019" s="351" t="str">
        <f t="shared" si="2545"/>
        <v>-</v>
      </c>
      <c r="K2019" s="333">
        <f t="shared" si="2542"/>
        <v>0</v>
      </c>
      <c r="L2019" s="272">
        <f t="shared" si="2543"/>
        <v>0</v>
      </c>
      <c r="M2019" s="273">
        <f t="shared" si="2544"/>
        <v>0</v>
      </c>
      <c r="N2019" s="337">
        <f t="shared" si="2536"/>
        <v>0</v>
      </c>
      <c r="O2019" s="263" t="str">
        <f t="shared" si="2521"/>
        <v>-</v>
      </c>
    </row>
    <row r="2020" spans="1:15" ht="23.4" x14ac:dyDescent="0.3">
      <c r="A2020" s="274" t="s">
        <v>103</v>
      </c>
      <c r="B2020" s="1044"/>
      <c r="C2020" s="295" t="s">
        <v>241</v>
      </c>
      <c r="D2020" s="275" t="s">
        <v>243</v>
      </c>
      <c r="E2020" s="276"/>
      <c r="F2020" s="277"/>
      <c r="G2020" s="333">
        <f t="shared" si="2541"/>
        <v>0</v>
      </c>
      <c r="H2020" s="278">
        <v>0</v>
      </c>
      <c r="I2020" s="278">
        <v>0</v>
      </c>
      <c r="J2020" s="351" t="str">
        <f t="shared" si="2545"/>
        <v>-</v>
      </c>
      <c r="K2020" s="333">
        <f t="shared" si="2542"/>
        <v>0</v>
      </c>
      <c r="L2020" s="272">
        <f t="shared" si="2543"/>
        <v>0</v>
      </c>
      <c r="M2020" s="273">
        <f t="shared" si="2544"/>
        <v>0</v>
      </c>
      <c r="N2020" s="337" t="str">
        <f t="shared" si="2536"/>
        <v>-</v>
      </c>
      <c r="O2020" s="263" t="str">
        <f t="shared" si="2521"/>
        <v>-</v>
      </c>
    </row>
    <row r="2021" spans="1:15" ht="23.4" x14ac:dyDescent="0.3">
      <c r="A2021" s="274"/>
      <c r="B2021" s="1045"/>
      <c r="C2021" s="295" t="s">
        <v>546</v>
      </c>
      <c r="D2021" s="275" t="s">
        <v>238</v>
      </c>
      <c r="E2021" s="280">
        <v>6000</v>
      </c>
      <c r="F2021" s="281"/>
      <c r="G2021" s="333">
        <f t="shared" si="2541"/>
        <v>0</v>
      </c>
      <c r="H2021" s="278">
        <v>0</v>
      </c>
      <c r="I2021" s="278">
        <v>0</v>
      </c>
      <c r="J2021" s="351" t="str">
        <f t="shared" si="2545"/>
        <v>-</v>
      </c>
      <c r="K2021" s="333">
        <f t="shared" si="2542"/>
        <v>0</v>
      </c>
      <c r="L2021" s="272">
        <f t="shared" si="2543"/>
        <v>0</v>
      </c>
      <c r="M2021" s="273">
        <f t="shared" si="2544"/>
        <v>0</v>
      </c>
      <c r="N2021" s="337">
        <f t="shared" si="2536"/>
        <v>0</v>
      </c>
      <c r="O2021" s="263" t="str">
        <f t="shared" si="2521"/>
        <v>-</v>
      </c>
    </row>
    <row r="2022" spans="1:15" ht="24" thickBot="1" x14ac:dyDescent="0.35">
      <c r="A2022" s="274" t="s">
        <v>103</v>
      </c>
      <c r="B2022" s="1045"/>
      <c r="C2022" s="295" t="s">
        <v>242</v>
      </c>
      <c r="D2022" s="275" t="s">
        <v>238</v>
      </c>
      <c r="E2022" s="280">
        <v>5000</v>
      </c>
      <c r="F2022" s="281"/>
      <c r="G2022" s="334">
        <f t="shared" si="2541"/>
        <v>0</v>
      </c>
      <c r="H2022" s="278">
        <v>0</v>
      </c>
      <c r="I2022" s="278">
        <v>0</v>
      </c>
      <c r="J2022" s="351" t="str">
        <f t="shared" si="2545"/>
        <v>-</v>
      </c>
      <c r="K2022" s="334">
        <f t="shared" si="2542"/>
        <v>0</v>
      </c>
      <c r="L2022" s="272">
        <f t="shared" si="2543"/>
        <v>0</v>
      </c>
      <c r="M2022" s="273">
        <f t="shared" si="2544"/>
        <v>0</v>
      </c>
      <c r="N2022" s="338">
        <f t="shared" si="2536"/>
        <v>0</v>
      </c>
      <c r="O2022" s="347" t="str">
        <f t="shared" si="2521"/>
        <v>-</v>
      </c>
    </row>
    <row r="2023" spans="1:15" ht="24" thickBot="1" x14ac:dyDescent="0.35">
      <c r="A2023" s="274" t="s">
        <v>103</v>
      </c>
      <c r="B2023" s="1025" t="s">
        <v>49</v>
      </c>
      <c r="C2023" s="1026"/>
      <c r="D2023" s="1027"/>
      <c r="E2023" s="284">
        <f>SUM(E2014:E2022)</f>
        <v>195500</v>
      </c>
      <c r="F2023" s="285">
        <v>14000</v>
      </c>
      <c r="G2023" s="320">
        <f>SUM(G2014:G2022)</f>
        <v>0</v>
      </c>
      <c r="H2023" s="321">
        <f t="shared" ref="H2023:I2023" si="2546">SUM(H2014:H2022)</f>
        <v>0</v>
      </c>
      <c r="I2023" s="321">
        <f t="shared" si="2546"/>
        <v>0</v>
      </c>
      <c r="J2023" s="345">
        <f>+G2024/F2024</f>
        <v>4.4574468085106386E-2</v>
      </c>
      <c r="K2023" s="320">
        <f>SUM(K2014:K2022)</f>
        <v>0</v>
      </c>
      <c r="L2023" s="321">
        <f>+H2023</f>
        <v>0</v>
      </c>
      <c r="M2023" s="322">
        <f>+I2023</f>
        <v>0</v>
      </c>
      <c r="N2023" s="339">
        <f t="shared" si="2536"/>
        <v>0</v>
      </c>
      <c r="O2023" s="345" t="str">
        <f t="shared" si="2521"/>
        <v>-</v>
      </c>
    </row>
    <row r="2024" spans="1:15" ht="24" thickBot="1" x14ac:dyDescent="0.35">
      <c r="A2024" s="274" t="s">
        <v>103</v>
      </c>
      <c r="B2024" s="1047" t="s">
        <v>25</v>
      </c>
      <c r="C2024" s="1048"/>
      <c r="D2024" s="1049"/>
      <c r="E2024" s="326">
        <f t="shared" ref="E2024:F2024" si="2547">+E2013+E2023</f>
        <v>195500</v>
      </c>
      <c r="F2024" s="327">
        <f t="shared" si="2547"/>
        <v>94000</v>
      </c>
      <c r="G2024" s="326">
        <f>+G2013+G2023</f>
        <v>4190</v>
      </c>
      <c r="H2024" s="324">
        <f t="shared" ref="H2024:I2024" si="2548">+H2013+H2023</f>
        <v>3960</v>
      </c>
      <c r="I2024" s="324">
        <f t="shared" si="2548"/>
        <v>230</v>
      </c>
      <c r="J2024" s="349" t="str">
        <f>IFERROR(G2024/#REF!,"-")</f>
        <v>-</v>
      </c>
      <c r="K2024" s="326">
        <f t="shared" ref="K2024" si="2549">+K2013+K2023</f>
        <v>220642</v>
      </c>
      <c r="L2024" s="324">
        <f>+L2013+L2023</f>
        <v>219780</v>
      </c>
      <c r="M2024" s="325">
        <f t="shared" ref="M2024" si="2550">+M2013+M2023</f>
        <v>862</v>
      </c>
      <c r="N2024" s="341">
        <f t="shared" si="2536"/>
        <v>1.1286035805626597</v>
      </c>
      <c r="O2024" s="349">
        <f t="shared" si="2521"/>
        <v>3.9067811205482188E-3</v>
      </c>
    </row>
    <row r="2025" spans="1:15" ht="24" thickBot="1" x14ac:dyDescent="0.35">
      <c r="A2025" s="274" t="s">
        <v>103</v>
      </c>
      <c r="B2025" s="1019" t="s">
        <v>172</v>
      </c>
      <c r="C2025" s="1020"/>
      <c r="D2025" s="1050"/>
      <c r="E2025" s="330">
        <f>+E2008+E2024</f>
        <v>3965500</v>
      </c>
      <c r="F2025" s="331">
        <f t="shared" ref="F2025:I2025" si="2551">+F2008+F2024</f>
        <v>449000</v>
      </c>
      <c r="G2025" s="330">
        <f t="shared" si="2551"/>
        <v>103362</v>
      </c>
      <c r="H2025" s="328">
        <f t="shared" si="2551"/>
        <v>102379</v>
      </c>
      <c r="I2025" s="328">
        <f t="shared" si="2551"/>
        <v>983</v>
      </c>
      <c r="J2025" s="350">
        <f>+G2025/F2025</f>
        <v>0.23020489977728284</v>
      </c>
      <c r="K2025" s="330">
        <f>+K2008+K2024</f>
        <v>3486335</v>
      </c>
      <c r="L2025" s="328">
        <f t="shared" ref="L2025:M2025" si="2552">+L2008+L2024</f>
        <v>3468987</v>
      </c>
      <c r="M2025" s="329">
        <f t="shared" si="2552"/>
        <v>17348</v>
      </c>
      <c r="N2025" s="342">
        <f>IFERROR(K2025/E2025,"-")</f>
        <v>0.87916656159374607</v>
      </c>
      <c r="O2025" s="350">
        <f t="shared" si="2521"/>
        <v>4.9759991509708617E-3</v>
      </c>
    </row>
    <row r="2026" spans="1:15" ht="23.4" x14ac:dyDescent="0.3">
      <c r="A2026" s="268" t="s">
        <v>101</v>
      </c>
      <c r="B2026" s="1051" t="s">
        <v>26</v>
      </c>
      <c r="C2026" s="893" t="s">
        <v>297</v>
      </c>
      <c r="D2026" s="898" t="s">
        <v>177</v>
      </c>
      <c r="E2026" s="895"/>
      <c r="F2026" s="271"/>
      <c r="G2026" s="332">
        <f t="shared" ref="G2026:G2035" si="2553">+H2026+I2026</f>
        <v>0</v>
      </c>
      <c r="H2026" s="272">
        <v>0</v>
      </c>
      <c r="I2026" s="272">
        <v>0</v>
      </c>
      <c r="J2026" s="351" t="str">
        <f>IFERROR(G2026/F2026,"-")</f>
        <v>-</v>
      </c>
      <c r="K2026" s="332">
        <f t="shared" ref="K2026:K2035" si="2554">+L2026+M2026</f>
        <v>0</v>
      </c>
      <c r="L2026" s="272">
        <f t="shared" ref="L2026:L2035" si="2555">+H2026+L1909</f>
        <v>0</v>
      </c>
      <c r="M2026" s="273">
        <f t="shared" ref="M2026:M2035" si="2556">+I2026+M1909</f>
        <v>0</v>
      </c>
      <c r="N2026" s="336" t="str">
        <f t="shared" ref="N2026:N2044" si="2557">IFERROR(K2026/E2026,"-")</f>
        <v>-</v>
      </c>
      <c r="O2026" s="346" t="str">
        <f t="shared" si="2521"/>
        <v>-</v>
      </c>
    </row>
    <row r="2027" spans="1:15" ht="23.4" x14ac:dyDescent="0.3">
      <c r="A2027" s="274" t="s">
        <v>101</v>
      </c>
      <c r="B2027" s="1051"/>
      <c r="C2027" s="253" t="s">
        <v>424</v>
      </c>
      <c r="D2027" s="899" t="s">
        <v>423</v>
      </c>
      <c r="E2027" s="511">
        <v>314432</v>
      </c>
      <c r="F2027" s="277"/>
      <c r="G2027" s="333">
        <f t="shared" si="2553"/>
        <v>0</v>
      </c>
      <c r="H2027" s="278">
        <v>0</v>
      </c>
      <c r="I2027" s="278">
        <v>0</v>
      </c>
      <c r="J2027" s="351" t="str">
        <f t="shared" ref="J2027:J2035" si="2558">IFERROR(G2027/F2027,"-")</f>
        <v>-</v>
      </c>
      <c r="K2027" s="333">
        <f t="shared" si="2554"/>
        <v>265434</v>
      </c>
      <c r="L2027" s="272">
        <f t="shared" si="2555"/>
        <v>262548</v>
      </c>
      <c r="M2027" s="273">
        <f t="shared" si="2556"/>
        <v>2886</v>
      </c>
      <c r="N2027" s="337">
        <f t="shared" si="2557"/>
        <v>0.84416980460004076</v>
      </c>
      <c r="O2027" s="263">
        <f t="shared" si="2521"/>
        <v>1.0872759330002939E-2</v>
      </c>
    </row>
    <row r="2028" spans="1:15" ht="23.4" x14ac:dyDescent="0.3">
      <c r="A2028" s="274" t="s">
        <v>101</v>
      </c>
      <c r="B2028" s="1051"/>
      <c r="C2028" s="813" t="s">
        <v>27</v>
      </c>
      <c r="D2028" s="899" t="s">
        <v>334</v>
      </c>
      <c r="E2028" s="896">
        <v>932448</v>
      </c>
      <c r="F2028" s="281"/>
      <c r="G2028" s="333">
        <f t="shared" si="2553"/>
        <v>0</v>
      </c>
      <c r="H2028" s="278">
        <v>0</v>
      </c>
      <c r="I2028" s="278">
        <v>0</v>
      </c>
      <c r="J2028" s="351" t="str">
        <f t="shared" si="2558"/>
        <v>-</v>
      </c>
      <c r="K2028" s="333">
        <f t="shared" si="2554"/>
        <v>37943</v>
      </c>
      <c r="L2028" s="272">
        <f t="shared" si="2555"/>
        <v>35802</v>
      </c>
      <c r="M2028" s="273">
        <f t="shared" si="2556"/>
        <v>2141</v>
      </c>
      <c r="N2028" s="337">
        <f t="shared" si="2557"/>
        <v>4.0691813377260716E-2</v>
      </c>
      <c r="O2028" s="263">
        <f t="shared" si="2521"/>
        <v>5.6426745381229743E-2</v>
      </c>
    </row>
    <row r="2029" spans="1:15" ht="23.4" x14ac:dyDescent="0.3">
      <c r="A2029" s="274" t="s">
        <v>101</v>
      </c>
      <c r="B2029" s="1051"/>
      <c r="C2029" s="813" t="s">
        <v>27</v>
      </c>
      <c r="D2029" s="900" t="s">
        <v>492</v>
      </c>
      <c r="E2029" s="896"/>
      <c r="F2029" s="281"/>
      <c r="G2029" s="333">
        <f t="shared" si="2553"/>
        <v>0</v>
      </c>
      <c r="H2029" s="278">
        <v>0</v>
      </c>
      <c r="I2029" s="278">
        <v>0</v>
      </c>
      <c r="J2029" s="351" t="str">
        <f t="shared" si="2558"/>
        <v>-</v>
      </c>
      <c r="K2029" s="333">
        <f t="shared" si="2554"/>
        <v>274869</v>
      </c>
      <c r="L2029" s="272">
        <f t="shared" si="2555"/>
        <v>270504</v>
      </c>
      <c r="M2029" s="273">
        <f t="shared" si="2556"/>
        <v>4365</v>
      </c>
      <c r="N2029" s="337" t="str">
        <f t="shared" si="2557"/>
        <v>-</v>
      </c>
      <c r="O2029" s="263">
        <f t="shared" si="2521"/>
        <v>1.588029206640254E-2</v>
      </c>
    </row>
    <row r="2030" spans="1:15" ht="23.4" x14ac:dyDescent="0.3">
      <c r="A2030" s="274" t="s">
        <v>101</v>
      </c>
      <c r="B2030" s="1051"/>
      <c r="C2030" s="893" t="s">
        <v>521</v>
      </c>
      <c r="D2030" s="899" t="s">
        <v>234</v>
      </c>
      <c r="E2030" s="896">
        <v>136768</v>
      </c>
      <c r="F2030" s="281"/>
      <c r="G2030" s="333">
        <f t="shared" si="2553"/>
        <v>0</v>
      </c>
      <c r="H2030" s="278">
        <v>0</v>
      </c>
      <c r="I2030" s="278">
        <v>0</v>
      </c>
      <c r="J2030" s="351" t="str">
        <f t="shared" si="2558"/>
        <v>-</v>
      </c>
      <c r="K2030" s="333">
        <f t="shared" si="2554"/>
        <v>57116</v>
      </c>
      <c r="L2030" s="272">
        <f t="shared" si="2555"/>
        <v>55692</v>
      </c>
      <c r="M2030" s="273">
        <f t="shared" si="2556"/>
        <v>1424</v>
      </c>
      <c r="N2030" s="337">
        <f t="shared" si="2557"/>
        <v>0.41761230697239121</v>
      </c>
      <c r="O2030" s="263">
        <f t="shared" si="2521"/>
        <v>2.4931717907416485E-2</v>
      </c>
    </row>
    <row r="2031" spans="1:15" ht="23.4" x14ac:dyDescent="0.3">
      <c r="A2031" s="274"/>
      <c r="B2031" s="1051"/>
      <c r="C2031" s="813" t="s">
        <v>575</v>
      </c>
      <c r="D2031" s="899" t="s">
        <v>178</v>
      </c>
      <c r="E2031" s="896"/>
      <c r="F2031" s="281"/>
      <c r="G2031" s="334">
        <f t="shared" si="2553"/>
        <v>333533</v>
      </c>
      <c r="H2031" s="278">
        <f>23868+79560+31824+63648+63648+67626</f>
        <v>330174</v>
      </c>
      <c r="I2031" s="278">
        <f>493+190+768+333+1097+478</f>
        <v>3359</v>
      </c>
      <c r="J2031" s="351" t="str">
        <f t="shared" si="2558"/>
        <v>-</v>
      </c>
      <c r="K2031" s="334">
        <f t="shared" si="2554"/>
        <v>353666</v>
      </c>
      <c r="L2031" s="272">
        <f t="shared" si="2555"/>
        <v>350064</v>
      </c>
      <c r="M2031" s="273">
        <f t="shared" si="2556"/>
        <v>3602</v>
      </c>
      <c r="N2031" s="337" t="str">
        <f t="shared" si="2557"/>
        <v>-</v>
      </c>
      <c r="O2031" s="263">
        <f t="shared" si="2521"/>
        <v>1.018475058388423E-2</v>
      </c>
    </row>
    <row r="2032" spans="1:15" ht="23.4" x14ac:dyDescent="0.3">
      <c r="A2032" s="274"/>
      <c r="B2032" s="1051"/>
      <c r="C2032" s="813" t="s">
        <v>333</v>
      </c>
      <c r="D2032" s="899" t="s">
        <v>94</v>
      </c>
      <c r="E2032" s="896">
        <v>32016</v>
      </c>
      <c r="F2032" s="281"/>
      <c r="G2032" s="334">
        <f t="shared" si="2553"/>
        <v>0</v>
      </c>
      <c r="H2032" s="278">
        <v>0</v>
      </c>
      <c r="I2032" s="278">
        <v>0</v>
      </c>
      <c r="J2032" s="351" t="str">
        <f t="shared" si="2558"/>
        <v>-</v>
      </c>
      <c r="K2032" s="334">
        <f t="shared" si="2554"/>
        <v>0</v>
      </c>
      <c r="L2032" s="272">
        <f t="shared" si="2555"/>
        <v>0</v>
      </c>
      <c r="M2032" s="273">
        <f t="shared" si="2556"/>
        <v>0</v>
      </c>
      <c r="N2032" s="337">
        <f t="shared" si="2557"/>
        <v>0</v>
      </c>
      <c r="O2032" s="263" t="str">
        <f t="shared" si="2521"/>
        <v>-</v>
      </c>
    </row>
    <row r="2033" spans="1:15" ht="23.4" x14ac:dyDescent="0.3">
      <c r="A2033" s="274"/>
      <c r="B2033" s="1051"/>
      <c r="C2033" s="813" t="s">
        <v>433</v>
      </c>
      <c r="D2033" s="899" t="s">
        <v>540</v>
      </c>
      <c r="E2033" s="896"/>
      <c r="F2033" s="281"/>
      <c r="G2033" s="334">
        <f t="shared" si="2553"/>
        <v>0</v>
      </c>
      <c r="H2033" s="278">
        <v>0</v>
      </c>
      <c r="I2033" s="278">
        <v>0</v>
      </c>
      <c r="J2033" s="351" t="str">
        <f t="shared" si="2558"/>
        <v>-</v>
      </c>
      <c r="K2033" s="334">
        <f t="shared" si="2554"/>
        <v>358419</v>
      </c>
      <c r="L2033" s="272">
        <f t="shared" si="2555"/>
        <v>354042</v>
      </c>
      <c r="M2033" s="272">
        <f t="shared" si="2556"/>
        <v>4377</v>
      </c>
      <c r="N2033" s="337" t="str">
        <f t="shared" si="2557"/>
        <v>-</v>
      </c>
      <c r="O2033" s="263">
        <f t="shared" si="2521"/>
        <v>1.2211964209486663E-2</v>
      </c>
    </row>
    <row r="2034" spans="1:15" ht="23.4" x14ac:dyDescent="0.3">
      <c r="A2034" s="274"/>
      <c r="B2034" s="1051"/>
      <c r="C2034" s="813" t="s">
        <v>382</v>
      </c>
      <c r="D2034" s="899" t="s">
        <v>366</v>
      </c>
      <c r="E2034" s="896"/>
      <c r="F2034" s="281"/>
      <c r="G2034" s="334">
        <f t="shared" si="2553"/>
        <v>8126</v>
      </c>
      <c r="H2034" s="278">
        <v>7956</v>
      </c>
      <c r="I2034" s="278">
        <v>170</v>
      </c>
      <c r="J2034" s="351" t="str">
        <f t="shared" si="2558"/>
        <v>-</v>
      </c>
      <c r="K2034" s="334">
        <f t="shared" si="2554"/>
        <v>278101</v>
      </c>
      <c r="L2034" s="272">
        <f t="shared" si="2555"/>
        <v>274482</v>
      </c>
      <c r="M2034" s="273">
        <f t="shared" si="2556"/>
        <v>3619</v>
      </c>
      <c r="N2034" s="337" t="str">
        <f t="shared" si="2557"/>
        <v>-</v>
      </c>
      <c r="O2034" s="263">
        <f t="shared" si="2521"/>
        <v>1.301325777325504E-2</v>
      </c>
    </row>
    <row r="2035" spans="1:15" ht="24" thickBot="1" x14ac:dyDescent="0.35">
      <c r="A2035" s="274" t="s">
        <v>101</v>
      </c>
      <c r="B2035" s="1051"/>
      <c r="C2035" s="894" t="s">
        <v>290</v>
      </c>
      <c r="D2035" s="901" t="s">
        <v>289</v>
      </c>
      <c r="E2035" s="896"/>
      <c r="F2035" s="281"/>
      <c r="G2035" s="334">
        <f t="shared" si="2553"/>
        <v>0</v>
      </c>
      <c r="H2035" s="278">
        <v>0</v>
      </c>
      <c r="I2035" s="278">
        <v>0</v>
      </c>
      <c r="J2035" s="351" t="str">
        <f t="shared" si="2558"/>
        <v>-</v>
      </c>
      <c r="K2035" s="334">
        <f t="shared" si="2554"/>
        <v>0</v>
      </c>
      <c r="L2035" s="272">
        <f t="shared" si="2555"/>
        <v>0</v>
      </c>
      <c r="M2035" s="273">
        <f t="shared" si="2556"/>
        <v>0</v>
      </c>
      <c r="N2035" s="337" t="str">
        <f t="shared" si="2557"/>
        <v>-</v>
      </c>
      <c r="O2035" s="347" t="str">
        <f t="shared" si="2521"/>
        <v>-</v>
      </c>
    </row>
    <row r="2036" spans="1:15" ht="24" thickBot="1" x14ac:dyDescent="0.35">
      <c r="A2036" s="274" t="s">
        <v>101</v>
      </c>
      <c r="B2036" s="1052"/>
      <c r="C2036" s="301"/>
      <c r="D2036" s="897" t="s">
        <v>52</v>
      </c>
      <c r="E2036" s="284">
        <f>SUM(E2026:E2035)</f>
        <v>1415664</v>
      </c>
      <c r="F2036" s="285">
        <v>160000</v>
      </c>
      <c r="G2036" s="320">
        <f>SUM(G2026:G2035)</f>
        <v>341659</v>
      </c>
      <c r="H2036" s="321">
        <f>SUM(H2026:H2035)</f>
        <v>338130</v>
      </c>
      <c r="I2036" s="321">
        <f>SUM(I2026:I2035)</f>
        <v>3529</v>
      </c>
      <c r="J2036" s="345">
        <f>+G2036/F2036</f>
        <v>2.13536875</v>
      </c>
      <c r="K2036" s="320">
        <f>SUM(K2026:K2035)</f>
        <v>1625548</v>
      </c>
      <c r="L2036" s="321">
        <f>SUM(L2026:L2035)</f>
        <v>1603134</v>
      </c>
      <c r="M2036" s="322">
        <f>SUM(M2026:M2035)</f>
        <v>22414</v>
      </c>
      <c r="N2036" s="339">
        <f t="shared" si="2557"/>
        <v>1.1482583437877913</v>
      </c>
      <c r="O2036" s="345">
        <f t="shared" si="2521"/>
        <v>1.3788580835509009E-2</v>
      </c>
    </row>
    <row r="2037" spans="1:15" ht="23.4" x14ac:dyDescent="0.3">
      <c r="A2037" s="274" t="s">
        <v>101</v>
      </c>
      <c r="B2037" s="1053" t="s">
        <v>28</v>
      </c>
      <c r="C2037" s="299" t="s">
        <v>27</v>
      </c>
      <c r="D2037" s="297" t="s">
        <v>492</v>
      </c>
      <c r="E2037" s="270"/>
      <c r="F2037" s="271"/>
      <c r="G2037" s="332">
        <f t="shared" ref="G2037:G2041" si="2559">+H2037+I2037</f>
        <v>0</v>
      </c>
      <c r="H2037" s="272">
        <v>0</v>
      </c>
      <c r="I2037" s="272">
        <v>0</v>
      </c>
      <c r="J2037" s="351" t="str">
        <f>IFERROR(G2037/F2037,"-")</f>
        <v>-</v>
      </c>
      <c r="K2037" s="332">
        <f t="shared" ref="K2037:K2043" si="2560">+L2037+M2037</f>
        <v>170343</v>
      </c>
      <c r="L2037" s="272">
        <f t="shared" ref="L2037:L2043" si="2561">+H2037+L1920</f>
        <v>167076</v>
      </c>
      <c r="M2037" s="273">
        <f t="shared" ref="M2037:M2043" si="2562">+I2037+M1920</f>
        <v>3267</v>
      </c>
      <c r="N2037" s="336" t="str">
        <f t="shared" si="2557"/>
        <v>-</v>
      </c>
      <c r="O2037" s="346">
        <f t="shared" si="2521"/>
        <v>1.9178950705341577E-2</v>
      </c>
    </row>
    <row r="2038" spans="1:15" ht="23.4" x14ac:dyDescent="0.3">
      <c r="A2038" s="274" t="s">
        <v>101</v>
      </c>
      <c r="B2038" s="1051"/>
      <c r="C2038" s="299" t="s">
        <v>385</v>
      </c>
      <c r="D2038" s="299" t="s">
        <v>334</v>
      </c>
      <c r="E2038" s="276"/>
      <c r="F2038" s="277"/>
      <c r="G2038" s="333">
        <f t="shared" si="2559"/>
        <v>0</v>
      </c>
      <c r="H2038" s="278">
        <v>0</v>
      </c>
      <c r="I2038" s="278">
        <v>0</v>
      </c>
      <c r="J2038" s="351" t="str">
        <f t="shared" ref="J2038:J2043" si="2563">IFERROR(G2038/F2038,"-")</f>
        <v>-</v>
      </c>
      <c r="K2038" s="333">
        <f t="shared" si="2560"/>
        <v>96975</v>
      </c>
      <c r="L2038" s="272">
        <f t="shared" si="2561"/>
        <v>95472</v>
      </c>
      <c r="M2038" s="273">
        <f t="shared" si="2562"/>
        <v>1503</v>
      </c>
      <c r="N2038" s="337" t="str">
        <f t="shared" si="2557"/>
        <v>-</v>
      </c>
      <c r="O2038" s="263">
        <f t="shared" si="2521"/>
        <v>1.5498839907192575E-2</v>
      </c>
    </row>
    <row r="2039" spans="1:15" ht="23.4" x14ac:dyDescent="0.3">
      <c r="A2039" s="274" t="s">
        <v>101</v>
      </c>
      <c r="B2039" s="1051"/>
      <c r="C2039" s="299" t="s">
        <v>27</v>
      </c>
      <c r="D2039" s="299" t="s">
        <v>334</v>
      </c>
      <c r="E2039" s="276"/>
      <c r="F2039" s="277"/>
      <c r="G2039" s="333">
        <f t="shared" si="2559"/>
        <v>0</v>
      </c>
      <c r="H2039" s="278">
        <v>0</v>
      </c>
      <c r="I2039" s="278">
        <v>0</v>
      </c>
      <c r="J2039" s="351" t="str">
        <f t="shared" si="2563"/>
        <v>-</v>
      </c>
      <c r="K2039" s="333">
        <f t="shared" si="2560"/>
        <v>0</v>
      </c>
      <c r="L2039" s="272">
        <f t="shared" si="2561"/>
        <v>0</v>
      </c>
      <c r="M2039" s="273">
        <f t="shared" si="2562"/>
        <v>0</v>
      </c>
      <c r="N2039" s="337" t="str">
        <f t="shared" si="2557"/>
        <v>-</v>
      </c>
      <c r="O2039" s="263" t="str">
        <f t="shared" si="2521"/>
        <v>-</v>
      </c>
    </row>
    <row r="2040" spans="1:15" ht="23.4" x14ac:dyDescent="0.3">
      <c r="A2040" s="274"/>
      <c r="B2040" s="1051"/>
      <c r="C2040" s="299" t="s">
        <v>460</v>
      </c>
      <c r="D2040" s="299" t="s">
        <v>334</v>
      </c>
      <c r="E2040" s="280"/>
      <c r="F2040" s="281"/>
      <c r="G2040" s="333">
        <f t="shared" si="2559"/>
        <v>0</v>
      </c>
      <c r="H2040" s="278">
        <v>0</v>
      </c>
      <c r="I2040" s="278">
        <v>0</v>
      </c>
      <c r="J2040" s="351" t="str">
        <f t="shared" si="2563"/>
        <v>-</v>
      </c>
      <c r="K2040" s="333">
        <f t="shared" si="2560"/>
        <v>4348</v>
      </c>
      <c r="L2040" s="272">
        <f t="shared" si="2561"/>
        <v>3978</v>
      </c>
      <c r="M2040" s="273">
        <f t="shared" si="2562"/>
        <v>370</v>
      </c>
      <c r="N2040" s="337" t="str">
        <f t="shared" si="2557"/>
        <v>-</v>
      </c>
      <c r="O2040" s="263">
        <f t="shared" si="2521"/>
        <v>8.5096596136154556E-2</v>
      </c>
    </row>
    <row r="2041" spans="1:15" ht="23.4" x14ac:dyDescent="0.3">
      <c r="A2041" s="274" t="s">
        <v>101</v>
      </c>
      <c r="B2041" s="1051"/>
      <c r="C2041" s="299" t="s">
        <v>433</v>
      </c>
      <c r="D2041" s="299" t="s">
        <v>540</v>
      </c>
      <c r="E2041" s="280"/>
      <c r="F2041" s="281"/>
      <c r="G2041" s="334">
        <f t="shared" si="2559"/>
        <v>0</v>
      </c>
      <c r="H2041" s="278">
        <v>0</v>
      </c>
      <c r="I2041" s="278">
        <v>0</v>
      </c>
      <c r="J2041" s="351" t="str">
        <f t="shared" si="2563"/>
        <v>-</v>
      </c>
      <c r="K2041" s="334">
        <f t="shared" si="2560"/>
        <v>128335</v>
      </c>
      <c r="L2041" s="272">
        <f t="shared" si="2561"/>
        <v>127296</v>
      </c>
      <c r="M2041" s="702">
        <f t="shared" si="2562"/>
        <v>1039</v>
      </c>
      <c r="N2041" s="338" t="str">
        <f t="shared" si="2557"/>
        <v>-</v>
      </c>
      <c r="O2041" s="347">
        <f t="shared" si="2521"/>
        <v>8.0959987532629452E-3</v>
      </c>
    </row>
    <row r="2042" spans="1:15" ht="23.4" x14ac:dyDescent="0.3">
      <c r="A2042" s="274"/>
      <c r="B2042" s="1051"/>
      <c r="C2042" s="299" t="s">
        <v>458</v>
      </c>
      <c r="D2042" s="300" t="s">
        <v>280</v>
      </c>
      <c r="E2042" s="280">
        <v>200000</v>
      </c>
      <c r="F2042" s="281"/>
      <c r="G2042" s="334"/>
      <c r="H2042" s="278">
        <v>0</v>
      </c>
      <c r="I2042" s="278">
        <v>0</v>
      </c>
      <c r="J2042" s="351" t="str">
        <f t="shared" si="2563"/>
        <v>-</v>
      </c>
      <c r="K2042" s="334">
        <f t="shared" si="2560"/>
        <v>0</v>
      </c>
      <c r="L2042" s="272">
        <f t="shared" si="2561"/>
        <v>0</v>
      </c>
      <c r="M2042" s="272">
        <f t="shared" si="2562"/>
        <v>0</v>
      </c>
      <c r="N2042" s="338">
        <f t="shared" si="2557"/>
        <v>0</v>
      </c>
      <c r="O2042" s="347" t="str">
        <f t="shared" si="2521"/>
        <v>-</v>
      </c>
    </row>
    <row r="2043" spans="1:15" ht="24" thickBot="1" x14ac:dyDescent="0.35">
      <c r="A2043" s="274" t="s">
        <v>101</v>
      </c>
      <c r="B2043" s="1051"/>
      <c r="C2043" s="299" t="s">
        <v>27</v>
      </c>
      <c r="D2043" s="300" t="s">
        <v>234</v>
      </c>
      <c r="E2043" s="280">
        <v>250000</v>
      </c>
      <c r="F2043" s="281"/>
      <c r="G2043" s="334">
        <f t="shared" ref="G2043" si="2564">+H2043+I2043</f>
        <v>0</v>
      </c>
      <c r="H2043" s="278">
        <v>0</v>
      </c>
      <c r="I2043" s="278">
        <v>0</v>
      </c>
      <c r="J2043" s="351" t="str">
        <f t="shared" si="2563"/>
        <v>-</v>
      </c>
      <c r="K2043" s="334">
        <f t="shared" si="2560"/>
        <v>3978</v>
      </c>
      <c r="L2043" s="272">
        <f t="shared" si="2561"/>
        <v>3978</v>
      </c>
      <c r="M2043" s="702">
        <f t="shared" si="2562"/>
        <v>0</v>
      </c>
      <c r="N2043" s="338">
        <f t="shared" si="2557"/>
        <v>1.5911999999999999E-2</v>
      </c>
      <c r="O2043" s="347">
        <f t="shared" si="2521"/>
        <v>0</v>
      </c>
    </row>
    <row r="2044" spans="1:15" ht="24" thickBot="1" x14ac:dyDescent="0.35">
      <c r="A2044" s="274" t="s">
        <v>101</v>
      </c>
      <c r="B2044" s="1051"/>
      <c r="C2044" s="304"/>
      <c r="D2044" s="305" t="s">
        <v>52</v>
      </c>
      <c r="E2044" s="306">
        <f>SUM(E2037:E2043)</f>
        <v>450000</v>
      </c>
      <c r="F2044" s="307">
        <v>80000</v>
      </c>
      <c r="G2044" s="366">
        <f>SUM(G2037:G2043)</f>
        <v>0</v>
      </c>
      <c r="H2044" s="365">
        <f>SUM(H2037:H2043)</f>
        <v>0</v>
      </c>
      <c r="I2044" s="365">
        <f>SUM(I2037:I2043)</f>
        <v>0</v>
      </c>
      <c r="J2044" s="356">
        <f>+G2044/F2044</f>
        <v>0</v>
      </c>
      <c r="K2044" s="366">
        <f>SUM(K2037:K2043)</f>
        <v>403979</v>
      </c>
      <c r="L2044" s="365">
        <f>SUM(L2037:L2043)</f>
        <v>397800</v>
      </c>
      <c r="M2044" s="367">
        <f>SUM(M2037:M2043)</f>
        <v>6179</v>
      </c>
      <c r="N2044" s="355">
        <f t="shared" si="2557"/>
        <v>0.89773111111111115</v>
      </c>
      <c r="O2044" s="356">
        <f t="shared" si="2521"/>
        <v>1.5295349510741895E-2</v>
      </c>
    </row>
    <row r="2045" spans="1:15" ht="24" thickBot="1" x14ac:dyDescent="0.35">
      <c r="A2045" s="985" t="s">
        <v>101</v>
      </c>
      <c r="B2045" s="1054" t="s">
        <v>162</v>
      </c>
      <c r="C2045" s="1055"/>
      <c r="D2045" s="1056"/>
      <c r="E2045" s="308">
        <f>+E2044+E2036</f>
        <v>1865664</v>
      </c>
      <c r="F2045" s="309">
        <f>+F2044+F2036</f>
        <v>240000</v>
      </c>
      <c r="G2045" s="369">
        <f>+G2036+G2044</f>
        <v>341659</v>
      </c>
      <c r="H2045" s="368">
        <f>+H2036+H2044</f>
        <v>338130</v>
      </c>
      <c r="I2045" s="368">
        <f>+I2036+I2044</f>
        <v>3529</v>
      </c>
      <c r="J2045" s="358">
        <f>+G2045/F2045</f>
        <v>1.4235791666666666</v>
      </c>
      <c r="K2045" s="369">
        <f>+K2036+K2044</f>
        <v>2029527</v>
      </c>
      <c r="L2045" s="368">
        <f>+L2036+L2044</f>
        <v>2000934</v>
      </c>
      <c r="M2045" s="370">
        <f>+M2036+M2044</f>
        <v>28593</v>
      </c>
      <c r="N2045" s="357">
        <f>IFERROR(K2045/E2045,"-")</f>
        <v>1.0878309277554801</v>
      </c>
      <c r="O2045" s="358">
        <f t="shared" si="2521"/>
        <v>1.4088504365795578E-2</v>
      </c>
    </row>
    <row r="2046" spans="1:15" ht="23.4" x14ac:dyDescent="0.3">
      <c r="A2046" s="274" t="s">
        <v>101</v>
      </c>
      <c r="B2046" s="1051" t="s">
        <v>30</v>
      </c>
      <c r="C2046" s="303" t="s">
        <v>446</v>
      </c>
      <c r="D2046" s="299" t="s">
        <v>492</v>
      </c>
      <c r="E2046" s="270">
        <v>225000</v>
      </c>
      <c r="F2046" s="271"/>
      <c r="G2046" s="332">
        <f t="shared" ref="G2046:G2048" si="2565">+H2046+I2046</f>
        <v>3890</v>
      </c>
      <c r="H2046" s="272">
        <v>3744</v>
      </c>
      <c r="I2046" s="272">
        <v>146</v>
      </c>
      <c r="J2046" s="351" t="str">
        <f>IFERROR(G2046/F2046,"-")</f>
        <v>-</v>
      </c>
      <c r="K2046" s="332">
        <f t="shared" ref="K2046:K2048" si="2566">+L2046+M2046</f>
        <v>268311</v>
      </c>
      <c r="L2046" s="272">
        <f t="shared" ref="L2046:L2048" si="2567">+H2046+L1929</f>
        <v>262080</v>
      </c>
      <c r="M2046" s="273">
        <f t="shared" ref="M2046:M2048" si="2568">+I2046+M1929</f>
        <v>6231</v>
      </c>
      <c r="N2046" s="336">
        <f t="shared" ref="N2046:N2059" si="2569">IFERROR(K2046/E2046,"-")</f>
        <v>1.1924933333333334</v>
      </c>
      <c r="O2046" s="346">
        <f t="shared" si="2521"/>
        <v>2.3223050862618378E-2</v>
      </c>
    </row>
    <row r="2047" spans="1:15" ht="23.4" x14ac:dyDescent="0.3">
      <c r="A2047" s="274" t="s">
        <v>101</v>
      </c>
      <c r="B2047" s="1051"/>
      <c r="C2047" s="300" t="s">
        <v>548</v>
      </c>
      <c r="D2047" s="303" t="s">
        <v>522</v>
      </c>
      <c r="E2047" s="276">
        <v>125000</v>
      </c>
      <c r="F2047" s="277"/>
      <c r="G2047" s="333">
        <f t="shared" si="2565"/>
        <v>0</v>
      </c>
      <c r="H2047" s="278">
        <v>0</v>
      </c>
      <c r="I2047" s="278">
        <v>0</v>
      </c>
      <c r="J2047" s="351" t="str">
        <f t="shared" ref="J2047:J2048" si="2570">IFERROR(G2047/F2047,"-")</f>
        <v>-</v>
      </c>
      <c r="K2047" s="333">
        <f t="shared" si="2566"/>
        <v>0</v>
      </c>
      <c r="L2047" s="272">
        <f t="shared" si="2567"/>
        <v>0</v>
      </c>
      <c r="M2047" s="273">
        <f t="shared" si="2568"/>
        <v>0</v>
      </c>
      <c r="N2047" s="337">
        <f t="shared" si="2569"/>
        <v>0</v>
      </c>
      <c r="O2047" s="263" t="str">
        <f t="shared" si="2521"/>
        <v>-</v>
      </c>
    </row>
    <row r="2048" spans="1:15" ht="24" thickBot="1" x14ac:dyDescent="0.35">
      <c r="A2048" s="274" t="s">
        <v>101</v>
      </c>
      <c r="B2048" s="1051"/>
      <c r="C2048" s="300" t="s">
        <v>291</v>
      </c>
      <c r="D2048" s="300" t="s">
        <v>366</v>
      </c>
      <c r="E2048" s="280"/>
      <c r="F2048" s="281"/>
      <c r="G2048" s="334">
        <f t="shared" si="2565"/>
        <v>0</v>
      </c>
      <c r="H2048" s="282">
        <v>0</v>
      </c>
      <c r="I2048" s="282">
        <v>0</v>
      </c>
      <c r="J2048" s="351" t="str">
        <f t="shared" si="2570"/>
        <v>-</v>
      </c>
      <c r="K2048" s="334">
        <f t="shared" si="2566"/>
        <v>53195</v>
      </c>
      <c r="L2048" s="272">
        <f t="shared" si="2567"/>
        <v>51828</v>
      </c>
      <c r="M2048" s="273">
        <f t="shared" si="2568"/>
        <v>1367</v>
      </c>
      <c r="N2048" s="338" t="str">
        <f t="shared" si="2569"/>
        <v>-</v>
      </c>
      <c r="O2048" s="347">
        <f t="shared" si="2521"/>
        <v>2.569790393834007E-2</v>
      </c>
    </row>
    <row r="2049" spans="1:15" ht="24" thickBot="1" x14ac:dyDescent="0.35">
      <c r="A2049" s="274" t="s">
        <v>101</v>
      </c>
      <c r="B2049" s="1051"/>
      <c r="C2049" s="301"/>
      <c r="D2049" s="302" t="s">
        <v>50</v>
      </c>
      <c r="E2049" s="284">
        <f>SUM(E2046:E2048)</f>
        <v>350000</v>
      </c>
      <c r="F2049" s="285">
        <v>50000</v>
      </c>
      <c r="G2049" s="320">
        <f>SUM(G2046:G2048)</f>
        <v>3890</v>
      </c>
      <c r="H2049" s="321">
        <f>SUM(H2046:H2048)</f>
        <v>3744</v>
      </c>
      <c r="I2049" s="321">
        <f>SUM(I2046:I2048)</f>
        <v>146</v>
      </c>
      <c r="J2049" s="345">
        <f>+G2049/F2049</f>
        <v>7.7799999999999994E-2</v>
      </c>
      <c r="K2049" s="320">
        <f>SUM(K2046:K2048)</f>
        <v>321506</v>
      </c>
      <c r="L2049" s="321">
        <f>SUM(L2046:L2048)</f>
        <v>313908</v>
      </c>
      <c r="M2049" s="322">
        <f>SUM(M2046:M2048)</f>
        <v>7598</v>
      </c>
      <c r="N2049" s="339">
        <f t="shared" si="2569"/>
        <v>0.91858857142857142</v>
      </c>
      <c r="O2049" s="345">
        <f t="shared" si="2521"/>
        <v>2.3632529408471381E-2</v>
      </c>
    </row>
    <row r="2050" spans="1:15" ht="23.4" x14ac:dyDescent="0.3">
      <c r="A2050" s="274" t="s">
        <v>101</v>
      </c>
      <c r="B2050" s="1051"/>
      <c r="C2050" s="297" t="s">
        <v>434</v>
      </c>
      <c r="D2050" s="297" t="s">
        <v>92</v>
      </c>
      <c r="E2050" s="270"/>
      <c r="F2050" s="271"/>
      <c r="G2050" s="332">
        <f t="shared" ref="G2050:G2055" si="2571">+H2050+I2050</f>
        <v>0</v>
      </c>
      <c r="H2050" s="272">
        <v>0</v>
      </c>
      <c r="I2050" s="272">
        <v>0</v>
      </c>
      <c r="J2050" s="351" t="str">
        <f>IFERROR(G2050/F2050,"-")</f>
        <v>-</v>
      </c>
      <c r="K2050" s="332">
        <f t="shared" ref="K2050:K2055" si="2572">+L2050+M2050</f>
        <v>0</v>
      </c>
      <c r="L2050" s="272">
        <f t="shared" ref="L2050:L2055" si="2573">+H2050+L1933</f>
        <v>0</v>
      </c>
      <c r="M2050" s="273">
        <f t="shared" ref="M2050:M2055" si="2574">+I2050+M1933</f>
        <v>0</v>
      </c>
      <c r="N2050" s="336" t="str">
        <f t="shared" si="2569"/>
        <v>-</v>
      </c>
      <c r="O2050" s="346" t="str">
        <f t="shared" si="2521"/>
        <v>-</v>
      </c>
    </row>
    <row r="2051" spans="1:15" ht="23.4" x14ac:dyDescent="0.3">
      <c r="A2051" s="274"/>
      <c r="B2051" s="1051"/>
      <c r="C2051" s="303" t="s">
        <v>449</v>
      </c>
      <c r="D2051" s="299" t="s">
        <v>334</v>
      </c>
      <c r="E2051" s="270"/>
      <c r="F2051" s="271"/>
      <c r="G2051" s="332">
        <f t="shared" si="2571"/>
        <v>0</v>
      </c>
      <c r="H2051" s="272">
        <v>0</v>
      </c>
      <c r="I2051" s="272">
        <v>0</v>
      </c>
      <c r="J2051" s="351" t="str">
        <f t="shared" ref="J2051:J2055" si="2575">IFERROR(G2051/F2051,"-")</f>
        <v>-</v>
      </c>
      <c r="K2051" s="332">
        <f t="shared" si="2572"/>
        <v>0</v>
      </c>
      <c r="L2051" s="272">
        <f t="shared" si="2573"/>
        <v>0</v>
      </c>
      <c r="M2051" s="273">
        <f t="shared" si="2574"/>
        <v>0</v>
      </c>
      <c r="N2051" s="337" t="str">
        <f t="shared" si="2569"/>
        <v>-</v>
      </c>
      <c r="O2051" s="346" t="str">
        <f t="shared" si="2521"/>
        <v>-</v>
      </c>
    </row>
    <row r="2052" spans="1:15" ht="23.4" x14ac:dyDescent="0.3">
      <c r="A2052" s="274"/>
      <c r="B2052" s="1051"/>
      <c r="C2052" s="303" t="s">
        <v>452</v>
      </c>
      <c r="D2052" s="299" t="s">
        <v>334</v>
      </c>
      <c r="E2052" s="270"/>
      <c r="F2052" s="271"/>
      <c r="G2052" s="332">
        <f t="shared" si="2571"/>
        <v>0</v>
      </c>
      <c r="H2052" s="272">
        <v>0</v>
      </c>
      <c r="I2052" s="272">
        <v>0</v>
      </c>
      <c r="J2052" s="351" t="str">
        <f t="shared" si="2575"/>
        <v>-</v>
      </c>
      <c r="K2052" s="332">
        <f t="shared" si="2572"/>
        <v>0</v>
      </c>
      <c r="L2052" s="272">
        <f t="shared" si="2573"/>
        <v>0</v>
      </c>
      <c r="M2052" s="273">
        <f t="shared" si="2574"/>
        <v>0</v>
      </c>
      <c r="N2052" s="337" t="str">
        <f t="shared" si="2569"/>
        <v>-</v>
      </c>
      <c r="O2052" s="346" t="str">
        <f t="shared" si="2521"/>
        <v>-</v>
      </c>
    </row>
    <row r="2053" spans="1:15" ht="23.4" x14ac:dyDescent="0.3">
      <c r="A2053" s="274" t="s">
        <v>101</v>
      </c>
      <c r="B2053" s="1051"/>
      <c r="C2053" s="303" t="s">
        <v>501</v>
      </c>
      <c r="D2053" s="300" t="s">
        <v>423</v>
      </c>
      <c r="E2053" s="276"/>
      <c r="F2053" s="277"/>
      <c r="G2053" s="333">
        <f t="shared" si="2571"/>
        <v>0</v>
      </c>
      <c r="H2053" s="278">
        <v>0</v>
      </c>
      <c r="I2053" s="272">
        <v>0</v>
      </c>
      <c r="J2053" s="351" t="str">
        <f t="shared" si="2575"/>
        <v>-</v>
      </c>
      <c r="K2053" s="333">
        <f t="shared" si="2572"/>
        <v>8116</v>
      </c>
      <c r="L2053" s="272">
        <f t="shared" si="2573"/>
        <v>7488</v>
      </c>
      <c r="M2053" s="273">
        <f t="shared" si="2574"/>
        <v>628</v>
      </c>
      <c r="N2053" s="337" t="str">
        <f t="shared" si="2569"/>
        <v>-</v>
      </c>
      <c r="O2053" s="263">
        <f t="shared" si="2521"/>
        <v>7.737801872843765E-2</v>
      </c>
    </row>
    <row r="2054" spans="1:15" ht="23.4" x14ac:dyDescent="0.3">
      <c r="A2054" s="274"/>
      <c r="B2054" s="1051"/>
      <c r="C2054" s="300" t="s">
        <v>459</v>
      </c>
      <c r="D2054" s="300" t="s">
        <v>366</v>
      </c>
      <c r="E2054" s="280"/>
      <c r="F2054" s="281"/>
      <c r="G2054" s="334">
        <f t="shared" si="2571"/>
        <v>0</v>
      </c>
      <c r="H2054" s="282">
        <v>0</v>
      </c>
      <c r="I2054" s="278">
        <v>0</v>
      </c>
      <c r="J2054" s="351" t="str">
        <f t="shared" si="2575"/>
        <v>-</v>
      </c>
      <c r="K2054" s="333">
        <f t="shared" si="2572"/>
        <v>80554</v>
      </c>
      <c r="L2054" s="272">
        <f t="shared" si="2573"/>
        <v>78624</v>
      </c>
      <c r="M2054" s="272">
        <f t="shared" si="2574"/>
        <v>1930</v>
      </c>
      <c r="N2054" s="337" t="str">
        <f t="shared" si="2569"/>
        <v>-</v>
      </c>
      <c r="O2054" s="263">
        <f t="shared" si="2521"/>
        <v>2.3959083347816372E-2</v>
      </c>
    </row>
    <row r="2055" spans="1:15" ht="24" thickBot="1" x14ac:dyDescent="0.35">
      <c r="A2055" s="274" t="s">
        <v>101</v>
      </c>
      <c r="B2055" s="1051"/>
      <c r="C2055" s="300" t="s">
        <v>435</v>
      </c>
      <c r="D2055" s="300" t="s">
        <v>423</v>
      </c>
      <c r="E2055" s="280"/>
      <c r="F2055" s="281"/>
      <c r="G2055" s="334">
        <f t="shared" si="2571"/>
        <v>0</v>
      </c>
      <c r="H2055" s="282">
        <v>0</v>
      </c>
      <c r="I2055" s="272">
        <v>0</v>
      </c>
      <c r="J2055" s="351" t="str">
        <f t="shared" si="2575"/>
        <v>-</v>
      </c>
      <c r="K2055" s="334">
        <f t="shared" si="2572"/>
        <v>0</v>
      </c>
      <c r="L2055" s="272">
        <f t="shared" si="2573"/>
        <v>0</v>
      </c>
      <c r="M2055" s="273">
        <f t="shared" si="2574"/>
        <v>0</v>
      </c>
      <c r="N2055" s="338" t="str">
        <f t="shared" si="2569"/>
        <v>-</v>
      </c>
      <c r="O2055" s="347" t="str">
        <f t="shared" si="2521"/>
        <v>-</v>
      </c>
    </row>
    <row r="2056" spans="1:15" ht="24" thickBot="1" x14ac:dyDescent="0.35">
      <c r="A2056" s="274" t="s">
        <v>101</v>
      </c>
      <c r="B2056" s="1051"/>
      <c r="C2056" s="304"/>
      <c r="D2056" s="305" t="s">
        <v>51</v>
      </c>
      <c r="E2056" s="306">
        <f>SUM(E2050:E2055)</f>
        <v>0</v>
      </c>
      <c r="F2056" s="307">
        <v>50000</v>
      </c>
      <c r="G2056" s="366">
        <f>SUM(G2050:G2055)</f>
        <v>0</v>
      </c>
      <c r="H2056" s="365">
        <f t="shared" ref="H2056:I2056" si="2576">SUM(H2050:H2055)</f>
        <v>0</v>
      </c>
      <c r="I2056" s="365">
        <f t="shared" si="2576"/>
        <v>0</v>
      </c>
      <c r="J2056" s="356">
        <f>+G2056/F2056</f>
        <v>0</v>
      </c>
      <c r="K2056" s="366">
        <f t="shared" ref="K2056:M2056" si="2577">SUM(K2050:K2055)</f>
        <v>88670</v>
      </c>
      <c r="L2056" s="365">
        <f t="shared" si="2577"/>
        <v>86112</v>
      </c>
      <c r="M2056" s="367">
        <f t="shared" si="2577"/>
        <v>2558</v>
      </c>
      <c r="N2056" s="355" t="str">
        <f t="shared" si="2569"/>
        <v>-</v>
      </c>
      <c r="O2056" s="356">
        <f t="shared" si="2521"/>
        <v>2.8848539528589151E-2</v>
      </c>
    </row>
    <row r="2057" spans="1:15" ht="24" thickBot="1" x14ac:dyDescent="0.35">
      <c r="A2057" s="274" t="s">
        <v>101</v>
      </c>
      <c r="B2057" s="1054" t="s">
        <v>163</v>
      </c>
      <c r="C2057" s="1055"/>
      <c r="D2057" s="1056"/>
      <c r="E2057" s="308">
        <f>+E2056+E2049</f>
        <v>350000</v>
      </c>
      <c r="F2057" s="309">
        <v>50000</v>
      </c>
      <c r="G2057" s="369">
        <f>+G2049+G2056</f>
        <v>3890</v>
      </c>
      <c r="H2057" s="368">
        <f t="shared" ref="H2057:I2057" si="2578">+H2049+H2056</f>
        <v>3744</v>
      </c>
      <c r="I2057" s="368">
        <f t="shared" si="2578"/>
        <v>146</v>
      </c>
      <c r="J2057" s="358">
        <f>+G2057/F2057</f>
        <v>7.7799999999999994E-2</v>
      </c>
      <c r="K2057" s="369">
        <f t="shared" ref="K2057:M2057" si="2579">+K2049+K2056</f>
        <v>410176</v>
      </c>
      <c r="L2057" s="368">
        <f t="shared" si="2579"/>
        <v>400020</v>
      </c>
      <c r="M2057" s="370">
        <f t="shared" si="2579"/>
        <v>10156</v>
      </c>
      <c r="N2057" s="357">
        <f t="shared" si="2569"/>
        <v>1.1719314285714286</v>
      </c>
      <c r="O2057" s="358">
        <f t="shared" si="2521"/>
        <v>2.4760102980184117E-2</v>
      </c>
    </row>
    <row r="2058" spans="1:15" ht="24" thickBot="1" x14ac:dyDescent="0.35">
      <c r="A2058" s="274" t="s">
        <v>101</v>
      </c>
      <c r="B2058" s="598" t="s">
        <v>32</v>
      </c>
      <c r="C2058" s="981"/>
      <c r="D2058" s="310" t="s">
        <v>32</v>
      </c>
      <c r="E2058" s="287">
        <v>0</v>
      </c>
      <c r="F2058" s="288">
        <v>110000</v>
      </c>
      <c r="G2058" s="335">
        <f t="shared" ref="G2058" si="2580">+H2058+I2058</f>
        <v>0</v>
      </c>
      <c r="H2058" s="289">
        <v>0</v>
      </c>
      <c r="I2058" s="289">
        <v>0</v>
      </c>
      <c r="J2058" s="354">
        <f>IFERROR(G2058/F2058,"-")</f>
        <v>0</v>
      </c>
      <c r="K2058" s="335">
        <f>+L2058+M2058</f>
        <v>0</v>
      </c>
      <c r="L2058" s="289">
        <f>+H2058+L1941</f>
        <v>0</v>
      </c>
      <c r="M2058" s="290">
        <f>+I2058+M1941</f>
        <v>0</v>
      </c>
      <c r="N2058" s="340" t="str">
        <f t="shared" si="2569"/>
        <v>-</v>
      </c>
      <c r="O2058" s="348" t="str">
        <f t="shared" si="2521"/>
        <v>-</v>
      </c>
    </row>
    <row r="2059" spans="1:15" ht="24" thickBot="1" x14ac:dyDescent="0.35">
      <c r="A2059" s="274" t="s">
        <v>101</v>
      </c>
      <c r="B2059" s="1047" t="s">
        <v>21</v>
      </c>
      <c r="C2059" s="1048"/>
      <c r="D2059" s="1049"/>
      <c r="E2059" s="326">
        <f>+E2045+E2057+E2058</f>
        <v>2215664</v>
      </c>
      <c r="F2059" s="327">
        <f>+F2045+F2057+F2058</f>
        <v>400000</v>
      </c>
      <c r="G2059" s="326">
        <f>+G2045+G2057+G2058</f>
        <v>345549</v>
      </c>
      <c r="H2059" s="324">
        <f>+H2045+H2057+H2058</f>
        <v>341874</v>
      </c>
      <c r="I2059" s="324">
        <f>+I2045+I2057+I2058</f>
        <v>3675</v>
      </c>
      <c r="J2059" s="349">
        <f>+G2059/F2059</f>
        <v>0.86387250000000004</v>
      </c>
      <c r="K2059" s="326">
        <f>+K2045+K2057+K2058</f>
        <v>2439703</v>
      </c>
      <c r="L2059" s="324">
        <f>+L2045+L2057+L2058</f>
        <v>2400954</v>
      </c>
      <c r="M2059" s="325">
        <f>+M2045+M2057+M2058</f>
        <v>38749</v>
      </c>
      <c r="N2059" s="341">
        <f t="shared" si="2569"/>
        <v>1.1011159634312784</v>
      </c>
      <c r="O2059" s="349">
        <f t="shared" si="2521"/>
        <v>1.588267096445756E-2</v>
      </c>
    </row>
    <row r="2060" spans="1:15" ht="24" thickBot="1" x14ac:dyDescent="0.35">
      <c r="A2060" s="274" t="s">
        <v>101</v>
      </c>
      <c r="B2060" s="1019" t="s">
        <v>171</v>
      </c>
      <c r="C2060" s="1020"/>
      <c r="D2060" s="1021"/>
      <c r="E2060" s="330">
        <f>+E2059</f>
        <v>2215664</v>
      </c>
      <c r="F2060" s="331">
        <f t="shared" ref="F2060:I2060" si="2581">+F2059</f>
        <v>400000</v>
      </c>
      <c r="G2060" s="330">
        <f t="shared" si="2581"/>
        <v>345549</v>
      </c>
      <c r="H2060" s="328">
        <f t="shared" si="2581"/>
        <v>341874</v>
      </c>
      <c r="I2060" s="328">
        <f t="shared" si="2581"/>
        <v>3675</v>
      </c>
      <c r="J2060" s="872">
        <f>+G2060/F2060</f>
        <v>0.86387250000000004</v>
      </c>
      <c r="K2060" s="330">
        <f>+K2059</f>
        <v>2439703</v>
      </c>
      <c r="L2060" s="328">
        <f t="shared" ref="L2060" si="2582">+L2059</f>
        <v>2400954</v>
      </c>
      <c r="M2060" s="329">
        <f>+M2059</f>
        <v>38749</v>
      </c>
      <c r="N2060" s="342">
        <f t="shared" ref="N2060:O2060" si="2583">+N2059</f>
        <v>1.1011159634312784</v>
      </c>
      <c r="O2060" s="350">
        <f t="shared" si="2583"/>
        <v>1.588267096445756E-2</v>
      </c>
    </row>
    <row r="2061" spans="1:15" ht="23.4" x14ac:dyDescent="0.3">
      <c r="A2061" s="268" t="s">
        <v>102</v>
      </c>
      <c r="B2061" s="1022" t="s">
        <v>401</v>
      </c>
      <c r="C2061" s="311" t="s">
        <v>113</v>
      </c>
      <c r="D2061" s="311"/>
      <c r="E2061" s="270"/>
      <c r="F2061" s="271"/>
      <c r="G2061" s="332">
        <f t="shared" ref="G2061:G2063" si="2584">+H2061+I2061</f>
        <v>0</v>
      </c>
      <c r="H2061" s="272">
        <v>0</v>
      </c>
      <c r="I2061" s="272">
        <v>0</v>
      </c>
      <c r="J2061" s="351" t="str">
        <f>IFERROR(G2061/F2061,"-")</f>
        <v>-</v>
      </c>
      <c r="K2061" s="332">
        <f t="shared" ref="K2061:K2063" si="2585">+L2061+M2061</f>
        <v>0</v>
      </c>
      <c r="L2061" s="272">
        <f t="shared" ref="L2061:L2063" si="2586">+H2061+L1944</f>
        <v>0</v>
      </c>
      <c r="M2061" s="273">
        <f t="shared" ref="M2061:M2063" si="2587">+I2061+M1944</f>
        <v>0</v>
      </c>
      <c r="N2061" s="336" t="str">
        <f t="shared" ref="N2061:N2068" si="2588">IFERROR(K2061/E2061,"-")</f>
        <v>-</v>
      </c>
      <c r="O2061" s="346" t="str">
        <f t="shared" ref="O2061:O2086" si="2589">IFERROR(M2061/K2061,"-")</f>
        <v>-</v>
      </c>
    </row>
    <row r="2062" spans="1:15" ht="23.4" x14ac:dyDescent="0.3">
      <c r="A2062" s="274" t="s">
        <v>102</v>
      </c>
      <c r="B2062" s="1023"/>
      <c r="C2062" s="312" t="s">
        <v>247</v>
      </c>
      <c r="D2062" s="312"/>
      <c r="E2062" s="276">
        <v>2000</v>
      </c>
      <c r="F2062" s="277"/>
      <c r="G2062" s="333">
        <f t="shared" si="2584"/>
        <v>0</v>
      </c>
      <c r="H2062" s="278">
        <v>0</v>
      </c>
      <c r="I2062" s="278">
        <v>0</v>
      </c>
      <c r="J2062" s="351" t="str">
        <f t="shared" ref="J2062:J2063" si="2590">IFERROR(G2062/F2062,"-")</f>
        <v>-</v>
      </c>
      <c r="K2062" s="333">
        <f t="shared" si="2585"/>
        <v>9638</v>
      </c>
      <c r="L2062" s="272">
        <f t="shared" si="2586"/>
        <v>9149</v>
      </c>
      <c r="M2062" s="273">
        <f t="shared" si="2587"/>
        <v>489</v>
      </c>
      <c r="N2062" s="337">
        <f t="shared" si="2588"/>
        <v>4.819</v>
      </c>
      <c r="O2062" s="263">
        <f t="shared" si="2589"/>
        <v>5.0736667358373108E-2</v>
      </c>
    </row>
    <row r="2063" spans="1:15" ht="24" thickBot="1" x14ac:dyDescent="0.35">
      <c r="A2063" s="274" t="s">
        <v>102</v>
      </c>
      <c r="B2063" s="1024"/>
      <c r="C2063" s="313" t="s">
        <v>33</v>
      </c>
      <c r="D2063" s="313"/>
      <c r="E2063" s="280"/>
      <c r="F2063" s="281"/>
      <c r="G2063" s="334">
        <f t="shared" si="2584"/>
        <v>0</v>
      </c>
      <c r="H2063" s="282">
        <v>0</v>
      </c>
      <c r="I2063" s="282">
        <v>0</v>
      </c>
      <c r="J2063" s="351" t="str">
        <f t="shared" si="2590"/>
        <v>-</v>
      </c>
      <c r="K2063" s="334">
        <f t="shared" si="2585"/>
        <v>0</v>
      </c>
      <c r="L2063" s="272">
        <f t="shared" si="2586"/>
        <v>0</v>
      </c>
      <c r="M2063" s="273">
        <f t="shared" si="2587"/>
        <v>0</v>
      </c>
      <c r="N2063" s="338" t="str">
        <f t="shared" si="2588"/>
        <v>-</v>
      </c>
      <c r="O2063" s="347" t="str">
        <f t="shared" si="2589"/>
        <v>-</v>
      </c>
    </row>
    <row r="2064" spans="1:15" ht="24" thickBot="1" x14ac:dyDescent="0.35">
      <c r="A2064" s="274" t="s">
        <v>102</v>
      </c>
      <c r="B2064" s="1025" t="s">
        <v>34</v>
      </c>
      <c r="C2064" s="1026"/>
      <c r="D2064" s="1027"/>
      <c r="E2064" s="284">
        <f>SUM(E2061:E2063)</f>
        <v>2000</v>
      </c>
      <c r="F2064" s="285">
        <v>6500</v>
      </c>
      <c r="G2064" s="320">
        <f>SUM(G2061:G2063)</f>
        <v>0</v>
      </c>
      <c r="H2064" s="321">
        <f t="shared" ref="H2064:I2064" si="2591">SUM(H2061:H2063)</f>
        <v>0</v>
      </c>
      <c r="I2064" s="321">
        <f t="shared" si="2591"/>
        <v>0</v>
      </c>
      <c r="J2064" s="345">
        <f>IFERROR(G2064/F2064,"-")</f>
        <v>0</v>
      </c>
      <c r="K2064" s="320">
        <f t="shared" ref="K2064:M2064" si="2592">SUM(K2061:K2063)</f>
        <v>9638</v>
      </c>
      <c r="L2064" s="321">
        <f t="shared" si="2592"/>
        <v>9149</v>
      </c>
      <c r="M2064" s="322">
        <f t="shared" si="2592"/>
        <v>489</v>
      </c>
      <c r="N2064" s="339">
        <f t="shared" si="2588"/>
        <v>4.819</v>
      </c>
      <c r="O2064" s="345">
        <f t="shared" si="2589"/>
        <v>5.0736667358373108E-2</v>
      </c>
    </row>
    <row r="2065" spans="1:15" ht="23.4" x14ac:dyDescent="0.3">
      <c r="A2065" s="274" t="s">
        <v>102</v>
      </c>
      <c r="B2065" s="1022" t="s">
        <v>35</v>
      </c>
      <c r="C2065" s="311" t="s">
        <v>113</v>
      </c>
      <c r="D2065" s="311"/>
      <c r="E2065" s="270">
        <v>116160</v>
      </c>
      <c r="F2065" s="271"/>
      <c r="G2065" s="332">
        <f t="shared" ref="G2065:G2068" si="2593">+H2065+I2065</f>
        <v>0</v>
      </c>
      <c r="H2065" s="272">
        <v>0</v>
      </c>
      <c r="I2065" s="272">
        <v>0</v>
      </c>
      <c r="J2065" s="351" t="str">
        <f>IFERROR(G2065/F2065,"-")</f>
        <v>-</v>
      </c>
      <c r="K2065" s="332">
        <f t="shared" ref="K2065:K2068" si="2594">+L2065+M2065</f>
        <v>0</v>
      </c>
      <c r="L2065" s="272">
        <f t="shared" ref="L2065:L2068" si="2595">+H2065+L1948</f>
        <v>0</v>
      </c>
      <c r="M2065" s="273">
        <f t="shared" ref="M2065:M2068" si="2596">+I2065+M1948</f>
        <v>0</v>
      </c>
      <c r="N2065" s="336">
        <f t="shared" si="2588"/>
        <v>0</v>
      </c>
      <c r="O2065" s="346" t="str">
        <f t="shared" si="2589"/>
        <v>-</v>
      </c>
    </row>
    <row r="2066" spans="1:15" ht="23.4" x14ac:dyDescent="0.3">
      <c r="A2066" s="274" t="s">
        <v>102</v>
      </c>
      <c r="B2066" s="1023"/>
      <c r="C2066" s="312" t="s">
        <v>247</v>
      </c>
      <c r="D2066" s="312"/>
      <c r="E2066" s="276"/>
      <c r="F2066" s="277"/>
      <c r="G2066" s="333">
        <f t="shared" si="2593"/>
        <v>3595</v>
      </c>
      <c r="H2066" s="278">
        <v>3520</v>
      </c>
      <c r="I2066" s="278">
        <v>75</v>
      </c>
      <c r="J2066" s="351" t="str">
        <f t="shared" ref="J2066:J2068" si="2597">IFERROR(G2066/F2066,"-")</f>
        <v>-</v>
      </c>
      <c r="K2066" s="333">
        <f t="shared" si="2594"/>
        <v>29190</v>
      </c>
      <c r="L2066" s="272">
        <f t="shared" si="2595"/>
        <v>27520</v>
      </c>
      <c r="M2066" s="273">
        <f t="shared" si="2596"/>
        <v>1670</v>
      </c>
      <c r="N2066" s="337" t="str">
        <f t="shared" si="2588"/>
        <v>-</v>
      </c>
      <c r="O2066" s="263">
        <f t="shared" si="2589"/>
        <v>5.7211373758136348E-2</v>
      </c>
    </row>
    <row r="2067" spans="1:15" ht="23.4" x14ac:dyDescent="0.3">
      <c r="A2067" s="274" t="s">
        <v>102</v>
      </c>
      <c r="B2067" s="1023"/>
      <c r="C2067" s="312" t="s">
        <v>496</v>
      </c>
      <c r="D2067" s="312"/>
      <c r="E2067" s="276">
        <v>20000</v>
      </c>
      <c r="F2067" s="277"/>
      <c r="G2067" s="333">
        <f t="shared" si="2593"/>
        <v>0</v>
      </c>
      <c r="H2067" s="278">
        <v>0</v>
      </c>
      <c r="I2067" s="278">
        <v>0</v>
      </c>
      <c r="J2067" s="351" t="str">
        <f t="shared" si="2597"/>
        <v>-</v>
      </c>
      <c r="K2067" s="333">
        <f t="shared" si="2594"/>
        <v>0</v>
      </c>
      <c r="L2067" s="272">
        <f t="shared" si="2595"/>
        <v>0</v>
      </c>
      <c r="M2067" s="273">
        <f t="shared" si="2596"/>
        <v>0</v>
      </c>
      <c r="N2067" s="337">
        <f t="shared" si="2588"/>
        <v>0</v>
      </c>
      <c r="O2067" s="263" t="str">
        <f t="shared" si="2589"/>
        <v>-</v>
      </c>
    </row>
    <row r="2068" spans="1:15" ht="24" thickBot="1" x14ac:dyDescent="0.35">
      <c r="A2068" s="274" t="s">
        <v>102</v>
      </c>
      <c r="B2068" s="1024"/>
      <c r="C2068" s="313" t="s">
        <v>36</v>
      </c>
      <c r="D2068" s="313"/>
      <c r="E2068" s="280"/>
      <c r="F2068" s="281"/>
      <c r="G2068" s="334">
        <f t="shared" si="2593"/>
        <v>0</v>
      </c>
      <c r="H2068" s="278">
        <v>0</v>
      </c>
      <c r="I2068" s="278">
        <v>0</v>
      </c>
      <c r="J2068" s="351" t="str">
        <f t="shared" si="2597"/>
        <v>-</v>
      </c>
      <c r="K2068" s="334">
        <f t="shared" si="2594"/>
        <v>0</v>
      </c>
      <c r="L2068" s="272">
        <f t="shared" si="2595"/>
        <v>0</v>
      </c>
      <c r="M2068" s="273">
        <f t="shared" si="2596"/>
        <v>0</v>
      </c>
      <c r="N2068" s="338" t="str">
        <f t="shared" si="2588"/>
        <v>-</v>
      </c>
      <c r="O2068" s="347" t="str">
        <f t="shared" si="2589"/>
        <v>-</v>
      </c>
    </row>
    <row r="2069" spans="1:15" ht="24" thickBot="1" x14ac:dyDescent="0.35">
      <c r="A2069" s="274" t="s">
        <v>102</v>
      </c>
      <c r="B2069" s="1025" t="s">
        <v>37</v>
      </c>
      <c r="C2069" s="1026"/>
      <c r="D2069" s="1027"/>
      <c r="E2069" s="284">
        <f>SUM(E2065:E2068)</f>
        <v>136160</v>
      </c>
      <c r="F2069" s="285">
        <v>6500</v>
      </c>
      <c r="G2069" s="320">
        <f>SUM(G2065:G2068)</f>
        <v>3595</v>
      </c>
      <c r="H2069" s="321">
        <f t="shared" ref="H2069:I2069" si="2598">SUM(H2065:H2068)</f>
        <v>3520</v>
      </c>
      <c r="I2069" s="321">
        <f t="shared" si="2598"/>
        <v>75</v>
      </c>
      <c r="J2069" s="345">
        <f>IFERROR(G2069/F2069,"-")</f>
        <v>0.55307692307692302</v>
      </c>
      <c r="K2069" s="320">
        <f t="shared" ref="K2069:M2069" si="2599">SUM(K2065:K2068)</f>
        <v>29190</v>
      </c>
      <c r="L2069" s="321">
        <f t="shared" si="2599"/>
        <v>27520</v>
      </c>
      <c r="M2069" s="322">
        <f t="shared" si="2599"/>
        <v>1670</v>
      </c>
      <c r="N2069" s="339">
        <f>IFERROR(K2069/E2069,"-")</f>
        <v>0.21438014101057579</v>
      </c>
      <c r="O2069" s="345">
        <f t="shared" si="2589"/>
        <v>5.7211373758136348E-2</v>
      </c>
    </row>
    <row r="2070" spans="1:15" ht="23.4" x14ac:dyDescent="0.3">
      <c r="A2070" s="274" t="s">
        <v>102</v>
      </c>
      <c r="B2070" s="1022" t="s">
        <v>402</v>
      </c>
      <c r="C2070" s="314" t="s">
        <v>116</v>
      </c>
      <c r="D2070" s="314"/>
      <c r="E2070" s="270">
        <v>31000</v>
      </c>
      <c r="F2070" s="271"/>
      <c r="G2070" s="332">
        <f t="shared" ref="G2070:G2071" si="2600">+H2070+I2070</f>
        <v>0</v>
      </c>
      <c r="H2070" s="272">
        <v>0</v>
      </c>
      <c r="I2070" s="272">
        <v>0</v>
      </c>
      <c r="J2070" s="351" t="str">
        <f>IFERROR(G2070/F2070,"-")</f>
        <v>-</v>
      </c>
      <c r="K2070" s="332">
        <f t="shared" ref="K2070:K2071" si="2601">+L2070+M2070</f>
        <v>0</v>
      </c>
      <c r="L2070" s="272">
        <f t="shared" ref="L2070:L2071" si="2602">+H2070+L1953</f>
        <v>0</v>
      </c>
      <c r="M2070" s="273">
        <f t="shared" ref="M2070:M2071" si="2603">+I2070+M1953</f>
        <v>0</v>
      </c>
      <c r="N2070" s="336">
        <f t="shared" ref="N2070:N2086" si="2604">IFERROR(K2070/E2070,"-")</f>
        <v>0</v>
      </c>
      <c r="O2070" s="346" t="str">
        <f t="shared" si="2589"/>
        <v>-</v>
      </c>
    </row>
    <row r="2071" spans="1:15" ht="24" thickBot="1" x14ac:dyDescent="0.35">
      <c r="A2071" s="274" t="s">
        <v>102</v>
      </c>
      <c r="B2071" s="1024"/>
      <c r="C2071" s="286" t="s">
        <v>132</v>
      </c>
      <c r="D2071" s="286"/>
      <c r="E2071" s="280"/>
      <c r="F2071" s="281"/>
      <c r="G2071" s="334">
        <f t="shared" si="2600"/>
        <v>0</v>
      </c>
      <c r="H2071" s="282">
        <v>0</v>
      </c>
      <c r="I2071" s="282">
        <v>0</v>
      </c>
      <c r="J2071" s="351" t="str">
        <f>IFERROR(G2071/F2071,"-")</f>
        <v>-</v>
      </c>
      <c r="K2071" s="334">
        <f t="shared" si="2601"/>
        <v>22797</v>
      </c>
      <c r="L2071" s="272">
        <f t="shared" si="2602"/>
        <v>21790</v>
      </c>
      <c r="M2071" s="273">
        <f t="shared" si="2603"/>
        <v>1007</v>
      </c>
      <c r="N2071" s="338" t="str">
        <f t="shared" si="2604"/>
        <v>-</v>
      </c>
      <c r="O2071" s="347">
        <f t="shared" si="2589"/>
        <v>4.4172478834934421E-2</v>
      </c>
    </row>
    <row r="2072" spans="1:15" ht="24" thickBot="1" x14ac:dyDescent="0.35">
      <c r="A2072" s="985" t="s">
        <v>102</v>
      </c>
      <c r="B2072" s="1025" t="s">
        <v>38</v>
      </c>
      <c r="C2072" s="1026"/>
      <c r="D2072" s="1027"/>
      <c r="E2072" s="284">
        <f>SUM(E2070:E2071)</f>
        <v>31000</v>
      </c>
      <c r="F2072" s="285">
        <v>2800</v>
      </c>
      <c r="G2072" s="320">
        <f>SUM(G2070:G2071)</f>
        <v>0</v>
      </c>
      <c r="H2072" s="321">
        <f t="shared" ref="H2072:I2072" si="2605">SUM(H2070:H2071)</f>
        <v>0</v>
      </c>
      <c r="I2072" s="321">
        <f t="shared" si="2605"/>
        <v>0</v>
      </c>
      <c r="J2072" s="345" t="str">
        <f>IFERROR(G2072/F2062,"-")</f>
        <v>-</v>
      </c>
      <c r="K2072" s="320">
        <f t="shared" ref="K2072:M2072" si="2606">SUM(K2070:K2071)</f>
        <v>22797</v>
      </c>
      <c r="L2072" s="321">
        <f t="shared" si="2606"/>
        <v>21790</v>
      </c>
      <c r="M2072" s="322">
        <f t="shared" si="2606"/>
        <v>1007</v>
      </c>
      <c r="N2072" s="339">
        <f t="shared" si="2604"/>
        <v>0.73538709677419356</v>
      </c>
      <c r="O2072" s="345">
        <f t="shared" si="2589"/>
        <v>4.4172478834934421E-2</v>
      </c>
    </row>
    <row r="2073" spans="1:15" ht="23.4" x14ac:dyDescent="0.3">
      <c r="A2073" s="274" t="s">
        <v>102</v>
      </c>
      <c r="B2073" s="1022" t="s">
        <v>403</v>
      </c>
      <c r="C2073" s="269" t="s">
        <v>306</v>
      </c>
      <c r="D2073" s="269"/>
      <c r="E2073" s="270">
        <v>978200</v>
      </c>
      <c r="F2073" s="315"/>
      <c r="G2073" s="332">
        <f t="shared" ref="G2073:G2077" si="2607">+H2073+I2073</f>
        <v>46233</v>
      </c>
      <c r="H2073" s="272">
        <f>25920+20160</f>
        <v>46080</v>
      </c>
      <c r="I2073" s="272">
        <f>100+53</f>
        <v>153</v>
      </c>
      <c r="J2073" s="371" t="str">
        <f>IFERROR(G2073/F2073,"-")</f>
        <v>-</v>
      </c>
      <c r="K2073" s="332">
        <f t="shared" ref="K2073:K2077" si="2608">+L2073+M2073</f>
        <v>442040</v>
      </c>
      <c r="L2073" s="272">
        <f t="shared" ref="L2073:L2077" si="2609">+H2073+L1956</f>
        <v>438804</v>
      </c>
      <c r="M2073" s="272">
        <f t="shared" ref="M2073:M2077" si="2610">+I2073+M1956</f>
        <v>3236</v>
      </c>
      <c r="N2073" s="359">
        <f t="shared" si="2604"/>
        <v>0.45189122878756899</v>
      </c>
      <c r="O2073" s="360">
        <f t="shared" si="2589"/>
        <v>7.3206044701836937E-3</v>
      </c>
    </row>
    <row r="2074" spans="1:15" ht="23.4" x14ac:dyDescent="0.3">
      <c r="A2074" s="274" t="s">
        <v>102</v>
      </c>
      <c r="B2074" s="1023"/>
      <c r="C2074" s="269" t="s">
        <v>307</v>
      </c>
      <c r="D2074" s="275"/>
      <c r="E2074" s="276"/>
      <c r="F2074" s="316"/>
      <c r="G2074" s="333">
        <f t="shared" si="2607"/>
        <v>0</v>
      </c>
      <c r="H2074" s="278">
        <v>0</v>
      </c>
      <c r="I2074" s="278">
        <v>0</v>
      </c>
      <c r="J2074" s="371" t="str">
        <f t="shared" ref="J2074:J2077" si="2611">IFERROR(G2074/F2074,"-")</f>
        <v>-</v>
      </c>
      <c r="K2074" s="333">
        <f t="shared" si="2608"/>
        <v>0</v>
      </c>
      <c r="L2074" s="272">
        <f t="shared" si="2609"/>
        <v>0</v>
      </c>
      <c r="M2074" s="273">
        <f t="shared" si="2610"/>
        <v>0</v>
      </c>
      <c r="N2074" s="361" t="str">
        <f t="shared" si="2604"/>
        <v>-</v>
      </c>
      <c r="O2074" s="362" t="str">
        <f t="shared" si="2589"/>
        <v>-</v>
      </c>
    </row>
    <row r="2075" spans="1:15" ht="23.4" x14ac:dyDescent="0.3">
      <c r="A2075" s="274" t="s">
        <v>102</v>
      </c>
      <c r="B2075" s="1023"/>
      <c r="C2075" s="275" t="s">
        <v>499</v>
      </c>
      <c r="D2075" s="275"/>
      <c r="E2075" s="276">
        <f>70000+15000</f>
        <v>85000</v>
      </c>
      <c r="F2075" s="316"/>
      <c r="G2075" s="333">
        <f t="shared" si="2607"/>
        <v>0</v>
      </c>
      <c r="H2075" s="278">
        <v>0</v>
      </c>
      <c r="I2075" s="278">
        <v>0</v>
      </c>
      <c r="J2075" s="371" t="str">
        <f t="shared" si="2611"/>
        <v>-</v>
      </c>
      <c r="K2075" s="333">
        <f t="shared" si="2608"/>
        <v>49665</v>
      </c>
      <c r="L2075" s="272">
        <f t="shared" si="2609"/>
        <v>49032</v>
      </c>
      <c r="M2075" s="273">
        <f t="shared" si="2610"/>
        <v>633</v>
      </c>
      <c r="N2075" s="361">
        <f t="shared" si="2604"/>
        <v>0.58429411764705885</v>
      </c>
      <c r="O2075" s="362">
        <f t="shared" si="2589"/>
        <v>1.2745394140742978E-2</v>
      </c>
    </row>
    <row r="2076" spans="1:15" ht="23.4" x14ac:dyDescent="0.3">
      <c r="A2076" s="274" t="s">
        <v>102</v>
      </c>
      <c r="B2076" s="1023"/>
      <c r="C2076" s="275" t="s">
        <v>157</v>
      </c>
      <c r="D2076" s="275"/>
      <c r="E2076" s="276">
        <v>60040</v>
      </c>
      <c r="F2076" s="316"/>
      <c r="G2076" s="333">
        <f t="shared" si="2607"/>
        <v>0</v>
      </c>
      <c r="H2076" s="278">
        <v>0</v>
      </c>
      <c r="I2076" s="278">
        <v>0</v>
      </c>
      <c r="J2076" s="371" t="str">
        <f t="shared" si="2611"/>
        <v>-</v>
      </c>
      <c r="K2076" s="333">
        <f t="shared" si="2608"/>
        <v>0</v>
      </c>
      <c r="L2076" s="272">
        <f t="shared" si="2609"/>
        <v>0</v>
      </c>
      <c r="M2076" s="273">
        <f t="shared" si="2610"/>
        <v>0</v>
      </c>
      <c r="N2076" s="361">
        <f t="shared" si="2604"/>
        <v>0</v>
      </c>
      <c r="O2076" s="362" t="str">
        <f t="shared" si="2589"/>
        <v>-</v>
      </c>
    </row>
    <row r="2077" spans="1:15" ht="24" thickBot="1" x14ac:dyDescent="0.35">
      <c r="A2077" s="274" t="s">
        <v>102</v>
      </c>
      <c r="B2077" s="1024"/>
      <c r="C2077" s="279" t="s">
        <v>158</v>
      </c>
      <c r="D2077" s="279"/>
      <c r="E2077" s="280"/>
      <c r="F2077" s="317"/>
      <c r="G2077" s="334">
        <f t="shared" si="2607"/>
        <v>0</v>
      </c>
      <c r="H2077" s="278">
        <v>0</v>
      </c>
      <c r="I2077" s="278">
        <v>0</v>
      </c>
      <c r="J2077" s="371" t="str">
        <f t="shared" si="2611"/>
        <v>-</v>
      </c>
      <c r="K2077" s="334">
        <f t="shared" si="2608"/>
        <v>0</v>
      </c>
      <c r="L2077" s="272">
        <f t="shared" si="2609"/>
        <v>0</v>
      </c>
      <c r="M2077" s="273">
        <f t="shared" si="2610"/>
        <v>0</v>
      </c>
      <c r="N2077" s="363" t="str">
        <f t="shared" si="2604"/>
        <v>-</v>
      </c>
      <c r="O2077" s="364" t="str">
        <f t="shared" si="2589"/>
        <v>-</v>
      </c>
    </row>
    <row r="2078" spans="1:15" ht="24" thickBot="1" x14ac:dyDescent="0.35">
      <c r="A2078" s="274" t="s">
        <v>102</v>
      </c>
      <c r="B2078" s="1025" t="s">
        <v>39</v>
      </c>
      <c r="C2078" s="1026"/>
      <c r="D2078" s="1027"/>
      <c r="E2078" s="320">
        <f>SUM(E2073:E2077)</f>
        <v>1123240</v>
      </c>
      <c r="F2078" s="285">
        <v>25000</v>
      </c>
      <c r="G2078" s="320">
        <f>SUM(G2073:G2077)</f>
        <v>46233</v>
      </c>
      <c r="H2078" s="321">
        <f>SUM(H2073:H2077)</f>
        <v>46080</v>
      </c>
      <c r="I2078" s="321">
        <f>SUM(I2073:I2077)</f>
        <v>153</v>
      </c>
      <c r="J2078" s="345">
        <f>IFERROR(G2078/F2078,"-")</f>
        <v>1.8493200000000001</v>
      </c>
      <c r="K2078" s="320">
        <f>SUM(K2073:K2077)</f>
        <v>491705</v>
      </c>
      <c r="L2078" s="321">
        <f>SUM(L2073:L2077)</f>
        <v>487836</v>
      </c>
      <c r="M2078" s="322">
        <f>SUM(M2073:M2077)</f>
        <v>3869</v>
      </c>
      <c r="N2078" s="339">
        <f t="shared" si="2604"/>
        <v>0.43775595598447348</v>
      </c>
      <c r="O2078" s="345">
        <f t="shared" si="2589"/>
        <v>7.8685390630561011E-3</v>
      </c>
    </row>
    <row r="2079" spans="1:15" ht="23.4" x14ac:dyDescent="0.3">
      <c r="A2079" s="274" t="s">
        <v>102</v>
      </c>
      <c r="B2079" s="1022" t="s">
        <v>404</v>
      </c>
      <c r="C2079" s="269" t="s">
        <v>186</v>
      </c>
      <c r="D2079" s="269"/>
      <c r="E2079" s="270"/>
      <c r="F2079" s="271"/>
      <c r="G2079" s="332">
        <f t="shared" ref="G2079:G2081" si="2612">+H2079+I2079</f>
        <v>0</v>
      </c>
      <c r="H2079" s="272">
        <v>0</v>
      </c>
      <c r="I2079" s="272">
        <v>0</v>
      </c>
      <c r="J2079" s="351" t="str">
        <f>IFERROR(G2079/F2079,"-")</f>
        <v>-</v>
      </c>
      <c r="K2079" s="332">
        <f t="shared" ref="K2079:K2081" si="2613">+L2079+M2079</f>
        <v>0</v>
      </c>
      <c r="L2079" s="272">
        <f t="shared" ref="L2079:L2081" si="2614">+H2079+L1962</f>
        <v>0</v>
      </c>
      <c r="M2079" s="273">
        <f t="shared" ref="M2079:M2081" si="2615">+I2079+M1962</f>
        <v>0</v>
      </c>
      <c r="N2079" s="336" t="str">
        <f t="shared" si="2604"/>
        <v>-</v>
      </c>
      <c r="O2079" s="346" t="str">
        <f t="shared" si="2589"/>
        <v>-</v>
      </c>
    </row>
    <row r="2080" spans="1:15" ht="23.4" x14ac:dyDescent="0.3">
      <c r="A2080" s="274" t="s">
        <v>102</v>
      </c>
      <c r="B2080" s="1023"/>
      <c r="C2080" s="275" t="s">
        <v>497</v>
      </c>
      <c r="D2080" s="275"/>
      <c r="E2080" s="276"/>
      <c r="F2080" s="277"/>
      <c r="G2080" s="333">
        <f t="shared" si="2612"/>
        <v>0</v>
      </c>
      <c r="H2080" s="278">
        <v>0</v>
      </c>
      <c r="I2080" s="278">
        <v>0</v>
      </c>
      <c r="J2080" s="351" t="str">
        <f t="shared" ref="J2080:J2081" si="2616">IFERROR(G2080/F2080,"-")</f>
        <v>-</v>
      </c>
      <c r="K2080" s="333">
        <f t="shared" si="2613"/>
        <v>11826</v>
      </c>
      <c r="L2080" s="714">
        <f t="shared" si="2614"/>
        <v>11400</v>
      </c>
      <c r="M2080" s="273">
        <f t="shared" si="2615"/>
        <v>426</v>
      </c>
      <c r="N2080" s="361" t="str">
        <f t="shared" si="2604"/>
        <v>-</v>
      </c>
      <c r="O2080" s="362">
        <f t="shared" si="2589"/>
        <v>3.6022323693556568E-2</v>
      </c>
    </row>
    <row r="2081" spans="1:15" ht="24" thickBot="1" x14ac:dyDescent="0.35">
      <c r="A2081" s="274" t="s">
        <v>102</v>
      </c>
      <c r="B2081" s="1024"/>
      <c r="C2081" s="279" t="s">
        <v>498</v>
      </c>
      <c r="D2081" s="279"/>
      <c r="E2081" s="280"/>
      <c r="F2081" s="281"/>
      <c r="G2081" s="334">
        <f t="shared" si="2612"/>
        <v>0</v>
      </c>
      <c r="H2081" s="278">
        <v>0</v>
      </c>
      <c r="I2081" s="278">
        <v>0</v>
      </c>
      <c r="J2081" s="351" t="str">
        <f t="shared" si="2616"/>
        <v>-</v>
      </c>
      <c r="K2081" s="334">
        <f t="shared" si="2613"/>
        <v>0</v>
      </c>
      <c r="L2081" s="272">
        <f t="shared" si="2614"/>
        <v>0</v>
      </c>
      <c r="M2081" s="273">
        <f t="shared" si="2615"/>
        <v>0</v>
      </c>
      <c r="N2081" s="363" t="str">
        <f t="shared" si="2604"/>
        <v>-</v>
      </c>
      <c r="O2081" s="364" t="str">
        <f t="shared" si="2589"/>
        <v>-</v>
      </c>
    </row>
    <row r="2082" spans="1:15" ht="24" thickBot="1" x14ac:dyDescent="0.35">
      <c r="A2082" s="274" t="s">
        <v>102</v>
      </c>
      <c r="B2082" s="1034" t="s">
        <v>41</v>
      </c>
      <c r="C2082" s="1035"/>
      <c r="D2082" s="1036"/>
      <c r="E2082" s="320">
        <f>SUM(E2079:E2081)</f>
        <v>0</v>
      </c>
      <c r="F2082" s="285"/>
      <c r="G2082" s="320">
        <f>SUM(G2079:G2081)</f>
        <v>0</v>
      </c>
      <c r="H2082" s="321">
        <f t="shared" ref="H2082:I2082" si="2617">SUM(H2079:H2081)</f>
        <v>0</v>
      </c>
      <c r="I2082" s="321">
        <f t="shared" si="2617"/>
        <v>0</v>
      </c>
      <c r="J2082" s="345" t="str">
        <f>IFERROR(G2082/F2082,"-")</f>
        <v>-</v>
      </c>
      <c r="K2082" s="320">
        <f t="shared" ref="K2082:M2082" si="2618">SUM(K2079:K2081)</f>
        <v>11826</v>
      </c>
      <c r="L2082" s="365">
        <f t="shared" si="2618"/>
        <v>11400</v>
      </c>
      <c r="M2082" s="367">
        <f t="shared" si="2618"/>
        <v>426</v>
      </c>
      <c r="N2082" s="339" t="str">
        <f t="shared" si="2604"/>
        <v>-</v>
      </c>
      <c r="O2082" s="345">
        <f t="shared" si="2589"/>
        <v>3.6022323693556568E-2</v>
      </c>
    </row>
    <row r="2083" spans="1:15" ht="24" thickBot="1" x14ac:dyDescent="0.35">
      <c r="A2083" s="274" t="s">
        <v>102</v>
      </c>
      <c r="B2083" s="1022" t="s">
        <v>42</v>
      </c>
      <c r="C2083" s="269" t="s">
        <v>160</v>
      </c>
      <c r="D2083" s="269"/>
      <c r="E2083" s="270"/>
      <c r="F2083" s="271"/>
      <c r="G2083" s="332">
        <f t="shared" ref="G2083:G2084" si="2619">+H2083+I2083</f>
        <v>1630</v>
      </c>
      <c r="H2083" s="272">
        <v>1600</v>
      </c>
      <c r="I2083" s="272">
        <v>30</v>
      </c>
      <c r="J2083" s="371" t="str">
        <f>IFERROR(G2083/F2083,"-")</f>
        <v>-</v>
      </c>
      <c r="K2083" s="695">
        <f t="shared" ref="K2083:K2084" si="2620">+L2083+M2083</f>
        <v>10302</v>
      </c>
      <c r="L2083" s="688">
        <f t="shared" ref="L2083:L2084" si="2621">+H2083+L1966</f>
        <v>9600</v>
      </c>
      <c r="M2083" s="688">
        <f t="shared" ref="M2083:M2084" si="2622">+I2083+M1966</f>
        <v>702</v>
      </c>
      <c r="N2083" s="359" t="str">
        <f t="shared" si="2604"/>
        <v>-</v>
      </c>
      <c r="O2083" s="360">
        <f t="shared" si="2589"/>
        <v>6.8142108328479903E-2</v>
      </c>
    </row>
    <row r="2084" spans="1:15" ht="24" thickBot="1" x14ac:dyDescent="0.35">
      <c r="A2084" s="274" t="s">
        <v>102</v>
      </c>
      <c r="B2084" s="1024"/>
      <c r="C2084" s="279" t="s">
        <v>161</v>
      </c>
      <c r="D2084" s="279"/>
      <c r="E2084" s="280"/>
      <c r="F2084" s="281"/>
      <c r="G2084" s="334">
        <f t="shared" si="2619"/>
        <v>0</v>
      </c>
      <c r="H2084" s="282">
        <v>0</v>
      </c>
      <c r="I2084" s="282">
        <v>0</v>
      </c>
      <c r="J2084" s="373" t="str">
        <f>IFERROR(G2084/F2084,"-")</f>
        <v>-</v>
      </c>
      <c r="K2084" s="696">
        <f t="shared" si="2620"/>
        <v>0</v>
      </c>
      <c r="L2084" s="688">
        <f t="shared" si="2621"/>
        <v>0</v>
      </c>
      <c r="M2084" s="688">
        <f t="shared" si="2622"/>
        <v>0</v>
      </c>
      <c r="N2084" s="363" t="str">
        <f t="shared" si="2604"/>
        <v>-</v>
      </c>
      <c r="O2084" s="364" t="str">
        <f t="shared" si="2589"/>
        <v>-</v>
      </c>
    </row>
    <row r="2085" spans="1:15" ht="24" thickBot="1" x14ac:dyDescent="0.35">
      <c r="A2085" s="274" t="s">
        <v>102</v>
      </c>
      <c r="B2085" s="1034" t="s">
        <v>43</v>
      </c>
      <c r="C2085" s="1035"/>
      <c r="D2085" s="1036"/>
      <c r="E2085" s="284">
        <f>SUM(E2083:E2084)</f>
        <v>0</v>
      </c>
      <c r="F2085" s="285">
        <v>25000</v>
      </c>
      <c r="G2085" s="320">
        <f>SUM(G2083:G2084)</f>
        <v>1630</v>
      </c>
      <c r="H2085" s="321">
        <f t="shared" ref="H2085:I2085" si="2623">SUM(H2083:H2084)</f>
        <v>1600</v>
      </c>
      <c r="I2085" s="321">
        <f t="shared" si="2623"/>
        <v>30</v>
      </c>
      <c r="J2085" s="345">
        <f>IFERROR(G2085/F2085,"-")</f>
        <v>6.5199999999999994E-2</v>
      </c>
      <c r="K2085" s="760">
        <f t="shared" ref="K2085:M2085" si="2624">SUM(K2083:K2084)</f>
        <v>10302</v>
      </c>
      <c r="L2085" s="761">
        <f t="shared" si="2624"/>
        <v>9600</v>
      </c>
      <c r="M2085" s="761">
        <f t="shared" si="2624"/>
        <v>702</v>
      </c>
      <c r="N2085" s="339" t="str">
        <f t="shared" si="2604"/>
        <v>-</v>
      </c>
      <c r="O2085" s="345">
        <f t="shared" si="2589"/>
        <v>6.8142108328479903E-2</v>
      </c>
    </row>
    <row r="2086" spans="1:15" ht="24" thickBot="1" x14ac:dyDescent="0.35">
      <c r="A2086" s="274" t="s">
        <v>102</v>
      </c>
      <c r="B2086" s="1028" t="s">
        <v>25</v>
      </c>
      <c r="C2086" s="1029"/>
      <c r="D2086" s="1030"/>
      <c r="E2086" s="326">
        <f t="shared" ref="E2086:F2086" si="2625">+E2064+E2069+E2072+E2078+E2082+E2085</f>
        <v>1292400</v>
      </c>
      <c r="F2086" s="327">
        <f t="shared" si="2625"/>
        <v>65800</v>
      </c>
      <c r="G2086" s="326">
        <f>+G2064+G2069+G2072+G2078+G2082+G2085</f>
        <v>51458</v>
      </c>
      <c r="H2086" s="324">
        <f>+H2064+H2069+H2072+H2078+H2082+H2085</f>
        <v>51200</v>
      </c>
      <c r="I2086" s="324">
        <f t="shared" ref="I2086" si="2626">+I2064+I2069+I2072+I2078+I2082+I2085</f>
        <v>258</v>
      </c>
      <c r="J2086" s="349">
        <f>IFERROR(G2086/F2086,"-")</f>
        <v>0.78203647416413369</v>
      </c>
      <c r="K2086" s="326">
        <f>+K2064+K2069+K2072+K2078+K2082+K2085</f>
        <v>575458</v>
      </c>
      <c r="L2086" s="759">
        <f t="shared" ref="L2086:M2086" si="2627">+L2064+L2069+L2072+L2078+L2082+L2085</f>
        <v>567295</v>
      </c>
      <c r="M2086" s="325">
        <f t="shared" si="2627"/>
        <v>8163</v>
      </c>
      <c r="N2086" s="341">
        <f t="shared" si="2604"/>
        <v>0.44526307644692048</v>
      </c>
      <c r="O2086" s="349">
        <f t="shared" si="2589"/>
        <v>1.4185222900715604E-2</v>
      </c>
    </row>
    <row r="2087" spans="1:15" ht="24" thickBot="1" x14ac:dyDescent="0.35">
      <c r="A2087" s="318" t="s">
        <v>102</v>
      </c>
      <c r="B2087" s="1020" t="s">
        <v>173</v>
      </c>
      <c r="C2087" s="1020"/>
      <c r="D2087" s="1021"/>
      <c r="E2087" s="330">
        <f>+E2086</f>
        <v>1292400</v>
      </c>
      <c r="F2087" s="331">
        <f t="shared" ref="F2087:I2087" si="2628">+F2086</f>
        <v>65800</v>
      </c>
      <c r="G2087" s="330">
        <f t="shared" si="2628"/>
        <v>51458</v>
      </c>
      <c r="H2087" s="328">
        <f t="shared" si="2628"/>
        <v>51200</v>
      </c>
      <c r="I2087" s="328">
        <f t="shared" si="2628"/>
        <v>258</v>
      </c>
      <c r="J2087" s="350">
        <f>+G2087/F2087</f>
        <v>0.78203647416413369</v>
      </c>
      <c r="K2087" s="330">
        <f t="shared" ref="K2087:O2087" si="2629">+K2086</f>
        <v>575458</v>
      </c>
      <c r="L2087" s="328">
        <f t="shared" si="2629"/>
        <v>567295</v>
      </c>
      <c r="M2087" s="329">
        <f t="shared" si="2629"/>
        <v>8163</v>
      </c>
      <c r="N2087" s="342">
        <f t="shared" si="2629"/>
        <v>0.44526307644692048</v>
      </c>
      <c r="O2087" s="350">
        <f t="shared" si="2629"/>
        <v>1.4185222900715604E-2</v>
      </c>
    </row>
    <row r="2088" spans="1:15" ht="24.6" thickBot="1" x14ac:dyDescent="0.35">
      <c r="A2088" s="319"/>
      <c r="B2088" s="1031" t="s">
        <v>174</v>
      </c>
      <c r="C2088" s="1032"/>
      <c r="D2088" s="1033"/>
      <c r="E2088" s="374">
        <f>+E2025+E2060+E2087</f>
        <v>7473564</v>
      </c>
      <c r="F2088" s="374">
        <f>+F2025+F2060+F2087</f>
        <v>914800</v>
      </c>
      <c r="G2088" s="374">
        <f>+G2025+G2060+G2087</f>
        <v>500369</v>
      </c>
      <c r="H2088" s="374">
        <f>+H2025+H2060+H2087</f>
        <v>495453</v>
      </c>
      <c r="I2088" s="374">
        <f>+I2025+I2060+I2087</f>
        <v>4916</v>
      </c>
      <c r="J2088" s="375">
        <f>IFERROR(G2088/F2088,"-")</f>
        <v>0.54697092260603408</v>
      </c>
      <c r="K2088" s="374">
        <f>+K2025+K2060+K2087</f>
        <v>6501496</v>
      </c>
      <c r="L2088" s="374">
        <f>+L2025+L2060+L2087</f>
        <v>6437236</v>
      </c>
      <c r="M2088" s="374">
        <f>+M2025+M2060+M2087</f>
        <v>64260</v>
      </c>
      <c r="N2088" s="375">
        <f>IFERROR(K2088/E2088,"-")</f>
        <v>0.86993247130820051</v>
      </c>
      <c r="O2088" s="375">
        <f>IFERROR(M2088/K2088,"-")</f>
        <v>9.8838790333793947E-3</v>
      </c>
    </row>
    <row r="2089" spans="1:15" ht="23.4" x14ac:dyDescent="0.3">
      <c r="A2089" s="1057" t="s">
        <v>1</v>
      </c>
      <c r="B2089" s="1060" t="s">
        <v>2</v>
      </c>
      <c r="C2089" s="1063" t="s">
        <v>396</v>
      </c>
      <c r="D2089" s="1063" t="s">
        <v>397</v>
      </c>
      <c r="E2089" s="1066" t="s">
        <v>4</v>
      </c>
      <c r="F2089" s="1067"/>
      <c r="G2089" s="1067"/>
      <c r="H2089" s="1067"/>
      <c r="I2089" s="1067"/>
      <c r="J2089" s="1067"/>
      <c r="K2089" s="1067"/>
      <c r="L2089" s="1067"/>
      <c r="M2089" s="1067"/>
      <c r="N2089" s="1067"/>
      <c r="O2089" s="1068"/>
    </row>
    <row r="2090" spans="1:15" ht="23.4" x14ac:dyDescent="0.3">
      <c r="A2090" s="1058"/>
      <c r="B2090" s="1061"/>
      <c r="C2090" s="1064"/>
      <c r="D2090" s="1064"/>
      <c r="E2090" s="1069" t="s">
        <v>7</v>
      </c>
      <c r="F2090" s="1071" t="s">
        <v>108</v>
      </c>
      <c r="G2090" s="1073" t="s">
        <v>590</v>
      </c>
      <c r="H2090" s="1074"/>
      <c r="I2090" s="1074"/>
      <c r="J2090" s="1075"/>
      <c r="K2090" s="1076" t="s">
        <v>398</v>
      </c>
      <c r="L2090" s="1077"/>
      <c r="M2090" s="1078"/>
      <c r="N2090" s="1079" t="s">
        <v>399</v>
      </c>
      <c r="O2090" s="1081" t="s">
        <v>164</v>
      </c>
    </row>
    <row r="2091" spans="1:15" ht="41.4" thickBot="1" x14ac:dyDescent="0.35">
      <c r="A2091" s="1059"/>
      <c r="B2091" s="1062"/>
      <c r="C2091" s="1065"/>
      <c r="D2091" s="1065"/>
      <c r="E2091" s="1070"/>
      <c r="F2091" s="1072"/>
      <c r="G2091" s="452" t="s">
        <v>13</v>
      </c>
      <c r="H2091" s="453" t="s">
        <v>14</v>
      </c>
      <c r="I2091" s="453" t="s">
        <v>15</v>
      </c>
      <c r="J2091" s="454" t="s">
        <v>166</v>
      </c>
      <c r="K2091" s="680" t="s">
        <v>13</v>
      </c>
      <c r="L2091" s="678" t="s">
        <v>14</v>
      </c>
      <c r="M2091" s="679" t="s">
        <v>15</v>
      </c>
      <c r="N2091" s="1080"/>
      <c r="O2091" s="1082"/>
    </row>
    <row r="2092" spans="1:15" ht="23.4" x14ac:dyDescent="0.3">
      <c r="A2092" s="268" t="s">
        <v>103</v>
      </c>
      <c r="B2092" s="1043" t="s">
        <v>16</v>
      </c>
      <c r="C2092" s="269" t="s">
        <v>549</v>
      </c>
      <c r="D2092" s="269" t="s">
        <v>369</v>
      </c>
      <c r="E2092" s="270">
        <v>20000</v>
      </c>
      <c r="F2092" s="271"/>
      <c r="G2092" s="332">
        <f>+H2092+I2092</f>
        <v>0</v>
      </c>
      <c r="H2092" s="272">
        <v>0</v>
      </c>
      <c r="I2092" s="272">
        <v>0</v>
      </c>
      <c r="J2092" s="352" t="str">
        <f>IFERROR(G2092/F2092,"-")</f>
        <v>-</v>
      </c>
      <c r="K2092" s="694">
        <f>+L2092+M2092</f>
        <v>19671</v>
      </c>
      <c r="L2092" s="527">
        <f>+H2092+L1975</f>
        <v>18620</v>
      </c>
      <c r="M2092" s="459">
        <f>+I2092+M1975</f>
        <v>1051</v>
      </c>
      <c r="N2092" s="336">
        <f>IFERROR(K2092/E2092,"-")</f>
        <v>0.98355000000000004</v>
      </c>
      <c r="O2092" s="343">
        <f t="shared" ref="O2092:O2093" si="2630">IFERROR(M2092/K2092,"-")</f>
        <v>5.3428905495399318E-2</v>
      </c>
    </row>
    <row r="2093" spans="1:15" ht="23.4" x14ac:dyDescent="0.3">
      <c r="A2093" s="274" t="s">
        <v>103</v>
      </c>
      <c r="B2093" s="1044"/>
      <c r="C2093" s="275" t="s">
        <v>376</v>
      </c>
      <c r="D2093" s="275" t="s">
        <v>375</v>
      </c>
      <c r="E2093" s="276"/>
      <c r="F2093" s="277"/>
      <c r="G2093" s="333">
        <f t="shared" ref="G2093:G2095" si="2631">+H2093+I2093</f>
        <v>0</v>
      </c>
      <c r="H2093" s="278"/>
      <c r="I2093" s="278"/>
      <c r="J2093" s="352" t="str">
        <f t="shared" ref="J2093:J2095" si="2632">IFERROR(G2093/F2093,"-")</f>
        <v>-</v>
      </c>
      <c r="K2093" s="690">
        <f t="shared" ref="K2093:K2095" si="2633">+L2093+M2093</f>
        <v>0</v>
      </c>
      <c r="L2093" s="276">
        <f t="shared" ref="L2093:L2095" si="2634">+H2093+L1976</f>
        <v>0</v>
      </c>
      <c r="M2093" s="436">
        <f t="shared" ref="M2093:M2095" si="2635">+I2093+M1976</f>
        <v>0</v>
      </c>
      <c r="N2093" s="337" t="str">
        <f t="shared" ref="N2093:N2095" si="2636">IFERROR(K2093/E2093,"-")</f>
        <v>-</v>
      </c>
      <c r="O2093" s="265" t="str">
        <f t="shared" si="2630"/>
        <v>-</v>
      </c>
    </row>
    <row r="2094" spans="1:15" ht="23.4" x14ac:dyDescent="0.3">
      <c r="A2094" s="274" t="s">
        <v>103</v>
      </c>
      <c r="B2094" s="1044"/>
      <c r="C2094" s="573" t="s">
        <v>431</v>
      </c>
      <c r="D2094" s="573" t="s">
        <v>366</v>
      </c>
      <c r="E2094" s="720"/>
      <c r="F2094" s="721"/>
      <c r="G2094" s="333">
        <f t="shared" si="2631"/>
        <v>2880</v>
      </c>
      <c r="H2094" s="722">
        <v>2880</v>
      </c>
      <c r="I2094" s="722"/>
      <c r="J2094" s="352" t="str">
        <f t="shared" si="2632"/>
        <v>-</v>
      </c>
      <c r="K2094" s="690">
        <f t="shared" si="2633"/>
        <v>20716</v>
      </c>
      <c r="L2094" s="276">
        <f t="shared" si="2634"/>
        <v>20310</v>
      </c>
      <c r="M2094" s="436">
        <f t="shared" si="2635"/>
        <v>406</v>
      </c>
      <c r="N2094" s="337" t="str">
        <f t="shared" si="2636"/>
        <v>-</v>
      </c>
      <c r="O2094" s="265">
        <f>IFERROR(M2094/K2094,"-")</f>
        <v>1.9598378065263565E-2</v>
      </c>
    </row>
    <row r="2095" spans="1:15" ht="24" thickBot="1" x14ac:dyDescent="0.35">
      <c r="A2095" s="274" t="s">
        <v>103</v>
      </c>
      <c r="B2095" s="1045"/>
      <c r="C2095" s="279" t="s">
        <v>428</v>
      </c>
      <c r="D2095" s="279" t="s">
        <v>374</v>
      </c>
      <c r="E2095" s="280"/>
      <c r="F2095" s="281"/>
      <c r="G2095" s="334">
        <f t="shared" si="2631"/>
        <v>0</v>
      </c>
      <c r="H2095" s="272"/>
      <c r="I2095" s="272"/>
      <c r="J2095" s="352" t="str">
        <f t="shared" si="2632"/>
        <v>-</v>
      </c>
      <c r="K2095" s="691">
        <f t="shared" si="2633"/>
        <v>0</v>
      </c>
      <c r="L2095" s="530">
        <f t="shared" si="2634"/>
        <v>0</v>
      </c>
      <c r="M2095" s="462">
        <f t="shared" si="2635"/>
        <v>0</v>
      </c>
      <c r="N2095" s="338" t="str">
        <f t="shared" si="2636"/>
        <v>-</v>
      </c>
      <c r="O2095" s="344" t="str">
        <f t="shared" ref="O2095:O2113" si="2637">IFERROR(M2095/K2095,"-")</f>
        <v>-</v>
      </c>
    </row>
    <row r="2096" spans="1:15" ht="24" thickBot="1" x14ac:dyDescent="0.35">
      <c r="A2096" s="274" t="s">
        <v>103</v>
      </c>
      <c r="B2096" s="1025" t="s">
        <v>44</v>
      </c>
      <c r="C2096" s="1026"/>
      <c r="D2096" s="1027"/>
      <c r="E2096" s="320">
        <f>SUM(E2092:E2095)</f>
        <v>20000</v>
      </c>
      <c r="F2096" s="285">
        <v>15000</v>
      </c>
      <c r="G2096" s="320">
        <f>SUM(G2092:G2095)</f>
        <v>2880</v>
      </c>
      <c r="H2096" s="321">
        <f t="shared" ref="H2096:I2096" si="2638">SUM(H2092:H2095)</f>
        <v>2880</v>
      </c>
      <c r="I2096" s="321">
        <f t="shared" si="2638"/>
        <v>0</v>
      </c>
      <c r="J2096" s="345">
        <f>+G2096/F2096</f>
        <v>0.192</v>
      </c>
      <c r="K2096" s="320">
        <f t="shared" ref="K2096" si="2639">SUM(K2092:K2095)</f>
        <v>40387</v>
      </c>
      <c r="L2096" s="692">
        <f>SUM(L2092:L2095)</f>
        <v>38930</v>
      </c>
      <c r="M2096" s="693">
        <f>SUM(M2092:M2095)</f>
        <v>1457</v>
      </c>
      <c r="N2096" s="339">
        <f>IFERROR(K2096/E2096,"-")</f>
        <v>2.0193500000000002</v>
      </c>
      <c r="O2096" s="345">
        <f t="shared" si="2637"/>
        <v>3.6075965038254887E-2</v>
      </c>
    </row>
    <row r="2097" spans="1:15" ht="23.4" x14ac:dyDescent="0.3">
      <c r="A2097" s="274" t="s">
        <v>103</v>
      </c>
      <c r="B2097" s="1043" t="s">
        <v>17</v>
      </c>
      <c r="C2097" s="269" t="s">
        <v>294</v>
      </c>
      <c r="D2097" s="269"/>
      <c r="E2097" s="270"/>
      <c r="F2097" s="271"/>
      <c r="G2097" s="332">
        <f t="shared" ref="G2097:G2103" si="2640">+H2097+I2097</f>
        <v>0</v>
      </c>
      <c r="H2097" s="272">
        <v>0</v>
      </c>
      <c r="I2097" s="272">
        <v>0</v>
      </c>
      <c r="J2097" s="351" t="str">
        <f>IFERROR(G2097/F2097,"-")</f>
        <v>-</v>
      </c>
      <c r="K2097" s="694">
        <f t="shared" ref="K2097:K2103" si="2641">+L2097+M2097</f>
        <v>0</v>
      </c>
      <c r="L2097" s="527">
        <f t="shared" ref="L2097:L2103" si="2642">+H2097+L1980</f>
        <v>0</v>
      </c>
      <c r="M2097" s="459">
        <f t="shared" ref="M2097:M2103" si="2643">+I2097+M1980</f>
        <v>0</v>
      </c>
      <c r="N2097" s="336" t="str">
        <f t="shared" ref="N2097:N2103" si="2644">IFERROR(K2097/E2097,"-")</f>
        <v>-</v>
      </c>
      <c r="O2097" s="346" t="str">
        <f t="shared" si="2637"/>
        <v>-</v>
      </c>
    </row>
    <row r="2098" spans="1:15" ht="23.4" x14ac:dyDescent="0.3">
      <c r="A2098" s="274" t="s">
        <v>103</v>
      </c>
      <c r="B2098" s="1044"/>
      <c r="C2098" s="275" t="s">
        <v>344</v>
      </c>
      <c r="D2098" s="275" t="s">
        <v>232</v>
      </c>
      <c r="E2098" s="276">
        <v>1600000</v>
      </c>
      <c r="F2098" s="277"/>
      <c r="G2098" s="333">
        <f t="shared" si="2640"/>
        <v>0</v>
      </c>
      <c r="H2098" s="278">
        <v>0</v>
      </c>
      <c r="I2098" s="278">
        <v>0</v>
      </c>
      <c r="J2098" s="351" t="str">
        <f t="shared" ref="J2098:J2103" si="2645">IFERROR(G2098/F2098,"-")</f>
        <v>-</v>
      </c>
      <c r="K2098" s="690">
        <f t="shared" si="2641"/>
        <v>6120</v>
      </c>
      <c r="L2098" s="276">
        <f t="shared" si="2642"/>
        <v>5980</v>
      </c>
      <c r="M2098" s="436">
        <f t="shared" si="2643"/>
        <v>140</v>
      </c>
      <c r="N2098" s="337">
        <f t="shared" si="2644"/>
        <v>3.8249999999999998E-3</v>
      </c>
      <c r="O2098" s="263">
        <f t="shared" si="2637"/>
        <v>2.2875816993464051E-2</v>
      </c>
    </row>
    <row r="2099" spans="1:15" ht="23.4" x14ac:dyDescent="0.3">
      <c r="A2099" s="274" t="s">
        <v>103</v>
      </c>
      <c r="B2099" s="1044"/>
      <c r="C2099" s="275" t="s">
        <v>367</v>
      </c>
      <c r="D2099" s="275" t="s">
        <v>187</v>
      </c>
      <c r="E2099" s="276">
        <v>1000000</v>
      </c>
      <c r="F2099" s="277"/>
      <c r="G2099" s="333">
        <f t="shared" si="2640"/>
        <v>30870</v>
      </c>
      <c r="H2099" s="278">
        <v>30600</v>
      </c>
      <c r="I2099" s="278">
        <v>270</v>
      </c>
      <c r="J2099" s="351" t="str">
        <f t="shared" si="2645"/>
        <v>-</v>
      </c>
      <c r="K2099" s="690">
        <f t="shared" si="2641"/>
        <v>1372735</v>
      </c>
      <c r="L2099" s="276">
        <f t="shared" si="2642"/>
        <v>1364760</v>
      </c>
      <c r="M2099" s="436">
        <f t="shared" si="2643"/>
        <v>7975</v>
      </c>
      <c r="N2099" s="337">
        <f t="shared" si="2644"/>
        <v>1.372735</v>
      </c>
      <c r="O2099" s="263">
        <f t="shared" si="2637"/>
        <v>5.8095699461294427E-3</v>
      </c>
    </row>
    <row r="2100" spans="1:15" ht="23.4" x14ac:dyDescent="0.3">
      <c r="A2100" s="274" t="s">
        <v>103</v>
      </c>
      <c r="B2100" s="1044"/>
      <c r="C2100" s="275" t="s">
        <v>530</v>
      </c>
      <c r="D2100" s="275" t="s">
        <v>529</v>
      </c>
      <c r="E2100" s="276"/>
      <c r="F2100" s="277"/>
      <c r="G2100" s="333">
        <f t="shared" si="2640"/>
        <v>0</v>
      </c>
      <c r="H2100" s="278">
        <v>0</v>
      </c>
      <c r="I2100" s="278">
        <v>0</v>
      </c>
      <c r="J2100" s="351" t="str">
        <f t="shared" si="2645"/>
        <v>-</v>
      </c>
      <c r="K2100" s="690">
        <f t="shared" si="2641"/>
        <v>41558</v>
      </c>
      <c r="L2100" s="276">
        <f t="shared" si="2642"/>
        <v>41350</v>
      </c>
      <c r="M2100" s="436">
        <f t="shared" si="2643"/>
        <v>208</v>
      </c>
      <c r="N2100" s="337" t="str">
        <f t="shared" si="2644"/>
        <v>-</v>
      </c>
      <c r="O2100" s="263">
        <f t="shared" si="2637"/>
        <v>5.0050531786900235E-3</v>
      </c>
    </row>
    <row r="2101" spans="1:15" ht="23.4" x14ac:dyDescent="0.3">
      <c r="A2101" s="274" t="s">
        <v>103</v>
      </c>
      <c r="B2101" s="1044"/>
      <c r="C2101" s="275" t="s">
        <v>323</v>
      </c>
      <c r="D2101" s="275" t="s">
        <v>318</v>
      </c>
      <c r="E2101" s="276"/>
      <c r="F2101" s="277"/>
      <c r="G2101" s="333">
        <f t="shared" si="2640"/>
        <v>0</v>
      </c>
      <c r="H2101" s="278">
        <v>0</v>
      </c>
      <c r="I2101" s="278">
        <v>0</v>
      </c>
      <c r="J2101" s="351" t="str">
        <f t="shared" si="2645"/>
        <v>-</v>
      </c>
      <c r="K2101" s="690">
        <f t="shared" si="2641"/>
        <v>0</v>
      </c>
      <c r="L2101" s="276">
        <f t="shared" si="2642"/>
        <v>0</v>
      </c>
      <c r="M2101" s="436">
        <f t="shared" si="2643"/>
        <v>0</v>
      </c>
      <c r="N2101" s="337" t="str">
        <f t="shared" si="2644"/>
        <v>-</v>
      </c>
      <c r="O2101" s="263" t="str">
        <f t="shared" si="2637"/>
        <v>-</v>
      </c>
    </row>
    <row r="2102" spans="1:15" ht="23.4" x14ac:dyDescent="0.3">
      <c r="A2102" s="274" t="s">
        <v>103</v>
      </c>
      <c r="B2102" s="1044"/>
      <c r="C2102" s="275" t="s">
        <v>528</v>
      </c>
      <c r="D2102" s="275" t="s">
        <v>189</v>
      </c>
      <c r="E2102" s="276"/>
      <c r="F2102" s="277"/>
      <c r="G2102" s="333">
        <f t="shared" si="2640"/>
        <v>0</v>
      </c>
      <c r="H2102" s="278">
        <v>0</v>
      </c>
      <c r="I2102" s="278">
        <v>0</v>
      </c>
      <c r="J2102" s="351" t="str">
        <f t="shared" si="2645"/>
        <v>-</v>
      </c>
      <c r="K2102" s="690">
        <f t="shared" si="2641"/>
        <v>33900</v>
      </c>
      <c r="L2102" s="276">
        <f t="shared" si="2642"/>
        <v>33760</v>
      </c>
      <c r="M2102" s="436">
        <f t="shared" si="2643"/>
        <v>140</v>
      </c>
      <c r="N2102" s="337" t="str">
        <f t="shared" si="2644"/>
        <v>-</v>
      </c>
      <c r="O2102" s="263">
        <f t="shared" si="2637"/>
        <v>4.1297935103244837E-3</v>
      </c>
    </row>
    <row r="2103" spans="1:15" ht="24" thickBot="1" x14ac:dyDescent="0.35">
      <c r="A2103" s="274" t="s">
        <v>103</v>
      </c>
      <c r="B2103" s="1045"/>
      <c r="C2103" s="279" t="s">
        <v>341</v>
      </c>
      <c r="D2103" s="279" t="s">
        <v>232</v>
      </c>
      <c r="E2103" s="280"/>
      <c r="F2103" s="281"/>
      <c r="G2103" s="334">
        <f t="shared" si="2640"/>
        <v>0</v>
      </c>
      <c r="H2103" s="278">
        <v>0</v>
      </c>
      <c r="I2103" s="278">
        <v>0</v>
      </c>
      <c r="J2103" s="351" t="str">
        <f t="shared" si="2645"/>
        <v>-</v>
      </c>
      <c r="K2103" s="691">
        <f t="shared" si="2641"/>
        <v>0</v>
      </c>
      <c r="L2103" s="530">
        <f t="shared" si="2642"/>
        <v>0</v>
      </c>
      <c r="M2103" s="462">
        <f t="shared" si="2643"/>
        <v>0</v>
      </c>
      <c r="N2103" s="338" t="str">
        <f t="shared" si="2644"/>
        <v>-</v>
      </c>
      <c r="O2103" s="347" t="str">
        <f t="shared" si="2637"/>
        <v>-</v>
      </c>
    </row>
    <row r="2104" spans="1:15" ht="24" thickBot="1" x14ac:dyDescent="0.35">
      <c r="A2104" s="274" t="s">
        <v>103</v>
      </c>
      <c r="B2104" s="1025" t="s">
        <v>45</v>
      </c>
      <c r="C2104" s="1026"/>
      <c r="D2104" s="1027"/>
      <c r="E2104" s="320">
        <f>SUM(E2097:E2103)</f>
        <v>2600000</v>
      </c>
      <c r="F2104" s="285">
        <v>100000</v>
      </c>
      <c r="G2104" s="320">
        <f>SUM(G2097:G2103)</f>
        <v>30870</v>
      </c>
      <c r="H2104" s="321">
        <f t="shared" ref="H2104:I2104" si="2646">SUM(H2097:H2103)</f>
        <v>30600</v>
      </c>
      <c r="I2104" s="321">
        <f t="shared" si="2646"/>
        <v>270</v>
      </c>
      <c r="J2104" s="345">
        <f>+G2104/F2104</f>
        <v>0.30869999999999997</v>
      </c>
      <c r="K2104" s="320">
        <f>SUM(K2097:K2103)</f>
        <v>1454313</v>
      </c>
      <c r="L2104" s="519">
        <f>SUM(L2097:L2103)</f>
        <v>1445850</v>
      </c>
      <c r="M2104" s="689">
        <f t="shared" ref="M2104" si="2647">SUM(M2097:M2103)</f>
        <v>8463</v>
      </c>
      <c r="N2104" s="339">
        <f>IFERROR(K2104/E2104,"-")</f>
        <v>0.55935115384615386</v>
      </c>
      <c r="O2104" s="345">
        <f t="shared" si="2637"/>
        <v>5.8192424876900642E-3</v>
      </c>
    </row>
    <row r="2105" spans="1:15" ht="23.4" x14ac:dyDescent="0.3">
      <c r="A2105" s="274" t="s">
        <v>103</v>
      </c>
      <c r="B2105" s="1043" t="s">
        <v>18</v>
      </c>
      <c r="C2105" s="269" t="s">
        <v>312</v>
      </c>
      <c r="D2105" s="269" t="s">
        <v>92</v>
      </c>
      <c r="E2105" s="270"/>
      <c r="F2105" s="271"/>
      <c r="G2105" s="332">
        <f t="shared" ref="G2105:G2111" si="2648">+H2105+I2105</f>
        <v>0</v>
      </c>
      <c r="H2105" s="272">
        <v>0</v>
      </c>
      <c r="I2105" s="272">
        <v>0</v>
      </c>
      <c r="J2105" s="351" t="str">
        <f>IFERROR(G2105/F2105,"-")</f>
        <v>-</v>
      </c>
      <c r="K2105" s="332">
        <f t="shared" ref="K2105:K2111" si="2649">+L2105+M2105</f>
        <v>0</v>
      </c>
      <c r="L2105" s="272">
        <f t="shared" ref="L2105:L2111" si="2650">+H2105+L1988</f>
        <v>0</v>
      </c>
      <c r="M2105" s="273">
        <f t="shared" ref="M2105:M2111" si="2651">+I2105+M1988</f>
        <v>0</v>
      </c>
      <c r="N2105" s="336" t="str">
        <f t="shared" ref="N2105:N2112" si="2652">IFERROR(K2105/E2105,"-")</f>
        <v>-</v>
      </c>
      <c r="O2105" s="346" t="str">
        <f t="shared" si="2637"/>
        <v>-</v>
      </c>
    </row>
    <row r="2106" spans="1:15" ht="23.4" x14ac:dyDescent="0.3">
      <c r="A2106" s="274" t="s">
        <v>103</v>
      </c>
      <c r="B2106" s="1044"/>
      <c r="C2106" s="275" t="s">
        <v>233</v>
      </c>
      <c r="D2106" s="275" t="s">
        <v>234</v>
      </c>
      <c r="E2106" s="276"/>
      <c r="F2106" s="277"/>
      <c r="G2106" s="333">
        <f t="shared" si="2648"/>
        <v>0</v>
      </c>
      <c r="H2106" s="278">
        <v>0</v>
      </c>
      <c r="I2106" s="278">
        <v>0</v>
      </c>
      <c r="J2106" s="351" t="str">
        <f t="shared" ref="J2106:J2111" si="2653">IFERROR(G2106/F2106,"-")</f>
        <v>-</v>
      </c>
      <c r="K2106" s="333">
        <f t="shared" si="2649"/>
        <v>0</v>
      </c>
      <c r="L2106" s="272">
        <f t="shared" si="2650"/>
        <v>0</v>
      </c>
      <c r="M2106" s="273">
        <f t="shared" si="2651"/>
        <v>0</v>
      </c>
      <c r="N2106" s="337" t="str">
        <f t="shared" si="2652"/>
        <v>-</v>
      </c>
      <c r="O2106" s="263" t="str">
        <f t="shared" si="2637"/>
        <v>-</v>
      </c>
    </row>
    <row r="2107" spans="1:15" ht="23.4" x14ac:dyDescent="0.3">
      <c r="A2107" s="274" t="s">
        <v>103</v>
      </c>
      <c r="B2107" s="1044"/>
      <c r="C2107" s="275" t="s">
        <v>115</v>
      </c>
      <c r="D2107" s="275"/>
      <c r="E2107" s="276"/>
      <c r="F2107" s="277"/>
      <c r="G2107" s="333">
        <f t="shared" si="2648"/>
        <v>0</v>
      </c>
      <c r="H2107" s="278">
        <v>0</v>
      </c>
      <c r="I2107" s="278">
        <v>0</v>
      </c>
      <c r="J2107" s="351" t="str">
        <f t="shared" si="2653"/>
        <v>-</v>
      </c>
      <c r="K2107" s="333">
        <f t="shared" si="2649"/>
        <v>0</v>
      </c>
      <c r="L2107" s="272">
        <f t="shared" si="2650"/>
        <v>0</v>
      </c>
      <c r="M2107" s="273">
        <f t="shared" si="2651"/>
        <v>0</v>
      </c>
      <c r="N2107" s="337" t="str">
        <f t="shared" si="2652"/>
        <v>-</v>
      </c>
      <c r="O2107" s="263" t="str">
        <f t="shared" si="2637"/>
        <v>-</v>
      </c>
    </row>
    <row r="2108" spans="1:15" ht="23.4" x14ac:dyDescent="0.3">
      <c r="A2108" s="274" t="s">
        <v>103</v>
      </c>
      <c r="B2108" s="1044"/>
      <c r="C2108" s="275" t="s">
        <v>122</v>
      </c>
      <c r="D2108" s="275"/>
      <c r="E2108" s="276"/>
      <c r="F2108" s="277"/>
      <c r="G2108" s="333">
        <f t="shared" si="2648"/>
        <v>0</v>
      </c>
      <c r="H2108" s="278">
        <v>0</v>
      </c>
      <c r="I2108" s="278">
        <v>0</v>
      </c>
      <c r="J2108" s="351" t="str">
        <f t="shared" si="2653"/>
        <v>-</v>
      </c>
      <c r="K2108" s="333">
        <f t="shared" si="2649"/>
        <v>0</v>
      </c>
      <c r="L2108" s="272">
        <f t="shared" si="2650"/>
        <v>0</v>
      </c>
      <c r="M2108" s="273">
        <f t="shared" si="2651"/>
        <v>0</v>
      </c>
      <c r="N2108" s="337" t="str">
        <f t="shared" si="2652"/>
        <v>-</v>
      </c>
      <c r="O2108" s="263" t="str">
        <f t="shared" si="2637"/>
        <v>-</v>
      </c>
    </row>
    <row r="2109" spans="1:15" ht="23.4" x14ac:dyDescent="0.3">
      <c r="A2109" s="274" t="s">
        <v>103</v>
      </c>
      <c r="B2109" s="1044"/>
      <c r="C2109" s="275" t="s">
        <v>176</v>
      </c>
      <c r="D2109" s="275" t="s">
        <v>177</v>
      </c>
      <c r="E2109" s="276"/>
      <c r="F2109" s="277"/>
      <c r="G2109" s="333">
        <f t="shared" si="2648"/>
        <v>0</v>
      </c>
      <c r="H2109" s="278">
        <v>0</v>
      </c>
      <c r="I2109" s="278">
        <v>0</v>
      </c>
      <c r="J2109" s="351" t="str">
        <f t="shared" si="2653"/>
        <v>-</v>
      </c>
      <c r="K2109" s="333">
        <f t="shared" si="2649"/>
        <v>0</v>
      </c>
      <c r="L2109" s="272">
        <f t="shared" si="2650"/>
        <v>0</v>
      </c>
      <c r="M2109" s="273">
        <f t="shared" si="2651"/>
        <v>0</v>
      </c>
      <c r="N2109" s="337" t="str">
        <f t="shared" si="2652"/>
        <v>-</v>
      </c>
      <c r="O2109" s="263" t="str">
        <f t="shared" si="2637"/>
        <v>-</v>
      </c>
    </row>
    <row r="2110" spans="1:15" ht="23.4" x14ac:dyDescent="0.3">
      <c r="A2110" s="274" t="s">
        <v>103</v>
      </c>
      <c r="B2110" s="1044"/>
      <c r="C2110" s="275" t="s">
        <v>179</v>
      </c>
      <c r="D2110" s="275" t="s">
        <v>178</v>
      </c>
      <c r="E2110" s="276"/>
      <c r="F2110" s="277"/>
      <c r="G2110" s="333">
        <f t="shared" si="2648"/>
        <v>0</v>
      </c>
      <c r="H2110" s="278">
        <v>0</v>
      </c>
      <c r="I2110" s="278">
        <v>0</v>
      </c>
      <c r="J2110" s="351" t="str">
        <f t="shared" si="2653"/>
        <v>-</v>
      </c>
      <c r="K2110" s="333">
        <f t="shared" si="2649"/>
        <v>0</v>
      </c>
      <c r="L2110" s="272">
        <f t="shared" si="2650"/>
        <v>0</v>
      </c>
      <c r="M2110" s="273">
        <f t="shared" si="2651"/>
        <v>0</v>
      </c>
      <c r="N2110" s="337" t="str">
        <f t="shared" si="2652"/>
        <v>-</v>
      </c>
      <c r="O2110" s="263" t="str">
        <f t="shared" si="2637"/>
        <v>-</v>
      </c>
    </row>
    <row r="2111" spans="1:15" ht="24" thickBot="1" x14ac:dyDescent="0.35">
      <c r="A2111" s="274" t="s">
        <v>103</v>
      </c>
      <c r="B2111" s="1045"/>
      <c r="C2111" s="286" t="s">
        <v>180</v>
      </c>
      <c r="D2111" s="286" t="s">
        <v>107</v>
      </c>
      <c r="E2111" s="280"/>
      <c r="F2111" s="281"/>
      <c r="G2111" s="334">
        <f t="shared" si="2648"/>
        <v>0</v>
      </c>
      <c r="H2111" s="282">
        <v>0</v>
      </c>
      <c r="I2111" s="282">
        <v>0</v>
      </c>
      <c r="J2111" s="351" t="str">
        <f t="shared" si="2653"/>
        <v>-</v>
      </c>
      <c r="K2111" s="334">
        <f t="shared" si="2649"/>
        <v>0</v>
      </c>
      <c r="L2111" s="272">
        <f t="shared" si="2650"/>
        <v>0</v>
      </c>
      <c r="M2111" s="273">
        <f t="shared" si="2651"/>
        <v>0</v>
      </c>
      <c r="N2111" s="338" t="str">
        <f t="shared" si="2652"/>
        <v>-</v>
      </c>
      <c r="O2111" s="347" t="str">
        <f t="shared" si="2637"/>
        <v>-</v>
      </c>
    </row>
    <row r="2112" spans="1:15" ht="24" thickBot="1" x14ac:dyDescent="0.35">
      <c r="A2112" s="274" t="s">
        <v>103</v>
      </c>
      <c r="B2112" s="1025" t="s">
        <v>29</v>
      </c>
      <c r="C2112" s="1083"/>
      <c r="D2112" s="1084"/>
      <c r="E2112" s="366">
        <f t="shared" ref="E2112" si="2654">SUM(E2105:E2111)</f>
        <v>0</v>
      </c>
      <c r="F2112" s="307">
        <v>80000</v>
      </c>
      <c r="G2112" s="366">
        <f>SUM(G2105:G2111)</f>
        <v>0</v>
      </c>
      <c r="H2112" s="365">
        <f t="shared" ref="H2112:I2112" si="2655">SUM(H2105:H2111)</f>
        <v>0</v>
      </c>
      <c r="I2112" s="365">
        <f t="shared" si="2655"/>
        <v>0</v>
      </c>
      <c r="J2112" s="356">
        <f>+G2112/F2112</f>
        <v>0</v>
      </c>
      <c r="K2112" s="366">
        <f t="shared" ref="K2112" si="2656">SUM(K2105:K2111)</f>
        <v>0</v>
      </c>
      <c r="L2112" s="365">
        <f>SUM(L2105:L2111)</f>
        <v>0</v>
      </c>
      <c r="M2112" s="367">
        <f t="shared" ref="M2112" si="2657">SUM(M2105:M2111)</f>
        <v>0</v>
      </c>
      <c r="N2112" s="355" t="str">
        <f t="shared" si="2652"/>
        <v>-</v>
      </c>
      <c r="O2112" s="356" t="str">
        <f t="shared" si="2637"/>
        <v>-</v>
      </c>
    </row>
    <row r="2113" spans="1:15" ht="23.4" x14ac:dyDescent="0.3">
      <c r="A2113" s="252" t="s">
        <v>103</v>
      </c>
      <c r="B2113" s="1037" t="s">
        <v>19</v>
      </c>
      <c r="C2113" s="669" t="s">
        <v>235</v>
      </c>
      <c r="D2113" s="883" t="s">
        <v>177</v>
      </c>
      <c r="E2113" s="912"/>
      <c r="F2113" s="838">
        <v>110000</v>
      </c>
      <c r="G2113" s="457">
        <f t="shared" ref="G2113:G2119" si="2658">+H2113+I2113</f>
        <v>25579</v>
      </c>
      <c r="H2113" s="458">
        <v>25344</v>
      </c>
      <c r="I2113" s="458">
        <v>235</v>
      </c>
      <c r="J2113" s="531">
        <f>IFERROR(G2113/F2113,"-")</f>
        <v>0.23253636363636362</v>
      </c>
      <c r="K2113" s="869">
        <f>+L2113+M2113</f>
        <v>576539</v>
      </c>
      <c r="L2113" s="527">
        <f t="shared" ref="L2113:L2119" si="2659">+H2113+L1996</f>
        <v>574464</v>
      </c>
      <c r="M2113" s="838">
        <f t="shared" ref="M2113:M2119" si="2660">+I2113+M1996</f>
        <v>2075</v>
      </c>
      <c r="N2113" s="646" t="str">
        <f>IFERROR(K2113/E2113,"-")</f>
        <v>-</v>
      </c>
      <c r="O2113" s="647">
        <f t="shared" si="2637"/>
        <v>3.5990626826632715E-3</v>
      </c>
    </row>
    <row r="2114" spans="1:15" ht="23.4" x14ac:dyDescent="0.3">
      <c r="A2114" s="252"/>
      <c r="B2114" s="1038"/>
      <c r="C2114" s="840" t="s">
        <v>377</v>
      </c>
      <c r="D2114" s="876" t="s">
        <v>423</v>
      </c>
      <c r="E2114" s="511">
        <v>1000000</v>
      </c>
      <c r="F2114" s="277"/>
      <c r="G2114" s="333">
        <f t="shared" si="2658"/>
        <v>25344</v>
      </c>
      <c r="H2114" s="278">
        <v>25344</v>
      </c>
      <c r="I2114" s="278">
        <v>0</v>
      </c>
      <c r="J2114" s="352" t="str">
        <f t="shared" ref="J2114:J2119" si="2661">IFERROR(G2114/F2114,"-")</f>
        <v>-</v>
      </c>
      <c r="K2114" s="870">
        <f>+L2114+M2114</f>
        <v>609980</v>
      </c>
      <c r="L2114" s="276">
        <f t="shared" si="2659"/>
        <v>608256</v>
      </c>
      <c r="M2114" s="277">
        <f t="shared" si="2660"/>
        <v>1724</v>
      </c>
      <c r="N2114" s="836">
        <f t="shared" ref="N2114:N2119" si="2662">IFERROR(K2114/E2114,"-")</f>
        <v>0.60997999999999997</v>
      </c>
      <c r="O2114" s="263">
        <f>IFERROR(M2114/K2114,"-")</f>
        <v>2.8263221744975245E-3</v>
      </c>
    </row>
    <row r="2115" spans="1:15" ht="23.4" x14ac:dyDescent="0.3">
      <c r="A2115" s="252"/>
      <c r="B2115" s="1038"/>
      <c r="C2115" s="840" t="s">
        <v>235</v>
      </c>
      <c r="D2115" s="876" t="s">
        <v>522</v>
      </c>
      <c r="E2115" s="511"/>
      <c r="F2115" s="277"/>
      <c r="G2115" s="333">
        <f t="shared" si="2658"/>
        <v>0</v>
      </c>
      <c r="H2115" s="278">
        <v>0</v>
      </c>
      <c r="I2115" s="278">
        <v>0</v>
      </c>
      <c r="J2115" s="352" t="str">
        <f t="shared" si="2661"/>
        <v>-</v>
      </c>
      <c r="K2115" s="870">
        <f t="shared" ref="K2115:K2118" si="2663">+L2115+M2115</f>
        <v>214277</v>
      </c>
      <c r="L2115" s="276">
        <f t="shared" si="2659"/>
        <v>213712</v>
      </c>
      <c r="M2115" s="277">
        <f t="shared" si="2660"/>
        <v>565</v>
      </c>
      <c r="N2115" s="836" t="str">
        <f t="shared" si="2662"/>
        <v>-</v>
      </c>
      <c r="O2115" s="263">
        <f t="shared" ref="O2115:O2176" si="2664">IFERROR(M2115/K2115,"-")</f>
        <v>2.6367738954717491E-3</v>
      </c>
    </row>
    <row r="2116" spans="1:15" ht="23.4" x14ac:dyDescent="0.3">
      <c r="A2116" s="252"/>
      <c r="B2116" s="1038"/>
      <c r="C2116" s="840" t="s">
        <v>377</v>
      </c>
      <c r="D2116" s="876" t="s">
        <v>522</v>
      </c>
      <c r="E2116" s="511"/>
      <c r="F2116" s="277"/>
      <c r="G2116" s="333">
        <f t="shared" si="2658"/>
        <v>0</v>
      </c>
      <c r="H2116" s="278">
        <v>0</v>
      </c>
      <c r="I2116" s="278">
        <v>0</v>
      </c>
      <c r="J2116" s="352" t="str">
        <f t="shared" si="2661"/>
        <v>-</v>
      </c>
      <c r="K2116" s="870">
        <f t="shared" si="2663"/>
        <v>288207</v>
      </c>
      <c r="L2116" s="276">
        <f t="shared" si="2659"/>
        <v>287232</v>
      </c>
      <c r="M2116" s="277">
        <f t="shared" si="2660"/>
        <v>975</v>
      </c>
      <c r="N2116" s="836" t="str">
        <f t="shared" si="2662"/>
        <v>-</v>
      </c>
      <c r="O2116" s="263">
        <f t="shared" si="2664"/>
        <v>3.3829851460929123E-3</v>
      </c>
    </row>
    <row r="2117" spans="1:15" ht="23.4" x14ac:dyDescent="0.3">
      <c r="A2117" s="252"/>
      <c r="B2117" s="1038"/>
      <c r="C2117" s="840" t="s">
        <v>551</v>
      </c>
      <c r="D2117" s="876" t="s">
        <v>522</v>
      </c>
      <c r="E2117" s="511"/>
      <c r="F2117" s="277"/>
      <c r="G2117" s="333">
        <f t="shared" si="2658"/>
        <v>0</v>
      </c>
      <c r="H2117" s="278">
        <v>0</v>
      </c>
      <c r="I2117" s="278">
        <v>0</v>
      </c>
      <c r="J2117" s="352" t="str">
        <f t="shared" si="2661"/>
        <v>-</v>
      </c>
      <c r="K2117" s="870">
        <f t="shared" si="2663"/>
        <v>151526</v>
      </c>
      <c r="L2117" s="276">
        <f t="shared" si="2659"/>
        <v>149952</v>
      </c>
      <c r="M2117" s="277">
        <f t="shared" si="2660"/>
        <v>1574</v>
      </c>
      <c r="N2117" s="836" t="str">
        <f t="shared" si="2662"/>
        <v>-</v>
      </c>
      <c r="O2117" s="263">
        <f t="shared" si="2664"/>
        <v>1.0387656243812942E-2</v>
      </c>
    </row>
    <row r="2118" spans="1:15" ht="23.4" x14ac:dyDescent="0.3">
      <c r="A2118" s="252"/>
      <c r="B2118" s="1038"/>
      <c r="C2118" s="840"/>
      <c r="D2118" s="876"/>
      <c r="E2118" s="511"/>
      <c r="F2118" s="277"/>
      <c r="G2118" s="333">
        <f t="shared" si="2658"/>
        <v>0</v>
      </c>
      <c r="H2118" s="278">
        <v>0</v>
      </c>
      <c r="I2118" s="278">
        <v>0</v>
      </c>
      <c r="J2118" s="352" t="str">
        <f t="shared" si="2661"/>
        <v>-</v>
      </c>
      <c r="K2118" s="870">
        <f t="shared" si="2663"/>
        <v>0</v>
      </c>
      <c r="L2118" s="276">
        <f t="shared" si="2659"/>
        <v>0</v>
      </c>
      <c r="M2118" s="277">
        <f t="shared" si="2660"/>
        <v>0</v>
      </c>
      <c r="N2118" s="836" t="str">
        <f t="shared" si="2662"/>
        <v>-</v>
      </c>
      <c r="O2118" s="263" t="str">
        <f t="shared" si="2664"/>
        <v>-</v>
      </c>
    </row>
    <row r="2119" spans="1:15" ht="24" thickBot="1" x14ac:dyDescent="0.35">
      <c r="A2119" s="252"/>
      <c r="B2119" s="1039"/>
      <c r="C2119" s="670" t="s">
        <v>342</v>
      </c>
      <c r="D2119" s="884"/>
      <c r="E2119" s="913">
        <v>150000</v>
      </c>
      <c r="F2119" s="839"/>
      <c r="G2119" s="460">
        <f t="shared" si="2658"/>
        <v>0</v>
      </c>
      <c r="H2119" s="461">
        <v>0</v>
      </c>
      <c r="I2119" s="461">
        <v>0</v>
      </c>
      <c r="J2119" s="532" t="str">
        <f t="shared" si="2661"/>
        <v>-</v>
      </c>
      <c r="K2119" s="871">
        <f>+L2119+M2119</f>
        <v>0</v>
      </c>
      <c r="L2119" s="530">
        <f t="shared" si="2659"/>
        <v>0</v>
      </c>
      <c r="M2119" s="839">
        <f t="shared" si="2660"/>
        <v>0</v>
      </c>
      <c r="N2119" s="837">
        <f t="shared" si="2662"/>
        <v>0</v>
      </c>
      <c r="O2119" s="264" t="str">
        <f t="shared" si="2664"/>
        <v>-</v>
      </c>
    </row>
    <row r="2120" spans="1:15" ht="24" thickBot="1" x14ac:dyDescent="0.35">
      <c r="A2120" s="274" t="s">
        <v>103</v>
      </c>
      <c r="B2120" s="1040" t="s">
        <v>46</v>
      </c>
      <c r="C2120" s="1041"/>
      <c r="D2120" s="1042"/>
      <c r="E2120" s="513">
        <f>SUM(E2113:E2119)</f>
        <v>1150000</v>
      </c>
      <c r="F2120" s="859">
        <f t="shared" ref="F2120" si="2665">SUM(F2113)</f>
        <v>110000</v>
      </c>
      <c r="G2120" s="513">
        <f>SUM(G2113:G2119)</f>
        <v>50923</v>
      </c>
      <c r="H2120" s="519">
        <f>SUM(H2113:H2119)</f>
        <v>50688</v>
      </c>
      <c r="I2120" s="519">
        <f>SUM(I2113:I2119)</f>
        <v>235</v>
      </c>
      <c r="J2120" s="520">
        <f>+G2120/F2120</f>
        <v>0.46293636363636365</v>
      </c>
      <c r="K2120" s="835">
        <f>SUM(K2113:K2119)</f>
        <v>1840529</v>
      </c>
      <c r="L2120" s="519">
        <f>SUM(L2113:L2119)</f>
        <v>1833616</v>
      </c>
      <c r="M2120" s="689">
        <f>SUM(M2113:M2119)</f>
        <v>6913</v>
      </c>
      <c r="N2120" s="521">
        <f>IFERROR(K2120/E2120,"-")</f>
        <v>1.60046</v>
      </c>
      <c r="O2120" s="520">
        <f t="shared" si="2664"/>
        <v>3.7559853715969701E-3</v>
      </c>
    </row>
    <row r="2121" spans="1:15" ht="23.4" x14ac:dyDescent="0.3">
      <c r="A2121" s="274" t="s">
        <v>103</v>
      </c>
      <c r="B2121" s="1043" t="s">
        <v>20</v>
      </c>
      <c r="C2121" s="291" t="s">
        <v>583</v>
      </c>
      <c r="D2121" s="995" t="s">
        <v>289</v>
      </c>
      <c r="E2121" s="270"/>
      <c r="F2121" s="271"/>
      <c r="G2121" s="332">
        <f t="shared" ref="G2121:G2123" si="2666">+H2121+I2121</f>
        <v>0</v>
      </c>
      <c r="H2121" s="272">
        <v>0</v>
      </c>
      <c r="I2121" s="272">
        <v>0</v>
      </c>
      <c r="J2121" s="351" t="str">
        <f>IFERROR(G2121/F2121,"-")</f>
        <v>-</v>
      </c>
      <c r="K2121" s="332">
        <f t="shared" ref="K2121:K2123" si="2667">+L2121+M2121</f>
        <v>15137</v>
      </c>
      <c r="L2121" s="272">
        <f t="shared" ref="L2121:L2123" si="2668">+H2121+L2004</f>
        <v>14979</v>
      </c>
      <c r="M2121" s="273">
        <f t="shared" ref="M2121:M2123" si="2669">+I2121+M2004</f>
        <v>158</v>
      </c>
      <c r="N2121" s="336" t="str">
        <f t="shared" ref="N2121:N2124" si="2670">IFERROR(K2121/E2121,"-")</f>
        <v>-</v>
      </c>
      <c r="O2121" s="346">
        <f t="shared" si="2664"/>
        <v>1.0437999603620268E-2</v>
      </c>
    </row>
    <row r="2122" spans="1:15" ht="23.4" x14ac:dyDescent="0.3">
      <c r="A2122" s="274" t="s">
        <v>103</v>
      </c>
      <c r="B2122" s="1044"/>
      <c r="C2122" s="292" t="s">
        <v>114</v>
      </c>
      <c r="D2122" s="292"/>
      <c r="E2122" s="276"/>
      <c r="F2122" s="277"/>
      <c r="G2122" s="333">
        <f t="shared" si="2666"/>
        <v>0</v>
      </c>
      <c r="H2122" s="278">
        <v>0</v>
      </c>
      <c r="I2122" s="278">
        <v>0</v>
      </c>
      <c r="J2122" s="351" t="str">
        <f t="shared" ref="J2122:J2123" si="2671">IFERROR(G2122/F2122,"-")</f>
        <v>-</v>
      </c>
      <c r="K2122" s="333">
        <f t="shared" si="2667"/>
        <v>0</v>
      </c>
      <c r="L2122" s="272">
        <f t="shared" si="2668"/>
        <v>0</v>
      </c>
      <c r="M2122" s="273">
        <f t="shared" si="2669"/>
        <v>0</v>
      </c>
      <c r="N2122" s="337" t="str">
        <f t="shared" si="2670"/>
        <v>-</v>
      </c>
      <c r="O2122" s="263" t="str">
        <f t="shared" si="2664"/>
        <v>-</v>
      </c>
    </row>
    <row r="2123" spans="1:15" ht="24" thickBot="1" x14ac:dyDescent="0.35">
      <c r="A2123" s="274" t="s">
        <v>103</v>
      </c>
      <c r="B2123" s="1045"/>
      <c r="C2123" s="293" t="s">
        <v>120</v>
      </c>
      <c r="D2123" s="293"/>
      <c r="E2123" s="280"/>
      <c r="F2123" s="281"/>
      <c r="G2123" s="334">
        <f t="shared" si="2666"/>
        <v>0</v>
      </c>
      <c r="H2123" s="282">
        <v>0</v>
      </c>
      <c r="I2123" s="282">
        <v>0</v>
      </c>
      <c r="J2123" s="351" t="str">
        <f t="shared" si="2671"/>
        <v>-</v>
      </c>
      <c r="K2123" s="334">
        <f t="shared" si="2667"/>
        <v>0</v>
      </c>
      <c r="L2123" s="272">
        <f t="shared" si="2668"/>
        <v>0</v>
      </c>
      <c r="M2123" s="273">
        <f t="shared" si="2669"/>
        <v>0</v>
      </c>
      <c r="N2123" s="338" t="str">
        <f t="shared" si="2670"/>
        <v>-</v>
      </c>
      <c r="O2123" s="347" t="str">
        <f t="shared" si="2664"/>
        <v>-</v>
      </c>
    </row>
    <row r="2124" spans="1:15" ht="24" thickBot="1" x14ac:dyDescent="0.35">
      <c r="A2124" s="274" t="s">
        <v>103</v>
      </c>
      <c r="B2124" s="1026" t="s">
        <v>47</v>
      </c>
      <c r="C2124" s="1026"/>
      <c r="D2124" s="1046"/>
      <c r="E2124" s="320">
        <f t="shared" ref="E2124" si="2672">SUM(E2121:E2123)</f>
        <v>0</v>
      </c>
      <c r="F2124" s="285">
        <v>50000</v>
      </c>
      <c r="G2124" s="320">
        <f>SUM(G2121:G2123)</f>
        <v>0</v>
      </c>
      <c r="H2124" s="321">
        <f t="shared" ref="H2124:I2124" si="2673">SUM(H2121:H2123)</f>
        <v>0</v>
      </c>
      <c r="I2124" s="321">
        <f t="shared" si="2673"/>
        <v>0</v>
      </c>
      <c r="J2124" s="345">
        <f>+G2124/F2124</f>
        <v>0</v>
      </c>
      <c r="K2124" s="320">
        <f t="shared" ref="K2124:M2124" si="2674">SUM(K2121:K2123)</f>
        <v>15137</v>
      </c>
      <c r="L2124" s="321">
        <f t="shared" si="2674"/>
        <v>14979</v>
      </c>
      <c r="M2124" s="322">
        <f t="shared" si="2674"/>
        <v>158</v>
      </c>
      <c r="N2124" s="339" t="str">
        <f t="shared" si="2670"/>
        <v>-</v>
      </c>
      <c r="O2124" s="345">
        <f t="shared" si="2664"/>
        <v>1.0437999603620268E-2</v>
      </c>
    </row>
    <row r="2125" spans="1:15" ht="24" thickBot="1" x14ac:dyDescent="0.35">
      <c r="A2125" s="274" t="s">
        <v>103</v>
      </c>
      <c r="B2125" s="1047" t="s">
        <v>21</v>
      </c>
      <c r="C2125" s="1048"/>
      <c r="D2125" s="1049"/>
      <c r="E2125" s="326">
        <f>+E2096+E2104+E2112+E2120+E2124</f>
        <v>3770000</v>
      </c>
      <c r="F2125" s="327">
        <f>+F2096+F2104+F2112+F2120+F2124</f>
        <v>355000</v>
      </c>
      <c r="G2125" s="326">
        <f>+G2096+G2104+G2112+G2120+G2124</f>
        <v>84673</v>
      </c>
      <c r="H2125" s="324">
        <f>+H2096+H2104+H2112+H2120+H2124</f>
        <v>84168</v>
      </c>
      <c r="I2125" s="324">
        <f>+I2096+I2104+I2112+I2120+I2124</f>
        <v>505</v>
      </c>
      <c r="J2125" s="349">
        <f>+G2125/F2125</f>
        <v>0.23851549295774649</v>
      </c>
      <c r="K2125" s="326">
        <f>+K2096+K2104+K2112+K2120+K2124</f>
        <v>3350366</v>
      </c>
      <c r="L2125" s="324">
        <f>+L2096+L2104+L2112+L2120+L2124</f>
        <v>3333375</v>
      </c>
      <c r="M2125" s="325">
        <f>+M2096+M2104+M2112+M2120+M2124</f>
        <v>16991</v>
      </c>
      <c r="N2125" s="341">
        <f>IFERROR(K2125/E2125,"-")</f>
        <v>0.88869124668435018</v>
      </c>
      <c r="O2125" s="349">
        <f t="shared" si="2664"/>
        <v>5.0713862306386824E-3</v>
      </c>
    </row>
    <row r="2126" spans="1:15" ht="23.4" x14ac:dyDescent="0.3">
      <c r="A2126" s="274" t="s">
        <v>103</v>
      </c>
      <c r="B2126" s="1043" t="s">
        <v>400</v>
      </c>
      <c r="C2126" s="269" t="s">
        <v>125</v>
      </c>
      <c r="D2126" s="269"/>
      <c r="E2126" s="270"/>
      <c r="F2126" s="271"/>
      <c r="G2126" s="332">
        <f t="shared" ref="G2126:G2129" si="2675">+H2126+I2126</f>
        <v>0</v>
      </c>
      <c r="H2126" s="272">
        <v>0</v>
      </c>
      <c r="I2126" s="272">
        <v>0</v>
      </c>
      <c r="J2126" s="351" t="str">
        <f>IFERROR(G2126/F2126,"-")</f>
        <v>-</v>
      </c>
      <c r="K2126" s="332">
        <f t="shared" ref="K2126:K2129" si="2676">+L2126+M2126</f>
        <v>0</v>
      </c>
      <c r="L2126" s="272">
        <f t="shared" ref="L2126:L2129" si="2677">+H2126+L2009</f>
        <v>0</v>
      </c>
      <c r="M2126" s="273">
        <f t="shared" ref="M2126:M2129" si="2678">+I2126+M2009</f>
        <v>0</v>
      </c>
      <c r="N2126" s="336" t="str">
        <f t="shared" ref="N2126:N2141" si="2679">IFERROR(K2126/E2126,"-")</f>
        <v>-</v>
      </c>
      <c r="O2126" s="346" t="str">
        <f t="shared" si="2664"/>
        <v>-</v>
      </c>
    </row>
    <row r="2127" spans="1:15" ht="23.4" x14ac:dyDescent="0.3">
      <c r="A2127" s="274" t="s">
        <v>103</v>
      </c>
      <c r="B2127" s="1044"/>
      <c r="C2127" s="295" t="s">
        <v>263</v>
      </c>
      <c r="D2127" s="295" t="s">
        <v>181</v>
      </c>
      <c r="E2127" s="276"/>
      <c r="F2127" s="277"/>
      <c r="G2127" s="333">
        <f t="shared" si="2675"/>
        <v>0</v>
      </c>
      <c r="H2127" s="278">
        <v>0</v>
      </c>
      <c r="I2127" s="278">
        <v>0</v>
      </c>
      <c r="J2127" s="351" t="str">
        <f t="shared" ref="J2127:J2129" si="2680">IFERROR(G2127/F2127,"-")</f>
        <v>-</v>
      </c>
      <c r="K2127" s="333">
        <f t="shared" si="2676"/>
        <v>0</v>
      </c>
      <c r="L2127" s="272">
        <f t="shared" si="2677"/>
        <v>0</v>
      </c>
      <c r="M2127" s="273">
        <f t="shared" si="2678"/>
        <v>0</v>
      </c>
      <c r="N2127" s="337" t="str">
        <f t="shared" si="2679"/>
        <v>-</v>
      </c>
      <c r="O2127" s="263" t="str">
        <f t="shared" si="2664"/>
        <v>-</v>
      </c>
    </row>
    <row r="2128" spans="1:15" ht="23.4" x14ac:dyDescent="0.3">
      <c r="A2128" s="274" t="s">
        <v>103</v>
      </c>
      <c r="B2128" s="1044"/>
      <c r="C2128" s="295" t="s">
        <v>362</v>
      </c>
      <c r="D2128" s="295" t="s">
        <v>181</v>
      </c>
      <c r="E2128" s="276"/>
      <c r="F2128" s="277"/>
      <c r="G2128" s="333">
        <f t="shared" si="2675"/>
        <v>0</v>
      </c>
      <c r="H2128" s="278">
        <v>0</v>
      </c>
      <c r="I2128" s="278">
        <v>0</v>
      </c>
      <c r="J2128" s="351" t="str">
        <f t="shared" si="2680"/>
        <v>-</v>
      </c>
      <c r="K2128" s="333">
        <f t="shared" si="2676"/>
        <v>47670</v>
      </c>
      <c r="L2128" s="272">
        <f t="shared" si="2677"/>
        <v>47520</v>
      </c>
      <c r="M2128" s="273">
        <f t="shared" si="2678"/>
        <v>150</v>
      </c>
      <c r="N2128" s="337" t="str">
        <f t="shared" si="2679"/>
        <v>-</v>
      </c>
      <c r="O2128" s="263">
        <f t="shared" si="2664"/>
        <v>3.1466331025802393E-3</v>
      </c>
    </row>
    <row r="2129" spans="1:15" ht="24" thickBot="1" x14ac:dyDescent="0.35">
      <c r="A2129" s="274" t="s">
        <v>103</v>
      </c>
      <c r="B2129" s="1045"/>
      <c r="C2129" s="279" t="s">
        <v>182</v>
      </c>
      <c r="D2129" s="279" t="s">
        <v>93</v>
      </c>
      <c r="E2129" s="280"/>
      <c r="F2129" s="281"/>
      <c r="G2129" s="334">
        <f t="shared" si="2675"/>
        <v>0</v>
      </c>
      <c r="H2129" s="278">
        <v>0</v>
      </c>
      <c r="I2129" s="278">
        <v>0</v>
      </c>
      <c r="J2129" s="351" t="str">
        <f t="shared" si="2680"/>
        <v>-</v>
      </c>
      <c r="K2129" s="334">
        <f t="shared" si="2676"/>
        <v>172972</v>
      </c>
      <c r="L2129" s="272">
        <f t="shared" si="2677"/>
        <v>172260</v>
      </c>
      <c r="M2129" s="273">
        <f t="shared" si="2678"/>
        <v>712</v>
      </c>
      <c r="N2129" s="338" t="str">
        <f t="shared" si="2679"/>
        <v>-</v>
      </c>
      <c r="O2129" s="347">
        <f t="shared" si="2664"/>
        <v>4.1162731540364912E-3</v>
      </c>
    </row>
    <row r="2130" spans="1:15" ht="24" thickBot="1" x14ac:dyDescent="0.35">
      <c r="A2130" s="274" t="s">
        <v>103</v>
      </c>
      <c r="B2130" s="1025" t="s">
        <v>48</v>
      </c>
      <c r="C2130" s="1026"/>
      <c r="D2130" s="1027"/>
      <c r="E2130" s="284">
        <f>SUM(E2126:E2129)</f>
        <v>0</v>
      </c>
      <c r="F2130" s="285">
        <v>80000</v>
      </c>
      <c r="G2130" s="320">
        <f>SUM(G2126:G2129)</f>
        <v>0</v>
      </c>
      <c r="H2130" s="321">
        <f t="shared" ref="H2130:I2130" si="2681">SUM(H2126:H2129)</f>
        <v>0</v>
      </c>
      <c r="I2130" s="321">
        <f t="shared" si="2681"/>
        <v>0</v>
      </c>
      <c r="J2130" s="345">
        <f>+G2130/F2130</f>
        <v>0</v>
      </c>
      <c r="K2130" s="320">
        <f t="shared" ref="K2130" si="2682">SUM(K2126:K2129)</f>
        <v>220642</v>
      </c>
      <c r="L2130" s="321">
        <f>SUM(L2126:L2129)</f>
        <v>219780</v>
      </c>
      <c r="M2130" s="322">
        <f t="shared" ref="M2130" si="2683">SUM(M2126:M2129)</f>
        <v>862</v>
      </c>
      <c r="N2130" s="339" t="str">
        <f t="shared" si="2679"/>
        <v>-</v>
      </c>
      <c r="O2130" s="345">
        <f t="shared" si="2664"/>
        <v>3.9067811205482188E-3</v>
      </c>
    </row>
    <row r="2131" spans="1:15" ht="23.4" x14ac:dyDescent="0.3">
      <c r="A2131" s="274" t="s">
        <v>103</v>
      </c>
      <c r="B2131" s="1043" t="s">
        <v>23</v>
      </c>
      <c r="C2131" s="275" t="s">
        <v>500</v>
      </c>
      <c r="D2131" s="296" t="s">
        <v>238</v>
      </c>
      <c r="E2131" s="270">
        <v>10000</v>
      </c>
      <c r="F2131" s="271"/>
      <c r="G2131" s="332">
        <f t="shared" ref="G2131:G2139" si="2684">+H2131+I2131</f>
        <v>0</v>
      </c>
      <c r="H2131" s="272">
        <v>0</v>
      </c>
      <c r="I2131" s="272">
        <v>0</v>
      </c>
      <c r="J2131" s="351" t="str">
        <f>IFERROR(G2131/F2131,"-")</f>
        <v>-</v>
      </c>
      <c r="K2131" s="332">
        <f t="shared" ref="K2131:K2139" si="2685">+L2131+M2131</f>
        <v>0</v>
      </c>
      <c r="L2131" s="272">
        <f t="shared" ref="L2131:L2139" si="2686">+H2131+L2014</f>
        <v>0</v>
      </c>
      <c r="M2131" s="273">
        <f t="shared" ref="M2131:M2139" si="2687">+I2131+M2014</f>
        <v>0</v>
      </c>
      <c r="N2131" s="336">
        <f t="shared" si="2679"/>
        <v>0</v>
      </c>
      <c r="O2131" s="346" t="str">
        <f t="shared" si="2664"/>
        <v>-</v>
      </c>
    </row>
    <row r="2132" spans="1:15" ht="23.4" x14ac:dyDescent="0.3">
      <c r="A2132" s="274" t="s">
        <v>103</v>
      </c>
      <c r="B2132" s="1044"/>
      <c r="C2132" s="275" t="s">
        <v>24</v>
      </c>
      <c r="D2132" s="275" t="s">
        <v>238</v>
      </c>
      <c r="E2132" s="276">
        <v>112000</v>
      </c>
      <c r="F2132" s="277"/>
      <c r="G2132" s="333">
        <f t="shared" si="2684"/>
        <v>0</v>
      </c>
      <c r="H2132" s="278">
        <v>0</v>
      </c>
      <c r="I2132" s="278">
        <v>0</v>
      </c>
      <c r="J2132" s="351" t="str">
        <f t="shared" ref="J2132:J2139" si="2688">IFERROR(G2132/F2132,"-")</f>
        <v>-</v>
      </c>
      <c r="K2132" s="333">
        <f t="shared" si="2685"/>
        <v>0</v>
      </c>
      <c r="L2132" s="272">
        <f t="shared" si="2686"/>
        <v>0</v>
      </c>
      <c r="M2132" s="273">
        <f t="shared" si="2687"/>
        <v>0</v>
      </c>
      <c r="N2132" s="337">
        <f t="shared" si="2679"/>
        <v>0</v>
      </c>
      <c r="O2132" s="263" t="str">
        <f t="shared" si="2664"/>
        <v>-</v>
      </c>
    </row>
    <row r="2133" spans="1:15" ht="23.4" x14ac:dyDescent="0.3">
      <c r="A2133" s="274" t="s">
        <v>103</v>
      </c>
      <c r="B2133" s="1044"/>
      <c r="C2133" s="275" t="s">
        <v>236</v>
      </c>
      <c r="D2133" s="275" t="s">
        <v>238</v>
      </c>
      <c r="E2133" s="276">
        <v>40000</v>
      </c>
      <c r="F2133" s="277"/>
      <c r="G2133" s="333">
        <f t="shared" si="2684"/>
        <v>0</v>
      </c>
      <c r="H2133" s="278">
        <v>0</v>
      </c>
      <c r="I2133" s="278">
        <v>0</v>
      </c>
      <c r="J2133" s="351" t="str">
        <f t="shared" si="2688"/>
        <v>-</v>
      </c>
      <c r="K2133" s="333">
        <f t="shared" si="2685"/>
        <v>0</v>
      </c>
      <c r="L2133" s="272">
        <f t="shared" si="2686"/>
        <v>0</v>
      </c>
      <c r="M2133" s="273">
        <f t="shared" si="2687"/>
        <v>0</v>
      </c>
      <c r="N2133" s="337">
        <f t="shared" si="2679"/>
        <v>0</v>
      </c>
      <c r="O2133" s="263" t="str">
        <f t="shared" si="2664"/>
        <v>-</v>
      </c>
    </row>
    <row r="2134" spans="1:15" ht="23.4" x14ac:dyDescent="0.3">
      <c r="A2134" s="274" t="s">
        <v>103</v>
      </c>
      <c r="B2134" s="1044"/>
      <c r="C2134" s="275" t="s">
        <v>239</v>
      </c>
      <c r="D2134" s="275" t="s">
        <v>238</v>
      </c>
      <c r="E2134" s="276">
        <v>4000</v>
      </c>
      <c r="F2134" s="277"/>
      <c r="G2134" s="333">
        <f t="shared" si="2684"/>
        <v>0</v>
      </c>
      <c r="H2134" s="278">
        <v>0</v>
      </c>
      <c r="I2134" s="278">
        <v>0</v>
      </c>
      <c r="J2134" s="351" t="str">
        <f t="shared" si="2688"/>
        <v>-</v>
      </c>
      <c r="K2134" s="333">
        <f t="shared" si="2685"/>
        <v>0</v>
      </c>
      <c r="L2134" s="272">
        <f t="shared" si="2686"/>
        <v>0</v>
      </c>
      <c r="M2134" s="273">
        <f t="shared" si="2687"/>
        <v>0</v>
      </c>
      <c r="N2134" s="337">
        <f t="shared" si="2679"/>
        <v>0</v>
      </c>
      <c r="O2134" s="263" t="str">
        <f t="shared" si="2664"/>
        <v>-</v>
      </c>
    </row>
    <row r="2135" spans="1:15" ht="23.4" x14ac:dyDescent="0.3">
      <c r="A2135" s="274" t="s">
        <v>103</v>
      </c>
      <c r="B2135" s="1044"/>
      <c r="C2135" s="295" t="s">
        <v>394</v>
      </c>
      <c r="D2135" s="275" t="s">
        <v>238</v>
      </c>
      <c r="E2135" s="276">
        <v>8500</v>
      </c>
      <c r="F2135" s="277"/>
      <c r="G2135" s="333">
        <f t="shared" si="2684"/>
        <v>0</v>
      </c>
      <c r="H2135" s="278">
        <v>0</v>
      </c>
      <c r="I2135" s="278">
        <v>0</v>
      </c>
      <c r="J2135" s="351" t="str">
        <f t="shared" si="2688"/>
        <v>-</v>
      </c>
      <c r="K2135" s="333">
        <f t="shared" si="2685"/>
        <v>0</v>
      </c>
      <c r="L2135" s="272">
        <f t="shared" si="2686"/>
        <v>0</v>
      </c>
      <c r="M2135" s="273">
        <f t="shared" si="2687"/>
        <v>0</v>
      </c>
      <c r="N2135" s="337">
        <f t="shared" si="2679"/>
        <v>0</v>
      </c>
      <c r="O2135" s="263" t="str">
        <f t="shared" si="2664"/>
        <v>-</v>
      </c>
    </row>
    <row r="2136" spans="1:15" ht="23.4" x14ac:dyDescent="0.3">
      <c r="A2136" s="274" t="s">
        <v>103</v>
      </c>
      <c r="B2136" s="1044"/>
      <c r="C2136" s="295" t="s">
        <v>422</v>
      </c>
      <c r="D2136" s="275" t="s">
        <v>238</v>
      </c>
      <c r="E2136" s="276">
        <v>10000</v>
      </c>
      <c r="F2136" s="277"/>
      <c r="G2136" s="333">
        <f t="shared" si="2684"/>
        <v>0</v>
      </c>
      <c r="H2136" s="278">
        <v>0</v>
      </c>
      <c r="I2136" s="278">
        <v>0</v>
      </c>
      <c r="J2136" s="351" t="str">
        <f t="shared" si="2688"/>
        <v>-</v>
      </c>
      <c r="K2136" s="333">
        <f t="shared" si="2685"/>
        <v>0</v>
      </c>
      <c r="L2136" s="272">
        <f t="shared" si="2686"/>
        <v>0</v>
      </c>
      <c r="M2136" s="273">
        <f t="shared" si="2687"/>
        <v>0</v>
      </c>
      <c r="N2136" s="337">
        <f t="shared" si="2679"/>
        <v>0</v>
      </c>
      <c r="O2136" s="263" t="str">
        <f t="shared" si="2664"/>
        <v>-</v>
      </c>
    </row>
    <row r="2137" spans="1:15" ht="23.4" x14ac:dyDescent="0.3">
      <c r="A2137" s="274" t="s">
        <v>103</v>
      </c>
      <c r="B2137" s="1044"/>
      <c r="C2137" s="295" t="s">
        <v>241</v>
      </c>
      <c r="D2137" s="275" t="s">
        <v>243</v>
      </c>
      <c r="E2137" s="276"/>
      <c r="F2137" s="277"/>
      <c r="G2137" s="333">
        <f t="shared" si="2684"/>
        <v>0</v>
      </c>
      <c r="H2137" s="278">
        <v>0</v>
      </c>
      <c r="I2137" s="278">
        <v>0</v>
      </c>
      <c r="J2137" s="351" t="str">
        <f t="shared" si="2688"/>
        <v>-</v>
      </c>
      <c r="K2137" s="333">
        <f t="shared" si="2685"/>
        <v>0</v>
      </c>
      <c r="L2137" s="272">
        <f t="shared" si="2686"/>
        <v>0</v>
      </c>
      <c r="M2137" s="273">
        <f t="shared" si="2687"/>
        <v>0</v>
      </c>
      <c r="N2137" s="337" t="str">
        <f t="shared" si="2679"/>
        <v>-</v>
      </c>
      <c r="O2137" s="263" t="str">
        <f t="shared" si="2664"/>
        <v>-</v>
      </c>
    </row>
    <row r="2138" spans="1:15" ht="23.4" x14ac:dyDescent="0.3">
      <c r="A2138" s="274"/>
      <c r="B2138" s="1045"/>
      <c r="C2138" s="295" t="s">
        <v>546</v>
      </c>
      <c r="D2138" s="275" t="s">
        <v>238</v>
      </c>
      <c r="E2138" s="280">
        <v>6000</v>
      </c>
      <c r="F2138" s="281"/>
      <c r="G2138" s="333">
        <f t="shared" si="2684"/>
        <v>0</v>
      </c>
      <c r="H2138" s="278">
        <v>0</v>
      </c>
      <c r="I2138" s="278">
        <v>0</v>
      </c>
      <c r="J2138" s="351" t="str">
        <f t="shared" si="2688"/>
        <v>-</v>
      </c>
      <c r="K2138" s="333">
        <f t="shared" si="2685"/>
        <v>0</v>
      </c>
      <c r="L2138" s="272">
        <f t="shared" si="2686"/>
        <v>0</v>
      </c>
      <c r="M2138" s="273">
        <f t="shared" si="2687"/>
        <v>0</v>
      </c>
      <c r="N2138" s="337">
        <f t="shared" si="2679"/>
        <v>0</v>
      </c>
      <c r="O2138" s="263" t="str">
        <f t="shared" si="2664"/>
        <v>-</v>
      </c>
    </row>
    <row r="2139" spans="1:15" ht="24" thickBot="1" x14ac:dyDescent="0.35">
      <c r="A2139" s="274" t="s">
        <v>103</v>
      </c>
      <c r="B2139" s="1045"/>
      <c r="C2139" s="295" t="s">
        <v>242</v>
      </c>
      <c r="D2139" s="275" t="s">
        <v>238</v>
      </c>
      <c r="E2139" s="280">
        <v>5000</v>
      </c>
      <c r="F2139" s="281"/>
      <c r="G2139" s="334">
        <f t="shared" si="2684"/>
        <v>0</v>
      </c>
      <c r="H2139" s="278">
        <v>0</v>
      </c>
      <c r="I2139" s="278">
        <v>0</v>
      </c>
      <c r="J2139" s="351" t="str">
        <f t="shared" si="2688"/>
        <v>-</v>
      </c>
      <c r="K2139" s="334">
        <f t="shared" si="2685"/>
        <v>0</v>
      </c>
      <c r="L2139" s="272">
        <f t="shared" si="2686"/>
        <v>0</v>
      </c>
      <c r="M2139" s="273">
        <f t="shared" si="2687"/>
        <v>0</v>
      </c>
      <c r="N2139" s="338">
        <f t="shared" si="2679"/>
        <v>0</v>
      </c>
      <c r="O2139" s="347" t="str">
        <f t="shared" si="2664"/>
        <v>-</v>
      </c>
    </row>
    <row r="2140" spans="1:15" ht="24" thickBot="1" x14ac:dyDescent="0.35">
      <c r="A2140" s="274" t="s">
        <v>103</v>
      </c>
      <c r="B2140" s="1025" t="s">
        <v>49</v>
      </c>
      <c r="C2140" s="1026"/>
      <c r="D2140" s="1027"/>
      <c r="E2140" s="284">
        <f>SUM(E2131:E2139)</f>
        <v>195500</v>
      </c>
      <c r="F2140" s="285">
        <v>14000</v>
      </c>
      <c r="G2140" s="320">
        <f>SUM(G2131:G2139)</f>
        <v>0</v>
      </c>
      <c r="H2140" s="321">
        <f t="shared" ref="H2140:I2140" si="2689">SUM(H2131:H2139)</f>
        <v>0</v>
      </c>
      <c r="I2140" s="321">
        <f t="shared" si="2689"/>
        <v>0</v>
      </c>
      <c r="J2140" s="345">
        <f>+G2141/F2141</f>
        <v>0</v>
      </c>
      <c r="K2140" s="320">
        <f>SUM(K2131:K2139)</f>
        <v>0</v>
      </c>
      <c r="L2140" s="321">
        <f>+H2140</f>
        <v>0</v>
      </c>
      <c r="M2140" s="322">
        <f>+I2140</f>
        <v>0</v>
      </c>
      <c r="N2140" s="339">
        <f t="shared" si="2679"/>
        <v>0</v>
      </c>
      <c r="O2140" s="345" t="str">
        <f t="shared" si="2664"/>
        <v>-</v>
      </c>
    </row>
    <row r="2141" spans="1:15" ht="24" thickBot="1" x14ac:dyDescent="0.35">
      <c r="A2141" s="274" t="s">
        <v>103</v>
      </c>
      <c r="B2141" s="1047" t="s">
        <v>25</v>
      </c>
      <c r="C2141" s="1048"/>
      <c r="D2141" s="1049"/>
      <c r="E2141" s="326">
        <f t="shared" ref="E2141:F2141" si="2690">+E2130+E2140</f>
        <v>195500</v>
      </c>
      <c r="F2141" s="327">
        <f t="shared" si="2690"/>
        <v>94000</v>
      </c>
      <c r="G2141" s="326">
        <f>+G2130+G2140</f>
        <v>0</v>
      </c>
      <c r="H2141" s="324">
        <f t="shared" ref="H2141:I2141" si="2691">+H2130+H2140</f>
        <v>0</v>
      </c>
      <c r="I2141" s="324">
        <f t="shared" si="2691"/>
        <v>0</v>
      </c>
      <c r="J2141" s="349" t="str">
        <f>IFERROR(G2141/#REF!,"-")</f>
        <v>-</v>
      </c>
      <c r="K2141" s="326">
        <f t="shared" ref="K2141" si="2692">+K2130+K2140</f>
        <v>220642</v>
      </c>
      <c r="L2141" s="324">
        <f>+L2130+L2140</f>
        <v>219780</v>
      </c>
      <c r="M2141" s="325">
        <f t="shared" ref="M2141" si="2693">+M2130+M2140</f>
        <v>862</v>
      </c>
      <c r="N2141" s="341">
        <f t="shared" si="2679"/>
        <v>1.1286035805626597</v>
      </c>
      <c r="O2141" s="349">
        <f t="shared" si="2664"/>
        <v>3.9067811205482188E-3</v>
      </c>
    </row>
    <row r="2142" spans="1:15" ht="24" thickBot="1" x14ac:dyDescent="0.35">
      <c r="A2142" s="274" t="s">
        <v>103</v>
      </c>
      <c r="B2142" s="1019" t="s">
        <v>172</v>
      </c>
      <c r="C2142" s="1020"/>
      <c r="D2142" s="1050"/>
      <c r="E2142" s="330">
        <f>+E2125+E2141</f>
        <v>3965500</v>
      </c>
      <c r="F2142" s="331">
        <f t="shared" ref="F2142:I2142" si="2694">+F2125+F2141</f>
        <v>449000</v>
      </c>
      <c r="G2142" s="330">
        <f t="shared" si="2694"/>
        <v>84673</v>
      </c>
      <c r="H2142" s="328">
        <f t="shared" si="2694"/>
        <v>84168</v>
      </c>
      <c r="I2142" s="328">
        <f t="shared" si="2694"/>
        <v>505</v>
      </c>
      <c r="J2142" s="350">
        <f>+G2142/F2142</f>
        <v>0.18858129175946547</v>
      </c>
      <c r="K2142" s="330">
        <f>+K2125+K2141</f>
        <v>3571008</v>
      </c>
      <c r="L2142" s="328">
        <f t="shared" ref="L2142:M2142" si="2695">+L2125+L2141</f>
        <v>3553155</v>
      </c>
      <c r="M2142" s="329">
        <f t="shared" si="2695"/>
        <v>17853</v>
      </c>
      <c r="N2142" s="342">
        <f>IFERROR(K2142/E2142,"-")</f>
        <v>0.90051897616946164</v>
      </c>
      <c r="O2142" s="350">
        <f t="shared" si="2664"/>
        <v>4.9994287327275663E-3</v>
      </c>
    </row>
    <row r="2143" spans="1:15" ht="23.4" x14ac:dyDescent="0.3">
      <c r="A2143" s="268" t="s">
        <v>101</v>
      </c>
      <c r="B2143" s="1051" t="s">
        <v>26</v>
      </c>
      <c r="C2143" s="893" t="s">
        <v>297</v>
      </c>
      <c r="D2143" s="898" t="s">
        <v>177</v>
      </c>
      <c r="E2143" s="895"/>
      <c r="F2143" s="271"/>
      <c r="G2143" s="332">
        <f t="shared" ref="G2143:G2152" si="2696">+H2143+I2143</f>
        <v>0</v>
      </c>
      <c r="H2143" s="272">
        <v>0</v>
      </c>
      <c r="I2143" s="272">
        <v>0</v>
      </c>
      <c r="J2143" s="351" t="str">
        <f>IFERROR(G2143/F2143,"-")</f>
        <v>-</v>
      </c>
      <c r="K2143" s="332">
        <f t="shared" ref="K2143:K2152" si="2697">+L2143+M2143</f>
        <v>0</v>
      </c>
      <c r="L2143" s="272">
        <f t="shared" ref="L2143:L2152" si="2698">+H2143+L2026</f>
        <v>0</v>
      </c>
      <c r="M2143" s="273">
        <f t="shared" ref="M2143:M2152" si="2699">+I2143+M2026</f>
        <v>0</v>
      </c>
      <c r="N2143" s="336" t="str">
        <f t="shared" ref="N2143:N2161" si="2700">IFERROR(K2143/E2143,"-")</f>
        <v>-</v>
      </c>
      <c r="O2143" s="346" t="str">
        <f t="shared" si="2664"/>
        <v>-</v>
      </c>
    </row>
    <row r="2144" spans="1:15" ht="23.4" x14ac:dyDescent="0.3">
      <c r="A2144" s="274" t="s">
        <v>101</v>
      </c>
      <c r="B2144" s="1051"/>
      <c r="C2144" s="253" t="s">
        <v>424</v>
      </c>
      <c r="D2144" s="899" t="s">
        <v>423</v>
      </c>
      <c r="E2144" s="511">
        <v>314432</v>
      </c>
      <c r="F2144" s="277"/>
      <c r="G2144" s="333">
        <f t="shared" si="2696"/>
        <v>0</v>
      </c>
      <c r="H2144" s="278">
        <v>0</v>
      </c>
      <c r="I2144" s="278">
        <v>0</v>
      </c>
      <c r="J2144" s="351" t="str">
        <f t="shared" ref="J2144:J2152" si="2701">IFERROR(G2144/F2144,"-")</f>
        <v>-</v>
      </c>
      <c r="K2144" s="333">
        <f t="shared" si="2697"/>
        <v>265434</v>
      </c>
      <c r="L2144" s="272">
        <f t="shared" si="2698"/>
        <v>262548</v>
      </c>
      <c r="M2144" s="273">
        <f t="shared" si="2699"/>
        <v>2886</v>
      </c>
      <c r="N2144" s="337">
        <f t="shared" si="2700"/>
        <v>0.84416980460004076</v>
      </c>
      <c r="O2144" s="263">
        <f t="shared" si="2664"/>
        <v>1.0872759330002939E-2</v>
      </c>
    </row>
    <row r="2145" spans="1:15" ht="23.4" x14ac:dyDescent="0.3">
      <c r="A2145" s="274" t="s">
        <v>101</v>
      </c>
      <c r="B2145" s="1051"/>
      <c r="C2145" s="813" t="s">
        <v>27</v>
      </c>
      <c r="D2145" s="899" t="s">
        <v>334</v>
      </c>
      <c r="E2145" s="896">
        <v>932448</v>
      </c>
      <c r="F2145" s="281"/>
      <c r="G2145" s="333">
        <f t="shared" si="2696"/>
        <v>0</v>
      </c>
      <c r="H2145" s="278">
        <v>0</v>
      </c>
      <c r="I2145" s="278">
        <v>0</v>
      </c>
      <c r="J2145" s="351" t="str">
        <f t="shared" si="2701"/>
        <v>-</v>
      </c>
      <c r="K2145" s="333">
        <f t="shared" si="2697"/>
        <v>37943</v>
      </c>
      <c r="L2145" s="272">
        <f t="shared" si="2698"/>
        <v>35802</v>
      </c>
      <c r="M2145" s="273">
        <f t="shared" si="2699"/>
        <v>2141</v>
      </c>
      <c r="N2145" s="337">
        <f t="shared" si="2700"/>
        <v>4.0691813377260716E-2</v>
      </c>
      <c r="O2145" s="263">
        <f t="shared" si="2664"/>
        <v>5.6426745381229743E-2</v>
      </c>
    </row>
    <row r="2146" spans="1:15" ht="23.4" x14ac:dyDescent="0.3">
      <c r="A2146" s="274" t="s">
        <v>101</v>
      </c>
      <c r="B2146" s="1051"/>
      <c r="C2146" s="813" t="s">
        <v>27</v>
      </c>
      <c r="D2146" s="900" t="s">
        <v>492</v>
      </c>
      <c r="E2146" s="896"/>
      <c r="F2146" s="281"/>
      <c r="G2146" s="333">
        <f t="shared" si="2696"/>
        <v>0</v>
      </c>
      <c r="H2146" s="278">
        <v>0</v>
      </c>
      <c r="I2146" s="278">
        <v>0</v>
      </c>
      <c r="J2146" s="351" t="str">
        <f t="shared" si="2701"/>
        <v>-</v>
      </c>
      <c r="K2146" s="333">
        <f t="shared" si="2697"/>
        <v>274869</v>
      </c>
      <c r="L2146" s="272">
        <f t="shared" si="2698"/>
        <v>270504</v>
      </c>
      <c r="M2146" s="273">
        <f t="shared" si="2699"/>
        <v>4365</v>
      </c>
      <c r="N2146" s="337" t="str">
        <f t="shared" si="2700"/>
        <v>-</v>
      </c>
      <c r="O2146" s="263">
        <f t="shared" si="2664"/>
        <v>1.588029206640254E-2</v>
      </c>
    </row>
    <row r="2147" spans="1:15" ht="23.4" x14ac:dyDescent="0.3">
      <c r="A2147" s="274" t="s">
        <v>101</v>
      </c>
      <c r="B2147" s="1051"/>
      <c r="C2147" s="893" t="s">
        <v>521</v>
      </c>
      <c r="D2147" s="899" t="s">
        <v>234</v>
      </c>
      <c r="E2147" s="896">
        <v>136768</v>
      </c>
      <c r="F2147" s="281"/>
      <c r="G2147" s="333">
        <f t="shared" si="2696"/>
        <v>0</v>
      </c>
      <c r="H2147" s="278">
        <v>0</v>
      </c>
      <c r="I2147" s="278">
        <v>0</v>
      </c>
      <c r="J2147" s="351" t="str">
        <f t="shared" si="2701"/>
        <v>-</v>
      </c>
      <c r="K2147" s="333">
        <f t="shared" si="2697"/>
        <v>57116</v>
      </c>
      <c r="L2147" s="272">
        <f t="shared" si="2698"/>
        <v>55692</v>
      </c>
      <c r="M2147" s="273">
        <f t="shared" si="2699"/>
        <v>1424</v>
      </c>
      <c r="N2147" s="337">
        <f t="shared" si="2700"/>
        <v>0.41761230697239121</v>
      </c>
      <c r="O2147" s="263">
        <f t="shared" si="2664"/>
        <v>2.4931717907416485E-2</v>
      </c>
    </row>
    <row r="2148" spans="1:15" ht="23.4" x14ac:dyDescent="0.3">
      <c r="A2148" s="274"/>
      <c r="B2148" s="1051"/>
      <c r="C2148" s="813" t="s">
        <v>575</v>
      </c>
      <c r="D2148" s="899" t="s">
        <v>178</v>
      </c>
      <c r="E2148" s="896"/>
      <c r="F2148" s="281"/>
      <c r="G2148" s="334">
        <f t="shared" si="2696"/>
        <v>140305</v>
      </c>
      <c r="H2148" s="278">
        <f>51714+87516</f>
        <v>139230</v>
      </c>
      <c r="I2148" s="278">
        <f>595+480</f>
        <v>1075</v>
      </c>
      <c r="J2148" s="351" t="str">
        <f t="shared" si="2701"/>
        <v>-</v>
      </c>
      <c r="K2148" s="334">
        <f t="shared" si="2697"/>
        <v>493971</v>
      </c>
      <c r="L2148" s="272">
        <f t="shared" si="2698"/>
        <v>489294</v>
      </c>
      <c r="M2148" s="273">
        <f t="shared" si="2699"/>
        <v>4677</v>
      </c>
      <c r="N2148" s="337" t="str">
        <f t="shared" si="2700"/>
        <v>-</v>
      </c>
      <c r="O2148" s="263">
        <f t="shared" si="2664"/>
        <v>9.4681671596105847E-3</v>
      </c>
    </row>
    <row r="2149" spans="1:15" ht="23.4" x14ac:dyDescent="0.3">
      <c r="A2149" s="274"/>
      <c r="B2149" s="1051"/>
      <c r="C2149" s="813" t="s">
        <v>333</v>
      </c>
      <c r="D2149" s="899" t="s">
        <v>94</v>
      </c>
      <c r="E2149" s="896">
        <v>32016</v>
      </c>
      <c r="F2149" s="281"/>
      <c r="G2149" s="334">
        <f t="shared" si="2696"/>
        <v>0</v>
      </c>
      <c r="H2149" s="278">
        <v>0</v>
      </c>
      <c r="I2149" s="278">
        <v>0</v>
      </c>
      <c r="J2149" s="351" t="str">
        <f t="shared" si="2701"/>
        <v>-</v>
      </c>
      <c r="K2149" s="334">
        <f t="shared" si="2697"/>
        <v>0</v>
      </c>
      <c r="L2149" s="272">
        <f t="shared" si="2698"/>
        <v>0</v>
      </c>
      <c r="M2149" s="273">
        <f t="shared" si="2699"/>
        <v>0</v>
      </c>
      <c r="N2149" s="337">
        <f t="shared" si="2700"/>
        <v>0</v>
      </c>
      <c r="O2149" s="263" t="str">
        <f t="shared" si="2664"/>
        <v>-</v>
      </c>
    </row>
    <row r="2150" spans="1:15" ht="23.4" x14ac:dyDescent="0.3">
      <c r="A2150" s="274"/>
      <c r="B2150" s="1051"/>
      <c r="C2150" s="813" t="s">
        <v>433</v>
      </c>
      <c r="D2150" s="899" t="s">
        <v>540</v>
      </c>
      <c r="E2150" s="896"/>
      <c r="F2150" s="281"/>
      <c r="G2150" s="334">
        <f t="shared" si="2696"/>
        <v>0</v>
      </c>
      <c r="H2150" s="278">
        <v>0</v>
      </c>
      <c r="I2150" s="278">
        <v>0</v>
      </c>
      <c r="J2150" s="351" t="str">
        <f t="shared" si="2701"/>
        <v>-</v>
      </c>
      <c r="K2150" s="334">
        <f t="shared" si="2697"/>
        <v>358419</v>
      </c>
      <c r="L2150" s="272">
        <f t="shared" si="2698"/>
        <v>354042</v>
      </c>
      <c r="M2150" s="272">
        <f t="shared" si="2699"/>
        <v>4377</v>
      </c>
      <c r="N2150" s="337" t="str">
        <f t="shared" si="2700"/>
        <v>-</v>
      </c>
      <c r="O2150" s="263">
        <f t="shared" si="2664"/>
        <v>1.2211964209486663E-2</v>
      </c>
    </row>
    <row r="2151" spans="1:15" ht="23.4" x14ac:dyDescent="0.3">
      <c r="A2151" s="274"/>
      <c r="B2151" s="1051"/>
      <c r="C2151" s="813" t="s">
        <v>382</v>
      </c>
      <c r="D2151" s="899" t="s">
        <v>366</v>
      </c>
      <c r="E2151" s="896"/>
      <c r="F2151" s="281"/>
      <c r="G2151" s="334">
        <f t="shared" si="2696"/>
        <v>0</v>
      </c>
      <c r="H2151" s="278">
        <v>0</v>
      </c>
      <c r="I2151" s="278">
        <v>0</v>
      </c>
      <c r="J2151" s="351" t="str">
        <f t="shared" si="2701"/>
        <v>-</v>
      </c>
      <c r="K2151" s="334">
        <f t="shared" si="2697"/>
        <v>278101</v>
      </c>
      <c r="L2151" s="272">
        <f t="shared" si="2698"/>
        <v>274482</v>
      </c>
      <c r="M2151" s="273">
        <f t="shared" si="2699"/>
        <v>3619</v>
      </c>
      <c r="N2151" s="337" t="str">
        <f t="shared" si="2700"/>
        <v>-</v>
      </c>
      <c r="O2151" s="263">
        <f t="shared" si="2664"/>
        <v>1.301325777325504E-2</v>
      </c>
    </row>
    <row r="2152" spans="1:15" ht="24" thickBot="1" x14ac:dyDescent="0.35">
      <c r="A2152" s="274" t="s">
        <v>101</v>
      </c>
      <c r="B2152" s="1051"/>
      <c r="C2152" s="894" t="s">
        <v>290</v>
      </c>
      <c r="D2152" s="901" t="s">
        <v>289</v>
      </c>
      <c r="E2152" s="896"/>
      <c r="F2152" s="281"/>
      <c r="G2152" s="334">
        <f t="shared" si="2696"/>
        <v>0</v>
      </c>
      <c r="H2152" s="278">
        <v>0</v>
      </c>
      <c r="I2152" s="278">
        <v>0</v>
      </c>
      <c r="J2152" s="351" t="str">
        <f t="shared" si="2701"/>
        <v>-</v>
      </c>
      <c r="K2152" s="334">
        <f t="shared" si="2697"/>
        <v>0</v>
      </c>
      <c r="L2152" s="272">
        <f t="shared" si="2698"/>
        <v>0</v>
      </c>
      <c r="M2152" s="273">
        <f t="shared" si="2699"/>
        <v>0</v>
      </c>
      <c r="N2152" s="337" t="str">
        <f t="shared" si="2700"/>
        <v>-</v>
      </c>
      <c r="O2152" s="347" t="str">
        <f t="shared" si="2664"/>
        <v>-</v>
      </c>
    </row>
    <row r="2153" spans="1:15" ht="24" thickBot="1" x14ac:dyDescent="0.35">
      <c r="A2153" s="274" t="s">
        <v>101</v>
      </c>
      <c r="B2153" s="1052"/>
      <c r="C2153" s="301"/>
      <c r="D2153" s="897" t="s">
        <v>52</v>
      </c>
      <c r="E2153" s="284">
        <f>SUM(E2143:E2152)</f>
        <v>1415664</v>
      </c>
      <c r="F2153" s="285">
        <v>160000</v>
      </c>
      <c r="G2153" s="320">
        <f>SUM(G2143:G2152)</f>
        <v>140305</v>
      </c>
      <c r="H2153" s="321">
        <f>SUM(H2143:H2152)</f>
        <v>139230</v>
      </c>
      <c r="I2153" s="321">
        <f>SUM(I2143:I2152)</f>
        <v>1075</v>
      </c>
      <c r="J2153" s="345">
        <f>+G2153/F2153</f>
        <v>0.87690625</v>
      </c>
      <c r="K2153" s="320">
        <f>SUM(K2143:K2152)</f>
        <v>1765853</v>
      </c>
      <c r="L2153" s="321">
        <f>SUM(L2143:L2152)</f>
        <v>1742364</v>
      </c>
      <c r="M2153" s="322">
        <f>SUM(M2143:M2152)</f>
        <v>23489</v>
      </c>
      <c r="N2153" s="339">
        <f t="shared" si="2700"/>
        <v>1.2473673131477525</v>
      </c>
      <c r="O2153" s="345">
        <f t="shared" si="2664"/>
        <v>1.3301786728566875E-2</v>
      </c>
    </row>
    <row r="2154" spans="1:15" ht="23.4" x14ac:dyDescent="0.3">
      <c r="A2154" s="274" t="s">
        <v>101</v>
      </c>
      <c r="B2154" s="1053" t="s">
        <v>28</v>
      </c>
      <c r="C2154" s="299" t="s">
        <v>27</v>
      </c>
      <c r="D2154" s="297" t="s">
        <v>492</v>
      </c>
      <c r="E2154" s="270"/>
      <c r="F2154" s="271"/>
      <c r="G2154" s="332">
        <f t="shared" ref="G2154:G2158" si="2702">+H2154+I2154</f>
        <v>0</v>
      </c>
      <c r="H2154" s="272">
        <v>0</v>
      </c>
      <c r="I2154" s="272">
        <v>0</v>
      </c>
      <c r="J2154" s="351" t="str">
        <f>IFERROR(G2154/F2154,"-")</f>
        <v>-</v>
      </c>
      <c r="K2154" s="332">
        <f t="shared" ref="K2154:K2160" si="2703">+L2154+M2154</f>
        <v>170343</v>
      </c>
      <c r="L2154" s="272">
        <f t="shared" ref="L2154:L2160" si="2704">+H2154+L2037</f>
        <v>167076</v>
      </c>
      <c r="M2154" s="273">
        <f t="shared" ref="M2154:M2160" si="2705">+I2154+M2037</f>
        <v>3267</v>
      </c>
      <c r="N2154" s="336" t="str">
        <f t="shared" si="2700"/>
        <v>-</v>
      </c>
      <c r="O2154" s="346">
        <f t="shared" si="2664"/>
        <v>1.9178950705341577E-2</v>
      </c>
    </row>
    <row r="2155" spans="1:15" ht="23.4" x14ac:dyDescent="0.3">
      <c r="A2155" s="274" t="s">
        <v>101</v>
      </c>
      <c r="B2155" s="1051"/>
      <c r="C2155" s="299" t="s">
        <v>385</v>
      </c>
      <c r="D2155" s="299" t="s">
        <v>334</v>
      </c>
      <c r="E2155" s="276"/>
      <c r="F2155" s="277"/>
      <c r="G2155" s="333">
        <f t="shared" si="2702"/>
        <v>0</v>
      </c>
      <c r="H2155" s="278">
        <v>0</v>
      </c>
      <c r="I2155" s="278">
        <v>0</v>
      </c>
      <c r="J2155" s="351" t="str">
        <f t="shared" ref="J2155:J2160" si="2706">IFERROR(G2155/F2155,"-")</f>
        <v>-</v>
      </c>
      <c r="K2155" s="333">
        <f t="shared" si="2703"/>
        <v>96975</v>
      </c>
      <c r="L2155" s="272">
        <f t="shared" si="2704"/>
        <v>95472</v>
      </c>
      <c r="M2155" s="273">
        <f t="shared" si="2705"/>
        <v>1503</v>
      </c>
      <c r="N2155" s="337" t="str">
        <f t="shared" si="2700"/>
        <v>-</v>
      </c>
      <c r="O2155" s="263">
        <f t="shared" si="2664"/>
        <v>1.5498839907192575E-2</v>
      </c>
    </row>
    <row r="2156" spans="1:15" ht="23.4" x14ac:dyDescent="0.3">
      <c r="A2156" s="274" t="s">
        <v>101</v>
      </c>
      <c r="B2156" s="1051"/>
      <c r="C2156" s="299" t="s">
        <v>27</v>
      </c>
      <c r="D2156" s="299" t="s">
        <v>334</v>
      </c>
      <c r="E2156" s="276"/>
      <c r="F2156" s="277"/>
      <c r="G2156" s="333">
        <f t="shared" si="2702"/>
        <v>0</v>
      </c>
      <c r="H2156" s="278">
        <v>0</v>
      </c>
      <c r="I2156" s="278">
        <v>0</v>
      </c>
      <c r="J2156" s="351" t="str">
        <f t="shared" si="2706"/>
        <v>-</v>
      </c>
      <c r="K2156" s="333">
        <f t="shared" si="2703"/>
        <v>0</v>
      </c>
      <c r="L2156" s="272">
        <f t="shared" si="2704"/>
        <v>0</v>
      </c>
      <c r="M2156" s="273">
        <f t="shared" si="2705"/>
        <v>0</v>
      </c>
      <c r="N2156" s="337" t="str">
        <f t="shared" si="2700"/>
        <v>-</v>
      </c>
      <c r="O2156" s="263" t="str">
        <f t="shared" si="2664"/>
        <v>-</v>
      </c>
    </row>
    <row r="2157" spans="1:15" ht="23.4" x14ac:dyDescent="0.3">
      <c r="A2157" s="274"/>
      <c r="B2157" s="1051"/>
      <c r="C2157" s="299" t="s">
        <v>460</v>
      </c>
      <c r="D2157" s="299" t="s">
        <v>334</v>
      </c>
      <c r="E2157" s="280"/>
      <c r="F2157" s="281"/>
      <c r="G2157" s="333">
        <f t="shared" si="2702"/>
        <v>0</v>
      </c>
      <c r="H2157" s="278">
        <v>0</v>
      </c>
      <c r="I2157" s="278">
        <v>0</v>
      </c>
      <c r="J2157" s="351" t="str">
        <f t="shared" si="2706"/>
        <v>-</v>
      </c>
      <c r="K2157" s="333">
        <f t="shared" si="2703"/>
        <v>4348</v>
      </c>
      <c r="L2157" s="272">
        <f t="shared" si="2704"/>
        <v>3978</v>
      </c>
      <c r="M2157" s="273">
        <f t="shared" si="2705"/>
        <v>370</v>
      </c>
      <c r="N2157" s="337" t="str">
        <f t="shared" si="2700"/>
        <v>-</v>
      </c>
      <c r="O2157" s="263">
        <f t="shared" si="2664"/>
        <v>8.5096596136154556E-2</v>
      </c>
    </row>
    <row r="2158" spans="1:15" ht="23.4" x14ac:dyDescent="0.3">
      <c r="A2158" s="274" t="s">
        <v>101</v>
      </c>
      <c r="B2158" s="1051"/>
      <c r="C2158" s="299" t="s">
        <v>433</v>
      </c>
      <c r="D2158" s="299" t="s">
        <v>540</v>
      </c>
      <c r="E2158" s="280"/>
      <c r="F2158" s="281"/>
      <c r="G2158" s="334">
        <f t="shared" si="2702"/>
        <v>0</v>
      </c>
      <c r="H2158" s="278">
        <v>0</v>
      </c>
      <c r="I2158" s="278">
        <v>0</v>
      </c>
      <c r="J2158" s="351" t="str">
        <f t="shared" si="2706"/>
        <v>-</v>
      </c>
      <c r="K2158" s="334">
        <f t="shared" si="2703"/>
        <v>128335</v>
      </c>
      <c r="L2158" s="272">
        <f t="shared" si="2704"/>
        <v>127296</v>
      </c>
      <c r="M2158" s="702">
        <f t="shared" si="2705"/>
        <v>1039</v>
      </c>
      <c r="N2158" s="338" t="str">
        <f t="shared" si="2700"/>
        <v>-</v>
      </c>
      <c r="O2158" s="347">
        <f t="shared" si="2664"/>
        <v>8.0959987532629452E-3</v>
      </c>
    </row>
    <row r="2159" spans="1:15" ht="23.4" x14ac:dyDescent="0.3">
      <c r="A2159" s="274"/>
      <c r="B2159" s="1051"/>
      <c r="C2159" s="299" t="s">
        <v>458</v>
      </c>
      <c r="D2159" s="300" t="s">
        <v>280</v>
      </c>
      <c r="E2159" s="280">
        <v>200000</v>
      </c>
      <c r="F2159" s="281"/>
      <c r="G2159" s="334"/>
      <c r="H2159" s="278">
        <v>0</v>
      </c>
      <c r="I2159" s="278">
        <v>0</v>
      </c>
      <c r="J2159" s="351" t="str">
        <f t="shared" si="2706"/>
        <v>-</v>
      </c>
      <c r="K2159" s="334">
        <f t="shared" si="2703"/>
        <v>0</v>
      </c>
      <c r="L2159" s="272">
        <f t="shared" si="2704"/>
        <v>0</v>
      </c>
      <c r="M2159" s="272">
        <f t="shared" si="2705"/>
        <v>0</v>
      </c>
      <c r="N2159" s="338">
        <f t="shared" si="2700"/>
        <v>0</v>
      </c>
      <c r="O2159" s="347" t="str">
        <f t="shared" si="2664"/>
        <v>-</v>
      </c>
    </row>
    <row r="2160" spans="1:15" ht="24" thickBot="1" x14ac:dyDescent="0.35">
      <c r="A2160" s="274" t="s">
        <v>101</v>
      </c>
      <c r="B2160" s="1051"/>
      <c r="C2160" s="299" t="s">
        <v>27</v>
      </c>
      <c r="D2160" s="300" t="s">
        <v>234</v>
      </c>
      <c r="E2160" s="280">
        <v>250000</v>
      </c>
      <c r="F2160" s="281"/>
      <c r="G2160" s="334">
        <f t="shared" ref="G2160" si="2707">+H2160+I2160</f>
        <v>0</v>
      </c>
      <c r="H2160" s="278">
        <v>0</v>
      </c>
      <c r="I2160" s="278">
        <v>0</v>
      </c>
      <c r="J2160" s="351" t="str">
        <f t="shared" si="2706"/>
        <v>-</v>
      </c>
      <c r="K2160" s="334">
        <f t="shared" si="2703"/>
        <v>3978</v>
      </c>
      <c r="L2160" s="272">
        <f t="shared" si="2704"/>
        <v>3978</v>
      </c>
      <c r="M2160" s="702">
        <f t="shared" si="2705"/>
        <v>0</v>
      </c>
      <c r="N2160" s="338">
        <f t="shared" si="2700"/>
        <v>1.5911999999999999E-2</v>
      </c>
      <c r="O2160" s="347">
        <f t="shared" si="2664"/>
        <v>0</v>
      </c>
    </row>
    <row r="2161" spans="1:15" ht="24" thickBot="1" x14ac:dyDescent="0.35">
      <c r="A2161" s="274" t="s">
        <v>101</v>
      </c>
      <c r="B2161" s="1051"/>
      <c r="C2161" s="304"/>
      <c r="D2161" s="305" t="s">
        <v>52</v>
      </c>
      <c r="E2161" s="306">
        <f>SUM(E2154:E2160)</f>
        <v>450000</v>
      </c>
      <c r="F2161" s="307">
        <v>80000</v>
      </c>
      <c r="G2161" s="366">
        <f>SUM(G2154:G2160)</f>
        <v>0</v>
      </c>
      <c r="H2161" s="365">
        <f>SUM(H2154:H2160)</f>
        <v>0</v>
      </c>
      <c r="I2161" s="365">
        <f>SUM(I2154:I2160)</f>
        <v>0</v>
      </c>
      <c r="J2161" s="356">
        <f>+G2161/F2161</f>
        <v>0</v>
      </c>
      <c r="K2161" s="366">
        <f>SUM(K2154:K2160)</f>
        <v>403979</v>
      </c>
      <c r="L2161" s="365">
        <f>SUM(L2154:L2160)</f>
        <v>397800</v>
      </c>
      <c r="M2161" s="367">
        <f>SUM(M2154:M2160)</f>
        <v>6179</v>
      </c>
      <c r="N2161" s="355">
        <f t="shared" si="2700"/>
        <v>0.89773111111111115</v>
      </c>
      <c r="O2161" s="356">
        <f t="shared" si="2664"/>
        <v>1.5295349510741895E-2</v>
      </c>
    </row>
    <row r="2162" spans="1:15" ht="24" thickBot="1" x14ac:dyDescent="0.35">
      <c r="A2162" s="994" t="s">
        <v>101</v>
      </c>
      <c r="B2162" s="1054" t="s">
        <v>162</v>
      </c>
      <c r="C2162" s="1055"/>
      <c r="D2162" s="1056"/>
      <c r="E2162" s="308">
        <f>+E2161+E2153</f>
        <v>1865664</v>
      </c>
      <c r="F2162" s="309">
        <f>+F2161+F2153</f>
        <v>240000</v>
      </c>
      <c r="G2162" s="369">
        <f>+G2153+G2161</f>
        <v>140305</v>
      </c>
      <c r="H2162" s="368">
        <f>+H2153+H2161</f>
        <v>139230</v>
      </c>
      <c r="I2162" s="368">
        <f>+I2153+I2161</f>
        <v>1075</v>
      </c>
      <c r="J2162" s="358">
        <f>+G2162/F2162</f>
        <v>0.5846041666666667</v>
      </c>
      <c r="K2162" s="369">
        <f>+K2153+K2161</f>
        <v>2169832</v>
      </c>
      <c r="L2162" s="368">
        <f>+L2153+L2161</f>
        <v>2140164</v>
      </c>
      <c r="M2162" s="370">
        <f>+M2153+M2161</f>
        <v>29668</v>
      </c>
      <c r="N2162" s="357">
        <f>IFERROR(K2162/E2162,"-")</f>
        <v>1.1630347157901959</v>
      </c>
      <c r="O2162" s="358">
        <f t="shared" si="2664"/>
        <v>1.3672947951730826E-2</v>
      </c>
    </row>
    <row r="2163" spans="1:15" ht="23.4" x14ac:dyDescent="0.3">
      <c r="A2163" s="274" t="s">
        <v>101</v>
      </c>
      <c r="B2163" s="1051" t="s">
        <v>30</v>
      </c>
      <c r="C2163" s="303" t="s">
        <v>446</v>
      </c>
      <c r="D2163" s="299" t="s">
        <v>492</v>
      </c>
      <c r="E2163" s="270">
        <v>225000</v>
      </c>
      <c r="F2163" s="271"/>
      <c r="G2163" s="332">
        <f t="shared" ref="G2163:G2165" si="2708">+H2163+I2163</f>
        <v>41733</v>
      </c>
      <c r="H2163" s="272">
        <v>41184</v>
      </c>
      <c r="I2163" s="272">
        <v>549</v>
      </c>
      <c r="J2163" s="351" t="str">
        <f>IFERROR(G2163/F2163,"-")</f>
        <v>-</v>
      </c>
      <c r="K2163" s="332">
        <f t="shared" ref="K2163:K2165" si="2709">+L2163+M2163</f>
        <v>310044</v>
      </c>
      <c r="L2163" s="272">
        <f t="shared" ref="L2163:L2165" si="2710">+H2163+L2046</f>
        <v>303264</v>
      </c>
      <c r="M2163" s="273">
        <f t="shared" ref="M2163:M2165" si="2711">+I2163+M2046</f>
        <v>6780</v>
      </c>
      <c r="N2163" s="336">
        <f t="shared" ref="N2163:N2176" si="2712">IFERROR(K2163/E2163,"-")</f>
        <v>1.3779733333333333</v>
      </c>
      <c r="O2163" s="346">
        <f t="shared" si="2664"/>
        <v>2.1867863916089331E-2</v>
      </c>
    </row>
    <row r="2164" spans="1:15" ht="23.4" x14ac:dyDescent="0.3">
      <c r="A2164" s="274" t="s">
        <v>101</v>
      </c>
      <c r="B2164" s="1051"/>
      <c r="C2164" s="300" t="s">
        <v>548</v>
      </c>
      <c r="D2164" s="303" t="s">
        <v>522</v>
      </c>
      <c r="E2164" s="276">
        <v>125000</v>
      </c>
      <c r="F2164" s="277"/>
      <c r="G2164" s="333">
        <f t="shared" si="2708"/>
        <v>0</v>
      </c>
      <c r="H2164" s="278">
        <v>0</v>
      </c>
      <c r="I2164" s="278">
        <v>0</v>
      </c>
      <c r="J2164" s="351" t="str">
        <f t="shared" ref="J2164:J2165" si="2713">IFERROR(G2164/F2164,"-")</f>
        <v>-</v>
      </c>
      <c r="K2164" s="333">
        <f t="shared" si="2709"/>
        <v>0</v>
      </c>
      <c r="L2164" s="272">
        <f t="shared" si="2710"/>
        <v>0</v>
      </c>
      <c r="M2164" s="273">
        <f t="shared" si="2711"/>
        <v>0</v>
      </c>
      <c r="N2164" s="337">
        <f t="shared" si="2712"/>
        <v>0</v>
      </c>
      <c r="O2164" s="263" t="str">
        <f t="shared" si="2664"/>
        <v>-</v>
      </c>
    </row>
    <row r="2165" spans="1:15" ht="24" thickBot="1" x14ac:dyDescent="0.35">
      <c r="A2165" s="274" t="s">
        <v>101</v>
      </c>
      <c r="B2165" s="1051"/>
      <c r="C2165" s="300" t="s">
        <v>291</v>
      </c>
      <c r="D2165" s="300" t="s">
        <v>366</v>
      </c>
      <c r="E2165" s="280"/>
      <c r="F2165" s="281"/>
      <c r="G2165" s="334">
        <f t="shared" si="2708"/>
        <v>0</v>
      </c>
      <c r="H2165" s="282">
        <v>0</v>
      </c>
      <c r="I2165" s="282">
        <v>0</v>
      </c>
      <c r="J2165" s="351" t="str">
        <f t="shared" si="2713"/>
        <v>-</v>
      </c>
      <c r="K2165" s="334">
        <f t="shared" si="2709"/>
        <v>53195</v>
      </c>
      <c r="L2165" s="272">
        <f t="shared" si="2710"/>
        <v>51828</v>
      </c>
      <c r="M2165" s="273">
        <f t="shared" si="2711"/>
        <v>1367</v>
      </c>
      <c r="N2165" s="338" t="str">
        <f t="shared" si="2712"/>
        <v>-</v>
      </c>
      <c r="O2165" s="347">
        <f t="shared" si="2664"/>
        <v>2.569790393834007E-2</v>
      </c>
    </row>
    <row r="2166" spans="1:15" ht="24" thickBot="1" x14ac:dyDescent="0.35">
      <c r="A2166" s="274" t="s">
        <v>101</v>
      </c>
      <c r="B2166" s="1051"/>
      <c r="C2166" s="301"/>
      <c r="D2166" s="302" t="s">
        <v>50</v>
      </c>
      <c r="E2166" s="284">
        <f>SUM(E2163:E2165)</f>
        <v>350000</v>
      </c>
      <c r="F2166" s="285">
        <v>50000</v>
      </c>
      <c r="G2166" s="320">
        <f>SUM(G2163:G2165)</f>
        <v>41733</v>
      </c>
      <c r="H2166" s="321">
        <f>SUM(H2163:H2165)</f>
        <v>41184</v>
      </c>
      <c r="I2166" s="321">
        <f>SUM(I2163:I2165)</f>
        <v>549</v>
      </c>
      <c r="J2166" s="345">
        <f>+G2166/F2166</f>
        <v>0.83465999999999996</v>
      </c>
      <c r="K2166" s="320">
        <f>SUM(K2163:K2165)</f>
        <v>363239</v>
      </c>
      <c r="L2166" s="321">
        <f>SUM(L2163:L2165)</f>
        <v>355092</v>
      </c>
      <c r="M2166" s="322">
        <f>SUM(M2163:M2165)</f>
        <v>8147</v>
      </c>
      <c r="N2166" s="339">
        <f t="shared" si="2712"/>
        <v>1.0378257142857144</v>
      </c>
      <c r="O2166" s="345">
        <f t="shared" si="2664"/>
        <v>2.2428759026426128E-2</v>
      </c>
    </row>
    <row r="2167" spans="1:15" ht="23.4" x14ac:dyDescent="0.3">
      <c r="A2167" s="274" t="s">
        <v>101</v>
      </c>
      <c r="B2167" s="1051"/>
      <c r="C2167" s="297" t="s">
        <v>434</v>
      </c>
      <c r="D2167" s="297" t="s">
        <v>92</v>
      </c>
      <c r="E2167" s="270"/>
      <c r="F2167" s="271"/>
      <c r="G2167" s="332">
        <f t="shared" ref="G2167:G2172" si="2714">+H2167+I2167</f>
        <v>0</v>
      </c>
      <c r="H2167" s="272">
        <v>0</v>
      </c>
      <c r="I2167" s="272">
        <v>0</v>
      </c>
      <c r="J2167" s="351" t="str">
        <f>IFERROR(G2167/F2167,"-")</f>
        <v>-</v>
      </c>
      <c r="K2167" s="332">
        <f t="shared" ref="K2167:K2172" si="2715">+L2167+M2167</f>
        <v>0</v>
      </c>
      <c r="L2167" s="272">
        <f t="shared" ref="L2167:L2172" si="2716">+H2167+L2050</f>
        <v>0</v>
      </c>
      <c r="M2167" s="273">
        <f t="shared" ref="M2167:M2172" si="2717">+I2167+M2050</f>
        <v>0</v>
      </c>
      <c r="N2167" s="336" t="str">
        <f t="shared" si="2712"/>
        <v>-</v>
      </c>
      <c r="O2167" s="346" t="str">
        <f t="shared" si="2664"/>
        <v>-</v>
      </c>
    </row>
    <row r="2168" spans="1:15" ht="23.4" x14ac:dyDescent="0.3">
      <c r="A2168" s="274"/>
      <c r="B2168" s="1051"/>
      <c r="C2168" s="303" t="s">
        <v>449</v>
      </c>
      <c r="D2168" s="299" t="s">
        <v>334</v>
      </c>
      <c r="E2168" s="270"/>
      <c r="F2168" s="271"/>
      <c r="G2168" s="332">
        <f t="shared" si="2714"/>
        <v>0</v>
      </c>
      <c r="H2168" s="272">
        <v>0</v>
      </c>
      <c r="I2168" s="272">
        <v>0</v>
      </c>
      <c r="J2168" s="351" t="str">
        <f t="shared" ref="J2168:J2172" si="2718">IFERROR(G2168/F2168,"-")</f>
        <v>-</v>
      </c>
      <c r="K2168" s="332">
        <f t="shared" si="2715"/>
        <v>0</v>
      </c>
      <c r="L2168" s="272">
        <f t="shared" si="2716"/>
        <v>0</v>
      </c>
      <c r="M2168" s="273">
        <f t="shared" si="2717"/>
        <v>0</v>
      </c>
      <c r="N2168" s="337" t="str">
        <f t="shared" si="2712"/>
        <v>-</v>
      </c>
      <c r="O2168" s="346" t="str">
        <f t="shared" si="2664"/>
        <v>-</v>
      </c>
    </row>
    <row r="2169" spans="1:15" ht="23.4" x14ac:dyDescent="0.3">
      <c r="A2169" s="274"/>
      <c r="B2169" s="1051"/>
      <c r="C2169" s="303" t="s">
        <v>452</v>
      </c>
      <c r="D2169" s="299" t="s">
        <v>334</v>
      </c>
      <c r="E2169" s="270"/>
      <c r="F2169" s="271"/>
      <c r="G2169" s="332">
        <f t="shared" si="2714"/>
        <v>0</v>
      </c>
      <c r="H2169" s="272">
        <v>0</v>
      </c>
      <c r="I2169" s="272">
        <v>0</v>
      </c>
      <c r="J2169" s="351" t="str">
        <f t="shared" si="2718"/>
        <v>-</v>
      </c>
      <c r="K2169" s="332">
        <f t="shared" si="2715"/>
        <v>0</v>
      </c>
      <c r="L2169" s="272">
        <f t="shared" si="2716"/>
        <v>0</v>
      </c>
      <c r="M2169" s="273">
        <f t="shared" si="2717"/>
        <v>0</v>
      </c>
      <c r="N2169" s="337" t="str">
        <f t="shared" si="2712"/>
        <v>-</v>
      </c>
      <c r="O2169" s="346" t="str">
        <f t="shared" si="2664"/>
        <v>-</v>
      </c>
    </row>
    <row r="2170" spans="1:15" ht="23.4" x14ac:dyDescent="0.3">
      <c r="A2170" s="274" t="s">
        <v>101</v>
      </c>
      <c r="B2170" s="1051"/>
      <c r="C2170" s="303" t="s">
        <v>501</v>
      </c>
      <c r="D2170" s="300" t="s">
        <v>423</v>
      </c>
      <c r="E2170" s="276"/>
      <c r="F2170" s="277"/>
      <c r="G2170" s="333">
        <f t="shared" si="2714"/>
        <v>0</v>
      </c>
      <c r="H2170" s="278">
        <v>0</v>
      </c>
      <c r="I2170" s="272">
        <v>0</v>
      </c>
      <c r="J2170" s="351" t="str">
        <f t="shared" si="2718"/>
        <v>-</v>
      </c>
      <c r="K2170" s="333">
        <f t="shared" si="2715"/>
        <v>8116</v>
      </c>
      <c r="L2170" s="272">
        <f t="shared" si="2716"/>
        <v>7488</v>
      </c>
      <c r="M2170" s="273">
        <f t="shared" si="2717"/>
        <v>628</v>
      </c>
      <c r="N2170" s="337" t="str">
        <f t="shared" si="2712"/>
        <v>-</v>
      </c>
      <c r="O2170" s="263">
        <f t="shared" si="2664"/>
        <v>7.737801872843765E-2</v>
      </c>
    </row>
    <row r="2171" spans="1:15" ht="23.4" x14ac:dyDescent="0.3">
      <c r="A2171" s="274"/>
      <c r="B2171" s="1051"/>
      <c r="C2171" s="300" t="s">
        <v>459</v>
      </c>
      <c r="D2171" s="300" t="s">
        <v>366</v>
      </c>
      <c r="E2171" s="280"/>
      <c r="F2171" s="281"/>
      <c r="G2171" s="334">
        <f t="shared" si="2714"/>
        <v>0</v>
      </c>
      <c r="H2171" s="282">
        <v>0</v>
      </c>
      <c r="I2171" s="278">
        <v>0</v>
      </c>
      <c r="J2171" s="351" t="str">
        <f t="shared" si="2718"/>
        <v>-</v>
      </c>
      <c r="K2171" s="333">
        <f t="shared" si="2715"/>
        <v>80554</v>
      </c>
      <c r="L2171" s="272">
        <f t="shared" si="2716"/>
        <v>78624</v>
      </c>
      <c r="M2171" s="272">
        <f t="shared" si="2717"/>
        <v>1930</v>
      </c>
      <c r="N2171" s="337" t="str">
        <f t="shared" si="2712"/>
        <v>-</v>
      </c>
      <c r="O2171" s="263">
        <f t="shared" si="2664"/>
        <v>2.3959083347816372E-2</v>
      </c>
    </row>
    <row r="2172" spans="1:15" ht="24" thickBot="1" x14ac:dyDescent="0.35">
      <c r="A2172" s="274" t="s">
        <v>101</v>
      </c>
      <c r="B2172" s="1051"/>
      <c r="C2172" s="300" t="s">
        <v>435</v>
      </c>
      <c r="D2172" s="300" t="s">
        <v>423</v>
      </c>
      <c r="E2172" s="280"/>
      <c r="F2172" s="281"/>
      <c r="G2172" s="334">
        <f t="shared" si="2714"/>
        <v>0</v>
      </c>
      <c r="H2172" s="282">
        <v>0</v>
      </c>
      <c r="I2172" s="272">
        <v>0</v>
      </c>
      <c r="J2172" s="351" t="str">
        <f t="shared" si="2718"/>
        <v>-</v>
      </c>
      <c r="K2172" s="334">
        <f t="shared" si="2715"/>
        <v>0</v>
      </c>
      <c r="L2172" s="272">
        <f t="shared" si="2716"/>
        <v>0</v>
      </c>
      <c r="M2172" s="273">
        <f t="shared" si="2717"/>
        <v>0</v>
      </c>
      <c r="N2172" s="338" t="str">
        <f t="shared" si="2712"/>
        <v>-</v>
      </c>
      <c r="O2172" s="347" t="str">
        <f t="shared" si="2664"/>
        <v>-</v>
      </c>
    </row>
    <row r="2173" spans="1:15" ht="24" thickBot="1" x14ac:dyDescent="0.35">
      <c r="A2173" s="274" t="s">
        <v>101</v>
      </c>
      <c r="B2173" s="1051"/>
      <c r="C2173" s="304"/>
      <c r="D2173" s="305" t="s">
        <v>51</v>
      </c>
      <c r="E2173" s="306">
        <f>SUM(E2167:E2172)</f>
        <v>0</v>
      </c>
      <c r="F2173" s="307">
        <v>50000</v>
      </c>
      <c r="G2173" s="366">
        <f>SUM(G2167:G2172)</f>
        <v>0</v>
      </c>
      <c r="H2173" s="365">
        <f t="shared" ref="H2173:I2173" si="2719">SUM(H2167:H2172)</f>
        <v>0</v>
      </c>
      <c r="I2173" s="365">
        <f t="shared" si="2719"/>
        <v>0</v>
      </c>
      <c r="J2173" s="356">
        <f>+G2173/F2173</f>
        <v>0</v>
      </c>
      <c r="K2173" s="366">
        <f t="shared" ref="K2173:M2173" si="2720">SUM(K2167:K2172)</f>
        <v>88670</v>
      </c>
      <c r="L2173" s="365">
        <f t="shared" si="2720"/>
        <v>86112</v>
      </c>
      <c r="M2173" s="367">
        <f t="shared" si="2720"/>
        <v>2558</v>
      </c>
      <c r="N2173" s="355" t="str">
        <f t="shared" si="2712"/>
        <v>-</v>
      </c>
      <c r="O2173" s="356">
        <f t="shared" si="2664"/>
        <v>2.8848539528589151E-2</v>
      </c>
    </row>
    <row r="2174" spans="1:15" ht="24" thickBot="1" x14ac:dyDescent="0.35">
      <c r="A2174" s="274" t="s">
        <v>101</v>
      </c>
      <c r="B2174" s="1054" t="s">
        <v>163</v>
      </c>
      <c r="C2174" s="1055"/>
      <c r="D2174" s="1056"/>
      <c r="E2174" s="308">
        <f>+E2173+E2166</f>
        <v>350000</v>
      </c>
      <c r="F2174" s="309">
        <v>50000</v>
      </c>
      <c r="G2174" s="369">
        <f>+G2166+G2173</f>
        <v>41733</v>
      </c>
      <c r="H2174" s="368">
        <f t="shared" ref="H2174:I2174" si="2721">+H2166+H2173</f>
        <v>41184</v>
      </c>
      <c r="I2174" s="368">
        <f t="shared" si="2721"/>
        <v>549</v>
      </c>
      <c r="J2174" s="358">
        <f>+G2174/F2174</f>
        <v>0.83465999999999996</v>
      </c>
      <c r="K2174" s="369">
        <f t="shared" ref="K2174:M2174" si="2722">+K2166+K2173</f>
        <v>451909</v>
      </c>
      <c r="L2174" s="368">
        <f t="shared" si="2722"/>
        <v>441204</v>
      </c>
      <c r="M2174" s="370">
        <f t="shared" si="2722"/>
        <v>10705</v>
      </c>
      <c r="N2174" s="357">
        <f t="shared" si="2712"/>
        <v>1.2911685714285714</v>
      </c>
      <c r="O2174" s="358">
        <f t="shared" si="2664"/>
        <v>2.3688397442848008E-2</v>
      </c>
    </row>
    <row r="2175" spans="1:15" ht="24" thickBot="1" x14ac:dyDescent="0.35">
      <c r="A2175" s="274" t="s">
        <v>101</v>
      </c>
      <c r="B2175" s="598" t="s">
        <v>32</v>
      </c>
      <c r="C2175" s="989"/>
      <c r="D2175" s="310" t="s">
        <v>32</v>
      </c>
      <c r="E2175" s="287">
        <v>0</v>
      </c>
      <c r="F2175" s="288">
        <v>110000</v>
      </c>
      <c r="G2175" s="335">
        <f t="shared" ref="G2175" si="2723">+H2175+I2175</f>
        <v>0</v>
      </c>
      <c r="H2175" s="289">
        <v>0</v>
      </c>
      <c r="I2175" s="289">
        <v>0</v>
      </c>
      <c r="J2175" s="354">
        <f>IFERROR(G2175/F2175,"-")</f>
        <v>0</v>
      </c>
      <c r="K2175" s="335">
        <f>+L2175+M2175</f>
        <v>0</v>
      </c>
      <c r="L2175" s="289">
        <f>+H2175+L2058</f>
        <v>0</v>
      </c>
      <c r="M2175" s="290">
        <f>+I2175+M2058</f>
        <v>0</v>
      </c>
      <c r="N2175" s="340" t="str">
        <f t="shared" si="2712"/>
        <v>-</v>
      </c>
      <c r="O2175" s="348" t="str">
        <f t="shared" si="2664"/>
        <v>-</v>
      </c>
    </row>
    <row r="2176" spans="1:15" ht="24" thickBot="1" x14ac:dyDescent="0.35">
      <c r="A2176" s="274" t="s">
        <v>101</v>
      </c>
      <c r="B2176" s="1047" t="s">
        <v>21</v>
      </c>
      <c r="C2176" s="1048"/>
      <c r="D2176" s="1049"/>
      <c r="E2176" s="326">
        <f>+E2162+E2174+E2175</f>
        <v>2215664</v>
      </c>
      <c r="F2176" s="327">
        <f>+F2162+F2174+F2175</f>
        <v>400000</v>
      </c>
      <c r="G2176" s="326">
        <f>+G2162+G2174+G2175</f>
        <v>182038</v>
      </c>
      <c r="H2176" s="324">
        <f>+H2162+H2174+H2175</f>
        <v>180414</v>
      </c>
      <c r="I2176" s="324">
        <f>+I2162+I2174+I2175</f>
        <v>1624</v>
      </c>
      <c r="J2176" s="349">
        <f>+G2176/F2176</f>
        <v>0.45509500000000003</v>
      </c>
      <c r="K2176" s="326">
        <f>+K2162+K2174+K2175</f>
        <v>2621741</v>
      </c>
      <c r="L2176" s="324">
        <f>+L2162+L2174+L2175</f>
        <v>2581368</v>
      </c>
      <c r="M2176" s="325">
        <f>+M2162+M2174+M2175</f>
        <v>40373</v>
      </c>
      <c r="N2176" s="341">
        <f t="shared" si="2712"/>
        <v>1.1832755327522584</v>
      </c>
      <c r="O2176" s="349">
        <f t="shared" si="2664"/>
        <v>1.5399309085069807E-2</v>
      </c>
    </row>
    <row r="2177" spans="1:15" ht="24" thickBot="1" x14ac:dyDescent="0.35">
      <c r="A2177" s="274" t="s">
        <v>101</v>
      </c>
      <c r="B2177" s="1019" t="s">
        <v>171</v>
      </c>
      <c r="C2177" s="1020"/>
      <c r="D2177" s="1021"/>
      <c r="E2177" s="330">
        <f>+E2176</f>
        <v>2215664</v>
      </c>
      <c r="F2177" s="331">
        <f t="shared" ref="F2177:I2177" si="2724">+F2176</f>
        <v>400000</v>
      </c>
      <c r="G2177" s="330">
        <f t="shared" si="2724"/>
        <v>182038</v>
      </c>
      <c r="H2177" s="328">
        <f t="shared" si="2724"/>
        <v>180414</v>
      </c>
      <c r="I2177" s="328">
        <f t="shared" si="2724"/>
        <v>1624</v>
      </c>
      <c r="J2177" s="872">
        <f>+G2177/F2177</f>
        <v>0.45509500000000003</v>
      </c>
      <c r="K2177" s="330">
        <f>+K2176</f>
        <v>2621741</v>
      </c>
      <c r="L2177" s="328">
        <f t="shared" ref="L2177" si="2725">+L2176</f>
        <v>2581368</v>
      </c>
      <c r="M2177" s="329">
        <f>+M2176</f>
        <v>40373</v>
      </c>
      <c r="N2177" s="342">
        <f t="shared" ref="N2177:O2177" si="2726">+N2176</f>
        <v>1.1832755327522584</v>
      </c>
      <c r="O2177" s="350">
        <f t="shared" si="2726"/>
        <v>1.5399309085069807E-2</v>
      </c>
    </row>
    <row r="2178" spans="1:15" ht="23.4" x14ac:dyDescent="0.3">
      <c r="A2178" s="268" t="s">
        <v>102</v>
      </c>
      <c r="B2178" s="1022" t="s">
        <v>401</v>
      </c>
      <c r="C2178" s="311" t="s">
        <v>113</v>
      </c>
      <c r="D2178" s="311"/>
      <c r="E2178" s="270"/>
      <c r="F2178" s="271"/>
      <c r="G2178" s="332">
        <f t="shared" ref="G2178:G2180" si="2727">+H2178+I2178</f>
        <v>0</v>
      </c>
      <c r="H2178" s="272">
        <v>0</v>
      </c>
      <c r="I2178" s="272">
        <v>0</v>
      </c>
      <c r="J2178" s="351" t="str">
        <f>IFERROR(G2178/F2178,"-")</f>
        <v>-</v>
      </c>
      <c r="K2178" s="332">
        <f t="shared" ref="K2178:K2180" si="2728">+L2178+M2178</f>
        <v>0</v>
      </c>
      <c r="L2178" s="272">
        <f t="shared" ref="L2178:L2180" si="2729">+H2178+L2061</f>
        <v>0</v>
      </c>
      <c r="M2178" s="273">
        <f t="shared" ref="M2178:M2180" si="2730">+I2178+M2061</f>
        <v>0</v>
      </c>
      <c r="N2178" s="336" t="str">
        <f t="shared" ref="N2178:N2185" si="2731">IFERROR(K2178/E2178,"-")</f>
        <v>-</v>
      </c>
      <c r="O2178" s="346" t="str">
        <f t="shared" ref="O2178:O2203" si="2732">IFERROR(M2178/K2178,"-")</f>
        <v>-</v>
      </c>
    </row>
    <row r="2179" spans="1:15" ht="23.4" x14ac:dyDescent="0.3">
      <c r="A2179" s="274" t="s">
        <v>102</v>
      </c>
      <c r="B2179" s="1023"/>
      <c r="C2179" s="312" t="s">
        <v>247</v>
      </c>
      <c r="D2179" s="312"/>
      <c r="E2179" s="276">
        <v>2000</v>
      </c>
      <c r="F2179" s="277"/>
      <c r="G2179" s="333">
        <f t="shared" si="2727"/>
        <v>0</v>
      </c>
      <c r="H2179" s="278">
        <v>0</v>
      </c>
      <c r="I2179" s="278">
        <v>0</v>
      </c>
      <c r="J2179" s="351" t="str">
        <f t="shared" ref="J2179:J2180" si="2733">IFERROR(G2179/F2179,"-")</f>
        <v>-</v>
      </c>
      <c r="K2179" s="333">
        <f t="shared" si="2728"/>
        <v>9638</v>
      </c>
      <c r="L2179" s="272">
        <f t="shared" si="2729"/>
        <v>9149</v>
      </c>
      <c r="M2179" s="273">
        <f t="shared" si="2730"/>
        <v>489</v>
      </c>
      <c r="N2179" s="337">
        <f t="shared" si="2731"/>
        <v>4.819</v>
      </c>
      <c r="O2179" s="263">
        <f t="shared" si="2732"/>
        <v>5.0736667358373108E-2</v>
      </c>
    </row>
    <row r="2180" spans="1:15" ht="24" thickBot="1" x14ac:dyDescent="0.35">
      <c r="A2180" s="274" t="s">
        <v>102</v>
      </c>
      <c r="B2180" s="1024"/>
      <c r="C2180" s="313" t="s">
        <v>33</v>
      </c>
      <c r="D2180" s="313"/>
      <c r="E2180" s="280"/>
      <c r="F2180" s="281"/>
      <c r="G2180" s="334">
        <f t="shared" si="2727"/>
        <v>0</v>
      </c>
      <c r="H2180" s="282">
        <v>0</v>
      </c>
      <c r="I2180" s="282">
        <v>0</v>
      </c>
      <c r="J2180" s="351" t="str">
        <f t="shared" si="2733"/>
        <v>-</v>
      </c>
      <c r="K2180" s="334">
        <f t="shared" si="2728"/>
        <v>0</v>
      </c>
      <c r="L2180" s="272">
        <f t="shared" si="2729"/>
        <v>0</v>
      </c>
      <c r="M2180" s="273">
        <f t="shared" si="2730"/>
        <v>0</v>
      </c>
      <c r="N2180" s="338" t="str">
        <f t="shared" si="2731"/>
        <v>-</v>
      </c>
      <c r="O2180" s="347" t="str">
        <f t="shared" si="2732"/>
        <v>-</v>
      </c>
    </row>
    <row r="2181" spans="1:15" ht="24" thickBot="1" x14ac:dyDescent="0.35">
      <c r="A2181" s="274" t="s">
        <v>102</v>
      </c>
      <c r="B2181" s="1025" t="s">
        <v>34</v>
      </c>
      <c r="C2181" s="1026"/>
      <c r="D2181" s="1027"/>
      <c r="E2181" s="284">
        <f>SUM(E2178:E2180)</f>
        <v>2000</v>
      </c>
      <c r="F2181" s="285">
        <v>6500</v>
      </c>
      <c r="G2181" s="320">
        <f>SUM(G2178:G2180)</f>
        <v>0</v>
      </c>
      <c r="H2181" s="321">
        <f t="shared" ref="H2181:I2181" si="2734">SUM(H2178:H2180)</f>
        <v>0</v>
      </c>
      <c r="I2181" s="321">
        <f t="shared" si="2734"/>
        <v>0</v>
      </c>
      <c r="J2181" s="345">
        <f>IFERROR(G2181/F2181,"-")</f>
        <v>0</v>
      </c>
      <c r="K2181" s="320">
        <f t="shared" ref="K2181:M2181" si="2735">SUM(K2178:K2180)</f>
        <v>9638</v>
      </c>
      <c r="L2181" s="321">
        <f t="shared" si="2735"/>
        <v>9149</v>
      </c>
      <c r="M2181" s="322">
        <f t="shared" si="2735"/>
        <v>489</v>
      </c>
      <c r="N2181" s="339">
        <f t="shared" si="2731"/>
        <v>4.819</v>
      </c>
      <c r="O2181" s="345">
        <f t="shared" si="2732"/>
        <v>5.0736667358373108E-2</v>
      </c>
    </row>
    <row r="2182" spans="1:15" ht="23.4" x14ac:dyDescent="0.3">
      <c r="A2182" s="274" t="s">
        <v>102</v>
      </c>
      <c r="B2182" s="1022" t="s">
        <v>35</v>
      </c>
      <c r="C2182" s="311" t="s">
        <v>113</v>
      </c>
      <c r="D2182" s="311"/>
      <c r="E2182" s="270">
        <v>116160</v>
      </c>
      <c r="F2182" s="271"/>
      <c r="G2182" s="332">
        <f t="shared" ref="G2182:G2185" si="2736">+H2182+I2182</f>
        <v>0</v>
      </c>
      <c r="H2182" s="272">
        <v>0</v>
      </c>
      <c r="I2182" s="272">
        <v>0</v>
      </c>
      <c r="J2182" s="351" t="str">
        <f>IFERROR(G2182/F2182,"-")</f>
        <v>-</v>
      </c>
      <c r="K2182" s="332">
        <f t="shared" ref="K2182:K2185" si="2737">+L2182+M2182</f>
        <v>0</v>
      </c>
      <c r="L2182" s="272">
        <f t="shared" ref="L2182:L2185" si="2738">+H2182+L2065</f>
        <v>0</v>
      </c>
      <c r="M2182" s="273">
        <f t="shared" ref="M2182:M2185" si="2739">+I2182+M2065</f>
        <v>0</v>
      </c>
      <c r="N2182" s="336">
        <f t="shared" si="2731"/>
        <v>0</v>
      </c>
      <c r="O2182" s="346" t="str">
        <f t="shared" si="2732"/>
        <v>-</v>
      </c>
    </row>
    <row r="2183" spans="1:15" ht="23.4" x14ac:dyDescent="0.3">
      <c r="A2183" s="274" t="s">
        <v>102</v>
      </c>
      <c r="B2183" s="1023"/>
      <c r="C2183" s="312" t="s">
        <v>247</v>
      </c>
      <c r="D2183" s="312"/>
      <c r="E2183" s="276"/>
      <c r="F2183" s="277"/>
      <c r="G2183" s="333">
        <f t="shared" si="2736"/>
        <v>3302</v>
      </c>
      <c r="H2183" s="278">
        <v>3200</v>
      </c>
      <c r="I2183" s="278">
        <v>102</v>
      </c>
      <c r="J2183" s="351" t="str">
        <f t="shared" ref="J2183:J2185" si="2740">IFERROR(G2183/F2183,"-")</f>
        <v>-</v>
      </c>
      <c r="K2183" s="333">
        <f t="shared" si="2737"/>
        <v>32492</v>
      </c>
      <c r="L2183" s="272">
        <f t="shared" si="2738"/>
        <v>30720</v>
      </c>
      <c r="M2183" s="273">
        <f t="shared" si="2739"/>
        <v>1772</v>
      </c>
      <c r="N2183" s="337" t="str">
        <f t="shared" si="2731"/>
        <v>-</v>
      </c>
      <c r="O2183" s="263">
        <f t="shared" si="2732"/>
        <v>5.4536501292625876E-2</v>
      </c>
    </row>
    <row r="2184" spans="1:15" ht="23.4" x14ac:dyDescent="0.3">
      <c r="A2184" s="274" t="s">
        <v>102</v>
      </c>
      <c r="B2184" s="1023"/>
      <c r="C2184" s="312" t="s">
        <v>496</v>
      </c>
      <c r="D2184" s="312"/>
      <c r="E2184" s="276">
        <v>20000</v>
      </c>
      <c r="F2184" s="277"/>
      <c r="G2184" s="333">
        <f t="shared" si="2736"/>
        <v>0</v>
      </c>
      <c r="H2184" s="278">
        <v>0</v>
      </c>
      <c r="I2184" s="278">
        <v>0</v>
      </c>
      <c r="J2184" s="351" t="str">
        <f t="shared" si="2740"/>
        <v>-</v>
      </c>
      <c r="K2184" s="333">
        <f t="shared" si="2737"/>
        <v>0</v>
      </c>
      <c r="L2184" s="272">
        <f t="shared" si="2738"/>
        <v>0</v>
      </c>
      <c r="M2184" s="273">
        <f t="shared" si="2739"/>
        <v>0</v>
      </c>
      <c r="N2184" s="337">
        <f t="shared" si="2731"/>
        <v>0</v>
      </c>
      <c r="O2184" s="263" t="str">
        <f t="shared" si="2732"/>
        <v>-</v>
      </c>
    </row>
    <row r="2185" spans="1:15" ht="24" thickBot="1" x14ac:dyDescent="0.35">
      <c r="A2185" s="274" t="s">
        <v>102</v>
      </c>
      <c r="B2185" s="1024"/>
      <c r="C2185" s="313" t="s">
        <v>36</v>
      </c>
      <c r="D2185" s="313"/>
      <c r="E2185" s="280"/>
      <c r="F2185" s="281"/>
      <c r="G2185" s="334">
        <f t="shared" si="2736"/>
        <v>0</v>
      </c>
      <c r="H2185" s="278">
        <v>0</v>
      </c>
      <c r="I2185" s="278">
        <v>0</v>
      </c>
      <c r="J2185" s="351" t="str">
        <f t="shared" si="2740"/>
        <v>-</v>
      </c>
      <c r="K2185" s="334">
        <f t="shared" si="2737"/>
        <v>0</v>
      </c>
      <c r="L2185" s="272">
        <f t="shared" si="2738"/>
        <v>0</v>
      </c>
      <c r="M2185" s="273">
        <f t="shared" si="2739"/>
        <v>0</v>
      </c>
      <c r="N2185" s="338" t="str">
        <f t="shared" si="2731"/>
        <v>-</v>
      </c>
      <c r="O2185" s="347" t="str">
        <f t="shared" si="2732"/>
        <v>-</v>
      </c>
    </row>
    <row r="2186" spans="1:15" ht="24" thickBot="1" x14ac:dyDescent="0.35">
      <c r="A2186" s="274" t="s">
        <v>102</v>
      </c>
      <c r="B2186" s="1025" t="s">
        <v>37</v>
      </c>
      <c r="C2186" s="1026"/>
      <c r="D2186" s="1027"/>
      <c r="E2186" s="284">
        <f>SUM(E2182:E2185)</f>
        <v>136160</v>
      </c>
      <c r="F2186" s="285">
        <v>6500</v>
      </c>
      <c r="G2186" s="320">
        <f>SUM(G2182:G2185)</f>
        <v>3302</v>
      </c>
      <c r="H2186" s="321">
        <f t="shared" ref="H2186:I2186" si="2741">SUM(H2182:H2185)</f>
        <v>3200</v>
      </c>
      <c r="I2186" s="321">
        <f t="shared" si="2741"/>
        <v>102</v>
      </c>
      <c r="J2186" s="345">
        <f>IFERROR(G2186/F2186,"-")</f>
        <v>0.50800000000000001</v>
      </c>
      <c r="K2186" s="320">
        <f t="shared" ref="K2186:M2186" si="2742">SUM(K2182:K2185)</f>
        <v>32492</v>
      </c>
      <c r="L2186" s="321">
        <f t="shared" si="2742"/>
        <v>30720</v>
      </c>
      <c r="M2186" s="322">
        <f t="shared" si="2742"/>
        <v>1772</v>
      </c>
      <c r="N2186" s="339">
        <f>IFERROR(K2186/E2186,"-")</f>
        <v>0.23863102232667449</v>
      </c>
      <c r="O2186" s="345">
        <f t="shared" si="2732"/>
        <v>5.4536501292625876E-2</v>
      </c>
    </row>
    <row r="2187" spans="1:15" ht="23.4" x14ac:dyDescent="0.3">
      <c r="A2187" s="274" t="s">
        <v>102</v>
      </c>
      <c r="B2187" s="1022" t="s">
        <v>402</v>
      </c>
      <c r="C2187" s="314" t="s">
        <v>116</v>
      </c>
      <c r="D2187" s="314"/>
      <c r="E2187" s="270">
        <v>31000</v>
      </c>
      <c r="F2187" s="271"/>
      <c r="G2187" s="332">
        <f t="shared" ref="G2187:G2188" si="2743">+H2187+I2187</f>
        <v>0</v>
      </c>
      <c r="H2187" s="272">
        <v>0</v>
      </c>
      <c r="I2187" s="272">
        <v>0</v>
      </c>
      <c r="J2187" s="351" t="str">
        <f>IFERROR(G2187/F2187,"-")</f>
        <v>-</v>
      </c>
      <c r="K2187" s="332">
        <f t="shared" ref="K2187:K2188" si="2744">+L2187+M2187</f>
        <v>0</v>
      </c>
      <c r="L2187" s="272">
        <f t="shared" ref="L2187:L2188" si="2745">+H2187+L2070</f>
        <v>0</v>
      </c>
      <c r="M2187" s="273">
        <f t="shared" ref="M2187:M2188" si="2746">+I2187+M2070</f>
        <v>0</v>
      </c>
      <c r="N2187" s="336">
        <f t="shared" ref="N2187:N2203" si="2747">IFERROR(K2187/E2187,"-")</f>
        <v>0</v>
      </c>
      <c r="O2187" s="346" t="str">
        <f t="shared" si="2732"/>
        <v>-</v>
      </c>
    </row>
    <row r="2188" spans="1:15" ht="24" thickBot="1" x14ac:dyDescent="0.35">
      <c r="A2188" s="274" t="s">
        <v>102</v>
      </c>
      <c r="B2188" s="1024"/>
      <c r="C2188" s="286" t="s">
        <v>132</v>
      </c>
      <c r="D2188" s="286"/>
      <c r="E2188" s="280"/>
      <c r="F2188" s="281"/>
      <c r="G2188" s="334">
        <f t="shared" si="2743"/>
        <v>0</v>
      </c>
      <c r="H2188" s="282">
        <v>0</v>
      </c>
      <c r="I2188" s="282">
        <v>0</v>
      </c>
      <c r="J2188" s="351" t="str">
        <f>IFERROR(G2188/F2188,"-")</f>
        <v>-</v>
      </c>
      <c r="K2188" s="334">
        <f t="shared" si="2744"/>
        <v>22797</v>
      </c>
      <c r="L2188" s="272">
        <f t="shared" si="2745"/>
        <v>21790</v>
      </c>
      <c r="M2188" s="273">
        <f t="shared" si="2746"/>
        <v>1007</v>
      </c>
      <c r="N2188" s="338" t="str">
        <f t="shared" si="2747"/>
        <v>-</v>
      </c>
      <c r="O2188" s="347">
        <f t="shared" si="2732"/>
        <v>4.4172478834934421E-2</v>
      </c>
    </row>
    <row r="2189" spans="1:15" ht="24" thickBot="1" x14ac:dyDescent="0.35">
      <c r="A2189" s="994" t="s">
        <v>102</v>
      </c>
      <c r="B2189" s="1025" t="s">
        <v>38</v>
      </c>
      <c r="C2189" s="1026"/>
      <c r="D2189" s="1027"/>
      <c r="E2189" s="284">
        <f>SUM(E2187:E2188)</f>
        <v>31000</v>
      </c>
      <c r="F2189" s="285">
        <v>2800</v>
      </c>
      <c r="G2189" s="320">
        <f>SUM(G2187:G2188)</f>
        <v>0</v>
      </c>
      <c r="H2189" s="321">
        <f t="shared" ref="H2189:I2189" si="2748">SUM(H2187:H2188)</f>
        <v>0</v>
      </c>
      <c r="I2189" s="321">
        <f t="shared" si="2748"/>
        <v>0</v>
      </c>
      <c r="J2189" s="345" t="str">
        <f>IFERROR(G2189/F2179,"-")</f>
        <v>-</v>
      </c>
      <c r="K2189" s="320">
        <f t="shared" ref="K2189:M2189" si="2749">SUM(K2187:K2188)</f>
        <v>22797</v>
      </c>
      <c r="L2189" s="321">
        <f t="shared" si="2749"/>
        <v>21790</v>
      </c>
      <c r="M2189" s="322">
        <f t="shared" si="2749"/>
        <v>1007</v>
      </c>
      <c r="N2189" s="339">
        <f t="shared" si="2747"/>
        <v>0.73538709677419356</v>
      </c>
      <c r="O2189" s="345">
        <f t="shared" si="2732"/>
        <v>4.4172478834934421E-2</v>
      </c>
    </row>
    <row r="2190" spans="1:15" ht="23.4" x14ac:dyDescent="0.3">
      <c r="A2190" s="274" t="s">
        <v>102</v>
      </c>
      <c r="B2190" s="1022" t="s">
        <v>403</v>
      </c>
      <c r="C2190" s="269" t="s">
        <v>306</v>
      </c>
      <c r="D2190" s="269"/>
      <c r="E2190" s="270">
        <v>978200</v>
      </c>
      <c r="F2190" s="315"/>
      <c r="G2190" s="332">
        <f t="shared" ref="G2190:G2194" si="2750">+H2190+I2190</f>
        <v>0</v>
      </c>
      <c r="H2190" s="272">
        <v>0</v>
      </c>
      <c r="I2190" s="272">
        <v>0</v>
      </c>
      <c r="J2190" s="371" t="str">
        <f>IFERROR(G2190/F2190,"-")</f>
        <v>-</v>
      </c>
      <c r="K2190" s="332">
        <f t="shared" ref="K2190:K2194" si="2751">+L2190+M2190</f>
        <v>442040</v>
      </c>
      <c r="L2190" s="272">
        <f t="shared" ref="L2190:L2194" si="2752">+H2190+L2073</f>
        <v>438804</v>
      </c>
      <c r="M2190" s="272">
        <f t="shared" ref="M2190:M2194" si="2753">+I2190+M2073</f>
        <v>3236</v>
      </c>
      <c r="N2190" s="359">
        <f t="shared" si="2747"/>
        <v>0.45189122878756899</v>
      </c>
      <c r="O2190" s="360">
        <f t="shared" si="2732"/>
        <v>7.3206044701836937E-3</v>
      </c>
    </row>
    <row r="2191" spans="1:15" ht="23.4" x14ac:dyDescent="0.3">
      <c r="A2191" s="274" t="s">
        <v>102</v>
      </c>
      <c r="B2191" s="1023"/>
      <c r="C2191" s="269" t="s">
        <v>307</v>
      </c>
      <c r="D2191" s="275"/>
      <c r="E2191" s="276"/>
      <c r="F2191" s="316"/>
      <c r="G2191" s="333">
        <f t="shared" si="2750"/>
        <v>0</v>
      </c>
      <c r="H2191" s="278">
        <v>0</v>
      </c>
      <c r="I2191" s="278">
        <v>0</v>
      </c>
      <c r="J2191" s="371" t="str">
        <f t="shared" ref="J2191:J2194" si="2754">IFERROR(G2191/F2191,"-")</f>
        <v>-</v>
      </c>
      <c r="K2191" s="333">
        <f t="shared" si="2751"/>
        <v>0</v>
      </c>
      <c r="L2191" s="272">
        <f t="shared" si="2752"/>
        <v>0</v>
      </c>
      <c r="M2191" s="273">
        <f t="shared" si="2753"/>
        <v>0</v>
      </c>
      <c r="N2191" s="361" t="str">
        <f t="shared" si="2747"/>
        <v>-</v>
      </c>
      <c r="O2191" s="362" t="str">
        <f t="shared" si="2732"/>
        <v>-</v>
      </c>
    </row>
    <row r="2192" spans="1:15" ht="23.4" x14ac:dyDescent="0.3">
      <c r="A2192" s="274" t="s">
        <v>102</v>
      </c>
      <c r="B2192" s="1023"/>
      <c r="C2192" s="275" t="s">
        <v>499</v>
      </c>
      <c r="D2192" s="275"/>
      <c r="E2192" s="276">
        <f>70000+15000</f>
        <v>85000</v>
      </c>
      <c r="F2192" s="316"/>
      <c r="G2192" s="333">
        <f t="shared" si="2750"/>
        <v>11665</v>
      </c>
      <c r="H2192" s="278">
        <v>11520</v>
      </c>
      <c r="I2192" s="278">
        <v>145</v>
      </c>
      <c r="J2192" s="371" t="str">
        <f t="shared" si="2754"/>
        <v>-</v>
      </c>
      <c r="K2192" s="333">
        <f t="shared" si="2751"/>
        <v>61330</v>
      </c>
      <c r="L2192" s="272">
        <f t="shared" si="2752"/>
        <v>60552</v>
      </c>
      <c r="M2192" s="273">
        <f t="shared" si="2753"/>
        <v>778</v>
      </c>
      <c r="N2192" s="361">
        <f t="shared" si="2747"/>
        <v>0.72152941176470586</v>
      </c>
      <c r="O2192" s="362">
        <f t="shared" si="2732"/>
        <v>1.2685472036523725E-2</v>
      </c>
    </row>
    <row r="2193" spans="1:15" ht="23.4" x14ac:dyDescent="0.3">
      <c r="A2193" s="274" t="s">
        <v>102</v>
      </c>
      <c r="B2193" s="1023"/>
      <c r="C2193" s="275" t="s">
        <v>157</v>
      </c>
      <c r="D2193" s="275"/>
      <c r="E2193" s="276">
        <v>60040</v>
      </c>
      <c r="F2193" s="316"/>
      <c r="G2193" s="333">
        <f t="shared" si="2750"/>
        <v>0</v>
      </c>
      <c r="H2193" s="278">
        <v>0</v>
      </c>
      <c r="I2193" s="278">
        <v>0</v>
      </c>
      <c r="J2193" s="371" t="str">
        <f t="shared" si="2754"/>
        <v>-</v>
      </c>
      <c r="K2193" s="333">
        <f t="shared" si="2751"/>
        <v>0</v>
      </c>
      <c r="L2193" s="272">
        <f t="shared" si="2752"/>
        <v>0</v>
      </c>
      <c r="M2193" s="273">
        <f t="shared" si="2753"/>
        <v>0</v>
      </c>
      <c r="N2193" s="361">
        <f t="shared" si="2747"/>
        <v>0</v>
      </c>
      <c r="O2193" s="362" t="str">
        <f t="shared" si="2732"/>
        <v>-</v>
      </c>
    </row>
    <row r="2194" spans="1:15" ht="24" thickBot="1" x14ac:dyDescent="0.35">
      <c r="A2194" s="274" t="s">
        <v>102</v>
      </c>
      <c r="B2194" s="1024"/>
      <c r="C2194" s="279" t="s">
        <v>158</v>
      </c>
      <c r="D2194" s="279"/>
      <c r="E2194" s="280"/>
      <c r="F2194" s="317"/>
      <c r="G2194" s="334">
        <f t="shared" si="2750"/>
        <v>0</v>
      </c>
      <c r="H2194" s="278">
        <v>0</v>
      </c>
      <c r="I2194" s="278">
        <v>0</v>
      </c>
      <c r="J2194" s="371" t="str">
        <f t="shared" si="2754"/>
        <v>-</v>
      </c>
      <c r="K2194" s="334">
        <f t="shared" si="2751"/>
        <v>0</v>
      </c>
      <c r="L2194" s="272">
        <f t="shared" si="2752"/>
        <v>0</v>
      </c>
      <c r="M2194" s="273">
        <f t="shared" si="2753"/>
        <v>0</v>
      </c>
      <c r="N2194" s="363" t="str">
        <f t="shared" si="2747"/>
        <v>-</v>
      </c>
      <c r="O2194" s="364" t="str">
        <f t="shared" si="2732"/>
        <v>-</v>
      </c>
    </row>
    <row r="2195" spans="1:15" ht="24" thickBot="1" x14ac:dyDescent="0.35">
      <c r="A2195" s="274" t="s">
        <v>102</v>
      </c>
      <c r="B2195" s="1025" t="s">
        <v>39</v>
      </c>
      <c r="C2195" s="1026"/>
      <c r="D2195" s="1027"/>
      <c r="E2195" s="320">
        <f>SUM(E2190:E2194)</f>
        <v>1123240</v>
      </c>
      <c r="F2195" s="285">
        <v>25000</v>
      </c>
      <c r="G2195" s="320">
        <f>SUM(G2190:G2194)</f>
        <v>11665</v>
      </c>
      <c r="H2195" s="321">
        <f>SUM(H2190:H2194)</f>
        <v>11520</v>
      </c>
      <c r="I2195" s="321">
        <f>SUM(I2190:I2194)</f>
        <v>145</v>
      </c>
      <c r="J2195" s="345">
        <f>IFERROR(G2195/F2195,"-")</f>
        <v>0.46660000000000001</v>
      </c>
      <c r="K2195" s="320">
        <f>SUM(K2190:K2194)</f>
        <v>503370</v>
      </c>
      <c r="L2195" s="321">
        <f>SUM(L2190:L2194)</f>
        <v>499356</v>
      </c>
      <c r="M2195" s="322">
        <f>SUM(M2190:M2194)</f>
        <v>4014</v>
      </c>
      <c r="N2195" s="339">
        <f t="shared" si="2747"/>
        <v>0.44814109184145862</v>
      </c>
      <c r="O2195" s="345">
        <f t="shared" si="2732"/>
        <v>7.9742535311997133E-3</v>
      </c>
    </row>
    <row r="2196" spans="1:15" ht="23.4" x14ac:dyDescent="0.3">
      <c r="A2196" s="274" t="s">
        <v>102</v>
      </c>
      <c r="B2196" s="1022" t="s">
        <v>404</v>
      </c>
      <c r="C2196" s="269" t="s">
        <v>186</v>
      </c>
      <c r="D2196" s="269"/>
      <c r="E2196" s="270"/>
      <c r="F2196" s="271"/>
      <c r="G2196" s="332">
        <f t="shared" ref="G2196:G2198" si="2755">+H2196+I2196</f>
        <v>0</v>
      </c>
      <c r="H2196" s="272">
        <v>0</v>
      </c>
      <c r="I2196" s="272">
        <v>0</v>
      </c>
      <c r="J2196" s="351" t="str">
        <f>IFERROR(G2196/F2196,"-")</f>
        <v>-</v>
      </c>
      <c r="K2196" s="332">
        <f t="shared" ref="K2196:K2198" si="2756">+L2196+M2196</f>
        <v>0</v>
      </c>
      <c r="L2196" s="272">
        <f t="shared" ref="L2196:L2198" si="2757">+H2196+L2079</f>
        <v>0</v>
      </c>
      <c r="M2196" s="273">
        <f t="shared" ref="M2196:M2198" si="2758">+I2196+M2079</f>
        <v>0</v>
      </c>
      <c r="N2196" s="336" t="str">
        <f t="shared" si="2747"/>
        <v>-</v>
      </c>
      <c r="O2196" s="346" t="str">
        <f t="shared" si="2732"/>
        <v>-</v>
      </c>
    </row>
    <row r="2197" spans="1:15" ht="23.4" x14ac:dyDescent="0.3">
      <c r="A2197" s="274" t="s">
        <v>102</v>
      </c>
      <c r="B2197" s="1023"/>
      <c r="C2197" s="275" t="s">
        <v>497</v>
      </c>
      <c r="D2197" s="275"/>
      <c r="E2197" s="276"/>
      <c r="F2197" s="277"/>
      <c r="G2197" s="333">
        <f t="shared" si="2755"/>
        <v>0</v>
      </c>
      <c r="H2197" s="278">
        <v>0</v>
      </c>
      <c r="I2197" s="278">
        <v>0</v>
      </c>
      <c r="J2197" s="351" t="str">
        <f t="shared" ref="J2197:J2198" si="2759">IFERROR(G2197/F2197,"-")</f>
        <v>-</v>
      </c>
      <c r="K2197" s="333">
        <f t="shared" si="2756"/>
        <v>11826</v>
      </c>
      <c r="L2197" s="714">
        <f t="shared" si="2757"/>
        <v>11400</v>
      </c>
      <c r="M2197" s="273">
        <f t="shared" si="2758"/>
        <v>426</v>
      </c>
      <c r="N2197" s="361" t="str">
        <f t="shared" si="2747"/>
        <v>-</v>
      </c>
      <c r="O2197" s="362">
        <f t="shared" si="2732"/>
        <v>3.6022323693556568E-2</v>
      </c>
    </row>
    <row r="2198" spans="1:15" ht="24" thickBot="1" x14ac:dyDescent="0.35">
      <c r="A2198" s="274" t="s">
        <v>102</v>
      </c>
      <c r="B2198" s="1024"/>
      <c r="C2198" s="279" t="s">
        <v>498</v>
      </c>
      <c r="D2198" s="279"/>
      <c r="E2198" s="280"/>
      <c r="F2198" s="281"/>
      <c r="G2198" s="334">
        <f t="shared" si="2755"/>
        <v>0</v>
      </c>
      <c r="H2198" s="278">
        <v>0</v>
      </c>
      <c r="I2198" s="278">
        <v>0</v>
      </c>
      <c r="J2198" s="351" t="str">
        <f t="shared" si="2759"/>
        <v>-</v>
      </c>
      <c r="K2198" s="334">
        <f t="shared" si="2756"/>
        <v>0</v>
      </c>
      <c r="L2198" s="272">
        <f t="shared" si="2757"/>
        <v>0</v>
      </c>
      <c r="M2198" s="273">
        <f t="shared" si="2758"/>
        <v>0</v>
      </c>
      <c r="N2198" s="363" t="str">
        <f t="shared" si="2747"/>
        <v>-</v>
      </c>
      <c r="O2198" s="364" t="str">
        <f t="shared" si="2732"/>
        <v>-</v>
      </c>
    </row>
    <row r="2199" spans="1:15" ht="24" thickBot="1" x14ac:dyDescent="0.35">
      <c r="A2199" s="274" t="s">
        <v>102</v>
      </c>
      <c r="B2199" s="1034" t="s">
        <v>41</v>
      </c>
      <c r="C2199" s="1035"/>
      <c r="D2199" s="1036"/>
      <c r="E2199" s="320">
        <f>SUM(E2196:E2198)</f>
        <v>0</v>
      </c>
      <c r="F2199" s="285"/>
      <c r="G2199" s="320">
        <f>SUM(G2196:G2198)</f>
        <v>0</v>
      </c>
      <c r="H2199" s="321">
        <f t="shared" ref="H2199:I2199" si="2760">SUM(H2196:H2198)</f>
        <v>0</v>
      </c>
      <c r="I2199" s="321">
        <f t="shared" si="2760"/>
        <v>0</v>
      </c>
      <c r="J2199" s="345" t="str">
        <f>IFERROR(G2199/F2199,"-")</f>
        <v>-</v>
      </c>
      <c r="K2199" s="320">
        <f t="shared" ref="K2199:M2199" si="2761">SUM(K2196:K2198)</f>
        <v>11826</v>
      </c>
      <c r="L2199" s="365">
        <f t="shared" si="2761"/>
        <v>11400</v>
      </c>
      <c r="M2199" s="367">
        <f t="shared" si="2761"/>
        <v>426</v>
      </c>
      <c r="N2199" s="339" t="str">
        <f t="shared" si="2747"/>
        <v>-</v>
      </c>
      <c r="O2199" s="345">
        <f t="shared" si="2732"/>
        <v>3.6022323693556568E-2</v>
      </c>
    </row>
    <row r="2200" spans="1:15" ht="24" thickBot="1" x14ac:dyDescent="0.35">
      <c r="A2200" s="274" t="s">
        <v>102</v>
      </c>
      <c r="B2200" s="1022" t="s">
        <v>42</v>
      </c>
      <c r="C2200" s="269" t="s">
        <v>160</v>
      </c>
      <c r="D2200" s="269"/>
      <c r="E2200" s="270"/>
      <c r="F2200" s="271"/>
      <c r="G2200" s="332">
        <f t="shared" ref="G2200:G2201" si="2762">+H2200+I2200</f>
        <v>11388</v>
      </c>
      <c r="H2200" s="272">
        <v>11200</v>
      </c>
      <c r="I2200" s="272">
        <v>188</v>
      </c>
      <c r="J2200" s="371" t="str">
        <f>IFERROR(G2200/F2200,"-")</f>
        <v>-</v>
      </c>
      <c r="K2200" s="695">
        <f t="shared" ref="K2200:K2201" si="2763">+L2200+M2200</f>
        <v>21690</v>
      </c>
      <c r="L2200" s="688">
        <f t="shared" ref="L2200:L2201" si="2764">+H2200+L2083</f>
        <v>20800</v>
      </c>
      <c r="M2200" s="688">
        <f t="shared" ref="M2200:M2201" si="2765">+I2200+M2083</f>
        <v>890</v>
      </c>
      <c r="N2200" s="359" t="str">
        <f t="shared" si="2747"/>
        <v>-</v>
      </c>
      <c r="O2200" s="360">
        <f t="shared" si="2732"/>
        <v>4.103273397879207E-2</v>
      </c>
    </row>
    <row r="2201" spans="1:15" ht="24" thickBot="1" x14ac:dyDescent="0.35">
      <c r="A2201" s="274" t="s">
        <v>102</v>
      </c>
      <c r="B2201" s="1024"/>
      <c r="C2201" s="279" t="s">
        <v>161</v>
      </c>
      <c r="D2201" s="279"/>
      <c r="E2201" s="280"/>
      <c r="F2201" s="281"/>
      <c r="G2201" s="334">
        <f t="shared" si="2762"/>
        <v>0</v>
      </c>
      <c r="H2201" s="282">
        <v>0</v>
      </c>
      <c r="I2201" s="282">
        <v>0</v>
      </c>
      <c r="J2201" s="373" t="str">
        <f>IFERROR(G2201/F2201,"-")</f>
        <v>-</v>
      </c>
      <c r="K2201" s="696">
        <f t="shared" si="2763"/>
        <v>0</v>
      </c>
      <c r="L2201" s="688">
        <f t="shared" si="2764"/>
        <v>0</v>
      </c>
      <c r="M2201" s="688">
        <f t="shared" si="2765"/>
        <v>0</v>
      </c>
      <c r="N2201" s="363" t="str">
        <f t="shared" si="2747"/>
        <v>-</v>
      </c>
      <c r="O2201" s="364" t="str">
        <f t="shared" si="2732"/>
        <v>-</v>
      </c>
    </row>
    <row r="2202" spans="1:15" ht="24" thickBot="1" x14ac:dyDescent="0.35">
      <c r="A2202" s="274" t="s">
        <v>102</v>
      </c>
      <c r="B2202" s="1034" t="s">
        <v>43</v>
      </c>
      <c r="C2202" s="1035"/>
      <c r="D2202" s="1036"/>
      <c r="E2202" s="284">
        <f>SUM(E2200:E2201)</f>
        <v>0</v>
      </c>
      <c r="F2202" s="285">
        <v>25000</v>
      </c>
      <c r="G2202" s="320">
        <f>SUM(G2200:G2201)</f>
        <v>11388</v>
      </c>
      <c r="H2202" s="321">
        <f t="shared" ref="H2202:I2202" si="2766">SUM(H2200:H2201)</f>
        <v>11200</v>
      </c>
      <c r="I2202" s="321">
        <f t="shared" si="2766"/>
        <v>188</v>
      </c>
      <c r="J2202" s="345">
        <f>IFERROR(G2202/F2202,"-")</f>
        <v>0.45551999999999998</v>
      </c>
      <c r="K2202" s="760">
        <f t="shared" ref="K2202:M2202" si="2767">SUM(K2200:K2201)</f>
        <v>21690</v>
      </c>
      <c r="L2202" s="761">
        <f t="shared" si="2767"/>
        <v>20800</v>
      </c>
      <c r="M2202" s="761">
        <f t="shared" si="2767"/>
        <v>890</v>
      </c>
      <c r="N2202" s="339" t="str">
        <f t="shared" si="2747"/>
        <v>-</v>
      </c>
      <c r="O2202" s="345">
        <f t="shared" si="2732"/>
        <v>4.103273397879207E-2</v>
      </c>
    </row>
    <row r="2203" spans="1:15" ht="24" thickBot="1" x14ac:dyDescent="0.35">
      <c r="A2203" s="274" t="s">
        <v>102</v>
      </c>
      <c r="B2203" s="1028" t="s">
        <v>25</v>
      </c>
      <c r="C2203" s="1029"/>
      <c r="D2203" s="1030"/>
      <c r="E2203" s="326">
        <f t="shared" ref="E2203:F2203" si="2768">+E2181+E2186+E2189+E2195+E2199+E2202</f>
        <v>1292400</v>
      </c>
      <c r="F2203" s="327">
        <f t="shared" si="2768"/>
        <v>65800</v>
      </c>
      <c r="G2203" s="326">
        <f>+G2181+G2186+G2189+G2195+G2199+G2202</f>
        <v>26355</v>
      </c>
      <c r="H2203" s="324">
        <f>+H2181+H2186+H2189+H2195+H2199+H2202</f>
        <v>25920</v>
      </c>
      <c r="I2203" s="324">
        <f t="shared" ref="I2203" si="2769">+I2181+I2186+I2189+I2195+I2199+I2202</f>
        <v>435</v>
      </c>
      <c r="J2203" s="349">
        <f>IFERROR(G2203/F2203,"-")</f>
        <v>0.400531914893617</v>
      </c>
      <c r="K2203" s="326">
        <f>+K2181+K2186+K2189+K2195+K2199+K2202</f>
        <v>601813</v>
      </c>
      <c r="L2203" s="759">
        <f t="shared" ref="L2203:M2203" si="2770">+L2181+L2186+L2189+L2195+L2199+L2202</f>
        <v>593215</v>
      </c>
      <c r="M2203" s="325">
        <f t="shared" si="2770"/>
        <v>8598</v>
      </c>
      <c r="N2203" s="341">
        <f t="shared" si="2747"/>
        <v>0.46565536985453421</v>
      </c>
      <c r="O2203" s="349">
        <f t="shared" si="2732"/>
        <v>1.4286829962131094E-2</v>
      </c>
    </row>
    <row r="2204" spans="1:15" ht="24" thickBot="1" x14ac:dyDescent="0.35">
      <c r="A2204" s="318" t="s">
        <v>102</v>
      </c>
      <c r="B2204" s="1020" t="s">
        <v>173</v>
      </c>
      <c r="C2204" s="1020"/>
      <c r="D2204" s="1021"/>
      <c r="E2204" s="330">
        <f>+E2203</f>
        <v>1292400</v>
      </c>
      <c r="F2204" s="331">
        <f t="shared" ref="F2204:I2204" si="2771">+F2203</f>
        <v>65800</v>
      </c>
      <c r="G2204" s="330">
        <f t="shared" si="2771"/>
        <v>26355</v>
      </c>
      <c r="H2204" s="328">
        <f t="shared" si="2771"/>
        <v>25920</v>
      </c>
      <c r="I2204" s="328">
        <f t="shared" si="2771"/>
        <v>435</v>
      </c>
      <c r="J2204" s="350">
        <f>+G2204/F2204</f>
        <v>0.400531914893617</v>
      </c>
      <c r="K2204" s="330">
        <f t="shared" ref="K2204:O2204" si="2772">+K2203</f>
        <v>601813</v>
      </c>
      <c r="L2204" s="328">
        <f t="shared" si="2772"/>
        <v>593215</v>
      </c>
      <c r="M2204" s="329">
        <f t="shared" si="2772"/>
        <v>8598</v>
      </c>
      <c r="N2204" s="342">
        <f t="shared" si="2772"/>
        <v>0.46565536985453421</v>
      </c>
      <c r="O2204" s="350">
        <f t="shared" si="2772"/>
        <v>1.4286829962131094E-2</v>
      </c>
    </row>
    <row r="2205" spans="1:15" ht="24.6" thickBot="1" x14ac:dyDescent="0.35">
      <c r="A2205" s="319"/>
      <c r="B2205" s="1031" t="s">
        <v>174</v>
      </c>
      <c r="C2205" s="1032"/>
      <c r="D2205" s="1033"/>
      <c r="E2205" s="374">
        <f>+E2142+E2177+E2204</f>
        <v>7473564</v>
      </c>
      <c r="F2205" s="374">
        <f>+F2142+F2177+F2204</f>
        <v>914800</v>
      </c>
      <c r="G2205" s="374">
        <f>+G2142+G2177+G2204</f>
        <v>293066</v>
      </c>
      <c r="H2205" s="374">
        <f>+H2142+H2177+H2204</f>
        <v>290502</v>
      </c>
      <c r="I2205" s="374">
        <f>+I2142+I2177+I2204</f>
        <v>2564</v>
      </c>
      <c r="J2205" s="375">
        <f>IFERROR(G2205/F2205,"-")</f>
        <v>0.32036073458679493</v>
      </c>
      <c r="K2205" s="374">
        <f>+K2142+K2177+K2204</f>
        <v>6794562</v>
      </c>
      <c r="L2205" s="374">
        <f>+L2142+L2177+L2204</f>
        <v>6727738</v>
      </c>
      <c r="M2205" s="374">
        <f>+M2142+M2177+M2204</f>
        <v>66824</v>
      </c>
      <c r="N2205" s="375">
        <f>IFERROR(K2205/E2205,"-")</f>
        <v>0.90914615837905444</v>
      </c>
      <c r="O2205" s="375">
        <f>IFERROR(M2205/K2205,"-")</f>
        <v>9.8349238700007439E-3</v>
      </c>
    </row>
    <row r="2206" spans="1:15" ht="23.4" x14ac:dyDescent="0.3">
      <c r="A2206" s="1057" t="s">
        <v>1</v>
      </c>
      <c r="B2206" s="1060" t="s">
        <v>2</v>
      </c>
      <c r="C2206" s="1063" t="s">
        <v>396</v>
      </c>
      <c r="D2206" s="1063" t="s">
        <v>397</v>
      </c>
      <c r="E2206" s="1066" t="s">
        <v>4</v>
      </c>
      <c r="F2206" s="1067"/>
      <c r="G2206" s="1067"/>
      <c r="H2206" s="1067"/>
      <c r="I2206" s="1067"/>
      <c r="J2206" s="1067"/>
      <c r="K2206" s="1067"/>
      <c r="L2206" s="1067"/>
      <c r="M2206" s="1067"/>
      <c r="N2206" s="1067"/>
      <c r="O2206" s="1068"/>
    </row>
    <row r="2207" spans="1:15" ht="23.4" x14ac:dyDescent="0.3">
      <c r="A2207" s="1058"/>
      <c r="B2207" s="1061"/>
      <c r="C2207" s="1064"/>
      <c r="D2207" s="1064"/>
      <c r="E2207" s="1069" t="s">
        <v>7</v>
      </c>
      <c r="F2207" s="1071" t="s">
        <v>108</v>
      </c>
      <c r="G2207" s="1073" t="s">
        <v>594</v>
      </c>
      <c r="H2207" s="1074"/>
      <c r="I2207" s="1074"/>
      <c r="J2207" s="1075"/>
      <c r="K2207" s="1076" t="s">
        <v>398</v>
      </c>
      <c r="L2207" s="1077"/>
      <c r="M2207" s="1078"/>
      <c r="N2207" s="1079" t="s">
        <v>399</v>
      </c>
      <c r="O2207" s="1081" t="s">
        <v>164</v>
      </c>
    </row>
    <row r="2208" spans="1:15" ht="41.4" thickBot="1" x14ac:dyDescent="0.35">
      <c r="A2208" s="1059"/>
      <c r="B2208" s="1062"/>
      <c r="C2208" s="1065"/>
      <c r="D2208" s="1065"/>
      <c r="E2208" s="1070"/>
      <c r="F2208" s="1072"/>
      <c r="G2208" s="452" t="s">
        <v>13</v>
      </c>
      <c r="H2208" s="453" t="s">
        <v>14</v>
      </c>
      <c r="I2208" s="453" t="s">
        <v>15</v>
      </c>
      <c r="J2208" s="454" t="s">
        <v>166</v>
      </c>
      <c r="K2208" s="680" t="s">
        <v>13</v>
      </c>
      <c r="L2208" s="678" t="s">
        <v>14</v>
      </c>
      <c r="M2208" s="679" t="s">
        <v>15</v>
      </c>
      <c r="N2208" s="1080"/>
      <c r="O2208" s="1082"/>
    </row>
    <row r="2209" spans="1:15" ht="23.4" x14ac:dyDescent="0.3">
      <c r="A2209" s="268" t="s">
        <v>103</v>
      </c>
      <c r="B2209" s="1043" t="s">
        <v>16</v>
      </c>
      <c r="C2209" s="269" t="s">
        <v>549</v>
      </c>
      <c r="D2209" s="269" t="s">
        <v>369</v>
      </c>
      <c r="E2209" s="270">
        <v>20000</v>
      </c>
      <c r="F2209" s="271"/>
      <c r="G2209" s="332">
        <f>+H2209+I2209</f>
        <v>0</v>
      </c>
      <c r="H2209" s="272">
        <v>0</v>
      </c>
      <c r="I2209" s="272">
        <v>0</v>
      </c>
      <c r="J2209" s="352" t="str">
        <f>IFERROR(G2209/F2209,"-")</f>
        <v>-</v>
      </c>
      <c r="K2209" s="694">
        <f>+L2209+M2209</f>
        <v>19671</v>
      </c>
      <c r="L2209" s="527">
        <f>+H2209+L2092</f>
        <v>18620</v>
      </c>
      <c r="M2209" s="459">
        <f>+I2209+M2092</f>
        <v>1051</v>
      </c>
      <c r="N2209" s="336">
        <f>IFERROR(K2209/E2209,"-")</f>
        <v>0.98355000000000004</v>
      </c>
      <c r="O2209" s="343">
        <f t="shared" ref="O2209:O2210" si="2773">IFERROR(M2209/K2209,"-")</f>
        <v>5.3428905495399318E-2</v>
      </c>
    </row>
    <row r="2210" spans="1:15" ht="23.4" x14ac:dyDescent="0.3">
      <c r="A2210" s="274" t="s">
        <v>103</v>
      </c>
      <c r="B2210" s="1044"/>
      <c r="C2210" s="275" t="s">
        <v>376</v>
      </c>
      <c r="D2210" s="275" t="s">
        <v>375</v>
      </c>
      <c r="E2210" s="276"/>
      <c r="F2210" s="277"/>
      <c r="G2210" s="333">
        <f t="shared" ref="G2210:G2212" si="2774">+H2210+I2210</f>
        <v>0</v>
      </c>
      <c r="H2210" s="278"/>
      <c r="I2210" s="278"/>
      <c r="J2210" s="352" t="str">
        <f t="shared" ref="J2210:J2212" si="2775">IFERROR(G2210/F2210,"-")</f>
        <v>-</v>
      </c>
      <c r="K2210" s="690">
        <f t="shared" ref="K2210:K2212" si="2776">+L2210+M2210</f>
        <v>0</v>
      </c>
      <c r="L2210" s="276">
        <f t="shared" ref="L2210:L2212" si="2777">+H2210+L2093</f>
        <v>0</v>
      </c>
      <c r="M2210" s="436">
        <f t="shared" ref="M2210:M2212" si="2778">+I2210+M2093</f>
        <v>0</v>
      </c>
      <c r="N2210" s="337" t="str">
        <f t="shared" ref="N2210:N2212" si="2779">IFERROR(K2210/E2210,"-")</f>
        <v>-</v>
      </c>
      <c r="O2210" s="265" t="str">
        <f t="shared" si="2773"/>
        <v>-</v>
      </c>
    </row>
    <row r="2211" spans="1:15" ht="23.4" x14ac:dyDescent="0.3">
      <c r="A2211" s="274" t="s">
        <v>103</v>
      </c>
      <c r="B2211" s="1044"/>
      <c r="C2211" s="573" t="s">
        <v>431</v>
      </c>
      <c r="D2211" s="573" t="s">
        <v>366</v>
      </c>
      <c r="E2211" s="720"/>
      <c r="F2211" s="721"/>
      <c r="G2211" s="333">
        <f t="shared" si="2774"/>
        <v>1384</v>
      </c>
      <c r="H2211" s="722">
        <v>1280</v>
      </c>
      <c r="I2211" s="722">
        <v>104</v>
      </c>
      <c r="J2211" s="352" t="str">
        <f t="shared" si="2775"/>
        <v>-</v>
      </c>
      <c r="K2211" s="690">
        <f t="shared" si="2776"/>
        <v>22100</v>
      </c>
      <c r="L2211" s="276">
        <f t="shared" si="2777"/>
        <v>21590</v>
      </c>
      <c r="M2211" s="436">
        <f t="shared" si="2778"/>
        <v>510</v>
      </c>
      <c r="N2211" s="337" t="str">
        <f t="shared" si="2779"/>
        <v>-</v>
      </c>
      <c r="O2211" s="265">
        <f>IFERROR(M2211/K2211,"-")</f>
        <v>2.3076923076923078E-2</v>
      </c>
    </row>
    <row r="2212" spans="1:15" ht="24" thickBot="1" x14ac:dyDescent="0.35">
      <c r="A2212" s="274" t="s">
        <v>103</v>
      </c>
      <c r="B2212" s="1045"/>
      <c r="C2212" s="279" t="s">
        <v>428</v>
      </c>
      <c r="D2212" s="279" t="s">
        <v>374</v>
      </c>
      <c r="E2212" s="280"/>
      <c r="F2212" s="281"/>
      <c r="G2212" s="334">
        <f t="shared" si="2774"/>
        <v>0</v>
      </c>
      <c r="H2212" s="272"/>
      <c r="I2212" s="272"/>
      <c r="J2212" s="352" t="str">
        <f t="shared" si="2775"/>
        <v>-</v>
      </c>
      <c r="K2212" s="691">
        <f t="shared" si="2776"/>
        <v>0</v>
      </c>
      <c r="L2212" s="530">
        <f t="shared" si="2777"/>
        <v>0</v>
      </c>
      <c r="M2212" s="462">
        <f t="shared" si="2778"/>
        <v>0</v>
      </c>
      <c r="N2212" s="338" t="str">
        <f t="shared" si="2779"/>
        <v>-</v>
      </c>
      <c r="O2212" s="344" t="str">
        <f t="shared" ref="O2212:O2230" si="2780">IFERROR(M2212/K2212,"-")</f>
        <v>-</v>
      </c>
    </row>
    <row r="2213" spans="1:15" ht="24" thickBot="1" x14ac:dyDescent="0.35">
      <c r="A2213" s="274" t="s">
        <v>103</v>
      </c>
      <c r="B2213" s="1025" t="s">
        <v>44</v>
      </c>
      <c r="C2213" s="1026"/>
      <c r="D2213" s="1027"/>
      <c r="E2213" s="320">
        <f>SUM(E2209:E2212)</f>
        <v>20000</v>
      </c>
      <c r="F2213" s="285">
        <v>15000</v>
      </c>
      <c r="G2213" s="320">
        <f>SUM(G2209:G2212)</f>
        <v>1384</v>
      </c>
      <c r="H2213" s="321">
        <f t="shared" ref="H2213:I2213" si="2781">SUM(H2209:H2212)</f>
        <v>1280</v>
      </c>
      <c r="I2213" s="321">
        <f t="shared" si="2781"/>
        <v>104</v>
      </c>
      <c r="J2213" s="345">
        <f>+G2213/F2213</f>
        <v>9.2266666666666663E-2</v>
      </c>
      <c r="K2213" s="320">
        <f t="shared" ref="K2213" si="2782">SUM(K2209:K2212)</f>
        <v>41771</v>
      </c>
      <c r="L2213" s="692">
        <f>SUM(L2209:L2212)</f>
        <v>40210</v>
      </c>
      <c r="M2213" s="693">
        <f>SUM(M2209:M2212)</f>
        <v>1561</v>
      </c>
      <c r="N2213" s="339">
        <f>IFERROR(K2213/E2213,"-")</f>
        <v>2.0885500000000001</v>
      </c>
      <c r="O2213" s="345">
        <f t="shared" si="2780"/>
        <v>3.7370424457159275E-2</v>
      </c>
    </row>
    <row r="2214" spans="1:15" ht="23.4" x14ac:dyDescent="0.3">
      <c r="A2214" s="274" t="s">
        <v>103</v>
      </c>
      <c r="B2214" s="1043" t="s">
        <v>17</v>
      </c>
      <c r="C2214" s="269" t="s">
        <v>294</v>
      </c>
      <c r="D2214" s="269"/>
      <c r="E2214" s="270"/>
      <c r="F2214" s="271"/>
      <c r="G2214" s="332">
        <f t="shared" ref="G2214:G2220" si="2783">+H2214+I2214</f>
        <v>0</v>
      </c>
      <c r="H2214" s="272">
        <v>0</v>
      </c>
      <c r="I2214" s="272">
        <v>0</v>
      </c>
      <c r="J2214" s="351" t="str">
        <f>IFERROR(G2214/F2214,"-")</f>
        <v>-</v>
      </c>
      <c r="K2214" s="694">
        <f t="shared" ref="K2214:K2220" si="2784">+L2214+M2214</f>
        <v>0</v>
      </c>
      <c r="L2214" s="527">
        <f t="shared" ref="L2214:L2220" si="2785">+H2214+L2097</f>
        <v>0</v>
      </c>
      <c r="M2214" s="459">
        <f t="shared" ref="M2214:M2220" si="2786">+I2214+M2097</f>
        <v>0</v>
      </c>
      <c r="N2214" s="336" t="str">
        <f t="shared" ref="N2214:N2220" si="2787">IFERROR(K2214/E2214,"-")</f>
        <v>-</v>
      </c>
      <c r="O2214" s="346" t="str">
        <f t="shared" si="2780"/>
        <v>-</v>
      </c>
    </row>
    <row r="2215" spans="1:15" ht="23.4" x14ac:dyDescent="0.3">
      <c r="A2215" s="274" t="s">
        <v>103</v>
      </c>
      <c r="B2215" s="1044"/>
      <c r="C2215" s="275" t="s">
        <v>344</v>
      </c>
      <c r="D2215" s="275" t="s">
        <v>232</v>
      </c>
      <c r="E2215" s="276">
        <v>1600000</v>
      </c>
      <c r="F2215" s="277"/>
      <c r="G2215" s="333">
        <f t="shared" si="2783"/>
        <v>0</v>
      </c>
      <c r="H2215" s="278">
        <v>0</v>
      </c>
      <c r="I2215" s="278">
        <v>0</v>
      </c>
      <c r="J2215" s="351" t="str">
        <f t="shared" ref="J2215:J2220" si="2788">IFERROR(G2215/F2215,"-")</f>
        <v>-</v>
      </c>
      <c r="K2215" s="690">
        <f t="shared" si="2784"/>
        <v>6120</v>
      </c>
      <c r="L2215" s="276">
        <f t="shared" si="2785"/>
        <v>5980</v>
      </c>
      <c r="M2215" s="436">
        <f t="shared" si="2786"/>
        <v>140</v>
      </c>
      <c r="N2215" s="337">
        <f t="shared" si="2787"/>
        <v>3.8249999999999998E-3</v>
      </c>
      <c r="O2215" s="263">
        <f t="shared" si="2780"/>
        <v>2.2875816993464051E-2</v>
      </c>
    </row>
    <row r="2216" spans="1:15" ht="23.4" x14ac:dyDescent="0.3">
      <c r="A2216" s="274" t="s">
        <v>103</v>
      </c>
      <c r="B2216" s="1044"/>
      <c r="C2216" s="275" t="s">
        <v>367</v>
      </c>
      <c r="D2216" s="275" t="s">
        <v>187</v>
      </c>
      <c r="E2216" s="276">
        <v>1000000</v>
      </c>
      <c r="F2216" s="277"/>
      <c r="G2216" s="333">
        <f t="shared" si="2783"/>
        <v>55245</v>
      </c>
      <c r="H2216" s="278">
        <v>55080</v>
      </c>
      <c r="I2216" s="278">
        <v>165</v>
      </c>
      <c r="J2216" s="351" t="str">
        <f t="shared" si="2788"/>
        <v>-</v>
      </c>
      <c r="K2216" s="690">
        <f t="shared" si="2784"/>
        <v>1427980</v>
      </c>
      <c r="L2216" s="276">
        <f t="shared" si="2785"/>
        <v>1419840</v>
      </c>
      <c r="M2216" s="436">
        <f t="shared" si="2786"/>
        <v>8140</v>
      </c>
      <c r="N2216" s="337">
        <f t="shared" si="2787"/>
        <v>1.42798</v>
      </c>
      <c r="O2216" s="263">
        <f t="shared" si="2780"/>
        <v>5.7003599490188942E-3</v>
      </c>
    </row>
    <row r="2217" spans="1:15" ht="23.4" x14ac:dyDescent="0.3">
      <c r="A2217" s="274" t="s">
        <v>103</v>
      </c>
      <c r="B2217" s="1044"/>
      <c r="C2217" s="275" t="s">
        <v>530</v>
      </c>
      <c r="D2217" s="275" t="s">
        <v>529</v>
      </c>
      <c r="E2217" s="276"/>
      <c r="F2217" s="277"/>
      <c r="G2217" s="333">
        <f t="shared" si="2783"/>
        <v>0</v>
      </c>
      <c r="H2217" s="278">
        <v>0</v>
      </c>
      <c r="I2217" s="278">
        <v>0</v>
      </c>
      <c r="J2217" s="351" t="str">
        <f t="shared" si="2788"/>
        <v>-</v>
      </c>
      <c r="K2217" s="690">
        <f t="shared" si="2784"/>
        <v>41558</v>
      </c>
      <c r="L2217" s="276">
        <f t="shared" si="2785"/>
        <v>41350</v>
      </c>
      <c r="M2217" s="436">
        <f t="shared" si="2786"/>
        <v>208</v>
      </c>
      <c r="N2217" s="337" t="str">
        <f t="shared" si="2787"/>
        <v>-</v>
      </c>
      <c r="O2217" s="263">
        <f t="shared" si="2780"/>
        <v>5.0050531786900235E-3</v>
      </c>
    </row>
    <row r="2218" spans="1:15" ht="23.4" x14ac:dyDescent="0.3">
      <c r="A2218" s="274" t="s">
        <v>103</v>
      </c>
      <c r="B2218" s="1044"/>
      <c r="C2218" s="275" t="s">
        <v>323</v>
      </c>
      <c r="D2218" s="275" t="s">
        <v>318</v>
      </c>
      <c r="E2218" s="276"/>
      <c r="F2218" s="277"/>
      <c r="G2218" s="333">
        <f t="shared" si="2783"/>
        <v>0</v>
      </c>
      <c r="H2218" s="278">
        <v>0</v>
      </c>
      <c r="I2218" s="278">
        <v>0</v>
      </c>
      <c r="J2218" s="351" t="str">
        <f t="shared" si="2788"/>
        <v>-</v>
      </c>
      <c r="K2218" s="690">
        <f t="shared" si="2784"/>
        <v>0</v>
      </c>
      <c r="L2218" s="276">
        <f t="shared" si="2785"/>
        <v>0</v>
      </c>
      <c r="M2218" s="436">
        <f t="shared" si="2786"/>
        <v>0</v>
      </c>
      <c r="N2218" s="337" t="str">
        <f t="shared" si="2787"/>
        <v>-</v>
      </c>
      <c r="O2218" s="263" t="str">
        <f t="shared" si="2780"/>
        <v>-</v>
      </c>
    </row>
    <row r="2219" spans="1:15" ht="23.4" x14ac:dyDescent="0.3">
      <c r="A2219" s="274" t="s">
        <v>103</v>
      </c>
      <c r="B2219" s="1044"/>
      <c r="C2219" s="275" t="s">
        <v>528</v>
      </c>
      <c r="D2219" s="275" t="s">
        <v>189</v>
      </c>
      <c r="E2219" s="276"/>
      <c r="F2219" s="277"/>
      <c r="G2219" s="333">
        <f t="shared" si="2783"/>
        <v>0</v>
      </c>
      <c r="H2219" s="278">
        <v>0</v>
      </c>
      <c r="I2219" s="278">
        <v>0</v>
      </c>
      <c r="J2219" s="351" t="str">
        <f t="shared" si="2788"/>
        <v>-</v>
      </c>
      <c r="K2219" s="690">
        <f t="shared" si="2784"/>
        <v>33900</v>
      </c>
      <c r="L2219" s="276">
        <f t="shared" si="2785"/>
        <v>33760</v>
      </c>
      <c r="M2219" s="436">
        <f t="shared" si="2786"/>
        <v>140</v>
      </c>
      <c r="N2219" s="337" t="str">
        <f t="shared" si="2787"/>
        <v>-</v>
      </c>
      <c r="O2219" s="263">
        <f t="shared" si="2780"/>
        <v>4.1297935103244837E-3</v>
      </c>
    </row>
    <row r="2220" spans="1:15" ht="24" thickBot="1" x14ac:dyDescent="0.35">
      <c r="A2220" s="274" t="s">
        <v>103</v>
      </c>
      <c r="B2220" s="1045"/>
      <c r="C2220" s="279" t="s">
        <v>341</v>
      </c>
      <c r="D2220" s="279" t="s">
        <v>232</v>
      </c>
      <c r="E2220" s="280"/>
      <c r="F2220" s="281"/>
      <c r="G2220" s="334">
        <f t="shared" si="2783"/>
        <v>0</v>
      </c>
      <c r="H2220" s="278">
        <v>0</v>
      </c>
      <c r="I2220" s="278">
        <v>0</v>
      </c>
      <c r="J2220" s="351" t="str">
        <f t="shared" si="2788"/>
        <v>-</v>
      </c>
      <c r="K2220" s="691">
        <f t="shared" si="2784"/>
        <v>0</v>
      </c>
      <c r="L2220" s="530">
        <f t="shared" si="2785"/>
        <v>0</v>
      </c>
      <c r="M2220" s="462">
        <f t="shared" si="2786"/>
        <v>0</v>
      </c>
      <c r="N2220" s="338" t="str">
        <f t="shared" si="2787"/>
        <v>-</v>
      </c>
      <c r="O2220" s="347" t="str">
        <f t="shared" si="2780"/>
        <v>-</v>
      </c>
    </row>
    <row r="2221" spans="1:15" ht="24" thickBot="1" x14ac:dyDescent="0.35">
      <c r="A2221" s="274" t="s">
        <v>103</v>
      </c>
      <c r="B2221" s="1025" t="s">
        <v>45</v>
      </c>
      <c r="C2221" s="1026"/>
      <c r="D2221" s="1027"/>
      <c r="E2221" s="320">
        <f>SUM(E2214:E2220)</f>
        <v>2600000</v>
      </c>
      <c r="F2221" s="285">
        <v>100000</v>
      </c>
      <c r="G2221" s="320">
        <f>SUM(G2214:G2220)</f>
        <v>55245</v>
      </c>
      <c r="H2221" s="321">
        <f t="shared" ref="H2221:I2221" si="2789">SUM(H2214:H2220)</f>
        <v>55080</v>
      </c>
      <c r="I2221" s="321">
        <f t="shared" si="2789"/>
        <v>165</v>
      </c>
      <c r="J2221" s="345">
        <f>+G2221/F2221</f>
        <v>0.55245</v>
      </c>
      <c r="K2221" s="320">
        <f>SUM(K2214:K2220)</f>
        <v>1509558</v>
      </c>
      <c r="L2221" s="519">
        <f>SUM(L2214:L2220)</f>
        <v>1500930</v>
      </c>
      <c r="M2221" s="689">
        <f t="shared" ref="M2221" si="2790">SUM(M2214:M2220)</f>
        <v>8628</v>
      </c>
      <c r="N2221" s="339">
        <f>IFERROR(K2221/E2221,"-")</f>
        <v>0.58059923076923081</v>
      </c>
      <c r="O2221" s="345">
        <f t="shared" si="2780"/>
        <v>5.7155803221870241E-3</v>
      </c>
    </row>
    <row r="2222" spans="1:15" ht="23.4" x14ac:dyDescent="0.3">
      <c r="A2222" s="274" t="s">
        <v>103</v>
      </c>
      <c r="B2222" s="1043" t="s">
        <v>18</v>
      </c>
      <c r="C2222" s="269" t="s">
        <v>312</v>
      </c>
      <c r="D2222" s="269" t="s">
        <v>92</v>
      </c>
      <c r="E2222" s="270"/>
      <c r="F2222" s="271"/>
      <c r="G2222" s="332">
        <f t="shared" ref="G2222:G2228" si="2791">+H2222+I2222</f>
        <v>0</v>
      </c>
      <c r="H2222" s="272">
        <v>0</v>
      </c>
      <c r="I2222" s="272">
        <v>0</v>
      </c>
      <c r="J2222" s="351" t="str">
        <f>IFERROR(G2222/F2222,"-")</f>
        <v>-</v>
      </c>
      <c r="K2222" s="332">
        <f t="shared" ref="K2222:K2228" si="2792">+L2222+M2222</f>
        <v>0</v>
      </c>
      <c r="L2222" s="272">
        <f t="shared" ref="L2222:L2228" si="2793">+H2222+L2105</f>
        <v>0</v>
      </c>
      <c r="M2222" s="273">
        <f t="shared" ref="M2222:M2228" si="2794">+I2222+M2105</f>
        <v>0</v>
      </c>
      <c r="N2222" s="336" t="str">
        <f t="shared" ref="N2222:N2229" si="2795">IFERROR(K2222/E2222,"-")</f>
        <v>-</v>
      </c>
      <c r="O2222" s="346" t="str">
        <f t="shared" si="2780"/>
        <v>-</v>
      </c>
    </row>
    <row r="2223" spans="1:15" ht="23.4" x14ac:dyDescent="0.3">
      <c r="A2223" s="274" t="s">
        <v>103</v>
      </c>
      <c r="B2223" s="1044"/>
      <c r="C2223" s="275" t="s">
        <v>233</v>
      </c>
      <c r="D2223" s="275" t="s">
        <v>234</v>
      </c>
      <c r="E2223" s="276"/>
      <c r="F2223" s="277"/>
      <c r="G2223" s="333">
        <f t="shared" si="2791"/>
        <v>0</v>
      </c>
      <c r="H2223" s="278">
        <v>0</v>
      </c>
      <c r="I2223" s="278">
        <v>0</v>
      </c>
      <c r="J2223" s="351" t="str">
        <f t="shared" ref="J2223:J2228" si="2796">IFERROR(G2223/F2223,"-")</f>
        <v>-</v>
      </c>
      <c r="K2223" s="333">
        <f t="shared" si="2792"/>
        <v>0</v>
      </c>
      <c r="L2223" s="272">
        <f t="shared" si="2793"/>
        <v>0</v>
      </c>
      <c r="M2223" s="273">
        <f t="shared" si="2794"/>
        <v>0</v>
      </c>
      <c r="N2223" s="337" t="str">
        <f t="shared" si="2795"/>
        <v>-</v>
      </c>
      <c r="O2223" s="263" t="str">
        <f t="shared" si="2780"/>
        <v>-</v>
      </c>
    </row>
    <row r="2224" spans="1:15" ht="23.4" x14ac:dyDescent="0.3">
      <c r="A2224" s="274" t="s">
        <v>103</v>
      </c>
      <c r="B2224" s="1044"/>
      <c r="C2224" s="275" t="s">
        <v>115</v>
      </c>
      <c r="D2224" s="275"/>
      <c r="E2224" s="276"/>
      <c r="F2224" s="277"/>
      <c r="G2224" s="333">
        <f t="shared" si="2791"/>
        <v>0</v>
      </c>
      <c r="H2224" s="278">
        <v>0</v>
      </c>
      <c r="I2224" s="278">
        <v>0</v>
      </c>
      <c r="J2224" s="351" t="str">
        <f t="shared" si="2796"/>
        <v>-</v>
      </c>
      <c r="K2224" s="333">
        <f t="shared" si="2792"/>
        <v>0</v>
      </c>
      <c r="L2224" s="272">
        <f t="shared" si="2793"/>
        <v>0</v>
      </c>
      <c r="M2224" s="273">
        <f t="shared" si="2794"/>
        <v>0</v>
      </c>
      <c r="N2224" s="337" t="str">
        <f t="shared" si="2795"/>
        <v>-</v>
      </c>
      <c r="O2224" s="263" t="str">
        <f t="shared" si="2780"/>
        <v>-</v>
      </c>
    </row>
    <row r="2225" spans="1:15" ht="23.4" x14ac:dyDescent="0.3">
      <c r="A2225" s="274" t="s">
        <v>103</v>
      </c>
      <c r="B2225" s="1044"/>
      <c r="C2225" s="275" t="s">
        <v>122</v>
      </c>
      <c r="D2225" s="275"/>
      <c r="E2225" s="276"/>
      <c r="F2225" s="277"/>
      <c r="G2225" s="333">
        <f t="shared" si="2791"/>
        <v>0</v>
      </c>
      <c r="H2225" s="278">
        <v>0</v>
      </c>
      <c r="I2225" s="278">
        <v>0</v>
      </c>
      <c r="J2225" s="351" t="str">
        <f t="shared" si="2796"/>
        <v>-</v>
      </c>
      <c r="K2225" s="333">
        <f t="shared" si="2792"/>
        <v>0</v>
      </c>
      <c r="L2225" s="272">
        <f t="shared" si="2793"/>
        <v>0</v>
      </c>
      <c r="M2225" s="273">
        <f t="shared" si="2794"/>
        <v>0</v>
      </c>
      <c r="N2225" s="337" t="str">
        <f t="shared" si="2795"/>
        <v>-</v>
      </c>
      <c r="O2225" s="263" t="str">
        <f t="shared" si="2780"/>
        <v>-</v>
      </c>
    </row>
    <row r="2226" spans="1:15" ht="23.4" x14ac:dyDescent="0.3">
      <c r="A2226" s="274" t="s">
        <v>103</v>
      </c>
      <c r="B2226" s="1044"/>
      <c r="C2226" s="275" t="s">
        <v>176</v>
      </c>
      <c r="D2226" s="275" t="s">
        <v>177</v>
      </c>
      <c r="E2226" s="276"/>
      <c r="F2226" s="277"/>
      <c r="G2226" s="333">
        <f t="shared" si="2791"/>
        <v>0</v>
      </c>
      <c r="H2226" s="278">
        <v>0</v>
      </c>
      <c r="I2226" s="278">
        <v>0</v>
      </c>
      <c r="J2226" s="351" t="str">
        <f t="shared" si="2796"/>
        <v>-</v>
      </c>
      <c r="K2226" s="333">
        <f t="shared" si="2792"/>
        <v>0</v>
      </c>
      <c r="L2226" s="272">
        <f t="shared" si="2793"/>
        <v>0</v>
      </c>
      <c r="M2226" s="273">
        <f t="shared" si="2794"/>
        <v>0</v>
      </c>
      <c r="N2226" s="337" t="str">
        <f t="shared" si="2795"/>
        <v>-</v>
      </c>
      <c r="O2226" s="263" t="str">
        <f t="shared" si="2780"/>
        <v>-</v>
      </c>
    </row>
    <row r="2227" spans="1:15" ht="23.4" x14ac:dyDescent="0.3">
      <c r="A2227" s="274" t="s">
        <v>103</v>
      </c>
      <c r="B2227" s="1044"/>
      <c r="C2227" s="275" t="s">
        <v>179</v>
      </c>
      <c r="D2227" s="275" t="s">
        <v>178</v>
      </c>
      <c r="E2227" s="276"/>
      <c r="F2227" s="277"/>
      <c r="G2227" s="333">
        <f t="shared" si="2791"/>
        <v>0</v>
      </c>
      <c r="H2227" s="278">
        <v>0</v>
      </c>
      <c r="I2227" s="278">
        <v>0</v>
      </c>
      <c r="J2227" s="351" t="str">
        <f t="shared" si="2796"/>
        <v>-</v>
      </c>
      <c r="K2227" s="333">
        <f t="shared" si="2792"/>
        <v>0</v>
      </c>
      <c r="L2227" s="272">
        <f t="shared" si="2793"/>
        <v>0</v>
      </c>
      <c r="M2227" s="273">
        <f t="shared" si="2794"/>
        <v>0</v>
      </c>
      <c r="N2227" s="337" t="str">
        <f t="shared" si="2795"/>
        <v>-</v>
      </c>
      <c r="O2227" s="263" t="str">
        <f t="shared" si="2780"/>
        <v>-</v>
      </c>
    </row>
    <row r="2228" spans="1:15" ht="24" thickBot="1" x14ac:dyDescent="0.35">
      <c r="A2228" s="274" t="s">
        <v>103</v>
      </c>
      <c r="B2228" s="1045"/>
      <c r="C2228" s="286" t="s">
        <v>180</v>
      </c>
      <c r="D2228" s="286" t="s">
        <v>107</v>
      </c>
      <c r="E2228" s="280"/>
      <c r="F2228" s="281"/>
      <c r="G2228" s="334">
        <f t="shared" si="2791"/>
        <v>0</v>
      </c>
      <c r="H2228" s="282">
        <v>0</v>
      </c>
      <c r="I2228" s="282">
        <v>0</v>
      </c>
      <c r="J2228" s="351" t="str">
        <f t="shared" si="2796"/>
        <v>-</v>
      </c>
      <c r="K2228" s="334">
        <f t="shared" si="2792"/>
        <v>0</v>
      </c>
      <c r="L2228" s="272">
        <f t="shared" si="2793"/>
        <v>0</v>
      </c>
      <c r="M2228" s="273">
        <f t="shared" si="2794"/>
        <v>0</v>
      </c>
      <c r="N2228" s="338" t="str">
        <f t="shared" si="2795"/>
        <v>-</v>
      </c>
      <c r="O2228" s="347" t="str">
        <f t="shared" si="2780"/>
        <v>-</v>
      </c>
    </row>
    <row r="2229" spans="1:15" ht="24" thickBot="1" x14ac:dyDescent="0.35">
      <c r="A2229" s="274" t="s">
        <v>103</v>
      </c>
      <c r="B2229" s="1025" t="s">
        <v>29</v>
      </c>
      <c r="C2229" s="1083"/>
      <c r="D2229" s="1084"/>
      <c r="E2229" s="366">
        <f t="shared" ref="E2229" si="2797">SUM(E2222:E2228)</f>
        <v>0</v>
      </c>
      <c r="F2229" s="307">
        <v>80000</v>
      </c>
      <c r="G2229" s="366">
        <f>SUM(G2222:G2228)</f>
        <v>0</v>
      </c>
      <c r="H2229" s="365">
        <f t="shared" ref="H2229:I2229" si="2798">SUM(H2222:H2228)</f>
        <v>0</v>
      </c>
      <c r="I2229" s="365">
        <f t="shared" si="2798"/>
        <v>0</v>
      </c>
      <c r="J2229" s="356">
        <f>+G2229/F2229</f>
        <v>0</v>
      </c>
      <c r="K2229" s="366">
        <f t="shared" ref="K2229" si="2799">SUM(K2222:K2228)</f>
        <v>0</v>
      </c>
      <c r="L2229" s="365">
        <f>SUM(L2222:L2228)</f>
        <v>0</v>
      </c>
      <c r="M2229" s="367">
        <f t="shared" ref="M2229" si="2800">SUM(M2222:M2228)</f>
        <v>0</v>
      </c>
      <c r="N2229" s="355" t="str">
        <f t="shared" si="2795"/>
        <v>-</v>
      </c>
      <c r="O2229" s="356" t="str">
        <f t="shared" si="2780"/>
        <v>-</v>
      </c>
    </row>
    <row r="2230" spans="1:15" ht="23.4" x14ac:dyDescent="0.3">
      <c r="A2230" s="252" t="s">
        <v>103</v>
      </c>
      <c r="B2230" s="1037" t="s">
        <v>19</v>
      </c>
      <c r="C2230" s="669" t="s">
        <v>235</v>
      </c>
      <c r="D2230" s="883" t="s">
        <v>177</v>
      </c>
      <c r="E2230" s="912"/>
      <c r="F2230" s="838">
        <v>110000</v>
      </c>
      <c r="G2230" s="457">
        <f t="shared" ref="G2230:G2236" si="2801">+H2230+I2230</f>
        <v>34007</v>
      </c>
      <c r="H2230" s="458">
        <v>33792</v>
      </c>
      <c r="I2230" s="458">
        <v>215</v>
      </c>
      <c r="J2230" s="531">
        <f>IFERROR(G2230/F2230,"-")</f>
        <v>0.30915454545454546</v>
      </c>
      <c r="K2230" s="869">
        <f>+L2230+M2230</f>
        <v>610546</v>
      </c>
      <c r="L2230" s="527">
        <f t="shared" ref="L2230:L2236" si="2802">+H2230+L2113</f>
        <v>608256</v>
      </c>
      <c r="M2230" s="838">
        <f t="shared" ref="M2230:M2236" si="2803">+I2230+M2113</f>
        <v>2290</v>
      </c>
      <c r="N2230" s="646" t="str">
        <f>IFERROR(K2230/E2230,"-")</f>
        <v>-</v>
      </c>
      <c r="O2230" s="647">
        <f t="shared" si="2780"/>
        <v>3.7507411398977307E-3</v>
      </c>
    </row>
    <row r="2231" spans="1:15" ht="23.4" x14ac:dyDescent="0.3">
      <c r="A2231" s="252"/>
      <c r="B2231" s="1038"/>
      <c r="C2231" s="840" t="s">
        <v>377</v>
      </c>
      <c r="D2231" s="876" t="s">
        <v>423</v>
      </c>
      <c r="E2231" s="511">
        <v>1000000</v>
      </c>
      <c r="F2231" s="277"/>
      <c r="G2231" s="333">
        <f t="shared" si="2801"/>
        <v>0</v>
      </c>
      <c r="H2231" s="278">
        <v>0</v>
      </c>
      <c r="I2231" s="278">
        <v>0</v>
      </c>
      <c r="J2231" s="352" t="str">
        <f t="shared" ref="J2231:J2236" si="2804">IFERROR(G2231/F2231,"-")</f>
        <v>-</v>
      </c>
      <c r="K2231" s="870">
        <f>+L2231+M2231</f>
        <v>609980</v>
      </c>
      <c r="L2231" s="276">
        <f t="shared" si="2802"/>
        <v>608256</v>
      </c>
      <c r="M2231" s="277">
        <f t="shared" si="2803"/>
        <v>1724</v>
      </c>
      <c r="N2231" s="836">
        <f t="shared" ref="N2231:N2236" si="2805">IFERROR(K2231/E2231,"-")</f>
        <v>0.60997999999999997</v>
      </c>
      <c r="O2231" s="263">
        <f>IFERROR(M2231/K2231,"-")</f>
        <v>2.8263221744975245E-3</v>
      </c>
    </row>
    <row r="2232" spans="1:15" ht="23.4" x14ac:dyDescent="0.3">
      <c r="A2232" s="252"/>
      <c r="B2232" s="1038"/>
      <c r="C2232" s="840" t="s">
        <v>235</v>
      </c>
      <c r="D2232" s="876" t="s">
        <v>522</v>
      </c>
      <c r="E2232" s="511"/>
      <c r="F2232" s="277"/>
      <c r="G2232" s="333">
        <f t="shared" si="2801"/>
        <v>0</v>
      </c>
      <c r="H2232" s="278">
        <v>0</v>
      </c>
      <c r="I2232" s="278">
        <v>0</v>
      </c>
      <c r="J2232" s="352" t="str">
        <f t="shared" si="2804"/>
        <v>-</v>
      </c>
      <c r="K2232" s="870">
        <f t="shared" ref="K2232:K2235" si="2806">+L2232+M2232</f>
        <v>214277</v>
      </c>
      <c r="L2232" s="276">
        <f t="shared" si="2802"/>
        <v>213712</v>
      </c>
      <c r="M2232" s="277">
        <f t="shared" si="2803"/>
        <v>565</v>
      </c>
      <c r="N2232" s="836" t="str">
        <f t="shared" si="2805"/>
        <v>-</v>
      </c>
      <c r="O2232" s="263">
        <f t="shared" ref="O2232:O2293" si="2807">IFERROR(M2232/K2232,"-")</f>
        <v>2.6367738954717491E-3</v>
      </c>
    </row>
    <row r="2233" spans="1:15" ht="23.4" x14ac:dyDescent="0.3">
      <c r="A2233" s="252"/>
      <c r="B2233" s="1038"/>
      <c r="C2233" s="840" t="s">
        <v>377</v>
      </c>
      <c r="D2233" s="876" t="s">
        <v>522</v>
      </c>
      <c r="E2233" s="511"/>
      <c r="F2233" s="277"/>
      <c r="G2233" s="333">
        <f t="shared" si="2801"/>
        <v>0</v>
      </c>
      <c r="H2233" s="278">
        <v>0</v>
      </c>
      <c r="I2233" s="278">
        <v>0</v>
      </c>
      <c r="J2233" s="352" t="str">
        <f t="shared" si="2804"/>
        <v>-</v>
      </c>
      <c r="K2233" s="870">
        <f t="shared" si="2806"/>
        <v>288207</v>
      </c>
      <c r="L2233" s="276">
        <f t="shared" si="2802"/>
        <v>287232</v>
      </c>
      <c r="M2233" s="277">
        <f t="shared" si="2803"/>
        <v>975</v>
      </c>
      <c r="N2233" s="836" t="str">
        <f t="shared" si="2805"/>
        <v>-</v>
      </c>
      <c r="O2233" s="263">
        <f t="shared" si="2807"/>
        <v>3.3829851460929123E-3</v>
      </c>
    </row>
    <row r="2234" spans="1:15" ht="23.4" x14ac:dyDescent="0.3">
      <c r="A2234" s="252"/>
      <c r="B2234" s="1038"/>
      <c r="C2234" s="840" t="s">
        <v>551</v>
      </c>
      <c r="D2234" s="876" t="s">
        <v>522</v>
      </c>
      <c r="E2234" s="511"/>
      <c r="F2234" s="277"/>
      <c r="G2234" s="333">
        <f t="shared" si="2801"/>
        <v>0</v>
      </c>
      <c r="H2234" s="278">
        <v>0</v>
      </c>
      <c r="I2234" s="278">
        <v>0</v>
      </c>
      <c r="J2234" s="352" t="str">
        <f t="shared" si="2804"/>
        <v>-</v>
      </c>
      <c r="K2234" s="870">
        <f t="shared" si="2806"/>
        <v>151526</v>
      </c>
      <c r="L2234" s="276">
        <f t="shared" si="2802"/>
        <v>149952</v>
      </c>
      <c r="M2234" s="277">
        <f t="shared" si="2803"/>
        <v>1574</v>
      </c>
      <c r="N2234" s="836" t="str">
        <f t="shared" si="2805"/>
        <v>-</v>
      </c>
      <c r="O2234" s="263">
        <f t="shared" si="2807"/>
        <v>1.0387656243812942E-2</v>
      </c>
    </row>
    <row r="2235" spans="1:15" ht="23.4" x14ac:dyDescent="0.3">
      <c r="A2235" s="252"/>
      <c r="B2235" s="1038"/>
      <c r="C2235" s="840"/>
      <c r="D2235" s="876"/>
      <c r="E2235" s="511"/>
      <c r="F2235" s="277"/>
      <c r="G2235" s="333">
        <f t="shared" si="2801"/>
        <v>0</v>
      </c>
      <c r="H2235" s="278">
        <v>0</v>
      </c>
      <c r="I2235" s="278">
        <v>0</v>
      </c>
      <c r="J2235" s="352" t="str">
        <f t="shared" si="2804"/>
        <v>-</v>
      </c>
      <c r="K2235" s="870">
        <f t="shared" si="2806"/>
        <v>0</v>
      </c>
      <c r="L2235" s="276">
        <f t="shared" si="2802"/>
        <v>0</v>
      </c>
      <c r="M2235" s="277">
        <f t="shared" si="2803"/>
        <v>0</v>
      </c>
      <c r="N2235" s="836" t="str">
        <f t="shared" si="2805"/>
        <v>-</v>
      </c>
      <c r="O2235" s="263" t="str">
        <f t="shared" si="2807"/>
        <v>-</v>
      </c>
    </row>
    <row r="2236" spans="1:15" ht="24" thickBot="1" x14ac:dyDescent="0.35">
      <c r="A2236" s="252"/>
      <c r="B2236" s="1039"/>
      <c r="C2236" s="670" t="s">
        <v>342</v>
      </c>
      <c r="D2236" s="884"/>
      <c r="E2236" s="913">
        <v>150000</v>
      </c>
      <c r="F2236" s="839"/>
      <c r="G2236" s="460">
        <f t="shared" si="2801"/>
        <v>0</v>
      </c>
      <c r="H2236" s="461">
        <v>0</v>
      </c>
      <c r="I2236" s="461">
        <v>0</v>
      </c>
      <c r="J2236" s="532" t="str">
        <f t="shared" si="2804"/>
        <v>-</v>
      </c>
      <c r="K2236" s="871">
        <f>+L2236+M2236</f>
        <v>0</v>
      </c>
      <c r="L2236" s="530">
        <f t="shared" si="2802"/>
        <v>0</v>
      </c>
      <c r="M2236" s="839">
        <f t="shared" si="2803"/>
        <v>0</v>
      </c>
      <c r="N2236" s="837">
        <f t="shared" si="2805"/>
        <v>0</v>
      </c>
      <c r="O2236" s="264" t="str">
        <f t="shared" si="2807"/>
        <v>-</v>
      </c>
    </row>
    <row r="2237" spans="1:15" ht="24" thickBot="1" x14ac:dyDescent="0.35">
      <c r="A2237" s="274" t="s">
        <v>103</v>
      </c>
      <c r="B2237" s="1040" t="s">
        <v>46</v>
      </c>
      <c r="C2237" s="1041"/>
      <c r="D2237" s="1042"/>
      <c r="E2237" s="513">
        <f>SUM(E2230:E2236)</f>
        <v>1150000</v>
      </c>
      <c r="F2237" s="859">
        <f t="shared" ref="F2237" si="2808">SUM(F2230)</f>
        <v>110000</v>
      </c>
      <c r="G2237" s="513">
        <f>SUM(G2230:G2236)</f>
        <v>34007</v>
      </c>
      <c r="H2237" s="519">
        <f>SUM(H2230:H2236)</f>
        <v>33792</v>
      </c>
      <c r="I2237" s="519">
        <f>SUM(I2230:I2236)</f>
        <v>215</v>
      </c>
      <c r="J2237" s="520">
        <f>+G2237/F2237</f>
        <v>0.30915454545454546</v>
      </c>
      <c r="K2237" s="835">
        <f>SUM(K2230:K2236)</f>
        <v>1874536</v>
      </c>
      <c r="L2237" s="519">
        <f>SUM(L2230:L2236)</f>
        <v>1867408</v>
      </c>
      <c r="M2237" s="689">
        <f>SUM(M2230:M2236)</f>
        <v>7128</v>
      </c>
      <c r="N2237" s="521">
        <f>IFERROR(K2237/E2237,"-")</f>
        <v>1.6300313043478261</v>
      </c>
      <c r="O2237" s="520">
        <f t="shared" si="2807"/>
        <v>3.8025410021466644E-3</v>
      </c>
    </row>
    <row r="2238" spans="1:15" ht="23.4" x14ac:dyDescent="0.3">
      <c r="A2238" s="274" t="s">
        <v>103</v>
      </c>
      <c r="B2238" s="1043" t="s">
        <v>20</v>
      </c>
      <c r="C2238" s="291" t="s">
        <v>583</v>
      </c>
      <c r="D2238" s="995" t="s">
        <v>289</v>
      </c>
      <c r="E2238" s="270"/>
      <c r="F2238" s="271"/>
      <c r="G2238" s="332">
        <f t="shared" ref="G2238:G2240" si="2809">+H2238+I2238</f>
        <v>13319</v>
      </c>
      <c r="H2238" s="272">
        <v>13104</v>
      </c>
      <c r="I2238" s="272">
        <v>215</v>
      </c>
      <c r="J2238" s="351" t="str">
        <f>IFERROR(G2238/F2238,"-")</f>
        <v>-</v>
      </c>
      <c r="K2238" s="332">
        <f t="shared" ref="K2238:K2240" si="2810">+L2238+M2238</f>
        <v>28456</v>
      </c>
      <c r="L2238" s="272">
        <f t="shared" ref="L2238:L2240" si="2811">+H2238+L2121</f>
        <v>28083</v>
      </c>
      <c r="M2238" s="273">
        <f t="shared" ref="M2238:M2240" si="2812">+I2238+M2121</f>
        <v>373</v>
      </c>
      <c r="N2238" s="336" t="str">
        <f t="shared" ref="N2238:N2241" si="2813">IFERROR(K2238/E2238,"-")</f>
        <v>-</v>
      </c>
      <c r="O2238" s="346">
        <f t="shared" si="2807"/>
        <v>1.3107956142816981E-2</v>
      </c>
    </row>
    <row r="2239" spans="1:15" ht="23.4" x14ac:dyDescent="0.3">
      <c r="A2239" s="274" t="s">
        <v>103</v>
      </c>
      <c r="B2239" s="1044"/>
      <c r="C2239" s="292" t="s">
        <v>114</v>
      </c>
      <c r="D2239" s="292"/>
      <c r="E2239" s="276"/>
      <c r="F2239" s="277"/>
      <c r="G2239" s="333">
        <f t="shared" si="2809"/>
        <v>0</v>
      </c>
      <c r="H2239" s="278">
        <v>0</v>
      </c>
      <c r="I2239" s="278">
        <v>0</v>
      </c>
      <c r="J2239" s="351" t="str">
        <f t="shared" ref="J2239:J2240" si="2814">IFERROR(G2239/F2239,"-")</f>
        <v>-</v>
      </c>
      <c r="K2239" s="333">
        <f t="shared" si="2810"/>
        <v>0</v>
      </c>
      <c r="L2239" s="272">
        <f t="shared" si="2811"/>
        <v>0</v>
      </c>
      <c r="M2239" s="273">
        <f t="shared" si="2812"/>
        <v>0</v>
      </c>
      <c r="N2239" s="337" t="str">
        <f t="shared" si="2813"/>
        <v>-</v>
      </c>
      <c r="O2239" s="263" t="str">
        <f t="shared" si="2807"/>
        <v>-</v>
      </c>
    </row>
    <row r="2240" spans="1:15" ht="24" thickBot="1" x14ac:dyDescent="0.35">
      <c r="A2240" s="274" t="s">
        <v>103</v>
      </c>
      <c r="B2240" s="1045"/>
      <c r="C2240" s="293" t="s">
        <v>120</v>
      </c>
      <c r="D2240" s="293"/>
      <c r="E2240" s="280"/>
      <c r="F2240" s="281"/>
      <c r="G2240" s="334">
        <f t="shared" si="2809"/>
        <v>0</v>
      </c>
      <c r="H2240" s="282">
        <v>0</v>
      </c>
      <c r="I2240" s="282">
        <v>0</v>
      </c>
      <c r="J2240" s="351" t="str">
        <f t="shared" si="2814"/>
        <v>-</v>
      </c>
      <c r="K2240" s="334">
        <f t="shared" si="2810"/>
        <v>0</v>
      </c>
      <c r="L2240" s="272">
        <f t="shared" si="2811"/>
        <v>0</v>
      </c>
      <c r="M2240" s="273">
        <f t="shared" si="2812"/>
        <v>0</v>
      </c>
      <c r="N2240" s="338" t="str">
        <f t="shared" si="2813"/>
        <v>-</v>
      </c>
      <c r="O2240" s="347" t="str">
        <f t="shared" si="2807"/>
        <v>-</v>
      </c>
    </row>
    <row r="2241" spans="1:15" ht="24" thickBot="1" x14ac:dyDescent="0.35">
      <c r="A2241" s="274" t="s">
        <v>103</v>
      </c>
      <c r="B2241" s="1026" t="s">
        <v>47</v>
      </c>
      <c r="C2241" s="1026"/>
      <c r="D2241" s="1046"/>
      <c r="E2241" s="320">
        <f t="shared" ref="E2241" si="2815">SUM(E2238:E2240)</f>
        <v>0</v>
      </c>
      <c r="F2241" s="285">
        <v>50000</v>
      </c>
      <c r="G2241" s="320">
        <f>SUM(G2238:G2240)</f>
        <v>13319</v>
      </c>
      <c r="H2241" s="321">
        <f t="shared" ref="H2241:I2241" si="2816">SUM(H2238:H2240)</f>
        <v>13104</v>
      </c>
      <c r="I2241" s="321">
        <f t="shared" si="2816"/>
        <v>215</v>
      </c>
      <c r="J2241" s="345">
        <f>+G2241/F2241</f>
        <v>0.26638000000000001</v>
      </c>
      <c r="K2241" s="320">
        <f t="shared" ref="K2241:M2241" si="2817">SUM(K2238:K2240)</f>
        <v>28456</v>
      </c>
      <c r="L2241" s="321">
        <f t="shared" si="2817"/>
        <v>28083</v>
      </c>
      <c r="M2241" s="322">
        <f t="shared" si="2817"/>
        <v>373</v>
      </c>
      <c r="N2241" s="339" t="str">
        <f t="shared" si="2813"/>
        <v>-</v>
      </c>
      <c r="O2241" s="345">
        <f t="shared" si="2807"/>
        <v>1.3107956142816981E-2</v>
      </c>
    </row>
    <row r="2242" spans="1:15" ht="24" thickBot="1" x14ac:dyDescent="0.35">
      <c r="A2242" s="274" t="s">
        <v>103</v>
      </c>
      <c r="B2242" s="1047" t="s">
        <v>21</v>
      </c>
      <c r="C2242" s="1048"/>
      <c r="D2242" s="1049"/>
      <c r="E2242" s="326">
        <f>+E2213+E2221+E2229+E2237+E2241</f>
        <v>3770000</v>
      </c>
      <c r="F2242" s="327">
        <f>+F2213+F2221+F2229+F2237+F2241</f>
        <v>355000</v>
      </c>
      <c r="G2242" s="326">
        <f>+G2213+G2221+G2229+G2237+G2241</f>
        <v>103955</v>
      </c>
      <c r="H2242" s="324">
        <f>+H2213+H2221+H2229+H2237+H2241</f>
        <v>103256</v>
      </c>
      <c r="I2242" s="324">
        <f>+I2213+I2221+I2229+I2237+I2241</f>
        <v>699</v>
      </c>
      <c r="J2242" s="349">
        <f>+G2242/F2242</f>
        <v>0.29283098591549295</v>
      </c>
      <c r="K2242" s="326">
        <f>+K2213+K2221+K2229+K2237+K2241</f>
        <v>3454321</v>
      </c>
      <c r="L2242" s="324">
        <f>+L2213+L2221+L2229+L2237+L2241</f>
        <v>3436631</v>
      </c>
      <c r="M2242" s="325">
        <f>+M2213+M2221+M2229+M2237+M2241</f>
        <v>17690</v>
      </c>
      <c r="N2242" s="341">
        <f>IFERROR(K2242/E2242,"-")</f>
        <v>0.91626551724137928</v>
      </c>
      <c r="O2242" s="349">
        <f t="shared" si="2807"/>
        <v>5.1211222118616078E-3</v>
      </c>
    </row>
    <row r="2243" spans="1:15" ht="23.4" x14ac:dyDescent="0.3">
      <c r="A2243" s="274" t="s">
        <v>103</v>
      </c>
      <c r="B2243" s="1043" t="s">
        <v>400</v>
      </c>
      <c r="C2243" s="269" t="s">
        <v>125</v>
      </c>
      <c r="D2243" s="269"/>
      <c r="E2243" s="270"/>
      <c r="F2243" s="271"/>
      <c r="G2243" s="332">
        <f t="shared" ref="G2243:G2246" si="2818">+H2243+I2243</f>
        <v>0</v>
      </c>
      <c r="H2243" s="272">
        <v>0</v>
      </c>
      <c r="I2243" s="272">
        <v>0</v>
      </c>
      <c r="J2243" s="351" t="str">
        <f>IFERROR(G2243/F2243,"-")</f>
        <v>-</v>
      </c>
      <c r="K2243" s="332">
        <f t="shared" ref="K2243:K2246" si="2819">+L2243+M2243</f>
        <v>0</v>
      </c>
      <c r="L2243" s="272">
        <f t="shared" ref="L2243:L2246" si="2820">+H2243+L2126</f>
        <v>0</v>
      </c>
      <c r="M2243" s="273">
        <f t="shared" ref="M2243:M2246" si="2821">+I2243+M2126</f>
        <v>0</v>
      </c>
      <c r="N2243" s="336" t="str">
        <f t="shared" ref="N2243:N2258" si="2822">IFERROR(K2243/E2243,"-")</f>
        <v>-</v>
      </c>
      <c r="O2243" s="346" t="str">
        <f t="shared" si="2807"/>
        <v>-</v>
      </c>
    </row>
    <row r="2244" spans="1:15" ht="23.4" x14ac:dyDescent="0.3">
      <c r="A2244" s="274" t="s">
        <v>103</v>
      </c>
      <c r="B2244" s="1044"/>
      <c r="C2244" s="295" t="s">
        <v>263</v>
      </c>
      <c r="D2244" s="295" t="s">
        <v>181</v>
      </c>
      <c r="E2244" s="276"/>
      <c r="F2244" s="277"/>
      <c r="G2244" s="333">
        <f t="shared" si="2818"/>
        <v>0</v>
      </c>
      <c r="H2244" s="278">
        <v>0</v>
      </c>
      <c r="I2244" s="278">
        <v>0</v>
      </c>
      <c r="J2244" s="351" t="str">
        <f t="shared" ref="J2244:J2246" si="2823">IFERROR(G2244/F2244,"-")</f>
        <v>-</v>
      </c>
      <c r="K2244" s="333">
        <f t="shared" si="2819"/>
        <v>0</v>
      </c>
      <c r="L2244" s="272">
        <f t="shared" si="2820"/>
        <v>0</v>
      </c>
      <c r="M2244" s="273">
        <f t="shared" si="2821"/>
        <v>0</v>
      </c>
      <c r="N2244" s="337" t="str">
        <f t="shared" si="2822"/>
        <v>-</v>
      </c>
      <c r="O2244" s="263" t="str">
        <f t="shared" si="2807"/>
        <v>-</v>
      </c>
    </row>
    <row r="2245" spans="1:15" ht="23.4" x14ac:dyDescent="0.3">
      <c r="A2245" s="274" t="s">
        <v>103</v>
      </c>
      <c r="B2245" s="1044"/>
      <c r="C2245" s="295" t="s">
        <v>362</v>
      </c>
      <c r="D2245" s="295" t="s">
        <v>181</v>
      </c>
      <c r="E2245" s="276"/>
      <c r="F2245" s="277"/>
      <c r="G2245" s="333">
        <f t="shared" si="2818"/>
        <v>4040</v>
      </c>
      <c r="H2245" s="278">
        <v>3960</v>
      </c>
      <c r="I2245" s="278">
        <v>80</v>
      </c>
      <c r="J2245" s="351" t="str">
        <f t="shared" si="2823"/>
        <v>-</v>
      </c>
      <c r="K2245" s="333">
        <f t="shared" si="2819"/>
        <v>51710</v>
      </c>
      <c r="L2245" s="272">
        <f t="shared" si="2820"/>
        <v>51480</v>
      </c>
      <c r="M2245" s="273">
        <f t="shared" si="2821"/>
        <v>230</v>
      </c>
      <c r="N2245" s="337" t="str">
        <f t="shared" si="2822"/>
        <v>-</v>
      </c>
      <c r="O2245" s="263">
        <f t="shared" si="2807"/>
        <v>4.4478824211951267E-3</v>
      </c>
    </row>
    <row r="2246" spans="1:15" ht="24" thickBot="1" x14ac:dyDescent="0.35">
      <c r="A2246" s="274" t="s">
        <v>103</v>
      </c>
      <c r="B2246" s="1045"/>
      <c r="C2246" s="279" t="s">
        <v>182</v>
      </c>
      <c r="D2246" s="279" t="s">
        <v>93</v>
      </c>
      <c r="E2246" s="280"/>
      <c r="F2246" s="281"/>
      <c r="G2246" s="334">
        <f t="shared" si="2818"/>
        <v>2268</v>
      </c>
      <c r="H2246" s="278">
        <v>1980</v>
      </c>
      <c r="I2246" s="278">
        <v>288</v>
      </c>
      <c r="J2246" s="351" t="str">
        <f t="shared" si="2823"/>
        <v>-</v>
      </c>
      <c r="K2246" s="334">
        <f t="shared" si="2819"/>
        <v>175240</v>
      </c>
      <c r="L2246" s="272">
        <f t="shared" si="2820"/>
        <v>174240</v>
      </c>
      <c r="M2246" s="273">
        <f t="shared" si="2821"/>
        <v>1000</v>
      </c>
      <c r="N2246" s="338" t="str">
        <f t="shared" si="2822"/>
        <v>-</v>
      </c>
      <c r="O2246" s="347">
        <f t="shared" si="2807"/>
        <v>5.7064597123944304E-3</v>
      </c>
    </row>
    <row r="2247" spans="1:15" ht="24" thickBot="1" x14ac:dyDescent="0.35">
      <c r="A2247" s="274" t="s">
        <v>103</v>
      </c>
      <c r="B2247" s="1025" t="s">
        <v>48</v>
      </c>
      <c r="C2247" s="1026"/>
      <c r="D2247" s="1027"/>
      <c r="E2247" s="284">
        <f>SUM(E2243:E2246)</f>
        <v>0</v>
      </c>
      <c r="F2247" s="285">
        <v>80000</v>
      </c>
      <c r="G2247" s="320">
        <f>SUM(G2243:G2246)</f>
        <v>6308</v>
      </c>
      <c r="H2247" s="321">
        <f t="shared" ref="H2247:I2247" si="2824">SUM(H2243:H2246)</f>
        <v>5940</v>
      </c>
      <c r="I2247" s="321">
        <f t="shared" si="2824"/>
        <v>368</v>
      </c>
      <c r="J2247" s="345">
        <f>+G2247/F2247</f>
        <v>7.8850000000000003E-2</v>
      </c>
      <c r="K2247" s="320">
        <f t="shared" ref="K2247" si="2825">SUM(K2243:K2246)</f>
        <v>226950</v>
      </c>
      <c r="L2247" s="321">
        <f>SUM(L2243:L2246)</f>
        <v>225720</v>
      </c>
      <c r="M2247" s="322">
        <f t="shared" ref="M2247" si="2826">SUM(M2243:M2246)</f>
        <v>1230</v>
      </c>
      <c r="N2247" s="339" t="str">
        <f t="shared" si="2822"/>
        <v>-</v>
      </c>
      <c r="O2247" s="345">
        <f t="shared" si="2807"/>
        <v>5.4196959682749502E-3</v>
      </c>
    </row>
    <row r="2248" spans="1:15" ht="23.4" x14ac:dyDescent="0.3">
      <c r="A2248" s="274" t="s">
        <v>103</v>
      </c>
      <c r="B2248" s="1043" t="s">
        <v>23</v>
      </c>
      <c r="C2248" s="275" t="s">
        <v>500</v>
      </c>
      <c r="D2248" s="296" t="s">
        <v>238</v>
      </c>
      <c r="E2248" s="270">
        <v>10000</v>
      </c>
      <c r="F2248" s="271"/>
      <c r="G2248" s="332">
        <f t="shared" ref="G2248:G2256" si="2827">+H2248+I2248</f>
        <v>0</v>
      </c>
      <c r="H2248" s="272">
        <v>0</v>
      </c>
      <c r="I2248" s="272">
        <v>0</v>
      </c>
      <c r="J2248" s="351" t="str">
        <f>IFERROR(G2248/F2248,"-")</f>
        <v>-</v>
      </c>
      <c r="K2248" s="332">
        <f t="shared" ref="K2248:K2256" si="2828">+L2248+M2248</f>
        <v>0</v>
      </c>
      <c r="L2248" s="272">
        <f t="shared" ref="L2248:L2256" si="2829">+H2248+L2131</f>
        <v>0</v>
      </c>
      <c r="M2248" s="273">
        <f t="shared" ref="M2248:M2256" si="2830">+I2248+M2131</f>
        <v>0</v>
      </c>
      <c r="N2248" s="336">
        <f t="shared" si="2822"/>
        <v>0</v>
      </c>
      <c r="O2248" s="346" t="str">
        <f t="shared" si="2807"/>
        <v>-</v>
      </c>
    </row>
    <row r="2249" spans="1:15" ht="23.4" x14ac:dyDescent="0.3">
      <c r="A2249" s="274" t="s">
        <v>103</v>
      </c>
      <c r="B2249" s="1044"/>
      <c r="C2249" s="275" t="s">
        <v>24</v>
      </c>
      <c r="D2249" s="275" t="s">
        <v>238</v>
      </c>
      <c r="E2249" s="276">
        <v>112000</v>
      </c>
      <c r="F2249" s="277"/>
      <c r="G2249" s="333">
        <f t="shared" si="2827"/>
        <v>0</v>
      </c>
      <c r="H2249" s="278">
        <v>0</v>
      </c>
      <c r="I2249" s="278">
        <v>0</v>
      </c>
      <c r="J2249" s="351" t="str">
        <f t="shared" ref="J2249:J2256" si="2831">IFERROR(G2249/F2249,"-")</f>
        <v>-</v>
      </c>
      <c r="K2249" s="333">
        <f t="shared" si="2828"/>
        <v>0</v>
      </c>
      <c r="L2249" s="272">
        <f t="shared" si="2829"/>
        <v>0</v>
      </c>
      <c r="M2249" s="273">
        <f t="shared" si="2830"/>
        <v>0</v>
      </c>
      <c r="N2249" s="337">
        <f t="shared" si="2822"/>
        <v>0</v>
      </c>
      <c r="O2249" s="263" t="str">
        <f t="shared" si="2807"/>
        <v>-</v>
      </c>
    </row>
    <row r="2250" spans="1:15" ht="23.4" x14ac:dyDescent="0.3">
      <c r="A2250" s="274" t="s">
        <v>103</v>
      </c>
      <c r="B2250" s="1044"/>
      <c r="C2250" s="275" t="s">
        <v>236</v>
      </c>
      <c r="D2250" s="275" t="s">
        <v>238</v>
      </c>
      <c r="E2250" s="276">
        <v>40000</v>
      </c>
      <c r="F2250" s="277"/>
      <c r="G2250" s="333">
        <f t="shared" si="2827"/>
        <v>0</v>
      </c>
      <c r="H2250" s="278">
        <v>0</v>
      </c>
      <c r="I2250" s="278">
        <v>0</v>
      </c>
      <c r="J2250" s="351" t="str">
        <f t="shared" si="2831"/>
        <v>-</v>
      </c>
      <c r="K2250" s="333">
        <f t="shared" si="2828"/>
        <v>0</v>
      </c>
      <c r="L2250" s="272">
        <f t="shared" si="2829"/>
        <v>0</v>
      </c>
      <c r="M2250" s="273">
        <f t="shared" si="2830"/>
        <v>0</v>
      </c>
      <c r="N2250" s="337">
        <f t="shared" si="2822"/>
        <v>0</v>
      </c>
      <c r="O2250" s="263" t="str">
        <f t="shared" si="2807"/>
        <v>-</v>
      </c>
    </row>
    <row r="2251" spans="1:15" ht="23.4" x14ac:dyDescent="0.3">
      <c r="A2251" s="274" t="s">
        <v>103</v>
      </c>
      <c r="B2251" s="1044"/>
      <c r="C2251" s="275" t="s">
        <v>239</v>
      </c>
      <c r="D2251" s="275" t="s">
        <v>238</v>
      </c>
      <c r="E2251" s="276">
        <v>4000</v>
      </c>
      <c r="F2251" s="277"/>
      <c r="G2251" s="333">
        <f t="shared" si="2827"/>
        <v>0</v>
      </c>
      <c r="H2251" s="278">
        <v>0</v>
      </c>
      <c r="I2251" s="278">
        <v>0</v>
      </c>
      <c r="J2251" s="351" t="str">
        <f t="shared" si="2831"/>
        <v>-</v>
      </c>
      <c r="K2251" s="333">
        <f t="shared" si="2828"/>
        <v>0</v>
      </c>
      <c r="L2251" s="272">
        <f t="shared" si="2829"/>
        <v>0</v>
      </c>
      <c r="M2251" s="273">
        <f t="shared" si="2830"/>
        <v>0</v>
      </c>
      <c r="N2251" s="337">
        <f t="shared" si="2822"/>
        <v>0</v>
      </c>
      <c r="O2251" s="263" t="str">
        <f t="shared" si="2807"/>
        <v>-</v>
      </c>
    </row>
    <row r="2252" spans="1:15" ht="23.4" x14ac:dyDescent="0.3">
      <c r="A2252" s="274" t="s">
        <v>103</v>
      </c>
      <c r="B2252" s="1044"/>
      <c r="C2252" s="295" t="s">
        <v>394</v>
      </c>
      <c r="D2252" s="275" t="s">
        <v>238</v>
      </c>
      <c r="E2252" s="276">
        <v>8500</v>
      </c>
      <c r="F2252" s="277"/>
      <c r="G2252" s="333">
        <f t="shared" si="2827"/>
        <v>0</v>
      </c>
      <c r="H2252" s="278">
        <v>0</v>
      </c>
      <c r="I2252" s="278">
        <v>0</v>
      </c>
      <c r="J2252" s="351" t="str">
        <f t="shared" si="2831"/>
        <v>-</v>
      </c>
      <c r="K2252" s="333">
        <f t="shared" si="2828"/>
        <v>0</v>
      </c>
      <c r="L2252" s="272">
        <f t="shared" si="2829"/>
        <v>0</v>
      </c>
      <c r="M2252" s="273">
        <f t="shared" si="2830"/>
        <v>0</v>
      </c>
      <c r="N2252" s="337">
        <f t="shared" si="2822"/>
        <v>0</v>
      </c>
      <c r="O2252" s="263" t="str">
        <f t="shared" si="2807"/>
        <v>-</v>
      </c>
    </row>
    <row r="2253" spans="1:15" ht="23.4" x14ac:dyDescent="0.3">
      <c r="A2253" s="274" t="s">
        <v>103</v>
      </c>
      <c r="B2253" s="1044"/>
      <c r="C2253" s="295" t="s">
        <v>422</v>
      </c>
      <c r="D2253" s="275" t="s">
        <v>238</v>
      </c>
      <c r="E2253" s="276">
        <v>10000</v>
      </c>
      <c r="F2253" s="277"/>
      <c r="G2253" s="333">
        <f t="shared" si="2827"/>
        <v>0</v>
      </c>
      <c r="H2253" s="278">
        <v>0</v>
      </c>
      <c r="I2253" s="278">
        <v>0</v>
      </c>
      <c r="J2253" s="351" t="str">
        <f t="shared" si="2831"/>
        <v>-</v>
      </c>
      <c r="K2253" s="333">
        <f t="shared" si="2828"/>
        <v>0</v>
      </c>
      <c r="L2253" s="272">
        <f t="shared" si="2829"/>
        <v>0</v>
      </c>
      <c r="M2253" s="273">
        <f t="shared" si="2830"/>
        <v>0</v>
      </c>
      <c r="N2253" s="337">
        <f t="shared" si="2822"/>
        <v>0</v>
      </c>
      <c r="O2253" s="263" t="str">
        <f t="shared" si="2807"/>
        <v>-</v>
      </c>
    </row>
    <row r="2254" spans="1:15" ht="23.4" x14ac:dyDescent="0.3">
      <c r="A2254" s="274" t="s">
        <v>103</v>
      </c>
      <c r="B2254" s="1044"/>
      <c r="C2254" s="295" t="s">
        <v>241</v>
      </c>
      <c r="D2254" s="275" t="s">
        <v>243</v>
      </c>
      <c r="E2254" s="276"/>
      <c r="F2254" s="277"/>
      <c r="G2254" s="333">
        <f t="shared" si="2827"/>
        <v>0</v>
      </c>
      <c r="H2254" s="278">
        <v>0</v>
      </c>
      <c r="I2254" s="278">
        <v>0</v>
      </c>
      <c r="J2254" s="351" t="str">
        <f t="shared" si="2831"/>
        <v>-</v>
      </c>
      <c r="K2254" s="333">
        <f t="shared" si="2828"/>
        <v>0</v>
      </c>
      <c r="L2254" s="272">
        <f t="shared" si="2829"/>
        <v>0</v>
      </c>
      <c r="M2254" s="273">
        <f t="shared" si="2830"/>
        <v>0</v>
      </c>
      <c r="N2254" s="337" t="str">
        <f t="shared" si="2822"/>
        <v>-</v>
      </c>
      <c r="O2254" s="263" t="str">
        <f t="shared" si="2807"/>
        <v>-</v>
      </c>
    </row>
    <row r="2255" spans="1:15" ht="23.4" x14ac:dyDescent="0.3">
      <c r="A2255" s="274"/>
      <c r="B2255" s="1045"/>
      <c r="C2255" s="295" t="s">
        <v>546</v>
      </c>
      <c r="D2255" s="275" t="s">
        <v>238</v>
      </c>
      <c r="E2255" s="280">
        <v>6000</v>
      </c>
      <c r="F2255" s="281"/>
      <c r="G2255" s="333">
        <f t="shared" si="2827"/>
        <v>0</v>
      </c>
      <c r="H2255" s="278">
        <v>0</v>
      </c>
      <c r="I2255" s="278">
        <v>0</v>
      </c>
      <c r="J2255" s="351" t="str">
        <f t="shared" si="2831"/>
        <v>-</v>
      </c>
      <c r="K2255" s="333">
        <f t="shared" si="2828"/>
        <v>0</v>
      </c>
      <c r="L2255" s="272">
        <f t="shared" si="2829"/>
        <v>0</v>
      </c>
      <c r="M2255" s="273">
        <f t="shared" si="2830"/>
        <v>0</v>
      </c>
      <c r="N2255" s="337">
        <f t="shared" si="2822"/>
        <v>0</v>
      </c>
      <c r="O2255" s="263" t="str">
        <f t="shared" si="2807"/>
        <v>-</v>
      </c>
    </row>
    <row r="2256" spans="1:15" ht="24" thickBot="1" x14ac:dyDescent="0.35">
      <c r="A2256" s="274" t="s">
        <v>103</v>
      </c>
      <c r="B2256" s="1045"/>
      <c r="C2256" s="295" t="s">
        <v>242</v>
      </c>
      <c r="D2256" s="275" t="s">
        <v>238</v>
      </c>
      <c r="E2256" s="280">
        <v>5000</v>
      </c>
      <c r="F2256" s="281"/>
      <c r="G2256" s="334">
        <f t="shared" si="2827"/>
        <v>0</v>
      </c>
      <c r="H2256" s="278">
        <v>0</v>
      </c>
      <c r="I2256" s="278">
        <v>0</v>
      </c>
      <c r="J2256" s="351" t="str">
        <f t="shared" si="2831"/>
        <v>-</v>
      </c>
      <c r="K2256" s="334">
        <f t="shared" si="2828"/>
        <v>0</v>
      </c>
      <c r="L2256" s="272">
        <f t="shared" si="2829"/>
        <v>0</v>
      </c>
      <c r="M2256" s="273">
        <f t="shared" si="2830"/>
        <v>0</v>
      </c>
      <c r="N2256" s="338">
        <f t="shared" si="2822"/>
        <v>0</v>
      </c>
      <c r="O2256" s="347" t="str">
        <f t="shared" si="2807"/>
        <v>-</v>
      </c>
    </row>
    <row r="2257" spans="1:15" ht="24" thickBot="1" x14ac:dyDescent="0.35">
      <c r="A2257" s="274" t="s">
        <v>103</v>
      </c>
      <c r="B2257" s="1025" t="s">
        <v>49</v>
      </c>
      <c r="C2257" s="1026"/>
      <c r="D2257" s="1027"/>
      <c r="E2257" s="284">
        <f>SUM(E2248:E2256)</f>
        <v>195500</v>
      </c>
      <c r="F2257" s="285">
        <v>14000</v>
      </c>
      <c r="G2257" s="320">
        <f>SUM(G2248:G2256)</f>
        <v>0</v>
      </c>
      <c r="H2257" s="321">
        <f t="shared" ref="H2257:I2257" si="2832">SUM(H2248:H2256)</f>
        <v>0</v>
      </c>
      <c r="I2257" s="321">
        <f t="shared" si="2832"/>
        <v>0</v>
      </c>
      <c r="J2257" s="345">
        <f>+G2258/F2258</f>
        <v>6.71063829787234E-2</v>
      </c>
      <c r="K2257" s="320">
        <f>SUM(K2248:K2256)</f>
        <v>0</v>
      </c>
      <c r="L2257" s="321">
        <f>+H2257</f>
        <v>0</v>
      </c>
      <c r="M2257" s="322">
        <f>+I2257</f>
        <v>0</v>
      </c>
      <c r="N2257" s="339">
        <f t="shared" si="2822"/>
        <v>0</v>
      </c>
      <c r="O2257" s="345" t="str">
        <f t="shared" si="2807"/>
        <v>-</v>
      </c>
    </row>
    <row r="2258" spans="1:15" ht="24" thickBot="1" x14ac:dyDescent="0.35">
      <c r="A2258" s="274" t="s">
        <v>103</v>
      </c>
      <c r="B2258" s="1047" t="s">
        <v>25</v>
      </c>
      <c r="C2258" s="1048"/>
      <c r="D2258" s="1049"/>
      <c r="E2258" s="326">
        <f t="shared" ref="E2258:F2258" si="2833">+E2247+E2257</f>
        <v>195500</v>
      </c>
      <c r="F2258" s="327">
        <f t="shared" si="2833"/>
        <v>94000</v>
      </c>
      <c r="G2258" s="326">
        <f>+G2247+G2257</f>
        <v>6308</v>
      </c>
      <c r="H2258" s="324">
        <f t="shared" ref="H2258:I2258" si="2834">+H2247+H2257</f>
        <v>5940</v>
      </c>
      <c r="I2258" s="324">
        <f t="shared" si="2834"/>
        <v>368</v>
      </c>
      <c r="J2258" s="349" t="str">
        <f>IFERROR(G2258/#REF!,"-")</f>
        <v>-</v>
      </c>
      <c r="K2258" s="326">
        <f t="shared" ref="K2258" si="2835">+K2247+K2257</f>
        <v>226950</v>
      </c>
      <c r="L2258" s="324">
        <f>+L2247+L2257</f>
        <v>225720</v>
      </c>
      <c r="M2258" s="325">
        <f t="shared" ref="M2258" si="2836">+M2247+M2257</f>
        <v>1230</v>
      </c>
      <c r="N2258" s="341">
        <f t="shared" si="2822"/>
        <v>1.1608695652173913</v>
      </c>
      <c r="O2258" s="349">
        <f t="shared" si="2807"/>
        <v>5.4196959682749502E-3</v>
      </c>
    </row>
    <row r="2259" spans="1:15" ht="24" thickBot="1" x14ac:dyDescent="0.35">
      <c r="A2259" s="274" t="s">
        <v>103</v>
      </c>
      <c r="B2259" s="1019" t="s">
        <v>172</v>
      </c>
      <c r="C2259" s="1020"/>
      <c r="D2259" s="1050"/>
      <c r="E2259" s="330">
        <f>+E2242+E2258</f>
        <v>3965500</v>
      </c>
      <c r="F2259" s="331">
        <f t="shared" ref="F2259:I2259" si="2837">+F2242+F2258</f>
        <v>449000</v>
      </c>
      <c r="G2259" s="330">
        <f t="shared" si="2837"/>
        <v>110263</v>
      </c>
      <c r="H2259" s="328">
        <f t="shared" si="2837"/>
        <v>109196</v>
      </c>
      <c r="I2259" s="328">
        <f t="shared" si="2837"/>
        <v>1067</v>
      </c>
      <c r="J2259" s="350">
        <f>+G2259/F2259</f>
        <v>0.24557461024498886</v>
      </c>
      <c r="K2259" s="330">
        <f>+K2242+K2258</f>
        <v>3681271</v>
      </c>
      <c r="L2259" s="328">
        <f t="shared" ref="L2259:M2259" si="2838">+L2242+L2258</f>
        <v>3662351</v>
      </c>
      <c r="M2259" s="329">
        <f t="shared" si="2838"/>
        <v>18920</v>
      </c>
      <c r="N2259" s="342">
        <f>IFERROR(K2259/E2259,"-")</f>
        <v>0.92832454923717056</v>
      </c>
      <c r="O2259" s="350">
        <f t="shared" si="2807"/>
        <v>5.1395292549774249E-3</v>
      </c>
    </row>
    <row r="2260" spans="1:15" ht="23.4" x14ac:dyDescent="0.3">
      <c r="A2260" s="268" t="s">
        <v>101</v>
      </c>
      <c r="B2260" s="1051" t="s">
        <v>26</v>
      </c>
      <c r="C2260" s="893" t="s">
        <v>297</v>
      </c>
      <c r="D2260" s="898" t="s">
        <v>177</v>
      </c>
      <c r="E2260" s="895"/>
      <c r="F2260" s="271"/>
      <c r="G2260" s="332">
        <f t="shared" ref="G2260:G2269" si="2839">+H2260+I2260</f>
        <v>0</v>
      </c>
      <c r="H2260" s="272">
        <v>0</v>
      </c>
      <c r="I2260" s="272">
        <v>0</v>
      </c>
      <c r="J2260" s="351" t="str">
        <f>IFERROR(G2260/F2260,"-")</f>
        <v>-</v>
      </c>
      <c r="K2260" s="332">
        <f t="shared" ref="K2260:K2269" si="2840">+L2260+M2260</f>
        <v>0</v>
      </c>
      <c r="L2260" s="272">
        <f t="shared" ref="L2260:L2269" si="2841">+H2260+L2143</f>
        <v>0</v>
      </c>
      <c r="M2260" s="273">
        <f t="shared" ref="M2260:M2269" si="2842">+I2260+M2143</f>
        <v>0</v>
      </c>
      <c r="N2260" s="336" t="str">
        <f t="shared" ref="N2260:N2278" si="2843">IFERROR(K2260/E2260,"-")</f>
        <v>-</v>
      </c>
      <c r="O2260" s="346" t="str">
        <f t="shared" si="2807"/>
        <v>-</v>
      </c>
    </row>
    <row r="2261" spans="1:15" ht="23.4" x14ac:dyDescent="0.3">
      <c r="A2261" s="274" t="s">
        <v>101</v>
      </c>
      <c r="B2261" s="1051"/>
      <c r="C2261" s="253" t="s">
        <v>424</v>
      </c>
      <c r="D2261" s="899" t="s">
        <v>423</v>
      </c>
      <c r="E2261" s="511">
        <v>314432</v>
      </c>
      <c r="F2261" s="277"/>
      <c r="G2261" s="333">
        <f t="shared" si="2839"/>
        <v>0</v>
      </c>
      <c r="H2261" s="278">
        <v>0</v>
      </c>
      <c r="I2261" s="278">
        <v>0</v>
      </c>
      <c r="J2261" s="351" t="str">
        <f t="shared" ref="J2261:J2269" si="2844">IFERROR(G2261/F2261,"-")</f>
        <v>-</v>
      </c>
      <c r="K2261" s="333">
        <f t="shared" si="2840"/>
        <v>265434</v>
      </c>
      <c r="L2261" s="272">
        <f t="shared" si="2841"/>
        <v>262548</v>
      </c>
      <c r="M2261" s="273">
        <f t="shared" si="2842"/>
        <v>2886</v>
      </c>
      <c r="N2261" s="337">
        <f t="shared" si="2843"/>
        <v>0.84416980460004076</v>
      </c>
      <c r="O2261" s="263">
        <f t="shared" si="2807"/>
        <v>1.0872759330002939E-2</v>
      </c>
    </row>
    <row r="2262" spans="1:15" ht="23.4" x14ac:dyDescent="0.3">
      <c r="A2262" s="274" t="s">
        <v>101</v>
      </c>
      <c r="B2262" s="1051"/>
      <c r="C2262" s="813" t="s">
        <v>27</v>
      </c>
      <c r="D2262" s="899" t="s">
        <v>334</v>
      </c>
      <c r="E2262" s="896">
        <v>932448</v>
      </c>
      <c r="F2262" s="281"/>
      <c r="G2262" s="333">
        <f t="shared" si="2839"/>
        <v>0</v>
      </c>
      <c r="H2262" s="278">
        <v>0</v>
      </c>
      <c r="I2262" s="278">
        <v>0</v>
      </c>
      <c r="J2262" s="351" t="str">
        <f t="shared" si="2844"/>
        <v>-</v>
      </c>
      <c r="K2262" s="333">
        <f t="shared" si="2840"/>
        <v>37943</v>
      </c>
      <c r="L2262" s="272">
        <f t="shared" si="2841"/>
        <v>35802</v>
      </c>
      <c r="M2262" s="273">
        <f t="shared" si="2842"/>
        <v>2141</v>
      </c>
      <c r="N2262" s="337">
        <f t="shared" si="2843"/>
        <v>4.0691813377260716E-2</v>
      </c>
      <c r="O2262" s="263">
        <f t="shared" si="2807"/>
        <v>5.6426745381229743E-2</v>
      </c>
    </row>
    <row r="2263" spans="1:15" ht="23.4" x14ac:dyDescent="0.3">
      <c r="A2263" s="274" t="s">
        <v>101</v>
      </c>
      <c r="B2263" s="1051"/>
      <c r="C2263" s="813" t="s">
        <v>27</v>
      </c>
      <c r="D2263" s="900" t="s">
        <v>492</v>
      </c>
      <c r="E2263" s="896"/>
      <c r="F2263" s="281"/>
      <c r="G2263" s="333">
        <f t="shared" si="2839"/>
        <v>0</v>
      </c>
      <c r="H2263" s="278">
        <v>0</v>
      </c>
      <c r="I2263" s="278">
        <v>0</v>
      </c>
      <c r="J2263" s="351" t="str">
        <f t="shared" si="2844"/>
        <v>-</v>
      </c>
      <c r="K2263" s="333">
        <f t="shared" si="2840"/>
        <v>274869</v>
      </c>
      <c r="L2263" s="272">
        <f t="shared" si="2841"/>
        <v>270504</v>
      </c>
      <c r="M2263" s="273">
        <f t="shared" si="2842"/>
        <v>4365</v>
      </c>
      <c r="N2263" s="337" t="str">
        <f t="shared" si="2843"/>
        <v>-</v>
      </c>
      <c r="O2263" s="263">
        <f t="shared" si="2807"/>
        <v>1.588029206640254E-2</v>
      </c>
    </row>
    <row r="2264" spans="1:15" ht="23.4" x14ac:dyDescent="0.3">
      <c r="A2264" s="274" t="s">
        <v>101</v>
      </c>
      <c r="B2264" s="1051"/>
      <c r="C2264" s="893" t="s">
        <v>521</v>
      </c>
      <c r="D2264" s="899" t="s">
        <v>234</v>
      </c>
      <c r="E2264" s="896">
        <v>136768</v>
      </c>
      <c r="F2264" s="281"/>
      <c r="G2264" s="333">
        <f t="shared" si="2839"/>
        <v>0</v>
      </c>
      <c r="H2264" s="278">
        <v>0</v>
      </c>
      <c r="I2264" s="278">
        <v>0</v>
      </c>
      <c r="J2264" s="351" t="str">
        <f t="shared" si="2844"/>
        <v>-</v>
      </c>
      <c r="K2264" s="333">
        <f t="shared" si="2840"/>
        <v>57116</v>
      </c>
      <c r="L2264" s="272">
        <f t="shared" si="2841"/>
        <v>55692</v>
      </c>
      <c r="M2264" s="273">
        <f t="shared" si="2842"/>
        <v>1424</v>
      </c>
      <c r="N2264" s="337">
        <f t="shared" si="2843"/>
        <v>0.41761230697239121</v>
      </c>
      <c r="O2264" s="263">
        <f t="shared" si="2807"/>
        <v>2.4931717907416485E-2</v>
      </c>
    </row>
    <row r="2265" spans="1:15" ht="23.4" x14ac:dyDescent="0.3">
      <c r="A2265" s="274"/>
      <c r="B2265" s="1051"/>
      <c r="C2265" s="813" t="s">
        <v>575</v>
      </c>
      <c r="D2265" s="899" t="s">
        <v>178</v>
      </c>
      <c r="E2265" s="896"/>
      <c r="F2265" s="281"/>
      <c r="G2265" s="334">
        <f t="shared" si="2839"/>
        <v>4323</v>
      </c>
      <c r="H2265" s="278">
        <v>3978</v>
      </c>
      <c r="I2265" s="278">
        <v>345</v>
      </c>
      <c r="J2265" s="351" t="str">
        <f t="shared" si="2844"/>
        <v>-</v>
      </c>
      <c r="K2265" s="334">
        <f t="shared" si="2840"/>
        <v>498294</v>
      </c>
      <c r="L2265" s="272">
        <f t="shared" si="2841"/>
        <v>493272</v>
      </c>
      <c r="M2265" s="273">
        <f t="shared" si="2842"/>
        <v>5022</v>
      </c>
      <c r="N2265" s="337" t="str">
        <f t="shared" si="2843"/>
        <v>-</v>
      </c>
      <c r="O2265" s="263">
        <f t="shared" si="2807"/>
        <v>1.0078387458006719E-2</v>
      </c>
    </row>
    <row r="2266" spans="1:15" ht="23.4" x14ac:dyDescent="0.3">
      <c r="A2266" s="274"/>
      <c r="B2266" s="1051"/>
      <c r="C2266" s="813" t="s">
        <v>333</v>
      </c>
      <c r="D2266" s="899" t="s">
        <v>94</v>
      </c>
      <c r="E2266" s="896">
        <v>32016</v>
      </c>
      <c r="F2266" s="281"/>
      <c r="G2266" s="334">
        <f t="shared" si="2839"/>
        <v>0</v>
      </c>
      <c r="H2266" s="278">
        <v>0</v>
      </c>
      <c r="I2266" s="278">
        <v>0</v>
      </c>
      <c r="J2266" s="351" t="str">
        <f t="shared" si="2844"/>
        <v>-</v>
      </c>
      <c r="K2266" s="334">
        <f t="shared" si="2840"/>
        <v>0</v>
      </c>
      <c r="L2266" s="272">
        <f t="shared" si="2841"/>
        <v>0</v>
      </c>
      <c r="M2266" s="273">
        <f t="shared" si="2842"/>
        <v>0</v>
      </c>
      <c r="N2266" s="337">
        <f t="shared" si="2843"/>
        <v>0</v>
      </c>
      <c r="O2266" s="263" t="str">
        <f t="shared" si="2807"/>
        <v>-</v>
      </c>
    </row>
    <row r="2267" spans="1:15" ht="23.4" x14ac:dyDescent="0.3">
      <c r="A2267" s="274"/>
      <c r="B2267" s="1051"/>
      <c r="C2267" s="813" t="s">
        <v>433</v>
      </c>
      <c r="D2267" s="899" t="s">
        <v>540</v>
      </c>
      <c r="E2267" s="896"/>
      <c r="F2267" s="281"/>
      <c r="G2267" s="334">
        <f t="shared" si="2839"/>
        <v>8544</v>
      </c>
      <c r="H2267" s="278">
        <v>7956</v>
      </c>
      <c r="I2267" s="278">
        <v>588</v>
      </c>
      <c r="J2267" s="351" t="str">
        <f t="shared" si="2844"/>
        <v>-</v>
      </c>
      <c r="K2267" s="334">
        <f t="shared" si="2840"/>
        <v>366963</v>
      </c>
      <c r="L2267" s="272">
        <f t="shared" si="2841"/>
        <v>361998</v>
      </c>
      <c r="M2267" s="272">
        <f t="shared" si="2842"/>
        <v>4965</v>
      </c>
      <c r="N2267" s="337" t="str">
        <f t="shared" si="2843"/>
        <v>-</v>
      </c>
      <c r="O2267" s="263">
        <f t="shared" si="2807"/>
        <v>1.352997441158918E-2</v>
      </c>
    </row>
    <row r="2268" spans="1:15" ht="23.4" x14ac:dyDescent="0.3">
      <c r="A2268" s="274"/>
      <c r="B2268" s="1051"/>
      <c r="C2268" s="813" t="s">
        <v>382</v>
      </c>
      <c r="D2268" s="899" t="s">
        <v>366</v>
      </c>
      <c r="E2268" s="896"/>
      <c r="F2268" s="281"/>
      <c r="G2268" s="334">
        <f t="shared" si="2839"/>
        <v>12532</v>
      </c>
      <c r="H2268" s="278">
        <v>11934</v>
      </c>
      <c r="I2268" s="278">
        <v>598</v>
      </c>
      <c r="J2268" s="351" t="str">
        <f t="shared" si="2844"/>
        <v>-</v>
      </c>
      <c r="K2268" s="334">
        <f t="shared" si="2840"/>
        <v>290633</v>
      </c>
      <c r="L2268" s="272">
        <f t="shared" si="2841"/>
        <v>286416</v>
      </c>
      <c r="M2268" s="273">
        <f t="shared" si="2842"/>
        <v>4217</v>
      </c>
      <c r="N2268" s="337" t="str">
        <f t="shared" si="2843"/>
        <v>-</v>
      </c>
      <c r="O2268" s="263">
        <f t="shared" si="2807"/>
        <v>1.4509708119862507E-2</v>
      </c>
    </row>
    <row r="2269" spans="1:15" ht="24" thickBot="1" x14ac:dyDescent="0.35">
      <c r="A2269" s="274" t="s">
        <v>101</v>
      </c>
      <c r="B2269" s="1051"/>
      <c r="C2269" s="813" t="s">
        <v>575</v>
      </c>
      <c r="D2269" s="901" t="s">
        <v>601</v>
      </c>
      <c r="E2269" s="896"/>
      <c r="F2269" s="281"/>
      <c r="G2269" s="334">
        <f t="shared" si="2839"/>
        <v>268457</v>
      </c>
      <c r="H2269" s="278">
        <f>143208+123318</f>
        <v>266526</v>
      </c>
      <c r="I2269" s="278">
        <f>999+932</f>
        <v>1931</v>
      </c>
      <c r="J2269" s="351" t="str">
        <f t="shared" si="2844"/>
        <v>-</v>
      </c>
      <c r="K2269" s="334">
        <f t="shared" si="2840"/>
        <v>268457</v>
      </c>
      <c r="L2269" s="272">
        <f t="shared" si="2841"/>
        <v>266526</v>
      </c>
      <c r="M2269" s="273">
        <f t="shared" si="2842"/>
        <v>1931</v>
      </c>
      <c r="N2269" s="337" t="str">
        <f t="shared" si="2843"/>
        <v>-</v>
      </c>
      <c r="O2269" s="347">
        <f t="shared" si="2807"/>
        <v>7.192958276372007E-3</v>
      </c>
    </row>
    <row r="2270" spans="1:15" ht="24" thickBot="1" x14ac:dyDescent="0.35">
      <c r="A2270" s="274" t="s">
        <v>101</v>
      </c>
      <c r="B2270" s="1052"/>
      <c r="C2270" s="301"/>
      <c r="D2270" s="897" t="s">
        <v>52</v>
      </c>
      <c r="E2270" s="284">
        <f>SUM(E2260:E2269)</f>
        <v>1415664</v>
      </c>
      <c r="F2270" s="285">
        <v>160000</v>
      </c>
      <c r="G2270" s="320">
        <f>SUM(G2260:G2269)</f>
        <v>293856</v>
      </c>
      <c r="H2270" s="321">
        <f>SUM(H2260:H2269)</f>
        <v>290394</v>
      </c>
      <c r="I2270" s="321">
        <f>SUM(I2260:I2269)</f>
        <v>3462</v>
      </c>
      <c r="J2270" s="345">
        <f>+G2270/F2270</f>
        <v>1.8366</v>
      </c>
      <c r="K2270" s="320">
        <f>SUM(K2260:K2269)</f>
        <v>2059709</v>
      </c>
      <c r="L2270" s="321">
        <f>SUM(L2260:L2269)</f>
        <v>2032758</v>
      </c>
      <c r="M2270" s="322">
        <f>SUM(M2260:M2269)</f>
        <v>26951</v>
      </c>
      <c r="N2270" s="339">
        <f t="shared" si="2843"/>
        <v>1.4549419918850801</v>
      </c>
      <c r="O2270" s="345">
        <f t="shared" si="2807"/>
        <v>1.3084858103741839E-2</v>
      </c>
    </row>
    <row r="2271" spans="1:15" ht="23.4" x14ac:dyDescent="0.3">
      <c r="A2271" s="274" t="s">
        <v>101</v>
      </c>
      <c r="B2271" s="1053" t="s">
        <v>28</v>
      </c>
      <c r="C2271" s="299" t="s">
        <v>27</v>
      </c>
      <c r="D2271" s="297" t="s">
        <v>492</v>
      </c>
      <c r="E2271" s="270"/>
      <c r="F2271" s="271"/>
      <c r="G2271" s="332">
        <f t="shared" ref="G2271:G2275" si="2845">+H2271+I2271</f>
        <v>0</v>
      </c>
      <c r="H2271" s="272">
        <v>0</v>
      </c>
      <c r="I2271" s="272">
        <v>0</v>
      </c>
      <c r="J2271" s="351" t="str">
        <f>IFERROR(G2271/F2271,"-")</f>
        <v>-</v>
      </c>
      <c r="K2271" s="332">
        <f t="shared" ref="K2271:K2277" si="2846">+L2271+M2271</f>
        <v>170343</v>
      </c>
      <c r="L2271" s="272">
        <f t="shared" ref="L2271:L2277" si="2847">+H2271+L2154</f>
        <v>167076</v>
      </c>
      <c r="M2271" s="273">
        <f t="shared" ref="M2271:M2277" si="2848">+I2271+M2154</f>
        <v>3267</v>
      </c>
      <c r="N2271" s="336" t="str">
        <f t="shared" si="2843"/>
        <v>-</v>
      </c>
      <c r="O2271" s="346">
        <f t="shared" si="2807"/>
        <v>1.9178950705341577E-2</v>
      </c>
    </row>
    <row r="2272" spans="1:15" ht="23.4" x14ac:dyDescent="0.3">
      <c r="A2272" s="274" t="s">
        <v>101</v>
      </c>
      <c r="B2272" s="1051"/>
      <c r="C2272" s="299" t="s">
        <v>385</v>
      </c>
      <c r="D2272" s="299" t="s">
        <v>334</v>
      </c>
      <c r="E2272" s="276"/>
      <c r="F2272" s="277"/>
      <c r="G2272" s="333">
        <f t="shared" si="2845"/>
        <v>0</v>
      </c>
      <c r="H2272" s="278">
        <v>0</v>
      </c>
      <c r="I2272" s="278">
        <v>0</v>
      </c>
      <c r="J2272" s="351" t="str">
        <f t="shared" ref="J2272:J2277" si="2849">IFERROR(G2272/F2272,"-")</f>
        <v>-</v>
      </c>
      <c r="K2272" s="333">
        <f t="shared" si="2846"/>
        <v>96975</v>
      </c>
      <c r="L2272" s="272">
        <f t="shared" si="2847"/>
        <v>95472</v>
      </c>
      <c r="M2272" s="273">
        <f t="shared" si="2848"/>
        <v>1503</v>
      </c>
      <c r="N2272" s="337" t="str">
        <f t="shared" si="2843"/>
        <v>-</v>
      </c>
      <c r="O2272" s="263">
        <f t="shared" si="2807"/>
        <v>1.5498839907192575E-2</v>
      </c>
    </row>
    <row r="2273" spans="1:15" ht="23.4" x14ac:dyDescent="0.3">
      <c r="A2273" s="274" t="s">
        <v>101</v>
      </c>
      <c r="B2273" s="1051"/>
      <c r="C2273" s="299" t="s">
        <v>27</v>
      </c>
      <c r="D2273" s="299" t="s">
        <v>334</v>
      </c>
      <c r="E2273" s="276"/>
      <c r="F2273" s="277"/>
      <c r="G2273" s="333">
        <f t="shared" si="2845"/>
        <v>0</v>
      </c>
      <c r="H2273" s="278">
        <v>0</v>
      </c>
      <c r="I2273" s="278">
        <v>0</v>
      </c>
      <c r="J2273" s="351" t="str">
        <f t="shared" si="2849"/>
        <v>-</v>
      </c>
      <c r="K2273" s="333">
        <f t="shared" si="2846"/>
        <v>0</v>
      </c>
      <c r="L2273" s="272">
        <f t="shared" si="2847"/>
        <v>0</v>
      </c>
      <c r="M2273" s="273">
        <f t="shared" si="2848"/>
        <v>0</v>
      </c>
      <c r="N2273" s="337" t="str">
        <f t="shared" si="2843"/>
        <v>-</v>
      </c>
      <c r="O2273" s="263" t="str">
        <f t="shared" si="2807"/>
        <v>-</v>
      </c>
    </row>
    <row r="2274" spans="1:15" ht="23.4" x14ac:dyDescent="0.3">
      <c r="A2274" s="274"/>
      <c r="B2274" s="1051"/>
      <c r="C2274" s="299" t="s">
        <v>460</v>
      </c>
      <c r="D2274" s="299" t="s">
        <v>334</v>
      </c>
      <c r="E2274" s="280"/>
      <c r="F2274" s="281"/>
      <c r="G2274" s="333">
        <f t="shared" si="2845"/>
        <v>0</v>
      </c>
      <c r="H2274" s="278">
        <v>0</v>
      </c>
      <c r="I2274" s="278">
        <v>0</v>
      </c>
      <c r="J2274" s="351" t="str">
        <f t="shared" si="2849"/>
        <v>-</v>
      </c>
      <c r="K2274" s="333">
        <f t="shared" si="2846"/>
        <v>4348</v>
      </c>
      <c r="L2274" s="272">
        <f t="shared" si="2847"/>
        <v>3978</v>
      </c>
      <c r="M2274" s="273">
        <f t="shared" si="2848"/>
        <v>370</v>
      </c>
      <c r="N2274" s="337" t="str">
        <f t="shared" si="2843"/>
        <v>-</v>
      </c>
      <c r="O2274" s="263">
        <f t="shared" si="2807"/>
        <v>8.5096596136154556E-2</v>
      </c>
    </row>
    <row r="2275" spans="1:15" ht="23.4" x14ac:dyDescent="0.3">
      <c r="A2275" s="274" t="s">
        <v>101</v>
      </c>
      <c r="B2275" s="1051"/>
      <c r="C2275" s="299" t="s">
        <v>433</v>
      </c>
      <c r="D2275" s="299" t="s">
        <v>540</v>
      </c>
      <c r="E2275" s="280"/>
      <c r="F2275" s="281"/>
      <c r="G2275" s="334">
        <f t="shared" si="2845"/>
        <v>0</v>
      </c>
      <c r="H2275" s="278">
        <v>0</v>
      </c>
      <c r="I2275" s="278">
        <v>0</v>
      </c>
      <c r="J2275" s="351" t="str">
        <f t="shared" si="2849"/>
        <v>-</v>
      </c>
      <c r="K2275" s="334">
        <f t="shared" si="2846"/>
        <v>128335</v>
      </c>
      <c r="L2275" s="272">
        <f t="shared" si="2847"/>
        <v>127296</v>
      </c>
      <c r="M2275" s="702">
        <f t="shared" si="2848"/>
        <v>1039</v>
      </c>
      <c r="N2275" s="338" t="str">
        <f t="shared" si="2843"/>
        <v>-</v>
      </c>
      <c r="O2275" s="347">
        <f t="shared" si="2807"/>
        <v>8.0959987532629452E-3</v>
      </c>
    </row>
    <row r="2276" spans="1:15" ht="23.4" x14ac:dyDescent="0.3">
      <c r="A2276" s="274"/>
      <c r="B2276" s="1051"/>
      <c r="C2276" s="299" t="s">
        <v>458</v>
      </c>
      <c r="D2276" s="300" t="s">
        <v>280</v>
      </c>
      <c r="E2276" s="280">
        <v>200000</v>
      </c>
      <c r="F2276" s="281"/>
      <c r="G2276" s="334"/>
      <c r="H2276" s="278">
        <v>0</v>
      </c>
      <c r="I2276" s="278">
        <v>0</v>
      </c>
      <c r="J2276" s="351" t="str">
        <f t="shared" si="2849"/>
        <v>-</v>
      </c>
      <c r="K2276" s="334">
        <f t="shared" si="2846"/>
        <v>0</v>
      </c>
      <c r="L2276" s="272">
        <f t="shared" si="2847"/>
        <v>0</v>
      </c>
      <c r="M2276" s="272">
        <f t="shared" si="2848"/>
        <v>0</v>
      </c>
      <c r="N2276" s="338">
        <f t="shared" si="2843"/>
        <v>0</v>
      </c>
      <c r="O2276" s="347" t="str">
        <f t="shared" si="2807"/>
        <v>-</v>
      </c>
    </row>
    <row r="2277" spans="1:15" ht="24" thickBot="1" x14ac:dyDescent="0.35">
      <c r="A2277" s="274" t="s">
        <v>101</v>
      </c>
      <c r="B2277" s="1051"/>
      <c r="C2277" s="299" t="s">
        <v>27</v>
      </c>
      <c r="D2277" s="300" t="s">
        <v>234</v>
      </c>
      <c r="E2277" s="280">
        <v>250000</v>
      </c>
      <c r="F2277" s="281"/>
      <c r="G2277" s="334">
        <f t="shared" ref="G2277" si="2850">+H2277+I2277</f>
        <v>0</v>
      </c>
      <c r="H2277" s="278">
        <v>0</v>
      </c>
      <c r="I2277" s="278">
        <v>0</v>
      </c>
      <c r="J2277" s="351" t="str">
        <f t="shared" si="2849"/>
        <v>-</v>
      </c>
      <c r="K2277" s="334">
        <f t="shared" si="2846"/>
        <v>3978</v>
      </c>
      <c r="L2277" s="272">
        <f t="shared" si="2847"/>
        <v>3978</v>
      </c>
      <c r="M2277" s="702">
        <f t="shared" si="2848"/>
        <v>0</v>
      </c>
      <c r="N2277" s="338">
        <f t="shared" si="2843"/>
        <v>1.5911999999999999E-2</v>
      </c>
      <c r="O2277" s="347">
        <f t="shared" si="2807"/>
        <v>0</v>
      </c>
    </row>
    <row r="2278" spans="1:15" ht="24" thickBot="1" x14ac:dyDescent="0.35">
      <c r="A2278" s="274" t="s">
        <v>101</v>
      </c>
      <c r="B2278" s="1051"/>
      <c r="C2278" s="304"/>
      <c r="D2278" s="305" t="s">
        <v>52</v>
      </c>
      <c r="E2278" s="306">
        <f>SUM(E2271:E2277)</f>
        <v>450000</v>
      </c>
      <c r="F2278" s="307">
        <v>80000</v>
      </c>
      <c r="G2278" s="366">
        <f>SUM(G2271:G2277)</f>
        <v>0</v>
      </c>
      <c r="H2278" s="365">
        <f>SUM(H2271:H2277)</f>
        <v>0</v>
      </c>
      <c r="I2278" s="365">
        <f>SUM(I2271:I2277)</f>
        <v>0</v>
      </c>
      <c r="J2278" s="356">
        <f>+G2278/F2278</f>
        <v>0</v>
      </c>
      <c r="K2278" s="366">
        <f>SUM(K2271:K2277)</f>
        <v>403979</v>
      </c>
      <c r="L2278" s="365">
        <f>SUM(L2271:L2277)</f>
        <v>397800</v>
      </c>
      <c r="M2278" s="367">
        <f>SUM(M2271:M2277)</f>
        <v>6179</v>
      </c>
      <c r="N2278" s="355">
        <f t="shared" si="2843"/>
        <v>0.89773111111111115</v>
      </c>
      <c r="O2278" s="356">
        <f t="shared" si="2807"/>
        <v>1.5295349510741895E-2</v>
      </c>
    </row>
    <row r="2279" spans="1:15" ht="24" thickBot="1" x14ac:dyDescent="0.35">
      <c r="A2279" s="1018" t="s">
        <v>101</v>
      </c>
      <c r="B2279" s="1054" t="s">
        <v>162</v>
      </c>
      <c r="C2279" s="1055"/>
      <c r="D2279" s="1056"/>
      <c r="E2279" s="308">
        <f>+E2278+E2270</f>
        <v>1865664</v>
      </c>
      <c r="F2279" s="309">
        <f>+F2278+F2270</f>
        <v>240000</v>
      </c>
      <c r="G2279" s="369">
        <f>+G2270+G2278</f>
        <v>293856</v>
      </c>
      <c r="H2279" s="368">
        <f>+H2270+H2278</f>
        <v>290394</v>
      </c>
      <c r="I2279" s="368">
        <f>+I2270+I2278</f>
        <v>3462</v>
      </c>
      <c r="J2279" s="358">
        <f>+G2279/F2279</f>
        <v>1.2243999999999999</v>
      </c>
      <c r="K2279" s="369">
        <f>+K2270+K2278</f>
        <v>2463688</v>
      </c>
      <c r="L2279" s="368">
        <f>+L2270+L2278</f>
        <v>2430558</v>
      </c>
      <c r="M2279" s="370">
        <f>+M2270+M2278</f>
        <v>33130</v>
      </c>
      <c r="N2279" s="357">
        <f>IFERROR(K2279/E2279,"-")</f>
        <v>1.3205421769407568</v>
      </c>
      <c r="O2279" s="358">
        <f t="shared" si="2807"/>
        <v>1.3447319628134731E-2</v>
      </c>
    </row>
    <row r="2280" spans="1:15" ht="23.4" x14ac:dyDescent="0.3">
      <c r="A2280" s="274" t="s">
        <v>101</v>
      </c>
      <c r="B2280" s="1051" t="s">
        <v>30</v>
      </c>
      <c r="C2280" s="303" t="s">
        <v>446</v>
      </c>
      <c r="D2280" s="299" t="s">
        <v>492</v>
      </c>
      <c r="E2280" s="270">
        <v>225000</v>
      </c>
      <c r="F2280" s="271"/>
      <c r="G2280" s="332">
        <f t="shared" ref="G2280:G2282" si="2851">+H2280+I2280</f>
        <v>51872</v>
      </c>
      <c r="H2280" s="272">
        <v>48672</v>
      </c>
      <c r="I2280" s="272">
        <v>3200</v>
      </c>
      <c r="J2280" s="351" t="str">
        <f>IFERROR(G2280/F2280,"-")</f>
        <v>-</v>
      </c>
      <c r="K2280" s="332">
        <f t="shared" ref="K2280:K2282" si="2852">+L2280+M2280</f>
        <v>361916</v>
      </c>
      <c r="L2280" s="272">
        <f t="shared" ref="L2280:L2282" si="2853">+H2280+L2163</f>
        <v>351936</v>
      </c>
      <c r="M2280" s="273">
        <f t="shared" ref="M2280:M2282" si="2854">+I2280+M2163</f>
        <v>9980</v>
      </c>
      <c r="N2280" s="336">
        <f t="shared" ref="N2280:N2293" si="2855">IFERROR(K2280/E2280,"-")</f>
        <v>1.6085155555555555</v>
      </c>
      <c r="O2280" s="346">
        <f t="shared" si="2807"/>
        <v>2.7575459498889246E-2</v>
      </c>
    </row>
    <row r="2281" spans="1:15" ht="23.4" x14ac:dyDescent="0.3">
      <c r="A2281" s="274" t="s">
        <v>101</v>
      </c>
      <c r="B2281" s="1051"/>
      <c r="C2281" s="300" t="s">
        <v>548</v>
      </c>
      <c r="D2281" s="303" t="s">
        <v>522</v>
      </c>
      <c r="E2281" s="276">
        <v>125000</v>
      </c>
      <c r="F2281" s="277"/>
      <c r="G2281" s="333">
        <f t="shared" si="2851"/>
        <v>0</v>
      </c>
      <c r="H2281" s="278">
        <v>0</v>
      </c>
      <c r="I2281" s="278">
        <v>0</v>
      </c>
      <c r="J2281" s="351" t="str">
        <f t="shared" ref="J2281:J2282" si="2856">IFERROR(G2281/F2281,"-")</f>
        <v>-</v>
      </c>
      <c r="K2281" s="333">
        <f t="shared" si="2852"/>
        <v>0</v>
      </c>
      <c r="L2281" s="272">
        <f t="shared" si="2853"/>
        <v>0</v>
      </c>
      <c r="M2281" s="273">
        <f t="shared" si="2854"/>
        <v>0</v>
      </c>
      <c r="N2281" s="337">
        <f t="shared" si="2855"/>
        <v>0</v>
      </c>
      <c r="O2281" s="263" t="str">
        <f t="shared" si="2807"/>
        <v>-</v>
      </c>
    </row>
    <row r="2282" spans="1:15" ht="24" thickBot="1" x14ac:dyDescent="0.35">
      <c r="A2282" s="274" t="s">
        <v>101</v>
      </c>
      <c r="B2282" s="1051"/>
      <c r="C2282" s="300" t="s">
        <v>291</v>
      </c>
      <c r="D2282" s="300" t="s">
        <v>366</v>
      </c>
      <c r="E2282" s="280"/>
      <c r="F2282" s="281"/>
      <c r="G2282" s="334">
        <f t="shared" si="2851"/>
        <v>0</v>
      </c>
      <c r="H2282" s="282">
        <v>0</v>
      </c>
      <c r="I2282" s="282">
        <v>0</v>
      </c>
      <c r="J2282" s="351" t="str">
        <f t="shared" si="2856"/>
        <v>-</v>
      </c>
      <c r="K2282" s="334">
        <f t="shared" si="2852"/>
        <v>53195</v>
      </c>
      <c r="L2282" s="272">
        <f t="shared" si="2853"/>
        <v>51828</v>
      </c>
      <c r="M2282" s="273">
        <f t="shared" si="2854"/>
        <v>1367</v>
      </c>
      <c r="N2282" s="338" t="str">
        <f t="shared" si="2855"/>
        <v>-</v>
      </c>
      <c r="O2282" s="347">
        <f t="shared" si="2807"/>
        <v>2.569790393834007E-2</v>
      </c>
    </row>
    <row r="2283" spans="1:15" ht="24" thickBot="1" x14ac:dyDescent="0.35">
      <c r="A2283" s="274" t="s">
        <v>101</v>
      </c>
      <c r="B2283" s="1051"/>
      <c r="C2283" s="301"/>
      <c r="D2283" s="302" t="s">
        <v>50</v>
      </c>
      <c r="E2283" s="284">
        <f>SUM(E2280:E2282)</f>
        <v>350000</v>
      </c>
      <c r="F2283" s="285">
        <v>50000</v>
      </c>
      <c r="G2283" s="320">
        <f>SUM(G2280:G2282)</f>
        <v>51872</v>
      </c>
      <c r="H2283" s="321">
        <f>SUM(H2280:H2282)</f>
        <v>48672</v>
      </c>
      <c r="I2283" s="321">
        <f>SUM(I2280:I2282)</f>
        <v>3200</v>
      </c>
      <c r="J2283" s="345">
        <f>+G2283/F2283</f>
        <v>1.0374399999999999</v>
      </c>
      <c r="K2283" s="320">
        <f>SUM(K2280:K2282)</f>
        <v>415111</v>
      </c>
      <c r="L2283" s="321">
        <f>SUM(L2280:L2282)</f>
        <v>403764</v>
      </c>
      <c r="M2283" s="322">
        <f>SUM(M2280:M2282)</f>
        <v>11347</v>
      </c>
      <c r="N2283" s="339">
        <f t="shared" si="2855"/>
        <v>1.1860314285714286</v>
      </c>
      <c r="O2283" s="345">
        <f t="shared" si="2807"/>
        <v>2.7334857423677042E-2</v>
      </c>
    </row>
    <row r="2284" spans="1:15" ht="23.4" x14ac:dyDescent="0.3">
      <c r="A2284" s="274" t="s">
        <v>101</v>
      </c>
      <c r="B2284" s="1051"/>
      <c r="C2284" s="297" t="s">
        <v>434</v>
      </c>
      <c r="D2284" s="297" t="s">
        <v>92</v>
      </c>
      <c r="E2284" s="270"/>
      <c r="F2284" s="271"/>
      <c r="G2284" s="332">
        <f t="shared" ref="G2284:G2289" si="2857">+H2284+I2284</f>
        <v>0</v>
      </c>
      <c r="H2284" s="272">
        <v>0</v>
      </c>
      <c r="I2284" s="272">
        <v>0</v>
      </c>
      <c r="J2284" s="351" t="str">
        <f>IFERROR(G2284/F2284,"-")</f>
        <v>-</v>
      </c>
      <c r="K2284" s="332">
        <f t="shared" ref="K2284:K2289" si="2858">+L2284+M2284</f>
        <v>0</v>
      </c>
      <c r="L2284" s="272">
        <f t="shared" ref="L2284:L2289" si="2859">+H2284+L2167</f>
        <v>0</v>
      </c>
      <c r="M2284" s="273">
        <f t="shared" ref="M2284:M2289" si="2860">+I2284+M2167</f>
        <v>0</v>
      </c>
      <c r="N2284" s="336" t="str">
        <f t="shared" si="2855"/>
        <v>-</v>
      </c>
      <c r="O2284" s="346" t="str">
        <f t="shared" si="2807"/>
        <v>-</v>
      </c>
    </row>
    <row r="2285" spans="1:15" ht="23.4" x14ac:dyDescent="0.3">
      <c r="A2285" s="274"/>
      <c r="B2285" s="1051"/>
      <c r="C2285" s="303" t="s">
        <v>449</v>
      </c>
      <c r="D2285" s="299" t="s">
        <v>334</v>
      </c>
      <c r="E2285" s="270"/>
      <c r="F2285" s="271"/>
      <c r="G2285" s="332">
        <f t="shared" si="2857"/>
        <v>0</v>
      </c>
      <c r="H2285" s="272">
        <v>0</v>
      </c>
      <c r="I2285" s="272">
        <v>0</v>
      </c>
      <c r="J2285" s="351" t="str">
        <f t="shared" ref="J2285:J2289" si="2861">IFERROR(G2285/F2285,"-")</f>
        <v>-</v>
      </c>
      <c r="K2285" s="332">
        <f t="shared" si="2858"/>
        <v>0</v>
      </c>
      <c r="L2285" s="272">
        <f t="shared" si="2859"/>
        <v>0</v>
      </c>
      <c r="M2285" s="273">
        <f t="shared" si="2860"/>
        <v>0</v>
      </c>
      <c r="N2285" s="337" t="str">
        <f t="shared" si="2855"/>
        <v>-</v>
      </c>
      <c r="O2285" s="346" t="str">
        <f t="shared" si="2807"/>
        <v>-</v>
      </c>
    </row>
    <row r="2286" spans="1:15" ht="23.4" x14ac:dyDescent="0.3">
      <c r="A2286" s="274"/>
      <c r="B2286" s="1051"/>
      <c r="C2286" s="303" t="s">
        <v>452</v>
      </c>
      <c r="D2286" s="299" t="s">
        <v>334</v>
      </c>
      <c r="E2286" s="270"/>
      <c r="F2286" s="271"/>
      <c r="G2286" s="332">
        <f t="shared" si="2857"/>
        <v>0</v>
      </c>
      <c r="H2286" s="272">
        <v>0</v>
      </c>
      <c r="I2286" s="272">
        <v>0</v>
      </c>
      <c r="J2286" s="351" t="str">
        <f t="shared" si="2861"/>
        <v>-</v>
      </c>
      <c r="K2286" s="332">
        <f t="shared" si="2858"/>
        <v>0</v>
      </c>
      <c r="L2286" s="272">
        <f t="shared" si="2859"/>
        <v>0</v>
      </c>
      <c r="M2286" s="273">
        <f t="shared" si="2860"/>
        <v>0</v>
      </c>
      <c r="N2286" s="337" t="str">
        <f t="shared" si="2855"/>
        <v>-</v>
      </c>
      <c r="O2286" s="346" t="str">
        <f t="shared" si="2807"/>
        <v>-</v>
      </c>
    </row>
    <row r="2287" spans="1:15" ht="23.4" x14ac:dyDescent="0.3">
      <c r="A2287" s="274" t="s">
        <v>101</v>
      </c>
      <c r="B2287" s="1051"/>
      <c r="C2287" s="303" t="s">
        <v>501</v>
      </c>
      <c r="D2287" s="300" t="s">
        <v>423</v>
      </c>
      <c r="E2287" s="276"/>
      <c r="F2287" s="277"/>
      <c r="G2287" s="333">
        <f t="shared" si="2857"/>
        <v>0</v>
      </c>
      <c r="H2287" s="278">
        <v>0</v>
      </c>
      <c r="I2287" s="272">
        <v>0</v>
      </c>
      <c r="J2287" s="351" t="str">
        <f t="shared" si="2861"/>
        <v>-</v>
      </c>
      <c r="K2287" s="333">
        <f t="shared" si="2858"/>
        <v>8116</v>
      </c>
      <c r="L2287" s="272">
        <f t="shared" si="2859"/>
        <v>7488</v>
      </c>
      <c r="M2287" s="273">
        <f t="shared" si="2860"/>
        <v>628</v>
      </c>
      <c r="N2287" s="337" t="str">
        <f t="shared" si="2855"/>
        <v>-</v>
      </c>
      <c r="O2287" s="263">
        <f t="shared" si="2807"/>
        <v>7.737801872843765E-2</v>
      </c>
    </row>
    <row r="2288" spans="1:15" ht="23.4" x14ac:dyDescent="0.3">
      <c r="A2288" s="274"/>
      <c r="B2288" s="1051"/>
      <c r="C2288" s="300" t="s">
        <v>459</v>
      </c>
      <c r="D2288" s="300" t="s">
        <v>366</v>
      </c>
      <c r="E2288" s="280"/>
      <c r="F2288" s="281"/>
      <c r="G2288" s="334">
        <f t="shared" si="2857"/>
        <v>0</v>
      </c>
      <c r="H2288" s="282">
        <v>0</v>
      </c>
      <c r="I2288" s="278">
        <v>0</v>
      </c>
      <c r="J2288" s="351" t="str">
        <f t="shared" si="2861"/>
        <v>-</v>
      </c>
      <c r="K2288" s="333">
        <f t="shared" si="2858"/>
        <v>80554</v>
      </c>
      <c r="L2288" s="272">
        <f t="shared" si="2859"/>
        <v>78624</v>
      </c>
      <c r="M2288" s="272">
        <f t="shared" si="2860"/>
        <v>1930</v>
      </c>
      <c r="N2288" s="337" t="str">
        <f t="shared" si="2855"/>
        <v>-</v>
      </c>
      <c r="O2288" s="263">
        <f t="shared" si="2807"/>
        <v>2.3959083347816372E-2</v>
      </c>
    </row>
    <row r="2289" spans="1:15" ht="24" thickBot="1" x14ac:dyDescent="0.35">
      <c r="A2289" s="274" t="s">
        <v>101</v>
      </c>
      <c r="B2289" s="1051"/>
      <c r="C2289" s="300" t="s">
        <v>435</v>
      </c>
      <c r="D2289" s="300" t="s">
        <v>423</v>
      </c>
      <c r="E2289" s="280"/>
      <c r="F2289" s="281"/>
      <c r="G2289" s="334">
        <f t="shared" si="2857"/>
        <v>0</v>
      </c>
      <c r="H2289" s="282">
        <v>0</v>
      </c>
      <c r="I2289" s="272">
        <v>0</v>
      </c>
      <c r="J2289" s="351" t="str">
        <f t="shared" si="2861"/>
        <v>-</v>
      </c>
      <c r="K2289" s="334">
        <f t="shared" si="2858"/>
        <v>0</v>
      </c>
      <c r="L2289" s="272">
        <f t="shared" si="2859"/>
        <v>0</v>
      </c>
      <c r="M2289" s="273">
        <f t="shared" si="2860"/>
        <v>0</v>
      </c>
      <c r="N2289" s="338" t="str">
        <f t="shared" si="2855"/>
        <v>-</v>
      </c>
      <c r="O2289" s="347" t="str">
        <f t="shared" si="2807"/>
        <v>-</v>
      </c>
    </row>
    <row r="2290" spans="1:15" ht="24" thickBot="1" x14ac:dyDescent="0.35">
      <c r="A2290" s="274" t="s">
        <v>101</v>
      </c>
      <c r="B2290" s="1051"/>
      <c r="C2290" s="304"/>
      <c r="D2290" s="305" t="s">
        <v>51</v>
      </c>
      <c r="E2290" s="306">
        <f>SUM(E2284:E2289)</f>
        <v>0</v>
      </c>
      <c r="F2290" s="307">
        <v>50000</v>
      </c>
      <c r="G2290" s="366">
        <f>SUM(G2284:G2289)</f>
        <v>0</v>
      </c>
      <c r="H2290" s="365">
        <f t="shared" ref="H2290:I2290" si="2862">SUM(H2284:H2289)</f>
        <v>0</v>
      </c>
      <c r="I2290" s="365">
        <f t="shared" si="2862"/>
        <v>0</v>
      </c>
      <c r="J2290" s="356">
        <f>+G2290/F2290</f>
        <v>0</v>
      </c>
      <c r="K2290" s="366">
        <f t="shared" ref="K2290:M2290" si="2863">SUM(K2284:K2289)</f>
        <v>88670</v>
      </c>
      <c r="L2290" s="365">
        <f t="shared" si="2863"/>
        <v>86112</v>
      </c>
      <c r="M2290" s="367">
        <f t="shared" si="2863"/>
        <v>2558</v>
      </c>
      <c r="N2290" s="355" t="str">
        <f t="shared" si="2855"/>
        <v>-</v>
      </c>
      <c r="O2290" s="356">
        <f t="shared" si="2807"/>
        <v>2.8848539528589151E-2</v>
      </c>
    </row>
    <row r="2291" spans="1:15" ht="24" thickBot="1" x14ac:dyDescent="0.35">
      <c r="A2291" s="274" t="s">
        <v>101</v>
      </c>
      <c r="B2291" s="1054" t="s">
        <v>163</v>
      </c>
      <c r="C2291" s="1055"/>
      <c r="D2291" s="1056"/>
      <c r="E2291" s="308">
        <f>+E2290+E2283</f>
        <v>350000</v>
      </c>
      <c r="F2291" s="309">
        <v>50000</v>
      </c>
      <c r="G2291" s="369">
        <f>+G2283+G2290</f>
        <v>51872</v>
      </c>
      <c r="H2291" s="368">
        <f t="shared" ref="H2291:I2291" si="2864">+H2283+H2290</f>
        <v>48672</v>
      </c>
      <c r="I2291" s="368">
        <f t="shared" si="2864"/>
        <v>3200</v>
      </c>
      <c r="J2291" s="358">
        <f>+G2291/F2291</f>
        <v>1.0374399999999999</v>
      </c>
      <c r="K2291" s="369">
        <f t="shared" ref="K2291:M2291" si="2865">+K2283+K2290</f>
        <v>503781</v>
      </c>
      <c r="L2291" s="368">
        <f t="shared" si="2865"/>
        <v>489876</v>
      </c>
      <c r="M2291" s="370">
        <f t="shared" si="2865"/>
        <v>13905</v>
      </c>
      <c r="N2291" s="357">
        <f t="shared" si="2855"/>
        <v>1.4393742857142857</v>
      </c>
      <c r="O2291" s="358">
        <f t="shared" si="2807"/>
        <v>2.7601279127239812E-2</v>
      </c>
    </row>
    <row r="2292" spans="1:15" ht="24" thickBot="1" x14ac:dyDescent="0.35">
      <c r="A2292" s="274" t="s">
        <v>101</v>
      </c>
      <c r="B2292" s="598" t="s">
        <v>32</v>
      </c>
      <c r="C2292" s="1013"/>
      <c r="D2292" s="310" t="s">
        <v>32</v>
      </c>
      <c r="E2292" s="287">
        <v>0</v>
      </c>
      <c r="F2292" s="288">
        <v>110000</v>
      </c>
      <c r="G2292" s="335">
        <f t="shared" ref="G2292" si="2866">+H2292+I2292</f>
        <v>0</v>
      </c>
      <c r="H2292" s="289">
        <v>0</v>
      </c>
      <c r="I2292" s="289">
        <v>0</v>
      </c>
      <c r="J2292" s="354">
        <f>IFERROR(G2292/F2292,"-")</f>
        <v>0</v>
      </c>
      <c r="K2292" s="335">
        <f>+L2292+M2292</f>
        <v>0</v>
      </c>
      <c r="L2292" s="289">
        <f>+H2292+L2175</f>
        <v>0</v>
      </c>
      <c r="M2292" s="290">
        <f>+I2292+M2175</f>
        <v>0</v>
      </c>
      <c r="N2292" s="340" t="str">
        <f t="shared" si="2855"/>
        <v>-</v>
      </c>
      <c r="O2292" s="348" t="str">
        <f t="shared" si="2807"/>
        <v>-</v>
      </c>
    </row>
    <row r="2293" spans="1:15" ht="24" thickBot="1" x14ac:dyDescent="0.35">
      <c r="A2293" s="274" t="s">
        <v>101</v>
      </c>
      <c r="B2293" s="1047" t="s">
        <v>21</v>
      </c>
      <c r="C2293" s="1048"/>
      <c r="D2293" s="1049"/>
      <c r="E2293" s="326">
        <f>+E2279+E2291+E2292</f>
        <v>2215664</v>
      </c>
      <c r="F2293" s="327">
        <f>+F2279+F2291+F2292</f>
        <v>400000</v>
      </c>
      <c r="G2293" s="326">
        <f>+G2279+G2291+G2292</f>
        <v>345728</v>
      </c>
      <c r="H2293" s="324">
        <f>+H2279+H2291+H2292</f>
        <v>339066</v>
      </c>
      <c r="I2293" s="324">
        <f>+I2279+I2291+I2292</f>
        <v>6662</v>
      </c>
      <c r="J2293" s="349">
        <f>+G2293/F2293</f>
        <v>0.86431999999999998</v>
      </c>
      <c r="K2293" s="326">
        <f>+K2279+K2291+K2292</f>
        <v>2967469</v>
      </c>
      <c r="L2293" s="324">
        <f>+L2279+L2291+L2292</f>
        <v>2920434</v>
      </c>
      <c r="M2293" s="325">
        <f>+M2279+M2291+M2292</f>
        <v>47035</v>
      </c>
      <c r="N2293" s="341">
        <f t="shared" si="2855"/>
        <v>1.339313632391915</v>
      </c>
      <c r="O2293" s="349">
        <f t="shared" si="2807"/>
        <v>1.585020770225401E-2</v>
      </c>
    </row>
    <row r="2294" spans="1:15" ht="24" thickBot="1" x14ac:dyDescent="0.35">
      <c r="A2294" s="274" t="s">
        <v>101</v>
      </c>
      <c r="B2294" s="1019" t="s">
        <v>171</v>
      </c>
      <c r="C2294" s="1020"/>
      <c r="D2294" s="1021"/>
      <c r="E2294" s="330">
        <f>+E2293</f>
        <v>2215664</v>
      </c>
      <c r="F2294" s="331">
        <f t="shared" ref="F2294:I2294" si="2867">+F2293</f>
        <v>400000</v>
      </c>
      <c r="G2294" s="330">
        <f t="shared" si="2867"/>
        <v>345728</v>
      </c>
      <c r="H2294" s="328">
        <f t="shared" si="2867"/>
        <v>339066</v>
      </c>
      <c r="I2294" s="328">
        <f t="shared" si="2867"/>
        <v>6662</v>
      </c>
      <c r="J2294" s="872">
        <f>+G2294/F2294</f>
        <v>0.86431999999999998</v>
      </c>
      <c r="K2294" s="330">
        <f>+K2293</f>
        <v>2967469</v>
      </c>
      <c r="L2294" s="328">
        <f t="shared" ref="L2294" si="2868">+L2293</f>
        <v>2920434</v>
      </c>
      <c r="M2294" s="329">
        <f>+M2293</f>
        <v>47035</v>
      </c>
      <c r="N2294" s="342">
        <f t="shared" ref="N2294:O2294" si="2869">+N2293</f>
        <v>1.339313632391915</v>
      </c>
      <c r="O2294" s="350">
        <f t="shared" si="2869"/>
        <v>1.585020770225401E-2</v>
      </c>
    </row>
    <row r="2295" spans="1:15" ht="23.4" x14ac:dyDescent="0.3">
      <c r="A2295" s="268" t="s">
        <v>102</v>
      </c>
      <c r="B2295" s="1022" t="s">
        <v>401</v>
      </c>
      <c r="C2295" s="311" t="s">
        <v>113</v>
      </c>
      <c r="D2295" s="311"/>
      <c r="E2295" s="270"/>
      <c r="F2295" s="271"/>
      <c r="G2295" s="332">
        <f t="shared" ref="G2295:G2297" si="2870">+H2295+I2295</f>
        <v>0</v>
      </c>
      <c r="H2295" s="272">
        <v>0</v>
      </c>
      <c r="I2295" s="272">
        <v>0</v>
      </c>
      <c r="J2295" s="351" t="str">
        <f>IFERROR(G2295/F2295,"-")</f>
        <v>-</v>
      </c>
      <c r="K2295" s="332">
        <f t="shared" ref="K2295:K2297" si="2871">+L2295+M2295</f>
        <v>0</v>
      </c>
      <c r="L2295" s="272">
        <f t="shared" ref="L2295:L2297" si="2872">+H2295+L2178</f>
        <v>0</v>
      </c>
      <c r="M2295" s="273">
        <f t="shared" ref="M2295:M2297" si="2873">+I2295+M2178</f>
        <v>0</v>
      </c>
      <c r="N2295" s="336" t="str">
        <f t="shared" ref="N2295:N2302" si="2874">IFERROR(K2295/E2295,"-")</f>
        <v>-</v>
      </c>
      <c r="O2295" s="346" t="str">
        <f t="shared" ref="O2295:O2320" si="2875">IFERROR(M2295/K2295,"-")</f>
        <v>-</v>
      </c>
    </row>
    <row r="2296" spans="1:15" ht="23.4" x14ac:dyDescent="0.3">
      <c r="A2296" s="274" t="s">
        <v>102</v>
      </c>
      <c r="B2296" s="1023"/>
      <c r="C2296" s="312" t="s">
        <v>247</v>
      </c>
      <c r="D2296" s="312"/>
      <c r="E2296" s="276">
        <v>2000</v>
      </c>
      <c r="F2296" s="277"/>
      <c r="G2296" s="333">
        <f t="shared" si="2870"/>
        <v>0</v>
      </c>
      <c r="H2296" s="278">
        <v>0</v>
      </c>
      <c r="I2296" s="278">
        <v>0</v>
      </c>
      <c r="J2296" s="351" t="str">
        <f t="shared" ref="J2296:J2297" si="2876">IFERROR(G2296/F2296,"-")</f>
        <v>-</v>
      </c>
      <c r="K2296" s="333">
        <f t="shared" si="2871"/>
        <v>9638</v>
      </c>
      <c r="L2296" s="272">
        <f t="shared" si="2872"/>
        <v>9149</v>
      </c>
      <c r="M2296" s="273">
        <f t="shared" si="2873"/>
        <v>489</v>
      </c>
      <c r="N2296" s="337">
        <f t="shared" si="2874"/>
        <v>4.819</v>
      </c>
      <c r="O2296" s="263">
        <f t="shared" si="2875"/>
        <v>5.0736667358373108E-2</v>
      </c>
    </row>
    <row r="2297" spans="1:15" ht="24" thickBot="1" x14ac:dyDescent="0.35">
      <c r="A2297" s="274" t="s">
        <v>102</v>
      </c>
      <c r="B2297" s="1024"/>
      <c r="C2297" s="313" t="s">
        <v>33</v>
      </c>
      <c r="D2297" s="313"/>
      <c r="E2297" s="280"/>
      <c r="F2297" s="281"/>
      <c r="G2297" s="334">
        <f t="shared" si="2870"/>
        <v>0</v>
      </c>
      <c r="H2297" s="282">
        <v>0</v>
      </c>
      <c r="I2297" s="282">
        <v>0</v>
      </c>
      <c r="J2297" s="351" t="str">
        <f t="shared" si="2876"/>
        <v>-</v>
      </c>
      <c r="K2297" s="334">
        <f t="shared" si="2871"/>
        <v>0</v>
      </c>
      <c r="L2297" s="272">
        <f t="shared" si="2872"/>
        <v>0</v>
      </c>
      <c r="M2297" s="273">
        <f t="shared" si="2873"/>
        <v>0</v>
      </c>
      <c r="N2297" s="338" t="str">
        <f t="shared" si="2874"/>
        <v>-</v>
      </c>
      <c r="O2297" s="347" t="str">
        <f t="shared" si="2875"/>
        <v>-</v>
      </c>
    </row>
    <row r="2298" spans="1:15" ht="24" thickBot="1" x14ac:dyDescent="0.35">
      <c r="A2298" s="274" t="s">
        <v>102</v>
      </c>
      <c r="B2298" s="1025" t="s">
        <v>34</v>
      </c>
      <c r="C2298" s="1026"/>
      <c r="D2298" s="1027"/>
      <c r="E2298" s="284">
        <f>SUM(E2295:E2297)</f>
        <v>2000</v>
      </c>
      <c r="F2298" s="285">
        <v>6500</v>
      </c>
      <c r="G2298" s="320">
        <f>SUM(G2295:G2297)</f>
        <v>0</v>
      </c>
      <c r="H2298" s="321">
        <f t="shared" ref="H2298:I2298" si="2877">SUM(H2295:H2297)</f>
        <v>0</v>
      </c>
      <c r="I2298" s="321">
        <f t="shared" si="2877"/>
        <v>0</v>
      </c>
      <c r="J2298" s="345">
        <f>IFERROR(G2298/F2298,"-")</f>
        <v>0</v>
      </c>
      <c r="K2298" s="320">
        <f t="shared" ref="K2298:M2298" si="2878">SUM(K2295:K2297)</f>
        <v>9638</v>
      </c>
      <c r="L2298" s="321">
        <f t="shared" si="2878"/>
        <v>9149</v>
      </c>
      <c r="M2298" s="322">
        <f t="shared" si="2878"/>
        <v>489</v>
      </c>
      <c r="N2298" s="339">
        <f t="shared" si="2874"/>
        <v>4.819</v>
      </c>
      <c r="O2298" s="345">
        <f t="shared" si="2875"/>
        <v>5.0736667358373108E-2</v>
      </c>
    </row>
    <row r="2299" spans="1:15" ht="23.4" x14ac:dyDescent="0.3">
      <c r="A2299" s="274" t="s">
        <v>102</v>
      </c>
      <c r="B2299" s="1022" t="s">
        <v>35</v>
      </c>
      <c r="C2299" s="311" t="s">
        <v>113</v>
      </c>
      <c r="D2299" s="311"/>
      <c r="E2299" s="270">
        <v>116160</v>
      </c>
      <c r="F2299" s="271"/>
      <c r="G2299" s="332">
        <f t="shared" ref="G2299:G2302" si="2879">+H2299+I2299</f>
        <v>0</v>
      </c>
      <c r="H2299" s="272">
        <v>0</v>
      </c>
      <c r="I2299" s="272">
        <v>0</v>
      </c>
      <c r="J2299" s="351" t="str">
        <f>IFERROR(G2299/F2299,"-")</f>
        <v>-</v>
      </c>
      <c r="K2299" s="332">
        <f t="shared" ref="K2299:K2302" si="2880">+L2299+M2299</f>
        <v>0</v>
      </c>
      <c r="L2299" s="272">
        <f t="shared" ref="L2299:L2302" si="2881">+H2299+L2182</f>
        <v>0</v>
      </c>
      <c r="M2299" s="273">
        <f t="shared" ref="M2299:M2302" si="2882">+I2299+M2182</f>
        <v>0</v>
      </c>
      <c r="N2299" s="336">
        <f t="shared" si="2874"/>
        <v>0</v>
      </c>
      <c r="O2299" s="346" t="str">
        <f t="shared" si="2875"/>
        <v>-</v>
      </c>
    </row>
    <row r="2300" spans="1:15" ht="23.4" x14ac:dyDescent="0.3">
      <c r="A2300" s="274" t="s">
        <v>102</v>
      </c>
      <c r="B2300" s="1023"/>
      <c r="C2300" s="312" t="s">
        <v>247</v>
      </c>
      <c r="D2300" s="312"/>
      <c r="E2300" s="276"/>
      <c r="F2300" s="277"/>
      <c r="G2300" s="333">
        <f t="shared" si="2879"/>
        <v>3071</v>
      </c>
      <c r="H2300" s="278">
        <v>2994</v>
      </c>
      <c r="I2300" s="278">
        <v>77</v>
      </c>
      <c r="J2300" s="351" t="str">
        <f t="shared" ref="J2300:J2302" si="2883">IFERROR(G2300/F2300,"-")</f>
        <v>-</v>
      </c>
      <c r="K2300" s="333">
        <f t="shared" si="2880"/>
        <v>35563</v>
      </c>
      <c r="L2300" s="272">
        <f t="shared" si="2881"/>
        <v>33714</v>
      </c>
      <c r="M2300" s="273">
        <f t="shared" si="2882"/>
        <v>1849</v>
      </c>
      <c r="N2300" s="337" t="str">
        <f t="shared" si="2874"/>
        <v>-</v>
      </c>
      <c r="O2300" s="263">
        <f t="shared" si="2875"/>
        <v>5.1992239124933219E-2</v>
      </c>
    </row>
    <row r="2301" spans="1:15" ht="23.4" x14ac:dyDescent="0.3">
      <c r="A2301" s="274" t="s">
        <v>102</v>
      </c>
      <c r="B2301" s="1023"/>
      <c r="C2301" s="312" t="s">
        <v>496</v>
      </c>
      <c r="D2301" s="312"/>
      <c r="E2301" s="276">
        <v>20000</v>
      </c>
      <c r="F2301" s="277"/>
      <c r="G2301" s="333">
        <f t="shared" si="2879"/>
        <v>0</v>
      </c>
      <c r="H2301" s="278">
        <v>0</v>
      </c>
      <c r="I2301" s="278">
        <v>0</v>
      </c>
      <c r="J2301" s="351" t="str">
        <f t="shared" si="2883"/>
        <v>-</v>
      </c>
      <c r="K2301" s="333">
        <f t="shared" si="2880"/>
        <v>0</v>
      </c>
      <c r="L2301" s="272">
        <f t="shared" si="2881"/>
        <v>0</v>
      </c>
      <c r="M2301" s="273">
        <f t="shared" si="2882"/>
        <v>0</v>
      </c>
      <c r="N2301" s="337">
        <f t="shared" si="2874"/>
        <v>0</v>
      </c>
      <c r="O2301" s="263" t="str">
        <f t="shared" si="2875"/>
        <v>-</v>
      </c>
    </row>
    <row r="2302" spans="1:15" ht="24" thickBot="1" x14ac:dyDescent="0.35">
      <c r="A2302" s="274" t="s">
        <v>102</v>
      </c>
      <c r="B2302" s="1024"/>
      <c r="C2302" s="313" t="s">
        <v>36</v>
      </c>
      <c r="D2302" s="313"/>
      <c r="E2302" s="280"/>
      <c r="F2302" s="281"/>
      <c r="G2302" s="334">
        <f t="shared" si="2879"/>
        <v>0</v>
      </c>
      <c r="H2302" s="278">
        <v>0</v>
      </c>
      <c r="I2302" s="278">
        <v>0</v>
      </c>
      <c r="J2302" s="351" t="str">
        <f t="shared" si="2883"/>
        <v>-</v>
      </c>
      <c r="K2302" s="334">
        <f t="shared" si="2880"/>
        <v>0</v>
      </c>
      <c r="L2302" s="272">
        <f t="shared" si="2881"/>
        <v>0</v>
      </c>
      <c r="M2302" s="273">
        <f t="shared" si="2882"/>
        <v>0</v>
      </c>
      <c r="N2302" s="338" t="str">
        <f t="shared" si="2874"/>
        <v>-</v>
      </c>
      <c r="O2302" s="347" t="str">
        <f t="shared" si="2875"/>
        <v>-</v>
      </c>
    </row>
    <row r="2303" spans="1:15" ht="24" thickBot="1" x14ac:dyDescent="0.35">
      <c r="A2303" s="274" t="s">
        <v>102</v>
      </c>
      <c r="B2303" s="1025" t="s">
        <v>37</v>
      </c>
      <c r="C2303" s="1026"/>
      <c r="D2303" s="1027"/>
      <c r="E2303" s="284">
        <f>SUM(E2299:E2302)</f>
        <v>136160</v>
      </c>
      <c r="F2303" s="285">
        <v>6500</v>
      </c>
      <c r="G2303" s="320">
        <f>SUM(G2299:G2302)</f>
        <v>3071</v>
      </c>
      <c r="H2303" s="321">
        <f t="shared" ref="H2303:I2303" si="2884">SUM(H2299:H2302)</f>
        <v>2994</v>
      </c>
      <c r="I2303" s="321">
        <f t="shared" si="2884"/>
        <v>77</v>
      </c>
      <c r="J2303" s="345">
        <f>IFERROR(G2303/F2303,"-")</f>
        <v>0.47246153846153849</v>
      </c>
      <c r="K2303" s="320">
        <f t="shared" ref="K2303:M2303" si="2885">SUM(K2299:K2302)</f>
        <v>35563</v>
      </c>
      <c r="L2303" s="321">
        <f t="shared" si="2885"/>
        <v>33714</v>
      </c>
      <c r="M2303" s="322">
        <f t="shared" si="2885"/>
        <v>1849</v>
      </c>
      <c r="N2303" s="339">
        <f>IFERROR(K2303/E2303,"-")</f>
        <v>0.26118537015276144</v>
      </c>
      <c r="O2303" s="345">
        <f t="shared" si="2875"/>
        <v>5.1992239124933219E-2</v>
      </c>
    </row>
    <row r="2304" spans="1:15" ht="23.4" x14ac:dyDescent="0.3">
      <c r="A2304" s="274" t="s">
        <v>102</v>
      </c>
      <c r="B2304" s="1022" t="s">
        <v>402</v>
      </c>
      <c r="C2304" s="314" t="s">
        <v>116</v>
      </c>
      <c r="D2304" s="314"/>
      <c r="E2304" s="270">
        <v>31000</v>
      </c>
      <c r="F2304" s="271"/>
      <c r="G2304" s="332">
        <f t="shared" ref="G2304:G2305" si="2886">+H2304+I2304</f>
        <v>0</v>
      </c>
      <c r="H2304" s="272">
        <v>0</v>
      </c>
      <c r="I2304" s="272">
        <v>0</v>
      </c>
      <c r="J2304" s="351" t="str">
        <f>IFERROR(G2304/F2304,"-")</f>
        <v>-</v>
      </c>
      <c r="K2304" s="332">
        <f t="shared" ref="K2304:K2305" si="2887">+L2304+M2304</f>
        <v>0</v>
      </c>
      <c r="L2304" s="272">
        <f t="shared" ref="L2304:L2305" si="2888">+H2304+L2187</f>
        <v>0</v>
      </c>
      <c r="M2304" s="273">
        <f t="shared" ref="M2304:M2305" si="2889">+I2304+M2187</f>
        <v>0</v>
      </c>
      <c r="N2304" s="336">
        <f t="shared" ref="N2304:N2320" si="2890">IFERROR(K2304/E2304,"-")</f>
        <v>0</v>
      </c>
      <c r="O2304" s="346" t="str">
        <f t="shared" si="2875"/>
        <v>-</v>
      </c>
    </row>
    <row r="2305" spans="1:15" ht="24" thickBot="1" x14ac:dyDescent="0.35">
      <c r="A2305" s="274" t="s">
        <v>102</v>
      </c>
      <c r="B2305" s="1024"/>
      <c r="C2305" s="286" t="s">
        <v>132</v>
      </c>
      <c r="D2305" s="286"/>
      <c r="E2305" s="280"/>
      <c r="F2305" s="281"/>
      <c r="G2305" s="334">
        <f t="shared" si="2886"/>
        <v>0</v>
      </c>
      <c r="H2305" s="282">
        <v>0</v>
      </c>
      <c r="I2305" s="282">
        <v>0</v>
      </c>
      <c r="J2305" s="351" t="str">
        <f>IFERROR(G2305/F2305,"-")</f>
        <v>-</v>
      </c>
      <c r="K2305" s="334">
        <f t="shared" si="2887"/>
        <v>22797</v>
      </c>
      <c r="L2305" s="272">
        <f t="shared" si="2888"/>
        <v>21790</v>
      </c>
      <c r="M2305" s="273">
        <f t="shared" si="2889"/>
        <v>1007</v>
      </c>
      <c r="N2305" s="338" t="str">
        <f t="shared" si="2890"/>
        <v>-</v>
      </c>
      <c r="O2305" s="347">
        <f t="shared" si="2875"/>
        <v>4.4172478834934421E-2</v>
      </c>
    </row>
    <row r="2306" spans="1:15" ht="24" thickBot="1" x14ac:dyDescent="0.35">
      <c r="A2306" s="1018" t="s">
        <v>102</v>
      </c>
      <c r="B2306" s="1025" t="s">
        <v>38</v>
      </c>
      <c r="C2306" s="1026"/>
      <c r="D2306" s="1027"/>
      <c r="E2306" s="284">
        <f>SUM(E2304:E2305)</f>
        <v>31000</v>
      </c>
      <c r="F2306" s="285">
        <v>2800</v>
      </c>
      <c r="G2306" s="320">
        <f>SUM(G2304:G2305)</f>
        <v>0</v>
      </c>
      <c r="H2306" s="321">
        <f t="shared" ref="H2306:I2306" si="2891">SUM(H2304:H2305)</f>
        <v>0</v>
      </c>
      <c r="I2306" s="321">
        <f t="shared" si="2891"/>
        <v>0</v>
      </c>
      <c r="J2306" s="345" t="str">
        <f>IFERROR(G2306/F2296,"-")</f>
        <v>-</v>
      </c>
      <c r="K2306" s="320">
        <f t="shared" ref="K2306:M2306" si="2892">SUM(K2304:K2305)</f>
        <v>22797</v>
      </c>
      <c r="L2306" s="321">
        <f t="shared" si="2892"/>
        <v>21790</v>
      </c>
      <c r="M2306" s="322">
        <f t="shared" si="2892"/>
        <v>1007</v>
      </c>
      <c r="N2306" s="339">
        <f t="shared" si="2890"/>
        <v>0.73538709677419356</v>
      </c>
      <c r="O2306" s="345">
        <f t="shared" si="2875"/>
        <v>4.4172478834934421E-2</v>
      </c>
    </row>
    <row r="2307" spans="1:15" ht="23.4" x14ac:dyDescent="0.3">
      <c r="A2307" s="274" t="s">
        <v>102</v>
      </c>
      <c r="B2307" s="1022" t="s">
        <v>403</v>
      </c>
      <c r="C2307" s="269" t="s">
        <v>306</v>
      </c>
      <c r="D2307" s="269"/>
      <c r="E2307" s="270">
        <v>978200</v>
      </c>
      <c r="F2307" s="315"/>
      <c r="G2307" s="332">
        <f t="shared" ref="G2307:G2311" si="2893">+H2307+I2307</f>
        <v>0</v>
      </c>
      <c r="H2307" s="272">
        <v>0</v>
      </c>
      <c r="I2307" s="272">
        <v>0</v>
      </c>
      <c r="J2307" s="371" t="str">
        <f>IFERROR(G2307/F2307,"-")</f>
        <v>-</v>
      </c>
      <c r="K2307" s="332">
        <f t="shared" ref="K2307:K2311" si="2894">+L2307+M2307</f>
        <v>442040</v>
      </c>
      <c r="L2307" s="272">
        <f t="shared" ref="L2307:L2311" si="2895">+H2307+L2190</f>
        <v>438804</v>
      </c>
      <c r="M2307" s="272">
        <f t="shared" ref="M2307:M2311" si="2896">+I2307+M2190</f>
        <v>3236</v>
      </c>
      <c r="N2307" s="359">
        <f t="shared" si="2890"/>
        <v>0.45189122878756899</v>
      </c>
      <c r="O2307" s="360">
        <f t="shared" si="2875"/>
        <v>7.3206044701836937E-3</v>
      </c>
    </row>
    <row r="2308" spans="1:15" ht="23.4" x14ac:dyDescent="0.3">
      <c r="A2308" s="274" t="s">
        <v>102</v>
      </c>
      <c r="B2308" s="1023"/>
      <c r="C2308" s="269" t="s">
        <v>307</v>
      </c>
      <c r="D2308" s="275"/>
      <c r="E2308" s="276"/>
      <c r="F2308" s="316"/>
      <c r="G2308" s="333">
        <f t="shared" si="2893"/>
        <v>0</v>
      </c>
      <c r="H2308" s="278">
        <v>0</v>
      </c>
      <c r="I2308" s="278">
        <v>0</v>
      </c>
      <c r="J2308" s="371" t="str">
        <f t="shared" ref="J2308:J2311" si="2897">IFERROR(G2308/F2308,"-")</f>
        <v>-</v>
      </c>
      <c r="K2308" s="333">
        <f t="shared" si="2894"/>
        <v>0</v>
      </c>
      <c r="L2308" s="272">
        <f t="shared" si="2895"/>
        <v>0</v>
      </c>
      <c r="M2308" s="273">
        <f t="shared" si="2896"/>
        <v>0</v>
      </c>
      <c r="N2308" s="361" t="str">
        <f t="shared" si="2890"/>
        <v>-</v>
      </c>
      <c r="O2308" s="362" t="str">
        <f t="shared" si="2875"/>
        <v>-</v>
      </c>
    </row>
    <row r="2309" spans="1:15" ht="23.4" x14ac:dyDescent="0.3">
      <c r="A2309" s="274" t="s">
        <v>102</v>
      </c>
      <c r="B2309" s="1023"/>
      <c r="C2309" s="275" t="s">
        <v>499</v>
      </c>
      <c r="D2309" s="275"/>
      <c r="E2309" s="276">
        <f>70000+15000</f>
        <v>85000</v>
      </c>
      <c r="F2309" s="316"/>
      <c r="G2309" s="333">
        <f t="shared" si="2893"/>
        <v>11589</v>
      </c>
      <c r="H2309" s="278">
        <v>11520</v>
      </c>
      <c r="I2309" s="278">
        <v>69</v>
      </c>
      <c r="J2309" s="371" t="str">
        <f t="shared" si="2897"/>
        <v>-</v>
      </c>
      <c r="K2309" s="333">
        <f t="shared" si="2894"/>
        <v>72919</v>
      </c>
      <c r="L2309" s="272">
        <f t="shared" si="2895"/>
        <v>72072</v>
      </c>
      <c r="M2309" s="273">
        <f t="shared" si="2896"/>
        <v>847</v>
      </c>
      <c r="N2309" s="361">
        <f t="shared" si="2890"/>
        <v>0.85787058823529416</v>
      </c>
      <c r="O2309" s="362">
        <f t="shared" si="2875"/>
        <v>1.1615628299894404E-2</v>
      </c>
    </row>
    <row r="2310" spans="1:15" ht="23.4" x14ac:dyDescent="0.3">
      <c r="A2310" s="274" t="s">
        <v>102</v>
      </c>
      <c r="B2310" s="1023"/>
      <c r="C2310" s="275" t="s">
        <v>157</v>
      </c>
      <c r="D2310" s="275"/>
      <c r="E2310" s="276">
        <v>60040</v>
      </c>
      <c r="F2310" s="316"/>
      <c r="G2310" s="333">
        <f t="shared" si="2893"/>
        <v>0</v>
      </c>
      <c r="H2310" s="278">
        <v>0</v>
      </c>
      <c r="I2310" s="278">
        <v>0</v>
      </c>
      <c r="J2310" s="371" t="str">
        <f t="shared" si="2897"/>
        <v>-</v>
      </c>
      <c r="K2310" s="333">
        <f t="shared" si="2894"/>
        <v>0</v>
      </c>
      <c r="L2310" s="272">
        <f t="shared" si="2895"/>
        <v>0</v>
      </c>
      <c r="M2310" s="273">
        <f t="shared" si="2896"/>
        <v>0</v>
      </c>
      <c r="N2310" s="361">
        <f t="shared" si="2890"/>
        <v>0</v>
      </c>
      <c r="O2310" s="362" t="str">
        <f t="shared" si="2875"/>
        <v>-</v>
      </c>
    </row>
    <row r="2311" spans="1:15" ht="24" thickBot="1" x14ac:dyDescent="0.35">
      <c r="A2311" s="274" t="s">
        <v>102</v>
      </c>
      <c r="B2311" s="1024"/>
      <c r="C2311" s="279" t="s">
        <v>158</v>
      </c>
      <c r="D2311" s="279"/>
      <c r="E2311" s="280"/>
      <c r="F2311" s="317"/>
      <c r="G2311" s="334">
        <f t="shared" si="2893"/>
        <v>0</v>
      </c>
      <c r="H2311" s="278">
        <v>0</v>
      </c>
      <c r="I2311" s="278">
        <v>0</v>
      </c>
      <c r="J2311" s="371" t="str">
        <f t="shared" si="2897"/>
        <v>-</v>
      </c>
      <c r="K2311" s="334">
        <f t="shared" si="2894"/>
        <v>0</v>
      </c>
      <c r="L2311" s="272">
        <f t="shared" si="2895"/>
        <v>0</v>
      </c>
      <c r="M2311" s="273">
        <f t="shared" si="2896"/>
        <v>0</v>
      </c>
      <c r="N2311" s="363" t="str">
        <f t="shared" si="2890"/>
        <v>-</v>
      </c>
      <c r="O2311" s="364" t="str">
        <f t="shared" si="2875"/>
        <v>-</v>
      </c>
    </row>
    <row r="2312" spans="1:15" ht="24" thickBot="1" x14ac:dyDescent="0.35">
      <c r="A2312" s="274" t="s">
        <v>102</v>
      </c>
      <c r="B2312" s="1025" t="s">
        <v>39</v>
      </c>
      <c r="C2312" s="1026"/>
      <c r="D2312" s="1027"/>
      <c r="E2312" s="320">
        <f>SUM(E2307:E2311)</f>
        <v>1123240</v>
      </c>
      <c r="F2312" s="285">
        <v>25000</v>
      </c>
      <c r="G2312" s="320">
        <f>SUM(G2307:G2311)</f>
        <v>11589</v>
      </c>
      <c r="H2312" s="321">
        <f>SUM(H2307:H2311)</f>
        <v>11520</v>
      </c>
      <c r="I2312" s="321">
        <f>SUM(I2307:I2311)</f>
        <v>69</v>
      </c>
      <c r="J2312" s="345">
        <f>IFERROR(G2312/F2312,"-")</f>
        <v>0.46356000000000003</v>
      </c>
      <c r="K2312" s="320">
        <f>SUM(K2307:K2311)</f>
        <v>514959</v>
      </c>
      <c r="L2312" s="321">
        <f>SUM(L2307:L2311)</f>
        <v>510876</v>
      </c>
      <c r="M2312" s="322">
        <f>SUM(M2307:M2311)</f>
        <v>4083</v>
      </c>
      <c r="N2312" s="339">
        <f t="shared" si="2890"/>
        <v>0.45845856629037429</v>
      </c>
      <c r="O2312" s="345">
        <f t="shared" si="2875"/>
        <v>7.9287865635904991E-3</v>
      </c>
    </row>
    <row r="2313" spans="1:15" ht="23.4" x14ac:dyDescent="0.3">
      <c r="A2313" s="274" t="s">
        <v>102</v>
      </c>
      <c r="B2313" s="1022" t="s">
        <v>404</v>
      </c>
      <c r="C2313" s="269" t="s">
        <v>186</v>
      </c>
      <c r="D2313" s="269"/>
      <c r="E2313" s="270"/>
      <c r="F2313" s="271"/>
      <c r="G2313" s="332">
        <f t="shared" ref="G2313:G2315" si="2898">+H2313+I2313</f>
        <v>0</v>
      </c>
      <c r="H2313" s="272">
        <v>0</v>
      </c>
      <c r="I2313" s="272">
        <v>0</v>
      </c>
      <c r="J2313" s="351" t="str">
        <f>IFERROR(G2313/F2313,"-")</f>
        <v>-</v>
      </c>
      <c r="K2313" s="332">
        <f t="shared" ref="K2313:K2315" si="2899">+L2313+M2313</f>
        <v>0</v>
      </c>
      <c r="L2313" s="272">
        <f t="shared" ref="L2313:L2315" si="2900">+H2313+L2196</f>
        <v>0</v>
      </c>
      <c r="M2313" s="273">
        <f t="shared" ref="M2313:M2315" si="2901">+I2313+M2196</f>
        <v>0</v>
      </c>
      <c r="N2313" s="336" t="str">
        <f t="shared" si="2890"/>
        <v>-</v>
      </c>
      <c r="O2313" s="346" t="str">
        <f t="shared" si="2875"/>
        <v>-</v>
      </c>
    </row>
    <row r="2314" spans="1:15" ht="23.4" x14ac:dyDescent="0.3">
      <c r="A2314" s="274" t="s">
        <v>102</v>
      </c>
      <c r="B2314" s="1023"/>
      <c r="C2314" s="275" t="s">
        <v>497</v>
      </c>
      <c r="D2314" s="275"/>
      <c r="E2314" s="276"/>
      <c r="F2314" s="277"/>
      <c r="G2314" s="333">
        <f t="shared" si="2898"/>
        <v>0</v>
      </c>
      <c r="H2314" s="278">
        <v>0</v>
      </c>
      <c r="I2314" s="278">
        <v>0</v>
      </c>
      <c r="J2314" s="351" t="str">
        <f t="shared" ref="J2314:J2315" si="2902">IFERROR(G2314/F2314,"-")</f>
        <v>-</v>
      </c>
      <c r="K2314" s="333">
        <f t="shared" si="2899"/>
        <v>11826</v>
      </c>
      <c r="L2314" s="714">
        <f t="shared" si="2900"/>
        <v>11400</v>
      </c>
      <c r="M2314" s="273">
        <f t="shared" si="2901"/>
        <v>426</v>
      </c>
      <c r="N2314" s="361" t="str">
        <f t="shared" si="2890"/>
        <v>-</v>
      </c>
      <c r="O2314" s="362">
        <f t="shared" si="2875"/>
        <v>3.6022323693556568E-2</v>
      </c>
    </row>
    <row r="2315" spans="1:15" ht="24" thickBot="1" x14ac:dyDescent="0.35">
      <c r="A2315" s="274" t="s">
        <v>102</v>
      </c>
      <c r="B2315" s="1024"/>
      <c r="C2315" s="279" t="s">
        <v>498</v>
      </c>
      <c r="D2315" s="279"/>
      <c r="E2315" s="280"/>
      <c r="F2315" s="281"/>
      <c r="G2315" s="334">
        <f t="shared" si="2898"/>
        <v>0</v>
      </c>
      <c r="H2315" s="278">
        <v>0</v>
      </c>
      <c r="I2315" s="278">
        <v>0</v>
      </c>
      <c r="J2315" s="351" t="str">
        <f t="shared" si="2902"/>
        <v>-</v>
      </c>
      <c r="K2315" s="334">
        <f t="shared" si="2899"/>
        <v>0</v>
      </c>
      <c r="L2315" s="272">
        <f t="shared" si="2900"/>
        <v>0</v>
      </c>
      <c r="M2315" s="273">
        <f t="shared" si="2901"/>
        <v>0</v>
      </c>
      <c r="N2315" s="363" t="str">
        <f t="shared" si="2890"/>
        <v>-</v>
      </c>
      <c r="O2315" s="364" t="str">
        <f t="shared" si="2875"/>
        <v>-</v>
      </c>
    </row>
    <row r="2316" spans="1:15" ht="24" thickBot="1" x14ac:dyDescent="0.35">
      <c r="A2316" s="274" t="s">
        <v>102</v>
      </c>
      <c r="B2316" s="1034" t="s">
        <v>41</v>
      </c>
      <c r="C2316" s="1035"/>
      <c r="D2316" s="1036"/>
      <c r="E2316" s="320">
        <f>SUM(E2313:E2315)</f>
        <v>0</v>
      </c>
      <c r="F2316" s="285"/>
      <c r="G2316" s="320">
        <f>SUM(G2313:G2315)</f>
        <v>0</v>
      </c>
      <c r="H2316" s="321">
        <f t="shared" ref="H2316:I2316" si="2903">SUM(H2313:H2315)</f>
        <v>0</v>
      </c>
      <c r="I2316" s="321">
        <f t="shared" si="2903"/>
        <v>0</v>
      </c>
      <c r="J2316" s="345" t="str">
        <f>IFERROR(G2316/F2316,"-")</f>
        <v>-</v>
      </c>
      <c r="K2316" s="320">
        <f t="shared" ref="K2316:M2316" si="2904">SUM(K2313:K2315)</f>
        <v>11826</v>
      </c>
      <c r="L2316" s="365">
        <f t="shared" si="2904"/>
        <v>11400</v>
      </c>
      <c r="M2316" s="367">
        <f t="shared" si="2904"/>
        <v>426</v>
      </c>
      <c r="N2316" s="339" t="str">
        <f t="shared" si="2890"/>
        <v>-</v>
      </c>
      <c r="O2316" s="345">
        <f t="shared" si="2875"/>
        <v>3.6022323693556568E-2</v>
      </c>
    </row>
    <row r="2317" spans="1:15" ht="24" thickBot="1" x14ac:dyDescent="0.35">
      <c r="A2317" s="274" t="s">
        <v>102</v>
      </c>
      <c r="B2317" s="1022" t="s">
        <v>42</v>
      </c>
      <c r="C2317" s="269" t="s">
        <v>160</v>
      </c>
      <c r="D2317" s="269"/>
      <c r="E2317" s="270"/>
      <c r="F2317" s="271"/>
      <c r="G2317" s="332">
        <f t="shared" ref="G2317:G2318" si="2905">+H2317+I2317</f>
        <v>11403</v>
      </c>
      <c r="H2317" s="272">
        <v>11200</v>
      </c>
      <c r="I2317" s="272">
        <v>203</v>
      </c>
      <c r="J2317" s="371" t="str">
        <f>IFERROR(G2317/F2317,"-")</f>
        <v>-</v>
      </c>
      <c r="K2317" s="695">
        <f t="shared" ref="K2317:K2318" si="2906">+L2317+M2317</f>
        <v>33093</v>
      </c>
      <c r="L2317" s="688">
        <f t="shared" ref="L2317:L2318" si="2907">+H2317+L2200</f>
        <v>32000</v>
      </c>
      <c r="M2317" s="688">
        <f t="shared" ref="M2317:M2318" si="2908">+I2317+M2200</f>
        <v>1093</v>
      </c>
      <c r="N2317" s="359" t="str">
        <f t="shared" si="2890"/>
        <v>-</v>
      </c>
      <c r="O2317" s="360">
        <f t="shared" si="2875"/>
        <v>3.3028132837760252E-2</v>
      </c>
    </row>
    <row r="2318" spans="1:15" ht="24" thickBot="1" x14ac:dyDescent="0.35">
      <c r="A2318" s="274" t="s">
        <v>102</v>
      </c>
      <c r="B2318" s="1024"/>
      <c r="C2318" s="279" t="s">
        <v>161</v>
      </c>
      <c r="D2318" s="279"/>
      <c r="E2318" s="280"/>
      <c r="F2318" s="281"/>
      <c r="G2318" s="334">
        <f t="shared" si="2905"/>
        <v>0</v>
      </c>
      <c r="H2318" s="282">
        <v>0</v>
      </c>
      <c r="I2318" s="282">
        <v>0</v>
      </c>
      <c r="J2318" s="373" t="str">
        <f>IFERROR(G2318/F2318,"-")</f>
        <v>-</v>
      </c>
      <c r="K2318" s="696">
        <f t="shared" si="2906"/>
        <v>0</v>
      </c>
      <c r="L2318" s="688">
        <f t="shared" si="2907"/>
        <v>0</v>
      </c>
      <c r="M2318" s="688">
        <f t="shared" si="2908"/>
        <v>0</v>
      </c>
      <c r="N2318" s="363" t="str">
        <f t="shared" si="2890"/>
        <v>-</v>
      </c>
      <c r="O2318" s="364" t="str">
        <f t="shared" si="2875"/>
        <v>-</v>
      </c>
    </row>
    <row r="2319" spans="1:15" ht="24" thickBot="1" x14ac:dyDescent="0.35">
      <c r="A2319" s="274" t="s">
        <v>102</v>
      </c>
      <c r="B2319" s="1034" t="s">
        <v>43</v>
      </c>
      <c r="C2319" s="1035"/>
      <c r="D2319" s="1036"/>
      <c r="E2319" s="284">
        <f>SUM(E2317:E2318)</f>
        <v>0</v>
      </c>
      <c r="F2319" s="285">
        <v>25000</v>
      </c>
      <c r="G2319" s="320">
        <f>SUM(G2317:G2318)</f>
        <v>11403</v>
      </c>
      <c r="H2319" s="321">
        <f t="shared" ref="H2319:I2319" si="2909">SUM(H2317:H2318)</f>
        <v>11200</v>
      </c>
      <c r="I2319" s="321">
        <f t="shared" si="2909"/>
        <v>203</v>
      </c>
      <c r="J2319" s="345">
        <f>IFERROR(G2319/F2319,"-")</f>
        <v>0.45612000000000003</v>
      </c>
      <c r="K2319" s="760">
        <f t="shared" ref="K2319:M2319" si="2910">SUM(K2317:K2318)</f>
        <v>33093</v>
      </c>
      <c r="L2319" s="761">
        <f t="shared" si="2910"/>
        <v>32000</v>
      </c>
      <c r="M2319" s="761">
        <f t="shared" si="2910"/>
        <v>1093</v>
      </c>
      <c r="N2319" s="339" t="str">
        <f t="shared" si="2890"/>
        <v>-</v>
      </c>
      <c r="O2319" s="345">
        <f t="shared" si="2875"/>
        <v>3.3028132837760252E-2</v>
      </c>
    </row>
    <row r="2320" spans="1:15" ht="24" thickBot="1" x14ac:dyDescent="0.35">
      <c r="A2320" s="274" t="s">
        <v>102</v>
      </c>
      <c r="B2320" s="1028" t="s">
        <v>25</v>
      </c>
      <c r="C2320" s="1029"/>
      <c r="D2320" s="1030"/>
      <c r="E2320" s="326">
        <f t="shared" ref="E2320:F2320" si="2911">+E2298+E2303+E2306+E2312+E2316+E2319</f>
        <v>1292400</v>
      </c>
      <c r="F2320" s="327">
        <f t="shared" si="2911"/>
        <v>65800</v>
      </c>
      <c r="G2320" s="326">
        <f>+G2298+G2303+G2306+G2312+G2316+G2319</f>
        <v>26063</v>
      </c>
      <c r="H2320" s="324">
        <f>+H2298+H2303+H2306+H2312+H2316+H2319</f>
        <v>25714</v>
      </c>
      <c r="I2320" s="324">
        <f t="shared" ref="I2320" si="2912">+I2298+I2303+I2306+I2312+I2316+I2319</f>
        <v>349</v>
      </c>
      <c r="J2320" s="349">
        <f>IFERROR(G2320/F2320,"-")</f>
        <v>0.39609422492401214</v>
      </c>
      <c r="K2320" s="326">
        <f>+K2298+K2303+K2306+K2312+K2316+K2319</f>
        <v>627876</v>
      </c>
      <c r="L2320" s="759">
        <f t="shared" ref="L2320:M2320" si="2913">+L2298+L2303+L2306+L2312+L2316+L2319</f>
        <v>618929</v>
      </c>
      <c r="M2320" s="325">
        <f t="shared" si="2913"/>
        <v>8947</v>
      </c>
      <c r="N2320" s="341">
        <f t="shared" si="2890"/>
        <v>0.48582172701949861</v>
      </c>
      <c r="O2320" s="349">
        <f t="shared" si="2875"/>
        <v>1.4249628907618701E-2</v>
      </c>
    </row>
    <row r="2321" spans="1:15" ht="24" thickBot="1" x14ac:dyDescent="0.35">
      <c r="A2321" s="318" t="s">
        <v>102</v>
      </c>
      <c r="B2321" s="1020" t="s">
        <v>173</v>
      </c>
      <c r="C2321" s="1020"/>
      <c r="D2321" s="1021"/>
      <c r="E2321" s="330">
        <f>+E2320</f>
        <v>1292400</v>
      </c>
      <c r="F2321" s="331">
        <f t="shared" ref="F2321:I2321" si="2914">+F2320</f>
        <v>65800</v>
      </c>
      <c r="G2321" s="330">
        <f t="shared" si="2914"/>
        <v>26063</v>
      </c>
      <c r="H2321" s="328">
        <f t="shared" si="2914"/>
        <v>25714</v>
      </c>
      <c r="I2321" s="328">
        <f t="shared" si="2914"/>
        <v>349</v>
      </c>
      <c r="J2321" s="350">
        <f>+G2321/F2321</f>
        <v>0.39609422492401214</v>
      </c>
      <c r="K2321" s="330">
        <f t="shared" ref="K2321:O2321" si="2915">+K2320</f>
        <v>627876</v>
      </c>
      <c r="L2321" s="328">
        <f t="shared" si="2915"/>
        <v>618929</v>
      </c>
      <c r="M2321" s="329">
        <f t="shared" si="2915"/>
        <v>8947</v>
      </c>
      <c r="N2321" s="342">
        <f t="shared" si="2915"/>
        <v>0.48582172701949861</v>
      </c>
      <c r="O2321" s="350">
        <f t="shared" si="2915"/>
        <v>1.4249628907618701E-2</v>
      </c>
    </row>
    <row r="2322" spans="1:15" ht="24.6" thickBot="1" x14ac:dyDescent="0.35">
      <c r="A2322" s="319"/>
      <c r="B2322" s="1031" t="s">
        <v>174</v>
      </c>
      <c r="C2322" s="1032"/>
      <c r="D2322" s="1033"/>
      <c r="E2322" s="374">
        <f>+E2259+E2294+E2321</f>
        <v>7473564</v>
      </c>
      <c r="F2322" s="374">
        <f>+F2259+F2294+F2321</f>
        <v>914800</v>
      </c>
      <c r="G2322" s="374">
        <f>+G2259+G2294+G2321</f>
        <v>482054</v>
      </c>
      <c r="H2322" s="374">
        <f>+H2259+H2294+H2321</f>
        <v>473976</v>
      </c>
      <c r="I2322" s="374">
        <f>+I2259+I2294+I2321</f>
        <v>8078</v>
      </c>
      <c r="J2322" s="375">
        <f>IFERROR(G2322/F2322,"-")</f>
        <v>0.52695015303891557</v>
      </c>
      <c r="K2322" s="374">
        <f>+K2259+K2294+K2321</f>
        <v>7276616</v>
      </c>
      <c r="L2322" s="374">
        <f>+L2259+L2294+L2321</f>
        <v>7201714</v>
      </c>
      <c r="M2322" s="374">
        <f>+M2259+M2294+M2321</f>
        <v>74902</v>
      </c>
      <c r="N2322" s="375">
        <f>IFERROR(K2322/E2322,"-")</f>
        <v>0.97364737894798248</v>
      </c>
      <c r="O2322" s="375">
        <f>IFERROR(M2322/K2322,"-")</f>
        <v>1.029352105429227E-2</v>
      </c>
    </row>
    <row r="2324" spans="1:15" x14ac:dyDescent="0.3">
      <c r="G2324" s="222"/>
      <c r="J2324" s="222"/>
      <c r="K2324" s="222"/>
      <c r="N2324" s="222"/>
      <c r="O2324" s="222"/>
    </row>
  </sheetData>
  <mergeCells count="1001">
    <mergeCell ref="B2320:D2320"/>
    <mergeCell ref="B2321:D2321"/>
    <mergeCell ref="B2322:D2322"/>
    <mergeCell ref="B2303:D2303"/>
    <mergeCell ref="B2304:B2305"/>
    <mergeCell ref="B2306:D2306"/>
    <mergeCell ref="B2307:B2311"/>
    <mergeCell ref="B2312:D2312"/>
    <mergeCell ref="B2313:B2315"/>
    <mergeCell ref="B2316:D2316"/>
    <mergeCell ref="B2317:B2318"/>
    <mergeCell ref="B2319:D2319"/>
    <mergeCell ref="B2271:B2278"/>
    <mergeCell ref="B2279:D2279"/>
    <mergeCell ref="B2280:B2290"/>
    <mergeCell ref="B2291:D2291"/>
    <mergeCell ref="B2293:D2293"/>
    <mergeCell ref="B2294:D2294"/>
    <mergeCell ref="B2295:B2297"/>
    <mergeCell ref="B2298:D2298"/>
    <mergeCell ref="B2299:B2302"/>
    <mergeCell ref="B2241:D2241"/>
    <mergeCell ref="B2242:D2242"/>
    <mergeCell ref="B2243:B2246"/>
    <mergeCell ref="B2247:D2247"/>
    <mergeCell ref="B2248:B2256"/>
    <mergeCell ref="B2257:D2257"/>
    <mergeCell ref="B2258:D2258"/>
    <mergeCell ref="B2259:D2259"/>
    <mergeCell ref="B2260:B2270"/>
    <mergeCell ref="B2209:B2212"/>
    <mergeCell ref="B2213:D2213"/>
    <mergeCell ref="B2214:B2220"/>
    <mergeCell ref="B2221:D2221"/>
    <mergeCell ref="B2222:B2228"/>
    <mergeCell ref="B2229:D2229"/>
    <mergeCell ref="B2230:B2236"/>
    <mergeCell ref="B2237:D2237"/>
    <mergeCell ref="B2238:B2240"/>
    <mergeCell ref="A2206:A2208"/>
    <mergeCell ref="B2206:B2208"/>
    <mergeCell ref="C2206:C2208"/>
    <mergeCell ref="D2206:D2208"/>
    <mergeCell ref="E2206:O2206"/>
    <mergeCell ref="E2207:E2208"/>
    <mergeCell ref="F2207:F2208"/>
    <mergeCell ref="G2207:J2207"/>
    <mergeCell ref="K2207:M2207"/>
    <mergeCell ref="N2207:N2208"/>
    <mergeCell ref="O2207:O2208"/>
    <mergeCell ref="B1969:D1969"/>
    <mergeCell ref="B1970:D1970"/>
    <mergeCell ref="B1971:D1971"/>
    <mergeCell ref="B1952:D1952"/>
    <mergeCell ref="B1953:B1954"/>
    <mergeCell ref="B1955:D1955"/>
    <mergeCell ref="B1956:B1960"/>
    <mergeCell ref="B1961:D1961"/>
    <mergeCell ref="B1962:B1964"/>
    <mergeCell ref="B1965:D1965"/>
    <mergeCell ref="B1966:B1967"/>
    <mergeCell ref="B1968:D1968"/>
    <mergeCell ref="E1972:O1972"/>
    <mergeCell ref="E1973:E1974"/>
    <mergeCell ref="F1973:F1974"/>
    <mergeCell ref="G1973:J1973"/>
    <mergeCell ref="K1973:M1973"/>
    <mergeCell ref="N1973:N1974"/>
    <mergeCell ref="O1973:O1974"/>
    <mergeCell ref="B1975:B1978"/>
    <mergeCell ref="B1979:D1979"/>
    <mergeCell ref="B1920:B1927"/>
    <mergeCell ref="B1928:D1928"/>
    <mergeCell ref="B1929:B1939"/>
    <mergeCell ref="B1940:D1940"/>
    <mergeCell ref="B1942:D1942"/>
    <mergeCell ref="B1943:D1943"/>
    <mergeCell ref="B1944:B1946"/>
    <mergeCell ref="B1947:D1947"/>
    <mergeCell ref="B1948:B1951"/>
    <mergeCell ref="B1890:D1890"/>
    <mergeCell ref="B1891:D1891"/>
    <mergeCell ref="B1892:B1895"/>
    <mergeCell ref="B1896:D1896"/>
    <mergeCell ref="B1897:B1905"/>
    <mergeCell ref="B1906:D1906"/>
    <mergeCell ref="B1907:D1907"/>
    <mergeCell ref="B1908:D1908"/>
    <mergeCell ref="B1909:B1919"/>
    <mergeCell ref="B1858:B1861"/>
    <mergeCell ref="B1862:D1862"/>
    <mergeCell ref="B1863:B1869"/>
    <mergeCell ref="B1870:D1870"/>
    <mergeCell ref="B1871:B1877"/>
    <mergeCell ref="B1878:D1878"/>
    <mergeCell ref="B1879:B1885"/>
    <mergeCell ref="B1886:D1886"/>
    <mergeCell ref="B1887:B1889"/>
    <mergeCell ref="A1855:A1857"/>
    <mergeCell ref="B1855:B1857"/>
    <mergeCell ref="C1855:C1857"/>
    <mergeCell ref="D1855:D1857"/>
    <mergeCell ref="E1855:O1855"/>
    <mergeCell ref="E1856:E1857"/>
    <mergeCell ref="F1856:F1857"/>
    <mergeCell ref="G1856:J1856"/>
    <mergeCell ref="K1856:M1856"/>
    <mergeCell ref="N1856:N1857"/>
    <mergeCell ref="O1856:O1857"/>
    <mergeCell ref="B1792:B1802"/>
    <mergeCell ref="B1741:B1744"/>
    <mergeCell ref="B1745:D1745"/>
    <mergeCell ref="B1746:B1752"/>
    <mergeCell ref="B1753:D1753"/>
    <mergeCell ref="B1754:B1760"/>
    <mergeCell ref="B1761:D1761"/>
    <mergeCell ref="B1762:B1768"/>
    <mergeCell ref="B1769:D1769"/>
    <mergeCell ref="B1770:B1772"/>
    <mergeCell ref="B1852:D1852"/>
    <mergeCell ref="B1853:D1853"/>
    <mergeCell ref="B1854:D1854"/>
    <mergeCell ref="B1835:D1835"/>
    <mergeCell ref="B1836:B1837"/>
    <mergeCell ref="B1838:D1838"/>
    <mergeCell ref="B1839:B1843"/>
    <mergeCell ref="B1844:D1844"/>
    <mergeCell ref="B1845:B1847"/>
    <mergeCell ref="B1848:D1848"/>
    <mergeCell ref="B1849:B1850"/>
    <mergeCell ref="B1851:D1851"/>
    <mergeCell ref="B1803:B1810"/>
    <mergeCell ref="B1811:D1811"/>
    <mergeCell ref="B1812:B1822"/>
    <mergeCell ref="B1823:D1823"/>
    <mergeCell ref="B1825:D1825"/>
    <mergeCell ref="B1826:D1826"/>
    <mergeCell ref="B1827:B1829"/>
    <mergeCell ref="B1830:D1830"/>
    <mergeCell ref="B1831:B1834"/>
    <mergeCell ref="E1738:O1738"/>
    <mergeCell ref="E1739:E1740"/>
    <mergeCell ref="F1739:F1740"/>
    <mergeCell ref="G1739:J1739"/>
    <mergeCell ref="K1739:M1739"/>
    <mergeCell ref="N1739:N1740"/>
    <mergeCell ref="O1739:O1740"/>
    <mergeCell ref="B1501:D1501"/>
    <mergeCell ref="B1502:D1502"/>
    <mergeCell ref="B1503:D1503"/>
    <mergeCell ref="B1484:D1484"/>
    <mergeCell ref="B1485:B1486"/>
    <mergeCell ref="B1487:D1487"/>
    <mergeCell ref="B1488:B1492"/>
    <mergeCell ref="B1493:D1493"/>
    <mergeCell ref="B1494:B1496"/>
    <mergeCell ref="B1497:D1497"/>
    <mergeCell ref="B1498:B1499"/>
    <mergeCell ref="B1500:D1500"/>
    <mergeCell ref="E1504:O1504"/>
    <mergeCell ref="E1505:E1506"/>
    <mergeCell ref="F1505:F1506"/>
    <mergeCell ref="G1505:J1505"/>
    <mergeCell ref="K1505:M1505"/>
    <mergeCell ref="N1505:N1506"/>
    <mergeCell ref="O1505:O1506"/>
    <mergeCell ref="B1507:B1510"/>
    <mergeCell ref="B1511:D1511"/>
    <mergeCell ref="B1452:B1459"/>
    <mergeCell ref="B1460:D1460"/>
    <mergeCell ref="B1461:B1471"/>
    <mergeCell ref="B1472:D1472"/>
    <mergeCell ref="B1474:D1474"/>
    <mergeCell ref="B1475:D1475"/>
    <mergeCell ref="B1476:B1478"/>
    <mergeCell ref="B1479:D1479"/>
    <mergeCell ref="B1480:B1483"/>
    <mergeCell ref="B1422:D1422"/>
    <mergeCell ref="B1423:D1423"/>
    <mergeCell ref="B1424:B1427"/>
    <mergeCell ref="B1428:D1428"/>
    <mergeCell ref="B1429:B1437"/>
    <mergeCell ref="B1438:D1438"/>
    <mergeCell ref="B1439:D1439"/>
    <mergeCell ref="B1440:D1440"/>
    <mergeCell ref="B1441:B1451"/>
    <mergeCell ref="B1390:B1393"/>
    <mergeCell ref="B1394:D1394"/>
    <mergeCell ref="B1395:B1401"/>
    <mergeCell ref="B1402:D1402"/>
    <mergeCell ref="B1403:B1409"/>
    <mergeCell ref="B1410:D1410"/>
    <mergeCell ref="B1411:B1417"/>
    <mergeCell ref="B1418:D1418"/>
    <mergeCell ref="B1419:B1421"/>
    <mergeCell ref="A1387:A1389"/>
    <mergeCell ref="B1387:B1389"/>
    <mergeCell ref="C1387:C1389"/>
    <mergeCell ref="D1387:D1389"/>
    <mergeCell ref="E1387:O1387"/>
    <mergeCell ref="E1388:E1389"/>
    <mergeCell ref="F1388:F1389"/>
    <mergeCell ref="G1388:J1388"/>
    <mergeCell ref="K1388:M1388"/>
    <mergeCell ref="N1388:N1389"/>
    <mergeCell ref="O1388:O1389"/>
    <mergeCell ref="B1384:D1384"/>
    <mergeCell ref="B1385:D1385"/>
    <mergeCell ref="B1386:D1386"/>
    <mergeCell ref="B1367:D1367"/>
    <mergeCell ref="B1368:B1369"/>
    <mergeCell ref="B1370:D1370"/>
    <mergeCell ref="B1371:B1375"/>
    <mergeCell ref="B1376:D1376"/>
    <mergeCell ref="B1377:B1379"/>
    <mergeCell ref="B1380:D1380"/>
    <mergeCell ref="B1381:B1382"/>
    <mergeCell ref="B1383:D1383"/>
    <mergeCell ref="B1335:B1342"/>
    <mergeCell ref="B1343:D1343"/>
    <mergeCell ref="B1344:B1354"/>
    <mergeCell ref="B1355:D1355"/>
    <mergeCell ref="B1357:D1357"/>
    <mergeCell ref="B1358:D1358"/>
    <mergeCell ref="B1359:B1361"/>
    <mergeCell ref="B1362:D1362"/>
    <mergeCell ref="B1363:B1366"/>
    <mergeCell ref="B1305:D1305"/>
    <mergeCell ref="B1306:D1306"/>
    <mergeCell ref="B1307:B1310"/>
    <mergeCell ref="B1311:D1311"/>
    <mergeCell ref="B1312:B1320"/>
    <mergeCell ref="B1321:D1321"/>
    <mergeCell ref="B1322:D1322"/>
    <mergeCell ref="B1323:D1323"/>
    <mergeCell ref="B1324:B1334"/>
    <mergeCell ref="B1273:B1276"/>
    <mergeCell ref="B1277:D1277"/>
    <mergeCell ref="B1278:B1284"/>
    <mergeCell ref="B1285:D1285"/>
    <mergeCell ref="B1286:B1292"/>
    <mergeCell ref="B1293:D1293"/>
    <mergeCell ref="B1294:B1300"/>
    <mergeCell ref="B1301:D1301"/>
    <mergeCell ref="B1302:B1304"/>
    <mergeCell ref="A1270:A1272"/>
    <mergeCell ref="B1270:B1272"/>
    <mergeCell ref="C1270:C1272"/>
    <mergeCell ref="D1270:D1272"/>
    <mergeCell ref="E1270:O1270"/>
    <mergeCell ref="E1271:E1272"/>
    <mergeCell ref="F1271:F1272"/>
    <mergeCell ref="G1271:J1271"/>
    <mergeCell ref="K1271:M1271"/>
    <mergeCell ref="N1271:N1272"/>
    <mergeCell ref="O1271:O1272"/>
    <mergeCell ref="B1267:D1267"/>
    <mergeCell ref="B1268:D1268"/>
    <mergeCell ref="B1269:D1269"/>
    <mergeCell ref="B1250:D1250"/>
    <mergeCell ref="B1251:B1252"/>
    <mergeCell ref="B1253:D1253"/>
    <mergeCell ref="B1254:B1258"/>
    <mergeCell ref="B1259:D1259"/>
    <mergeCell ref="B1260:B1262"/>
    <mergeCell ref="B1263:D1263"/>
    <mergeCell ref="B1264:B1265"/>
    <mergeCell ref="B1266:D1266"/>
    <mergeCell ref="D1153:D1155"/>
    <mergeCell ref="E1153:O1153"/>
    <mergeCell ref="E1154:E1155"/>
    <mergeCell ref="F1154:F1155"/>
    <mergeCell ref="G1154:J1154"/>
    <mergeCell ref="K1154:M1154"/>
    <mergeCell ref="N1154:N1155"/>
    <mergeCell ref="O1154:O1155"/>
    <mergeCell ref="B1218:B1225"/>
    <mergeCell ref="B1226:D1226"/>
    <mergeCell ref="B1227:B1237"/>
    <mergeCell ref="B1238:D1238"/>
    <mergeCell ref="B1240:D1240"/>
    <mergeCell ref="B1241:D1241"/>
    <mergeCell ref="B1242:B1244"/>
    <mergeCell ref="B1245:D1245"/>
    <mergeCell ref="B1246:B1249"/>
    <mergeCell ref="B1188:D1188"/>
    <mergeCell ref="B1189:D1189"/>
    <mergeCell ref="B1190:B1193"/>
    <mergeCell ref="B1194:D1194"/>
    <mergeCell ref="B1195:B1203"/>
    <mergeCell ref="B1204:D1204"/>
    <mergeCell ref="B1205:D1205"/>
    <mergeCell ref="B1206:D1206"/>
    <mergeCell ref="B1207:B1217"/>
    <mergeCell ref="B1033:D1033"/>
    <mergeCell ref="B1034:D1034"/>
    <mergeCell ref="B1035:D1035"/>
    <mergeCell ref="B1016:D1016"/>
    <mergeCell ref="B1017:B1018"/>
    <mergeCell ref="B1019:D1019"/>
    <mergeCell ref="B1020:B1024"/>
    <mergeCell ref="B1025:D1025"/>
    <mergeCell ref="B1026:B1028"/>
    <mergeCell ref="B1029:D1029"/>
    <mergeCell ref="B1030:B1031"/>
    <mergeCell ref="B1032:D1032"/>
    <mergeCell ref="B984:B991"/>
    <mergeCell ref="B992:D992"/>
    <mergeCell ref="B993:B1003"/>
    <mergeCell ref="B1004:D1004"/>
    <mergeCell ref="B1006:D1006"/>
    <mergeCell ref="B1007:D1007"/>
    <mergeCell ref="B1008:B1010"/>
    <mergeCell ref="B1011:D1011"/>
    <mergeCell ref="B1012:B1015"/>
    <mergeCell ref="B954:D954"/>
    <mergeCell ref="B955:D955"/>
    <mergeCell ref="B956:B959"/>
    <mergeCell ref="B960:D960"/>
    <mergeCell ref="B961:B969"/>
    <mergeCell ref="B970:D970"/>
    <mergeCell ref="B971:D971"/>
    <mergeCell ref="B972:D972"/>
    <mergeCell ref="B973:B983"/>
    <mergeCell ref="B923:B926"/>
    <mergeCell ref="B927:D927"/>
    <mergeCell ref="B928:B934"/>
    <mergeCell ref="B935:D935"/>
    <mergeCell ref="B936:B942"/>
    <mergeCell ref="B943:D943"/>
    <mergeCell ref="B944:B949"/>
    <mergeCell ref="B950:D950"/>
    <mergeCell ref="B951:B953"/>
    <mergeCell ref="A920:A922"/>
    <mergeCell ref="B920:B922"/>
    <mergeCell ref="C920:C922"/>
    <mergeCell ref="D920:D922"/>
    <mergeCell ref="E920:O920"/>
    <mergeCell ref="E921:E922"/>
    <mergeCell ref="F921:F922"/>
    <mergeCell ref="G921:J921"/>
    <mergeCell ref="K921:M921"/>
    <mergeCell ref="N921:N922"/>
    <mergeCell ref="O921:O922"/>
    <mergeCell ref="B917:D917"/>
    <mergeCell ref="B918:D918"/>
    <mergeCell ref="B919:D919"/>
    <mergeCell ref="B900:D900"/>
    <mergeCell ref="B901:B902"/>
    <mergeCell ref="B903:D903"/>
    <mergeCell ref="B904:B908"/>
    <mergeCell ref="B909:D909"/>
    <mergeCell ref="B910:B912"/>
    <mergeCell ref="B913:D913"/>
    <mergeCell ref="B914:B915"/>
    <mergeCell ref="B916:D916"/>
    <mergeCell ref="B868:B875"/>
    <mergeCell ref="B876:D876"/>
    <mergeCell ref="B877:B887"/>
    <mergeCell ref="B888:D888"/>
    <mergeCell ref="B890:D890"/>
    <mergeCell ref="B891:D891"/>
    <mergeCell ref="B892:B894"/>
    <mergeCell ref="B895:D895"/>
    <mergeCell ref="B896:B899"/>
    <mergeCell ref="B838:D838"/>
    <mergeCell ref="B839:D839"/>
    <mergeCell ref="B840:B843"/>
    <mergeCell ref="B844:D844"/>
    <mergeCell ref="B845:B853"/>
    <mergeCell ref="B854:D854"/>
    <mergeCell ref="B855:D855"/>
    <mergeCell ref="B856:D856"/>
    <mergeCell ref="B857:B867"/>
    <mergeCell ref="B808:B811"/>
    <mergeCell ref="B812:D812"/>
    <mergeCell ref="B813:B819"/>
    <mergeCell ref="B820:D820"/>
    <mergeCell ref="B821:B827"/>
    <mergeCell ref="B828:D828"/>
    <mergeCell ref="B829:B833"/>
    <mergeCell ref="B834:D834"/>
    <mergeCell ref="B835:B837"/>
    <mergeCell ref="A805:A807"/>
    <mergeCell ref="B805:B807"/>
    <mergeCell ref="C805:C807"/>
    <mergeCell ref="D805:D807"/>
    <mergeCell ref="E805:O805"/>
    <mergeCell ref="E806:E807"/>
    <mergeCell ref="F806:F807"/>
    <mergeCell ref="G806:J806"/>
    <mergeCell ref="K806:M806"/>
    <mergeCell ref="N806:N807"/>
    <mergeCell ref="O806:O807"/>
    <mergeCell ref="B802:D802"/>
    <mergeCell ref="B803:D803"/>
    <mergeCell ref="B804:D804"/>
    <mergeCell ref="B785:D785"/>
    <mergeCell ref="B786:B787"/>
    <mergeCell ref="B788:D788"/>
    <mergeCell ref="B789:B793"/>
    <mergeCell ref="B794:D794"/>
    <mergeCell ref="B795:B797"/>
    <mergeCell ref="B798:D798"/>
    <mergeCell ref="B799:B800"/>
    <mergeCell ref="B801:D801"/>
    <mergeCell ref="B753:B760"/>
    <mergeCell ref="B761:D761"/>
    <mergeCell ref="B762:B772"/>
    <mergeCell ref="B773:D773"/>
    <mergeCell ref="B775:D775"/>
    <mergeCell ref="B776:D776"/>
    <mergeCell ref="B777:B779"/>
    <mergeCell ref="B780:D780"/>
    <mergeCell ref="B781:B784"/>
    <mergeCell ref="B723:D723"/>
    <mergeCell ref="B724:D724"/>
    <mergeCell ref="B725:B728"/>
    <mergeCell ref="B729:D729"/>
    <mergeCell ref="B730:B738"/>
    <mergeCell ref="B739:D739"/>
    <mergeCell ref="B740:D740"/>
    <mergeCell ref="B741:D741"/>
    <mergeCell ref="B742:B752"/>
    <mergeCell ref="B693:B696"/>
    <mergeCell ref="B697:D697"/>
    <mergeCell ref="B698:B704"/>
    <mergeCell ref="B705:D705"/>
    <mergeCell ref="B706:B712"/>
    <mergeCell ref="B713:D713"/>
    <mergeCell ref="B714:B718"/>
    <mergeCell ref="B719:D719"/>
    <mergeCell ref="B720:B722"/>
    <mergeCell ref="A690:A692"/>
    <mergeCell ref="B690:B692"/>
    <mergeCell ref="C690:C692"/>
    <mergeCell ref="D690:D692"/>
    <mergeCell ref="E690:O690"/>
    <mergeCell ref="E691:E692"/>
    <mergeCell ref="F691:F692"/>
    <mergeCell ref="G691:J691"/>
    <mergeCell ref="K691:M691"/>
    <mergeCell ref="N691:N692"/>
    <mergeCell ref="O691:O692"/>
    <mergeCell ref="B687:D687"/>
    <mergeCell ref="B688:D688"/>
    <mergeCell ref="B689:D689"/>
    <mergeCell ref="B670:D670"/>
    <mergeCell ref="B671:B672"/>
    <mergeCell ref="B673:D673"/>
    <mergeCell ref="B674:B678"/>
    <mergeCell ref="B679:D679"/>
    <mergeCell ref="B680:B682"/>
    <mergeCell ref="B683:D683"/>
    <mergeCell ref="B684:B685"/>
    <mergeCell ref="B686:D686"/>
    <mergeCell ref="B638:B645"/>
    <mergeCell ref="B646:D646"/>
    <mergeCell ref="B647:B657"/>
    <mergeCell ref="B658:D658"/>
    <mergeCell ref="B660:D660"/>
    <mergeCell ref="B661:D661"/>
    <mergeCell ref="B662:B664"/>
    <mergeCell ref="B665:D665"/>
    <mergeCell ref="B666:B669"/>
    <mergeCell ref="B608:D608"/>
    <mergeCell ref="B609:D609"/>
    <mergeCell ref="B610:B613"/>
    <mergeCell ref="B614:D614"/>
    <mergeCell ref="B615:B623"/>
    <mergeCell ref="B624:D624"/>
    <mergeCell ref="B625:D625"/>
    <mergeCell ref="B626:D626"/>
    <mergeCell ref="B627:B637"/>
    <mergeCell ref="B578:B581"/>
    <mergeCell ref="B582:D582"/>
    <mergeCell ref="B583:B589"/>
    <mergeCell ref="B590:D590"/>
    <mergeCell ref="B591:B597"/>
    <mergeCell ref="B598:D598"/>
    <mergeCell ref="B599:B603"/>
    <mergeCell ref="B604:D604"/>
    <mergeCell ref="B605:B607"/>
    <mergeCell ref="A575:A577"/>
    <mergeCell ref="B575:B577"/>
    <mergeCell ref="C575:C577"/>
    <mergeCell ref="D575:D577"/>
    <mergeCell ref="E575:O575"/>
    <mergeCell ref="E576:E577"/>
    <mergeCell ref="F576:F577"/>
    <mergeCell ref="G576:J576"/>
    <mergeCell ref="K576:M576"/>
    <mergeCell ref="N576:N577"/>
    <mergeCell ref="O576:O577"/>
    <mergeCell ref="B572:D572"/>
    <mergeCell ref="B573:D573"/>
    <mergeCell ref="B574:D574"/>
    <mergeCell ref="B555:D555"/>
    <mergeCell ref="B556:B557"/>
    <mergeCell ref="B558:D558"/>
    <mergeCell ref="B559:B563"/>
    <mergeCell ref="B564:D564"/>
    <mergeCell ref="B565:B567"/>
    <mergeCell ref="B568:D568"/>
    <mergeCell ref="B569:B570"/>
    <mergeCell ref="B571:D571"/>
    <mergeCell ref="B523:B530"/>
    <mergeCell ref="B531:D531"/>
    <mergeCell ref="B532:B542"/>
    <mergeCell ref="B543:D543"/>
    <mergeCell ref="B545:D545"/>
    <mergeCell ref="B546:D546"/>
    <mergeCell ref="B547:B549"/>
    <mergeCell ref="B550:D550"/>
    <mergeCell ref="B551:B554"/>
    <mergeCell ref="B493:D493"/>
    <mergeCell ref="B494:D494"/>
    <mergeCell ref="B495:B498"/>
    <mergeCell ref="B499:D499"/>
    <mergeCell ref="B500:B508"/>
    <mergeCell ref="B509:D509"/>
    <mergeCell ref="B510:D510"/>
    <mergeCell ref="B511:D511"/>
    <mergeCell ref="B512:B522"/>
    <mergeCell ref="B465:B468"/>
    <mergeCell ref="B469:D469"/>
    <mergeCell ref="B470:B476"/>
    <mergeCell ref="B477:D477"/>
    <mergeCell ref="B478:B484"/>
    <mergeCell ref="B485:D485"/>
    <mergeCell ref="B486:B488"/>
    <mergeCell ref="B489:D489"/>
    <mergeCell ref="B490:B492"/>
    <mergeCell ref="A462:A464"/>
    <mergeCell ref="B462:B464"/>
    <mergeCell ref="C462:C464"/>
    <mergeCell ref="D462:D464"/>
    <mergeCell ref="E462:O462"/>
    <mergeCell ref="E463:E464"/>
    <mergeCell ref="F463:F464"/>
    <mergeCell ref="G463:J463"/>
    <mergeCell ref="K463:M463"/>
    <mergeCell ref="N463:N464"/>
    <mergeCell ref="O463:O464"/>
    <mergeCell ref="B459:D459"/>
    <mergeCell ref="B460:D460"/>
    <mergeCell ref="B461:D461"/>
    <mergeCell ref="B442:D442"/>
    <mergeCell ref="B443:B444"/>
    <mergeCell ref="B445:D445"/>
    <mergeCell ref="B446:B450"/>
    <mergeCell ref="B451:D451"/>
    <mergeCell ref="B452:B454"/>
    <mergeCell ref="B455:D455"/>
    <mergeCell ref="B456:B457"/>
    <mergeCell ref="B458:D458"/>
    <mergeCell ref="B410:B417"/>
    <mergeCell ref="B418:D418"/>
    <mergeCell ref="B419:B429"/>
    <mergeCell ref="B430:D430"/>
    <mergeCell ref="B432:D432"/>
    <mergeCell ref="B433:D433"/>
    <mergeCell ref="B434:B436"/>
    <mergeCell ref="B437:D437"/>
    <mergeCell ref="B438:B441"/>
    <mergeCell ref="B380:D380"/>
    <mergeCell ref="B381:D381"/>
    <mergeCell ref="B382:B385"/>
    <mergeCell ref="B386:D386"/>
    <mergeCell ref="B387:B395"/>
    <mergeCell ref="B396:D396"/>
    <mergeCell ref="B397:D397"/>
    <mergeCell ref="B398:D398"/>
    <mergeCell ref="B399:B409"/>
    <mergeCell ref="B352:B355"/>
    <mergeCell ref="B356:D356"/>
    <mergeCell ref="B357:B363"/>
    <mergeCell ref="B364:D364"/>
    <mergeCell ref="B365:B371"/>
    <mergeCell ref="B372:D372"/>
    <mergeCell ref="B373:B375"/>
    <mergeCell ref="B376:D376"/>
    <mergeCell ref="B377:B379"/>
    <mergeCell ref="A349:A351"/>
    <mergeCell ref="B349:B351"/>
    <mergeCell ref="C349:C351"/>
    <mergeCell ref="D349:D351"/>
    <mergeCell ref="E349:O349"/>
    <mergeCell ref="E350:E351"/>
    <mergeCell ref="F350:F351"/>
    <mergeCell ref="G350:J350"/>
    <mergeCell ref="K350:M350"/>
    <mergeCell ref="N350:N351"/>
    <mergeCell ref="O350:O351"/>
    <mergeCell ref="B121:D121"/>
    <mergeCell ref="B122:D122"/>
    <mergeCell ref="B116:D116"/>
    <mergeCell ref="B117:B118"/>
    <mergeCell ref="B119:D119"/>
    <mergeCell ref="B120:D120"/>
    <mergeCell ref="B41:D41"/>
    <mergeCell ref="B80:B90"/>
    <mergeCell ref="B91:D91"/>
    <mergeCell ref="B93:D93"/>
    <mergeCell ref="B94:D94"/>
    <mergeCell ref="B113:B115"/>
    <mergeCell ref="B103:D103"/>
    <mergeCell ref="B104:B105"/>
    <mergeCell ref="B106:D106"/>
    <mergeCell ref="B107:B111"/>
    <mergeCell ref="B112:D112"/>
    <mergeCell ref="B95:B97"/>
    <mergeCell ref="B98:D98"/>
    <mergeCell ref="B99:B102"/>
    <mergeCell ref="B58:D58"/>
    <mergeCell ref="B59:D59"/>
    <mergeCell ref="B60:B70"/>
    <mergeCell ref="B71:B78"/>
    <mergeCell ref="B79:D79"/>
    <mergeCell ref="B42:D42"/>
    <mergeCell ref="B43:B46"/>
    <mergeCell ref="B47:D47"/>
    <mergeCell ref="B48:B56"/>
    <mergeCell ref="B57:D57"/>
    <mergeCell ref="B13:B16"/>
    <mergeCell ref="B17:D17"/>
    <mergeCell ref="B18:B24"/>
    <mergeCell ref="B25:D25"/>
    <mergeCell ref="B26:B32"/>
    <mergeCell ref="B33:D33"/>
    <mergeCell ref="B34:B36"/>
    <mergeCell ref="B37:D37"/>
    <mergeCell ref="B38:B40"/>
    <mergeCell ref="A8:O8"/>
    <mergeCell ref="A10:A12"/>
    <mergeCell ref="B10:B12"/>
    <mergeCell ref="C10:C12"/>
    <mergeCell ref="D10:D12"/>
    <mergeCell ref="E10:O10"/>
    <mergeCell ref="E11:E12"/>
    <mergeCell ref="F11:F12"/>
    <mergeCell ref="G11:J11"/>
    <mergeCell ref="K11:M11"/>
    <mergeCell ref="N11:N12"/>
    <mergeCell ref="O11:O12"/>
    <mergeCell ref="A123:A125"/>
    <mergeCell ref="B123:B125"/>
    <mergeCell ref="C123:C125"/>
    <mergeCell ref="D123:D125"/>
    <mergeCell ref="E123:O123"/>
    <mergeCell ref="E124:E125"/>
    <mergeCell ref="F124:F125"/>
    <mergeCell ref="G124:J124"/>
    <mergeCell ref="K124:M124"/>
    <mergeCell ref="N124:N125"/>
    <mergeCell ref="O124:O125"/>
    <mergeCell ref="B146:D146"/>
    <mergeCell ref="B147:B149"/>
    <mergeCell ref="B150:D150"/>
    <mergeCell ref="B151:B153"/>
    <mergeCell ref="B154:D154"/>
    <mergeCell ref="B126:B129"/>
    <mergeCell ref="B130:D130"/>
    <mergeCell ref="B131:B137"/>
    <mergeCell ref="B138:D138"/>
    <mergeCell ref="B139:B145"/>
    <mergeCell ref="B171:D171"/>
    <mergeCell ref="B172:D172"/>
    <mergeCell ref="B173:B183"/>
    <mergeCell ref="B184:B191"/>
    <mergeCell ref="B192:D192"/>
    <mergeCell ref="B155:D155"/>
    <mergeCell ref="B156:B159"/>
    <mergeCell ref="B160:D160"/>
    <mergeCell ref="B161:B169"/>
    <mergeCell ref="B170:D170"/>
    <mergeCell ref="B211:D211"/>
    <mergeCell ref="B212:B215"/>
    <mergeCell ref="B216:D216"/>
    <mergeCell ref="B217:B218"/>
    <mergeCell ref="B219:D219"/>
    <mergeCell ref="B193:B203"/>
    <mergeCell ref="B204:D204"/>
    <mergeCell ref="B206:D206"/>
    <mergeCell ref="B207:D207"/>
    <mergeCell ref="B208:B210"/>
    <mergeCell ref="B232:D232"/>
    <mergeCell ref="B233:D233"/>
    <mergeCell ref="B234:D234"/>
    <mergeCell ref="B235:D235"/>
    <mergeCell ref="B220:B224"/>
    <mergeCell ref="B225:D225"/>
    <mergeCell ref="B226:B228"/>
    <mergeCell ref="B229:D229"/>
    <mergeCell ref="B230:B231"/>
    <mergeCell ref="A236:A238"/>
    <mergeCell ref="B236:B238"/>
    <mergeCell ref="C236:C238"/>
    <mergeCell ref="D236:D238"/>
    <mergeCell ref="E236:O236"/>
    <mergeCell ref="E237:E238"/>
    <mergeCell ref="F237:F238"/>
    <mergeCell ref="G237:J237"/>
    <mergeCell ref="K237:M237"/>
    <mergeCell ref="N237:N238"/>
    <mergeCell ref="O237:O238"/>
    <mergeCell ref="B239:B242"/>
    <mergeCell ref="B243:D243"/>
    <mergeCell ref="B244:B250"/>
    <mergeCell ref="B251:D251"/>
    <mergeCell ref="B252:B258"/>
    <mergeCell ref="B259:D259"/>
    <mergeCell ref="B260:B262"/>
    <mergeCell ref="B263:D263"/>
    <mergeCell ref="B264:B266"/>
    <mergeCell ref="B267:D267"/>
    <mergeCell ref="B268:D268"/>
    <mergeCell ref="B269:B272"/>
    <mergeCell ref="B273:D273"/>
    <mergeCell ref="B274:B282"/>
    <mergeCell ref="B283:D283"/>
    <mergeCell ref="B284:D284"/>
    <mergeCell ref="B285:D285"/>
    <mergeCell ref="B286:B296"/>
    <mergeCell ref="B297:B304"/>
    <mergeCell ref="B305:D305"/>
    <mergeCell ref="B306:B316"/>
    <mergeCell ref="B317:D317"/>
    <mergeCell ref="B319:D319"/>
    <mergeCell ref="B320:D320"/>
    <mergeCell ref="B321:B323"/>
    <mergeCell ref="B324:D324"/>
    <mergeCell ref="B325:B328"/>
    <mergeCell ref="B346:D346"/>
    <mergeCell ref="B347:D347"/>
    <mergeCell ref="B348:D348"/>
    <mergeCell ref="B329:D329"/>
    <mergeCell ref="B330:B331"/>
    <mergeCell ref="B332:D332"/>
    <mergeCell ref="B333:B337"/>
    <mergeCell ref="B338:D338"/>
    <mergeCell ref="B339:B341"/>
    <mergeCell ref="B342:D342"/>
    <mergeCell ref="B343:B344"/>
    <mergeCell ref="B345:D345"/>
    <mergeCell ref="A1036:A1038"/>
    <mergeCell ref="B1036:B1038"/>
    <mergeCell ref="C1036:C1038"/>
    <mergeCell ref="D1036:D1038"/>
    <mergeCell ref="E1036:O1036"/>
    <mergeCell ref="E1037:E1038"/>
    <mergeCell ref="F1037:F1038"/>
    <mergeCell ref="G1037:J1037"/>
    <mergeCell ref="K1037:M1037"/>
    <mergeCell ref="N1037:N1038"/>
    <mergeCell ref="O1037:O1038"/>
    <mergeCell ref="B1039:B1042"/>
    <mergeCell ref="B1043:D1043"/>
    <mergeCell ref="B1044:B1050"/>
    <mergeCell ref="B1051:D1051"/>
    <mergeCell ref="B1052:B1058"/>
    <mergeCell ref="B1059:D1059"/>
    <mergeCell ref="B1060:B1066"/>
    <mergeCell ref="B1067:D1067"/>
    <mergeCell ref="B1068:B1070"/>
    <mergeCell ref="B1071:D1071"/>
    <mergeCell ref="B1072:D1072"/>
    <mergeCell ref="B1073:B1076"/>
    <mergeCell ref="B1077:D1077"/>
    <mergeCell ref="B1078:B1086"/>
    <mergeCell ref="B1087:D1087"/>
    <mergeCell ref="B1088:D1088"/>
    <mergeCell ref="B1089:D1089"/>
    <mergeCell ref="B1090:B1100"/>
    <mergeCell ref="B1101:B1108"/>
    <mergeCell ref="B1109:D1109"/>
    <mergeCell ref="B1110:B1120"/>
    <mergeCell ref="B1121:D1121"/>
    <mergeCell ref="B1123:D1123"/>
    <mergeCell ref="B1124:D1124"/>
    <mergeCell ref="B1125:B1127"/>
    <mergeCell ref="B1128:D1128"/>
    <mergeCell ref="B1129:B1132"/>
    <mergeCell ref="B1150:D1150"/>
    <mergeCell ref="B1151:D1151"/>
    <mergeCell ref="B1152:D1152"/>
    <mergeCell ref="B1133:D1133"/>
    <mergeCell ref="B1134:B1135"/>
    <mergeCell ref="B1136:D1136"/>
    <mergeCell ref="B1137:B1141"/>
    <mergeCell ref="B1142:D1142"/>
    <mergeCell ref="B1143:B1145"/>
    <mergeCell ref="B1146:D1146"/>
    <mergeCell ref="B1147:B1148"/>
    <mergeCell ref="B1149:D1149"/>
    <mergeCell ref="A1504:A1506"/>
    <mergeCell ref="B1504:B1506"/>
    <mergeCell ref="C1504:C1506"/>
    <mergeCell ref="D1504:D1506"/>
    <mergeCell ref="B1156:B1159"/>
    <mergeCell ref="B1160:D1160"/>
    <mergeCell ref="B1161:B1167"/>
    <mergeCell ref="B1168:D1168"/>
    <mergeCell ref="B1169:B1175"/>
    <mergeCell ref="B1176:D1176"/>
    <mergeCell ref="B1177:B1183"/>
    <mergeCell ref="B1184:D1184"/>
    <mergeCell ref="B1185:B1187"/>
    <mergeCell ref="A1153:A1155"/>
    <mergeCell ref="B1153:B1155"/>
    <mergeCell ref="C1153:C1155"/>
    <mergeCell ref="B1512:B1518"/>
    <mergeCell ref="B1519:D1519"/>
    <mergeCell ref="B1520:B1526"/>
    <mergeCell ref="B1527:D1527"/>
    <mergeCell ref="B1528:B1534"/>
    <mergeCell ref="B1535:D1535"/>
    <mergeCell ref="B1536:B1538"/>
    <mergeCell ref="B1539:D1539"/>
    <mergeCell ref="B1540:D1540"/>
    <mergeCell ref="B1541:B1544"/>
    <mergeCell ref="B1545:D1545"/>
    <mergeCell ref="B1546:B1554"/>
    <mergeCell ref="B1555:D1555"/>
    <mergeCell ref="B1556:D1556"/>
    <mergeCell ref="B1557:D1557"/>
    <mergeCell ref="B1558:B1568"/>
    <mergeCell ref="B1569:B1576"/>
    <mergeCell ref="B1577:D1577"/>
    <mergeCell ref="B1578:B1588"/>
    <mergeCell ref="B1589:D1589"/>
    <mergeCell ref="B1591:D1591"/>
    <mergeCell ref="B1592:D1592"/>
    <mergeCell ref="B1593:B1595"/>
    <mergeCell ref="B1596:D1596"/>
    <mergeCell ref="B1597:B1600"/>
    <mergeCell ref="B1618:D1618"/>
    <mergeCell ref="B1619:D1619"/>
    <mergeCell ref="B1620:D1620"/>
    <mergeCell ref="B1601:D1601"/>
    <mergeCell ref="B1602:B1603"/>
    <mergeCell ref="B1604:D1604"/>
    <mergeCell ref="B1605:B1609"/>
    <mergeCell ref="B1610:D1610"/>
    <mergeCell ref="B1611:B1613"/>
    <mergeCell ref="B1614:D1614"/>
    <mergeCell ref="B1615:B1616"/>
    <mergeCell ref="B1617:D1617"/>
    <mergeCell ref="A1621:A1623"/>
    <mergeCell ref="B1621:B1623"/>
    <mergeCell ref="C1621:C1623"/>
    <mergeCell ref="D1621:D1623"/>
    <mergeCell ref="E1621:O1621"/>
    <mergeCell ref="E1622:E1623"/>
    <mergeCell ref="F1622:F1623"/>
    <mergeCell ref="G1622:J1622"/>
    <mergeCell ref="K1622:M1622"/>
    <mergeCell ref="N1622:N1623"/>
    <mergeCell ref="O1622:O1623"/>
    <mergeCell ref="B1624:B1627"/>
    <mergeCell ref="B1628:D1628"/>
    <mergeCell ref="B1629:B1635"/>
    <mergeCell ref="B1636:D1636"/>
    <mergeCell ref="B1637:B1643"/>
    <mergeCell ref="B1644:D1644"/>
    <mergeCell ref="B1645:B1651"/>
    <mergeCell ref="B1652:D1652"/>
    <mergeCell ref="B1653:B1655"/>
    <mergeCell ref="B1656:D1656"/>
    <mergeCell ref="B1657:D1657"/>
    <mergeCell ref="B1658:B1661"/>
    <mergeCell ref="B1662:D1662"/>
    <mergeCell ref="B1663:B1671"/>
    <mergeCell ref="B1672:D1672"/>
    <mergeCell ref="B1673:D1673"/>
    <mergeCell ref="B1674:D1674"/>
    <mergeCell ref="B1675:B1685"/>
    <mergeCell ref="B1686:B1693"/>
    <mergeCell ref="B1694:D1694"/>
    <mergeCell ref="B1695:B1705"/>
    <mergeCell ref="B1706:D1706"/>
    <mergeCell ref="B1708:D1708"/>
    <mergeCell ref="B1709:D1709"/>
    <mergeCell ref="B1710:B1712"/>
    <mergeCell ref="B1713:D1713"/>
    <mergeCell ref="B1714:B1717"/>
    <mergeCell ref="B1735:D1735"/>
    <mergeCell ref="B1736:D1736"/>
    <mergeCell ref="B1737:D1737"/>
    <mergeCell ref="B1718:D1718"/>
    <mergeCell ref="B1719:B1720"/>
    <mergeCell ref="B1721:D1721"/>
    <mergeCell ref="B1722:B1726"/>
    <mergeCell ref="B1727:D1727"/>
    <mergeCell ref="B1728:B1730"/>
    <mergeCell ref="B1731:D1731"/>
    <mergeCell ref="B1732:B1733"/>
    <mergeCell ref="B1734:D1734"/>
    <mergeCell ref="A1972:A1974"/>
    <mergeCell ref="B1972:B1974"/>
    <mergeCell ref="C1972:C1974"/>
    <mergeCell ref="D1972:D1974"/>
    <mergeCell ref="A1738:A1740"/>
    <mergeCell ref="B1738:B1740"/>
    <mergeCell ref="C1738:C1740"/>
    <mergeCell ref="D1738:D1740"/>
    <mergeCell ref="B1773:D1773"/>
    <mergeCell ref="B1774:D1774"/>
    <mergeCell ref="B1775:B1778"/>
    <mergeCell ref="B1779:D1779"/>
    <mergeCell ref="B1780:B1788"/>
    <mergeCell ref="B1789:D1789"/>
    <mergeCell ref="B1790:D1790"/>
    <mergeCell ref="B1791:D1791"/>
    <mergeCell ref="B1980:B1986"/>
    <mergeCell ref="B1987:D1987"/>
    <mergeCell ref="B1988:B1994"/>
    <mergeCell ref="B1995:D1995"/>
    <mergeCell ref="B1996:B2002"/>
    <mergeCell ref="B2003:D2003"/>
    <mergeCell ref="B2004:B2006"/>
    <mergeCell ref="B2007:D2007"/>
    <mergeCell ref="B2008:D2008"/>
    <mergeCell ref="B2009:B2012"/>
    <mergeCell ref="B2013:D2013"/>
    <mergeCell ref="B2014:B2022"/>
    <mergeCell ref="B2023:D2023"/>
    <mergeCell ref="B2024:D2024"/>
    <mergeCell ref="B2025:D2025"/>
    <mergeCell ref="B2026:B2036"/>
    <mergeCell ref="B2037:B2044"/>
    <mergeCell ref="B2045:D2045"/>
    <mergeCell ref="B2046:B2056"/>
    <mergeCell ref="B2057:D2057"/>
    <mergeCell ref="B2059:D2059"/>
    <mergeCell ref="B2060:D2060"/>
    <mergeCell ref="B2061:B2063"/>
    <mergeCell ref="B2064:D2064"/>
    <mergeCell ref="B2065:B2068"/>
    <mergeCell ref="B2086:D2086"/>
    <mergeCell ref="B2087:D2087"/>
    <mergeCell ref="B2088:D2088"/>
    <mergeCell ref="B2069:D2069"/>
    <mergeCell ref="B2070:B2071"/>
    <mergeCell ref="B2072:D2072"/>
    <mergeCell ref="B2073:B2077"/>
    <mergeCell ref="B2078:D2078"/>
    <mergeCell ref="B2079:B2081"/>
    <mergeCell ref="B2082:D2082"/>
    <mergeCell ref="B2083:B2084"/>
    <mergeCell ref="B2085:D2085"/>
    <mergeCell ref="B2176:D2176"/>
    <mergeCell ref="A2089:A2091"/>
    <mergeCell ref="B2089:B2091"/>
    <mergeCell ref="C2089:C2091"/>
    <mergeCell ref="D2089:D2091"/>
    <mergeCell ref="E2089:O2089"/>
    <mergeCell ref="E2090:E2091"/>
    <mergeCell ref="F2090:F2091"/>
    <mergeCell ref="G2090:J2090"/>
    <mergeCell ref="K2090:M2090"/>
    <mergeCell ref="N2090:N2091"/>
    <mergeCell ref="O2090:O2091"/>
    <mergeCell ref="B2092:B2095"/>
    <mergeCell ref="B2096:D2096"/>
    <mergeCell ref="B2097:B2103"/>
    <mergeCell ref="B2104:D2104"/>
    <mergeCell ref="B2105:B2111"/>
    <mergeCell ref="B2112:D2112"/>
    <mergeCell ref="B2177:D2177"/>
    <mergeCell ref="B2178:B2180"/>
    <mergeCell ref="B2181:D2181"/>
    <mergeCell ref="B2182:B2185"/>
    <mergeCell ref="B2203:D2203"/>
    <mergeCell ref="B2204:D2204"/>
    <mergeCell ref="B2205:D2205"/>
    <mergeCell ref="B2186:D2186"/>
    <mergeCell ref="B2187:B2188"/>
    <mergeCell ref="B2189:D2189"/>
    <mergeCell ref="B2190:B2194"/>
    <mergeCell ref="B2195:D2195"/>
    <mergeCell ref="B2196:B2198"/>
    <mergeCell ref="B2199:D2199"/>
    <mergeCell ref="B2200:B2201"/>
    <mergeCell ref="B2202:D2202"/>
    <mergeCell ref="B2113:B2119"/>
    <mergeCell ref="B2120:D2120"/>
    <mergeCell ref="B2121:B2123"/>
    <mergeCell ref="B2124:D2124"/>
    <mergeCell ref="B2125:D2125"/>
    <mergeCell ref="B2126:B2129"/>
    <mergeCell ref="B2130:D2130"/>
    <mergeCell ref="B2131:B2139"/>
    <mergeCell ref="B2140:D2140"/>
    <mergeCell ref="B2141:D2141"/>
    <mergeCell ref="B2142:D2142"/>
    <mergeCell ref="B2143:B2153"/>
    <mergeCell ref="B2154:B2161"/>
    <mergeCell ref="B2162:D2162"/>
    <mergeCell ref="B2163:B2173"/>
    <mergeCell ref="B2174:D2174"/>
  </mergeCells>
  <pageMargins left="0.19685039370078741" right="0.19685039370078741" top="0.19685039370078741" bottom="0.19685039370078741" header="0.19685039370078741" footer="0.19685039370078741"/>
  <pageSetup paperSize="9" scale="27" orientation="portrait" verticalDpi="300" r:id="rId1"/>
  <rowBreaks count="19" manualBreakCount="19">
    <brk id="122" max="14" man="1"/>
    <brk id="235" max="14" man="1"/>
    <brk id="348" max="14" man="1"/>
    <brk id="461" max="14" man="1"/>
    <brk id="574" max="14" man="1"/>
    <brk id="689" max="14" man="1"/>
    <brk id="804" max="14" man="1"/>
    <brk id="919" max="14" man="1"/>
    <brk id="1035" max="14" man="1"/>
    <brk id="1152" max="14" man="1"/>
    <brk id="1269" max="14" man="1"/>
    <brk id="1386" max="14" man="1"/>
    <brk id="1503" max="14" man="1"/>
    <brk id="1620" max="14" man="1"/>
    <brk id="1737" max="14" man="1"/>
    <brk id="1854" max="14" man="1"/>
    <brk id="1971" max="14" man="1"/>
    <brk id="2088" max="14" man="1"/>
    <brk id="2205" max="14" man="1"/>
  </rowBreaks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FF00"/>
  </sheetPr>
  <dimension ref="A7:O2329"/>
  <sheetViews>
    <sheetView tabSelected="1" view="pageBreakPreview" zoomScale="50" zoomScaleNormal="70" zoomScaleSheetLayoutView="50" workbookViewId="0">
      <selection activeCell="L1158" sqref="L1158"/>
    </sheetView>
  </sheetViews>
  <sheetFormatPr defaultColWidth="9.109375" defaultRowHeight="13.8" x14ac:dyDescent="0.3"/>
  <cols>
    <col min="1" max="1" width="10.109375" style="229" customWidth="1"/>
    <col min="2" max="2" width="26.44140625" style="266" bestFit="1" customWidth="1"/>
    <col min="3" max="3" width="83.44140625" style="266" customWidth="1"/>
    <col min="4" max="4" width="44.33203125" style="229" customWidth="1"/>
    <col min="5" max="5" width="14.6640625" style="376" customWidth="1"/>
    <col min="6" max="7" width="33.109375" style="377" customWidth="1"/>
    <col min="8" max="8" width="14.6640625" style="376" customWidth="1"/>
    <col min="9" max="10" width="33.109375" style="377" customWidth="1"/>
    <col min="11" max="11" width="9.109375" style="229"/>
    <col min="12" max="12" width="11.33203125" style="229" bestFit="1" customWidth="1"/>
    <col min="13" max="16384" width="9.109375" style="229"/>
  </cols>
  <sheetData>
    <row r="7" spans="1:10" ht="67.2" customHeight="1" x14ac:dyDescent="0.3">
      <c r="A7" s="220" t="s">
        <v>0</v>
      </c>
    </row>
    <row r="9" spans="1:10" ht="81" customHeight="1" x14ac:dyDescent="0.3">
      <c r="A9" s="1088" t="s">
        <v>479</v>
      </c>
      <c r="B9" s="1089"/>
      <c r="C9" s="1089"/>
      <c r="D9" s="1089"/>
      <c r="E9" s="1089"/>
      <c r="F9" s="1089"/>
      <c r="G9" s="1089"/>
      <c r="H9" s="1089"/>
      <c r="I9" s="1089"/>
      <c r="J9" s="1089"/>
    </row>
    <row r="10" spans="1:10" ht="24.6" customHeight="1" thickBot="1" x14ac:dyDescent="0.35">
      <c r="A10" s="230"/>
      <c r="B10" s="230"/>
      <c r="C10" s="230"/>
      <c r="D10" s="230"/>
      <c r="E10" s="378"/>
      <c r="F10" s="378"/>
      <c r="G10" s="378"/>
      <c r="H10" s="378"/>
      <c r="I10" s="378"/>
      <c r="J10" s="378"/>
    </row>
    <row r="11" spans="1:10" ht="23.4" x14ac:dyDescent="0.3">
      <c r="A11" s="1057" t="s">
        <v>1</v>
      </c>
      <c r="B11" s="1060" t="s">
        <v>2</v>
      </c>
      <c r="C11" s="1063" t="s">
        <v>396</v>
      </c>
      <c r="D11" s="1063" t="s">
        <v>397</v>
      </c>
      <c r="E11" s="1092" t="s">
        <v>405</v>
      </c>
      <c r="F11" s="1093"/>
      <c r="G11" s="1093"/>
      <c r="H11" s="442"/>
      <c r="I11" s="442"/>
      <c r="J11" s="443"/>
    </row>
    <row r="12" spans="1:10" ht="23.4" x14ac:dyDescent="0.3">
      <c r="A12" s="1058"/>
      <c r="B12" s="1061"/>
      <c r="C12" s="1064"/>
      <c r="D12" s="1064"/>
      <c r="E12" s="1094" t="s">
        <v>408</v>
      </c>
      <c r="F12" s="1095"/>
      <c r="G12" s="1096"/>
      <c r="H12" s="1094" t="s">
        <v>168</v>
      </c>
      <c r="I12" s="1095"/>
      <c r="J12" s="1096"/>
    </row>
    <row r="13" spans="1:10" ht="46.8" x14ac:dyDescent="0.3">
      <c r="A13" s="1059"/>
      <c r="B13" s="1090"/>
      <c r="C13" s="1091"/>
      <c r="D13" s="1091"/>
      <c r="E13" s="379" t="s">
        <v>170</v>
      </c>
      <c r="F13" s="742" t="s">
        <v>407</v>
      </c>
      <c r="G13" s="743" t="s">
        <v>406</v>
      </c>
      <c r="H13" s="1097" t="s">
        <v>170</v>
      </c>
      <c r="I13" s="1099" t="s">
        <v>137</v>
      </c>
      <c r="J13" s="1101" t="s">
        <v>406</v>
      </c>
    </row>
    <row r="14" spans="1:10" ht="24" thickBot="1" x14ac:dyDescent="0.35">
      <c r="A14" s="1059"/>
      <c r="B14" s="1062"/>
      <c r="C14" s="1065"/>
      <c r="D14" s="1065"/>
      <c r="E14" s="1103" t="s">
        <v>474</v>
      </c>
      <c r="F14" s="1104"/>
      <c r="G14" s="1105"/>
      <c r="H14" s="1098"/>
      <c r="I14" s="1100"/>
      <c r="J14" s="1102"/>
    </row>
    <row r="15" spans="1:10" ht="23.4" x14ac:dyDescent="0.3">
      <c r="A15" s="268" t="s">
        <v>103</v>
      </c>
      <c r="B15" s="1043" t="s">
        <v>16</v>
      </c>
      <c r="C15" s="269" t="s">
        <v>368</v>
      </c>
      <c r="D15" s="269" t="s">
        <v>369</v>
      </c>
      <c r="E15" s="705">
        <v>81.360699999999994</v>
      </c>
      <c r="F15" s="402">
        <f>IFERROR(E15*'01 Prod Physique Boites'!H13,"-")</f>
        <v>0</v>
      </c>
      <c r="G15" s="402">
        <f>IFERROR(E15*'01 Prod Physique Boites'!L13,"-")</f>
        <v>0</v>
      </c>
      <c r="H15" s="706">
        <v>143.28</v>
      </c>
      <c r="I15" s="419">
        <f>IFERROR(H15*(F15/E15),"-")</f>
        <v>0</v>
      </c>
      <c r="J15" s="420">
        <f t="shared" ref="J15:J17" si="0">IFERROR(H15*(G15/E15),"-")</f>
        <v>0</v>
      </c>
    </row>
    <row r="16" spans="1:10" ht="23.4" x14ac:dyDescent="0.3">
      <c r="A16" s="713"/>
      <c r="B16" s="1044"/>
      <c r="C16" s="275" t="s">
        <v>470</v>
      </c>
      <c r="D16" s="275" t="s">
        <v>375</v>
      </c>
      <c r="E16" s="505">
        <v>81.360699999999994</v>
      </c>
      <c r="F16" s="402">
        <f>IFERROR(E16*'01 Prod Physique Boites'!H14,"-")</f>
        <v>0</v>
      </c>
      <c r="G16" s="402">
        <f>IFERROR(E16*'01 Prod Physique Boites'!L14,"-")</f>
        <v>0</v>
      </c>
      <c r="H16" s="708">
        <v>143.28</v>
      </c>
      <c r="I16" s="419">
        <f>IFERROR(H16*(F16/E16),"-")</f>
        <v>0</v>
      </c>
      <c r="J16" s="420">
        <f t="shared" si="0"/>
        <v>0</v>
      </c>
    </row>
    <row r="17" spans="1:15" ht="23.4" x14ac:dyDescent="0.3">
      <c r="A17" s="274" t="s">
        <v>103</v>
      </c>
      <c r="B17" s="1044"/>
      <c r="C17" s="275" t="s">
        <v>430</v>
      </c>
      <c r="D17" s="275" t="s">
        <v>384</v>
      </c>
      <c r="E17" s="684">
        <v>77.170400000000001</v>
      </c>
      <c r="F17" s="402">
        <f>IFERROR(E17*'01 Prod Physique Boites'!H15,"-")</f>
        <v>0</v>
      </c>
      <c r="G17" s="685">
        <f>IFERROR(E17*'01 Prod Physique Boites'!L15,"-")</f>
        <v>0</v>
      </c>
      <c r="H17" s="385">
        <v>0</v>
      </c>
      <c r="I17" s="419">
        <f>IFERROR(H17*(F17/E17),"-")</f>
        <v>0</v>
      </c>
      <c r="J17" s="420">
        <f t="shared" si="0"/>
        <v>0</v>
      </c>
    </row>
    <row r="18" spans="1:15" ht="24" thickBot="1" x14ac:dyDescent="0.35">
      <c r="A18" s="274" t="s">
        <v>103</v>
      </c>
      <c r="B18" s="1045"/>
      <c r="C18" s="279" t="s">
        <v>262</v>
      </c>
      <c r="D18" s="279" t="s">
        <v>231</v>
      </c>
      <c r="E18" s="501">
        <v>60.703499999999998</v>
      </c>
      <c r="F18" s="402">
        <f>IFERROR(E18*'01 Prod Physique Boites'!H16,"-")</f>
        <v>0</v>
      </c>
      <c r="G18" s="402">
        <f>IFERROR(E18*'01 Prod Physique Boites'!L16,"-")</f>
        <v>0</v>
      </c>
      <c r="H18" s="387">
        <v>111.09</v>
      </c>
      <c r="I18" s="419">
        <f>IFERROR(H18*(F18/E18),"-")</f>
        <v>0</v>
      </c>
      <c r="J18" s="420">
        <f>IFERROR(H18*(G18/E18),"-")</f>
        <v>0</v>
      </c>
    </row>
    <row r="19" spans="1:15" ht="24" thickBot="1" x14ac:dyDescent="0.35">
      <c r="A19" s="274" t="s">
        <v>103</v>
      </c>
      <c r="B19" s="1025" t="s">
        <v>44</v>
      </c>
      <c r="C19" s="1026"/>
      <c r="D19" s="1027"/>
      <c r="E19" s="390"/>
      <c r="F19" s="406">
        <f t="shared" ref="F19" si="1">SUM(F15:F18)</f>
        <v>0</v>
      </c>
      <c r="G19" s="407">
        <f>SUM(G15:G18)</f>
        <v>0</v>
      </c>
      <c r="H19" s="391"/>
      <c r="I19" s="406">
        <f t="shared" ref="I19:J19" si="2">SUM(I15:I18)</f>
        <v>0</v>
      </c>
      <c r="J19" s="425">
        <f t="shared" si="2"/>
        <v>0</v>
      </c>
      <c r="K19" s="704"/>
      <c r="L19" s="704"/>
      <c r="M19" s="704"/>
      <c r="N19" s="704"/>
      <c r="O19" s="704"/>
    </row>
    <row r="20" spans="1:15" ht="23.4" x14ac:dyDescent="0.3">
      <c r="A20" s="274" t="s">
        <v>103</v>
      </c>
      <c r="B20" s="1043" t="s">
        <v>17</v>
      </c>
      <c r="C20" s="269" t="s">
        <v>294</v>
      </c>
      <c r="D20" s="269"/>
      <c r="E20" s="504">
        <v>12.5275</v>
      </c>
      <c r="F20" s="402">
        <f>IFERROR(E20*'01 Prod Physique Boites'!H18,"-")</f>
        <v>0</v>
      </c>
      <c r="G20" s="402">
        <f>IFERROR(E20*'01 Prod Physique Boites'!L18,"-")</f>
        <v>0</v>
      </c>
      <c r="H20" s="681">
        <v>18.836400000000001</v>
      </c>
      <c r="I20" s="419">
        <f t="shared" ref="I20:I26" si="3">IFERROR(H20*(F20/E20),"-")</f>
        <v>0</v>
      </c>
      <c r="J20" s="420">
        <f t="shared" ref="J20:J25" si="4">IFERROR(H20*(G20/E20),"-")</f>
        <v>0</v>
      </c>
    </row>
    <row r="21" spans="1:15" ht="23.4" x14ac:dyDescent="0.3">
      <c r="A21" s="274" t="s">
        <v>103</v>
      </c>
      <c r="B21" s="1044"/>
      <c r="C21" s="275" t="s">
        <v>344</v>
      </c>
      <c r="D21" s="275" t="s">
        <v>232</v>
      </c>
      <c r="E21" s="677">
        <v>13.002700000000001</v>
      </c>
      <c r="F21" s="402">
        <f>IFERROR(E21*'01 Prod Physique Boites'!H19,"-")</f>
        <v>0</v>
      </c>
      <c r="G21" s="402">
        <f>IFERROR(E21*'01 Prod Physique Boites'!L19,"-")</f>
        <v>0</v>
      </c>
      <c r="H21" s="385">
        <v>21.18</v>
      </c>
      <c r="I21" s="421">
        <f t="shared" si="3"/>
        <v>0</v>
      </c>
      <c r="J21" s="422">
        <f t="shared" si="4"/>
        <v>0</v>
      </c>
    </row>
    <row r="22" spans="1:15" ht="23.4" x14ac:dyDescent="0.3">
      <c r="A22" s="274" t="s">
        <v>103</v>
      </c>
      <c r="B22" s="1044"/>
      <c r="C22" s="275" t="s">
        <v>351</v>
      </c>
      <c r="D22" s="275" t="s">
        <v>187</v>
      </c>
      <c r="E22" s="677">
        <v>12.9049</v>
      </c>
      <c r="F22" s="402">
        <f>IFERROR(E22*'01 Prod Physique Boites'!H20,"-")</f>
        <v>78977.987999999998</v>
      </c>
      <c r="G22" s="402">
        <f>IFERROR(E22*'01 Prod Physique Boites'!L20,"-")</f>
        <v>78977.987999999998</v>
      </c>
      <c r="H22" s="385">
        <v>20.5</v>
      </c>
      <c r="I22" s="421">
        <f t="shared" si="3"/>
        <v>125460</v>
      </c>
      <c r="J22" s="422">
        <f t="shared" si="4"/>
        <v>125460</v>
      </c>
    </row>
    <row r="23" spans="1:15" ht="23.4" x14ac:dyDescent="0.3">
      <c r="A23" s="274" t="s">
        <v>103</v>
      </c>
      <c r="B23" s="1044"/>
      <c r="C23" s="275" t="s">
        <v>293</v>
      </c>
      <c r="D23" s="275" t="s">
        <v>188</v>
      </c>
      <c r="E23" s="505">
        <v>13.078200000000001</v>
      </c>
      <c r="F23" s="402">
        <f>IFERROR(E23*'01 Prod Physique Boites'!H21,"-")</f>
        <v>0</v>
      </c>
      <c r="G23" s="402">
        <f>IFERROR(E23*'01 Prod Physique Boites'!L21,"-")</f>
        <v>0</v>
      </c>
      <c r="H23" s="385">
        <v>20.6</v>
      </c>
      <c r="I23" s="421">
        <f t="shared" si="3"/>
        <v>0</v>
      </c>
      <c r="J23" s="422">
        <f t="shared" si="4"/>
        <v>0</v>
      </c>
    </row>
    <row r="24" spans="1:15" ht="23.4" x14ac:dyDescent="0.3">
      <c r="A24" s="274" t="s">
        <v>103</v>
      </c>
      <c r="B24" s="1044"/>
      <c r="C24" s="275" t="s">
        <v>323</v>
      </c>
      <c r="D24" s="275" t="s">
        <v>318</v>
      </c>
      <c r="E24" s="505">
        <v>13.1958</v>
      </c>
      <c r="F24" s="402">
        <f>IFERROR(E24*'01 Prod Physique Boites'!H22,"-")</f>
        <v>0</v>
      </c>
      <c r="G24" s="402">
        <f>IFERROR(E24*'01 Prod Physique Boites'!L22,"-")</f>
        <v>0</v>
      </c>
      <c r="H24" s="385">
        <v>21.28</v>
      </c>
      <c r="I24" s="421">
        <f t="shared" si="3"/>
        <v>0</v>
      </c>
      <c r="J24" s="422">
        <f t="shared" si="4"/>
        <v>0</v>
      </c>
    </row>
    <row r="25" spans="1:15" ht="23.4" x14ac:dyDescent="0.3">
      <c r="A25" s="274">
        <v>1</v>
      </c>
      <c r="B25" s="1044"/>
      <c r="C25" s="275" t="s">
        <v>352</v>
      </c>
      <c r="D25" s="275" t="s">
        <v>189</v>
      </c>
      <c r="E25" s="677">
        <v>12.9049</v>
      </c>
      <c r="F25" s="402">
        <f>IFERROR(E25*'01 Prod Physique Boites'!H23,"-")</f>
        <v>0</v>
      </c>
      <c r="G25" s="402">
        <f>IFERROR(E25*'01 Prod Physique Boites'!L23,"-")</f>
        <v>0</v>
      </c>
      <c r="H25" s="664">
        <v>20.5</v>
      </c>
      <c r="I25" s="421">
        <f t="shared" si="3"/>
        <v>0</v>
      </c>
      <c r="J25" s="422">
        <f t="shared" si="4"/>
        <v>0</v>
      </c>
    </row>
    <row r="26" spans="1:15" ht="24" thickBot="1" x14ac:dyDescent="0.35">
      <c r="A26" s="274" t="s">
        <v>103</v>
      </c>
      <c r="B26" s="1045"/>
      <c r="C26" s="279" t="s">
        <v>341</v>
      </c>
      <c r="D26" s="279" t="s">
        <v>175</v>
      </c>
      <c r="E26" s="501">
        <v>13.6509</v>
      </c>
      <c r="F26" s="402">
        <f>IFERROR(E26*'01 Prod Physique Boites'!H24,"-")</f>
        <v>0</v>
      </c>
      <c r="G26" s="402">
        <f>IFERROR(E26*'01 Prod Physique Boites'!L24,"-")</f>
        <v>0</v>
      </c>
      <c r="H26" s="387">
        <v>21.18</v>
      </c>
      <c r="I26" s="423">
        <f t="shared" si="3"/>
        <v>0</v>
      </c>
      <c r="J26" s="424">
        <f>IFERROR(H26*(G26/E26),"-")</f>
        <v>0</v>
      </c>
    </row>
    <row r="27" spans="1:15" ht="24" thickBot="1" x14ac:dyDescent="0.35">
      <c r="A27" s="274" t="s">
        <v>103</v>
      </c>
      <c r="B27" s="1025" t="s">
        <v>45</v>
      </c>
      <c r="C27" s="1026"/>
      <c r="D27" s="1027"/>
      <c r="E27" s="390"/>
      <c r="F27" s="406">
        <f t="shared" ref="F27" si="5">SUM(F20:F26)</f>
        <v>78977.987999999998</v>
      </c>
      <c r="G27" s="407">
        <f>SUM(G20:G26)</f>
        <v>78977.987999999998</v>
      </c>
      <c r="H27" s="391"/>
      <c r="I27" s="406">
        <f t="shared" ref="I27" si="6">SUM(I20:I26)</f>
        <v>125460</v>
      </c>
      <c r="J27" s="425">
        <f>SUM(J20:J26)</f>
        <v>125460</v>
      </c>
      <c r="K27" s="704"/>
      <c r="L27" s="704"/>
      <c r="M27" s="704"/>
      <c r="N27" s="704"/>
      <c r="O27" s="704"/>
    </row>
    <row r="28" spans="1:15" ht="23.4" x14ac:dyDescent="0.3">
      <c r="A28" s="274" t="s">
        <v>103</v>
      </c>
      <c r="B28" s="1043" t="s">
        <v>18</v>
      </c>
      <c r="C28" s="269" t="s">
        <v>312</v>
      </c>
      <c r="D28" s="269" t="s">
        <v>92</v>
      </c>
      <c r="E28" s="504">
        <v>17.8202</v>
      </c>
      <c r="F28" s="402">
        <f>IFERROR(E28*'01 Prod Physique Boites'!H26,"-")</f>
        <v>0</v>
      </c>
      <c r="G28" s="403">
        <f>IFERROR(E28*'01 Prod Physique Boites'!L26,"-")</f>
        <v>0</v>
      </c>
      <c r="H28" s="381">
        <v>24.93</v>
      </c>
      <c r="I28" s="419">
        <f t="shared" ref="I28:I34" si="7">IFERROR(H28*(F28/E28),"-")</f>
        <v>0</v>
      </c>
      <c r="J28" s="420">
        <f t="shared" ref="J28:J30" si="8">IFERROR(H28*(G28/E28),"-")</f>
        <v>0</v>
      </c>
    </row>
    <row r="29" spans="1:15" ht="23.4" x14ac:dyDescent="0.3">
      <c r="A29" s="274" t="s">
        <v>103</v>
      </c>
      <c r="B29" s="1044"/>
      <c r="C29" s="275" t="s">
        <v>130</v>
      </c>
      <c r="D29" s="275"/>
      <c r="E29" s="505">
        <v>17.8202</v>
      </c>
      <c r="F29" s="402">
        <f>IFERROR(E29*'01 Prod Physique Boites'!H27,"-")</f>
        <v>0</v>
      </c>
      <c r="G29" s="403">
        <f>IFERROR(E29*'01 Prod Physique Boites'!L27,"-")</f>
        <v>0</v>
      </c>
      <c r="H29" s="385">
        <v>0</v>
      </c>
      <c r="I29" s="421">
        <f t="shared" si="7"/>
        <v>0</v>
      </c>
      <c r="J29" s="422">
        <f t="shared" si="8"/>
        <v>0</v>
      </c>
    </row>
    <row r="30" spans="1:15" ht="23.4" x14ac:dyDescent="0.3">
      <c r="A30" s="274" t="s">
        <v>103</v>
      </c>
      <c r="B30" s="1044"/>
      <c r="C30" s="275" t="s">
        <v>115</v>
      </c>
      <c r="D30" s="275"/>
      <c r="E30" s="505">
        <v>16.4071</v>
      </c>
      <c r="F30" s="402">
        <f>IFERROR(E30*'01 Prod Physique Boites'!H28,"-")</f>
        <v>0</v>
      </c>
      <c r="G30" s="403">
        <f>IFERROR(E30*'01 Prod Physique Boites'!L28,"-")</f>
        <v>0</v>
      </c>
      <c r="H30" s="385">
        <v>0</v>
      </c>
      <c r="I30" s="421">
        <f t="shared" si="7"/>
        <v>0</v>
      </c>
      <c r="J30" s="422">
        <f t="shared" si="8"/>
        <v>0</v>
      </c>
    </row>
    <row r="31" spans="1:15" ht="23.4" x14ac:dyDescent="0.3">
      <c r="A31" s="274" t="s">
        <v>103</v>
      </c>
      <c r="B31" s="1044"/>
      <c r="C31" s="275" t="s">
        <v>122</v>
      </c>
      <c r="D31" s="275"/>
      <c r="E31" s="505">
        <v>17.8202</v>
      </c>
      <c r="F31" s="402">
        <f>IFERROR(E31*'01 Prod Physique Boites'!H29,"-")</f>
        <v>0</v>
      </c>
      <c r="G31" s="403">
        <f>IFERROR(E31*'01 Prod Physique Boites'!L29,"-")</f>
        <v>0</v>
      </c>
      <c r="H31" s="385">
        <v>0</v>
      </c>
      <c r="I31" s="421">
        <f t="shared" si="7"/>
        <v>0</v>
      </c>
      <c r="J31" s="422">
        <f>IFERROR(H31*(G31/E31),"-")</f>
        <v>0</v>
      </c>
    </row>
    <row r="32" spans="1:15" ht="23.4" x14ac:dyDescent="0.3">
      <c r="A32" s="274" t="s">
        <v>103</v>
      </c>
      <c r="B32" s="1044"/>
      <c r="C32" s="275" t="s">
        <v>176</v>
      </c>
      <c r="D32" s="275" t="s">
        <v>177</v>
      </c>
      <c r="E32" s="505">
        <v>17.8202</v>
      </c>
      <c r="F32" s="402">
        <f>IFERROR(E32*'01 Prod Physique Boites'!H30,"-")</f>
        <v>0</v>
      </c>
      <c r="G32" s="403">
        <f>IFERROR(E32*'01 Prod Physique Boites'!L30,"-")</f>
        <v>0</v>
      </c>
      <c r="H32" s="385">
        <v>0</v>
      </c>
      <c r="I32" s="421">
        <f t="shared" si="7"/>
        <v>0</v>
      </c>
      <c r="J32" s="422">
        <f t="shared" ref="J32:J34" si="9">IFERROR(H32*(G32/E32),"-")</f>
        <v>0</v>
      </c>
    </row>
    <row r="33" spans="1:10" ht="23.4" x14ac:dyDescent="0.3">
      <c r="A33" s="274" t="s">
        <v>103</v>
      </c>
      <c r="B33" s="1044"/>
      <c r="C33" s="275" t="s">
        <v>179</v>
      </c>
      <c r="D33" s="275" t="s">
        <v>178</v>
      </c>
      <c r="E33" s="505">
        <v>16.7288</v>
      </c>
      <c r="F33" s="402">
        <f>IFERROR(E33*'01 Prod Physique Boites'!H31,"-")</f>
        <v>0</v>
      </c>
      <c r="G33" s="403">
        <f>IFERROR(E33*'01 Prod Physique Boites'!L31,"-")</f>
        <v>0</v>
      </c>
      <c r="H33" s="385">
        <v>0</v>
      </c>
      <c r="I33" s="421">
        <f t="shared" si="7"/>
        <v>0</v>
      </c>
      <c r="J33" s="422">
        <f t="shared" si="9"/>
        <v>0</v>
      </c>
    </row>
    <row r="34" spans="1:10" ht="24" thickBot="1" x14ac:dyDescent="0.35">
      <c r="A34" s="274" t="s">
        <v>103</v>
      </c>
      <c r="B34" s="1045"/>
      <c r="C34" s="286" t="s">
        <v>180</v>
      </c>
      <c r="D34" s="286" t="s">
        <v>107</v>
      </c>
      <c r="E34" s="501">
        <v>17.8202</v>
      </c>
      <c r="F34" s="402">
        <f>IFERROR(E34*'01 Prod Physique Boites'!H32,"-")</f>
        <v>0</v>
      </c>
      <c r="G34" s="403">
        <f>IFERROR(E34*'01 Prod Physique Boites'!L32,"-")</f>
        <v>0</v>
      </c>
      <c r="H34" s="385">
        <v>0</v>
      </c>
      <c r="I34" s="423">
        <f t="shared" si="7"/>
        <v>0</v>
      </c>
      <c r="J34" s="424">
        <f t="shared" si="9"/>
        <v>0</v>
      </c>
    </row>
    <row r="35" spans="1:10" ht="24" thickBot="1" x14ac:dyDescent="0.35">
      <c r="A35" s="274" t="s">
        <v>103</v>
      </c>
      <c r="B35" s="1025" t="s">
        <v>29</v>
      </c>
      <c r="C35" s="1026"/>
      <c r="D35" s="1027"/>
      <c r="E35" s="648"/>
      <c r="F35" s="649">
        <f t="shared" ref="F35:G35" si="10">SUM(F28:F34)</f>
        <v>0</v>
      </c>
      <c r="G35" s="407">
        <f t="shared" si="10"/>
        <v>0</v>
      </c>
      <c r="H35" s="391"/>
      <c r="I35" s="406">
        <f t="shared" ref="I35:J35" si="11">SUM(I28:I34)</f>
        <v>0</v>
      </c>
      <c r="J35" s="425">
        <f t="shared" si="11"/>
        <v>0</v>
      </c>
    </row>
    <row r="36" spans="1:10" ht="24" thickBot="1" x14ac:dyDescent="0.35">
      <c r="A36" s="274"/>
      <c r="B36" s="1085" t="s">
        <v>19</v>
      </c>
      <c r="C36" s="650" t="s">
        <v>235</v>
      </c>
      <c r="D36" s="656" t="s">
        <v>177</v>
      </c>
      <c r="E36" s="657">
        <v>12.2659</v>
      </c>
      <c r="F36" s="658">
        <f>IFERROR(E36*'01 Prod Physique Boites'!H34,"-")</f>
        <v>0</v>
      </c>
      <c r="G36" s="659">
        <f>IFERROR(E36*'01 Prod Physique Boites'!L34,"-")</f>
        <v>0</v>
      </c>
      <c r="H36" s="653">
        <v>14.79</v>
      </c>
      <c r="I36" s="638">
        <f t="shared" ref="I36:I38" si="12">IFERROR(H36*(F36/E36),"-")</f>
        <v>0</v>
      </c>
      <c r="J36" s="638">
        <f>IFERROR(H36*(G36/E36),"-")</f>
        <v>0</v>
      </c>
    </row>
    <row r="37" spans="1:10" ht="24" thickBot="1" x14ac:dyDescent="0.35">
      <c r="A37" s="274"/>
      <c r="B37" s="1086"/>
      <c r="C37" s="651" t="s">
        <v>359</v>
      </c>
      <c r="D37" s="660" t="s">
        <v>423</v>
      </c>
      <c r="E37" s="642">
        <v>12.2659</v>
      </c>
      <c r="F37" s="658">
        <f>IFERROR(E37*'01 Prod Physique Boites'!H35,"-")</f>
        <v>1450712.5248</v>
      </c>
      <c r="G37" s="633">
        <f>IFERROR(E37*'01 Prod Physique Boites'!L35,"-")</f>
        <v>1450712.5248</v>
      </c>
      <c r="H37" s="654">
        <v>14.55</v>
      </c>
      <c r="I37" s="643">
        <f t="shared" si="12"/>
        <v>1720857.6000000001</v>
      </c>
      <c r="J37" s="643">
        <f>IFERROR(H37*(G37/E37),"-")</f>
        <v>1720857.6000000001</v>
      </c>
    </row>
    <row r="38" spans="1:10" ht="24" thickBot="1" x14ac:dyDescent="0.35">
      <c r="A38" s="744" t="s">
        <v>103</v>
      </c>
      <c r="B38" s="1087"/>
      <c r="C38" s="652" t="s">
        <v>342</v>
      </c>
      <c r="D38" s="661"/>
      <c r="E38" s="662">
        <v>0</v>
      </c>
      <c r="F38" s="658">
        <f>IFERROR(E38*'01 Prod Physique Boites'!H36,"-")</f>
        <v>0</v>
      </c>
      <c r="G38" s="663">
        <f>IFERROR(E38*'01 Prod Physique Boites'!L36,"-")</f>
        <v>0</v>
      </c>
      <c r="H38" s="655">
        <v>0</v>
      </c>
      <c r="I38" s="426" t="str">
        <f t="shared" si="12"/>
        <v>-</v>
      </c>
      <c r="J38" s="427" t="str">
        <f t="shared" ref="J38" si="13">IFERROR(I38*(G38/F38),"-")</f>
        <v>-</v>
      </c>
    </row>
    <row r="39" spans="1:10" ht="24" thickBot="1" x14ac:dyDescent="0.35">
      <c r="A39" s="274" t="s">
        <v>103</v>
      </c>
      <c r="B39" s="1025" t="s">
        <v>46</v>
      </c>
      <c r="C39" s="1026"/>
      <c r="D39" s="1027"/>
      <c r="E39" s="390"/>
      <c r="F39" s="406">
        <f>SUM(F36:F38)</f>
        <v>1450712.5248</v>
      </c>
      <c r="G39" s="406">
        <f>SUM(G36:G38)</f>
        <v>1450712.5248</v>
      </c>
      <c r="H39" s="391"/>
      <c r="I39" s="406">
        <f>SUM(I36:I38)</f>
        <v>1720857.6000000001</v>
      </c>
      <c r="J39" s="425">
        <f>SUM(J36:J38)</f>
        <v>1720857.6000000001</v>
      </c>
    </row>
    <row r="40" spans="1:10" ht="23.4" x14ac:dyDescent="0.3">
      <c r="A40" s="274" t="s">
        <v>103</v>
      </c>
      <c r="B40" s="1043" t="s">
        <v>20</v>
      </c>
      <c r="C40" s="291" t="s">
        <v>317</v>
      </c>
      <c r="D40" s="291" t="s">
        <v>289</v>
      </c>
      <c r="E40" s="504">
        <v>26.032900000000001</v>
      </c>
      <c r="F40" s="402">
        <f>IFERROR(E40*'01 Prod Physique Boites'!H38,"-")</f>
        <v>0</v>
      </c>
      <c r="G40" s="403">
        <f>IFERROR(E40*'01 Prod Physique Boites'!L38,"-")</f>
        <v>0</v>
      </c>
      <c r="H40" s="381">
        <v>36.44</v>
      </c>
      <c r="I40" s="419">
        <f>IFERROR(H40*(F40/E40),"-")</f>
        <v>0</v>
      </c>
      <c r="J40" s="420">
        <f t="shared" ref="J40:J42" si="14">IFERROR(H40*(G40/E40),"-")</f>
        <v>0</v>
      </c>
    </row>
    <row r="41" spans="1:10" ht="23.4" x14ac:dyDescent="0.3">
      <c r="A41" s="274" t="s">
        <v>103</v>
      </c>
      <c r="B41" s="1044"/>
      <c r="C41" s="292" t="s">
        <v>114</v>
      </c>
      <c r="D41" s="292"/>
      <c r="E41" s="384">
        <v>24.2607</v>
      </c>
      <c r="F41" s="402">
        <f>IFERROR(E41*'01 Prod Physique Boites'!H39,"-")</f>
        <v>0</v>
      </c>
      <c r="G41" s="403">
        <f>IFERROR(E41*'01 Prod Physique Boites'!L39,"-")</f>
        <v>0</v>
      </c>
      <c r="H41" s="385">
        <v>37.369999999999997</v>
      </c>
      <c r="I41" s="421">
        <f>IFERROR(H41*(F41/E41),"-")</f>
        <v>0</v>
      </c>
      <c r="J41" s="422">
        <f t="shared" si="14"/>
        <v>0</v>
      </c>
    </row>
    <row r="42" spans="1:10" ht="24" thickBot="1" x14ac:dyDescent="0.35">
      <c r="A42" s="274" t="s">
        <v>103</v>
      </c>
      <c r="B42" s="1045"/>
      <c r="C42" s="293" t="s">
        <v>120</v>
      </c>
      <c r="D42" s="293"/>
      <c r="E42" s="386">
        <v>26.035799999999998</v>
      </c>
      <c r="F42" s="402">
        <f>IFERROR(E42*'01 Prod Physique Boites'!H40,"-")</f>
        <v>0</v>
      </c>
      <c r="G42" s="403">
        <f>IFERROR(E42*'01 Prod Physique Boites'!L40,"-")</f>
        <v>0</v>
      </c>
      <c r="H42" s="387">
        <v>37.11</v>
      </c>
      <c r="I42" s="423">
        <f>IFERROR(H42*(F42/E42),"-")</f>
        <v>0</v>
      </c>
      <c r="J42" s="424">
        <f t="shared" si="14"/>
        <v>0</v>
      </c>
    </row>
    <row r="43" spans="1:10" ht="24" thickBot="1" x14ac:dyDescent="0.35">
      <c r="A43" s="274" t="s">
        <v>103</v>
      </c>
      <c r="B43" s="1026" t="s">
        <v>47</v>
      </c>
      <c r="C43" s="1026"/>
      <c r="D43" s="1046"/>
      <c r="E43" s="390"/>
      <c r="F43" s="406">
        <f t="shared" ref="F43:G43" si="15">SUM(F40:F42)</f>
        <v>0</v>
      </c>
      <c r="G43" s="407">
        <f t="shared" si="15"/>
        <v>0</v>
      </c>
      <c r="H43" s="391"/>
      <c r="I43" s="406">
        <f t="shared" ref="I43:J43" si="16">SUM(I40:I42)</f>
        <v>0</v>
      </c>
      <c r="J43" s="425">
        <f t="shared" si="16"/>
        <v>0</v>
      </c>
    </row>
    <row r="44" spans="1:10" ht="24" thickBot="1" x14ac:dyDescent="0.35">
      <c r="A44" s="274" t="s">
        <v>103</v>
      </c>
      <c r="B44" s="1047" t="s">
        <v>21</v>
      </c>
      <c r="C44" s="1048"/>
      <c r="D44" s="1049"/>
      <c r="E44" s="393"/>
      <c r="F44" s="410">
        <f>+F19+F27+F35+F39+F43</f>
        <v>1529690.5127999999</v>
      </c>
      <c r="G44" s="411">
        <f>+G19+G27+G35+G39+G43</f>
        <v>1529690.5127999999</v>
      </c>
      <c r="H44" s="394"/>
      <c r="I44" s="410">
        <f>+I19+I27+I35+I39+I43</f>
        <v>1846317.6</v>
      </c>
      <c r="J44" s="428">
        <f>+J19+J27+J35+J39+J43</f>
        <v>1846317.6</v>
      </c>
    </row>
    <row r="45" spans="1:10" ht="23.4" x14ac:dyDescent="0.3">
      <c r="A45" s="274" t="s">
        <v>103</v>
      </c>
      <c r="B45" s="1043" t="s">
        <v>400</v>
      </c>
      <c r="C45" s="269" t="s">
        <v>125</v>
      </c>
      <c r="D45" s="269"/>
      <c r="E45" s="380">
        <v>22.820599999999999</v>
      </c>
      <c r="F45" s="402">
        <f>IFERROR(E45*'01 Prod Physique Boites'!H43,"-")</f>
        <v>0</v>
      </c>
      <c r="G45" s="403">
        <f>IFERROR(E45*'01 Prod Physique Boites'!L43,"-")</f>
        <v>0</v>
      </c>
      <c r="H45" s="381">
        <v>27.5</v>
      </c>
      <c r="I45" s="419">
        <f>IFERROR(H45*(F45/E45),"-")</f>
        <v>0</v>
      </c>
      <c r="J45" s="420">
        <f t="shared" ref="J45:J48" si="17">IFERROR(H45*(G45/E45),"-")</f>
        <v>0</v>
      </c>
    </row>
    <row r="46" spans="1:10" ht="23.4" x14ac:dyDescent="0.3">
      <c r="A46" s="274" t="s">
        <v>103</v>
      </c>
      <c r="B46" s="1044"/>
      <c r="C46" s="295" t="s">
        <v>263</v>
      </c>
      <c r="D46" s="295" t="s">
        <v>181</v>
      </c>
      <c r="E46" s="384">
        <v>23.570699999999999</v>
      </c>
      <c r="F46" s="402">
        <f>IFERROR(E46*'01 Prod Physique Boites'!H44,"-")</f>
        <v>0</v>
      </c>
      <c r="G46" s="403">
        <f>IFERROR(E46*'01 Prod Physique Boites'!L44,"-")</f>
        <v>0</v>
      </c>
      <c r="H46" s="385">
        <v>27.5</v>
      </c>
      <c r="I46" s="421">
        <f>IFERROR(H46*(F46/E46),"-")</f>
        <v>0</v>
      </c>
      <c r="J46" s="422">
        <f t="shared" si="17"/>
        <v>0</v>
      </c>
    </row>
    <row r="47" spans="1:10" ht="23.4" x14ac:dyDescent="0.3">
      <c r="A47" s="274" t="s">
        <v>103</v>
      </c>
      <c r="B47" s="1044"/>
      <c r="C47" s="295" t="s">
        <v>362</v>
      </c>
      <c r="D47" s="295" t="s">
        <v>181</v>
      </c>
      <c r="E47" s="384">
        <v>22.820599999999999</v>
      </c>
      <c r="F47" s="402">
        <f>IFERROR(E47*'01 Prod Physique Boites'!H45,"-")</f>
        <v>0</v>
      </c>
      <c r="G47" s="403">
        <f>IFERROR(E47*'01 Prod Physique Boites'!L45,"-")</f>
        <v>0</v>
      </c>
      <c r="H47" s="385">
        <v>27.5</v>
      </c>
      <c r="I47" s="421">
        <f>IFERROR(H47*(F47/E47),"-")</f>
        <v>0</v>
      </c>
      <c r="J47" s="422">
        <f t="shared" si="17"/>
        <v>0</v>
      </c>
    </row>
    <row r="48" spans="1:10" ht="24" thickBot="1" x14ac:dyDescent="0.35">
      <c r="A48" s="274" t="s">
        <v>103</v>
      </c>
      <c r="B48" s="1045"/>
      <c r="C48" s="279" t="s">
        <v>182</v>
      </c>
      <c r="D48" s="279" t="s">
        <v>93</v>
      </c>
      <c r="E48" s="386">
        <v>23.5685</v>
      </c>
      <c r="F48" s="402">
        <f>IFERROR(E48*'01 Prod Physique Boites'!H46,"-")</f>
        <v>0</v>
      </c>
      <c r="G48" s="403">
        <f>IFERROR(E48*'01 Prod Physique Boites'!L46,"-")</f>
        <v>0</v>
      </c>
      <c r="H48" s="387">
        <v>24</v>
      </c>
      <c r="I48" s="423">
        <f>IFERROR(H48*(F48/E48),"-")</f>
        <v>0</v>
      </c>
      <c r="J48" s="424">
        <f t="shared" si="17"/>
        <v>0</v>
      </c>
    </row>
    <row r="49" spans="1:10" ht="24" thickBot="1" x14ac:dyDescent="0.35">
      <c r="A49" s="274" t="s">
        <v>103</v>
      </c>
      <c r="B49" s="1025" t="s">
        <v>48</v>
      </c>
      <c r="C49" s="1026"/>
      <c r="D49" s="1027"/>
      <c r="E49" s="390"/>
      <c r="F49" s="406">
        <f t="shared" ref="F49:G49" si="18">SUM(F45:F48)</f>
        <v>0</v>
      </c>
      <c r="G49" s="407">
        <f t="shared" si="18"/>
        <v>0</v>
      </c>
      <c r="H49" s="391"/>
      <c r="I49" s="406">
        <f t="shared" ref="I49:J49" si="19">SUM(I45:I48)</f>
        <v>0</v>
      </c>
      <c r="J49" s="425">
        <f t="shared" si="19"/>
        <v>0</v>
      </c>
    </row>
    <row r="50" spans="1:10" ht="23.4" x14ac:dyDescent="0.3">
      <c r="A50" s="274" t="s">
        <v>103</v>
      </c>
      <c r="B50" s="1043" t="s">
        <v>23</v>
      </c>
      <c r="C50" s="296" t="s">
        <v>308</v>
      </c>
      <c r="D50" s="296" t="s">
        <v>238</v>
      </c>
      <c r="E50" s="380">
        <v>101.4935</v>
      </c>
      <c r="F50" s="402">
        <f>IFERROR(E50*'01 Prod Physique Boites'!H48,"-")</f>
        <v>0</v>
      </c>
      <c r="G50" s="403">
        <f>IFERROR(E50*'01 Prod Physique Boites'!L48,"-")</f>
        <v>0</v>
      </c>
      <c r="H50" s="385">
        <v>160.44999999999999</v>
      </c>
      <c r="I50" s="419">
        <f t="shared" ref="I50:I58" si="20">IFERROR(H50*(F50/E50),"-")</f>
        <v>0</v>
      </c>
      <c r="J50" s="420">
        <f t="shared" ref="J50:J58" si="21">IFERROR(H50*(G50/E50),"-")</f>
        <v>0</v>
      </c>
    </row>
    <row r="51" spans="1:10" ht="23.4" x14ac:dyDescent="0.3">
      <c r="A51" s="274" t="s">
        <v>103</v>
      </c>
      <c r="B51" s="1044"/>
      <c r="C51" s="275" t="s">
        <v>24</v>
      </c>
      <c r="D51" s="275" t="s">
        <v>238</v>
      </c>
      <c r="E51" s="384">
        <v>101.4935</v>
      </c>
      <c r="F51" s="402">
        <f>IFERROR(E51*'01 Prod Physique Boites'!H49,"-")</f>
        <v>0</v>
      </c>
      <c r="G51" s="403">
        <f>IFERROR(E51*'01 Prod Physique Boites'!L49,"-")</f>
        <v>0</v>
      </c>
      <c r="H51" s="385">
        <v>160.44999999999999</v>
      </c>
      <c r="I51" s="421">
        <f t="shared" si="20"/>
        <v>0</v>
      </c>
      <c r="J51" s="422">
        <f t="shared" si="21"/>
        <v>0</v>
      </c>
    </row>
    <row r="52" spans="1:10" ht="23.4" x14ac:dyDescent="0.3">
      <c r="A52" s="274" t="s">
        <v>103</v>
      </c>
      <c r="B52" s="1044"/>
      <c r="C52" s="275" t="s">
        <v>236</v>
      </c>
      <c r="D52" s="275" t="s">
        <v>238</v>
      </c>
      <c r="E52" s="384">
        <v>101.4935</v>
      </c>
      <c r="F52" s="402">
        <f>IFERROR(E52*'01 Prod Physique Boites'!H50,"-")</f>
        <v>0</v>
      </c>
      <c r="G52" s="403">
        <f>IFERROR(E52*'01 Prod Physique Boites'!L50,"-")</f>
        <v>0</v>
      </c>
      <c r="H52" s="385">
        <v>160.44999999999999</v>
      </c>
      <c r="I52" s="421">
        <f t="shared" si="20"/>
        <v>0</v>
      </c>
      <c r="J52" s="422">
        <f t="shared" si="21"/>
        <v>0</v>
      </c>
    </row>
    <row r="53" spans="1:10" ht="23.4" x14ac:dyDescent="0.3">
      <c r="A53" s="274" t="s">
        <v>103</v>
      </c>
      <c r="B53" s="1044"/>
      <c r="C53" s="275" t="s">
        <v>237</v>
      </c>
      <c r="D53" s="275" t="s">
        <v>238</v>
      </c>
      <c r="E53" s="384">
        <v>101.4935</v>
      </c>
      <c r="F53" s="402">
        <f>IFERROR(E53*'01 Prod Physique Boites'!H51,"-")</f>
        <v>0</v>
      </c>
      <c r="G53" s="403">
        <f>IFERROR(E53*'01 Prod Physique Boites'!L51,"-")</f>
        <v>0</v>
      </c>
      <c r="H53" s="385">
        <v>160.44999999999999</v>
      </c>
      <c r="I53" s="421">
        <f t="shared" si="20"/>
        <v>0</v>
      </c>
      <c r="J53" s="422">
        <f t="shared" si="21"/>
        <v>0</v>
      </c>
    </row>
    <row r="54" spans="1:10" ht="23.4" x14ac:dyDescent="0.3">
      <c r="A54" s="274" t="s">
        <v>103</v>
      </c>
      <c r="B54" s="1044"/>
      <c r="C54" s="295" t="s">
        <v>239</v>
      </c>
      <c r="D54" s="275" t="s">
        <v>238</v>
      </c>
      <c r="E54" s="384">
        <v>101.4935</v>
      </c>
      <c r="F54" s="402">
        <f>IFERROR(E54*'01 Prod Physique Boites'!H52,"-")</f>
        <v>0</v>
      </c>
      <c r="G54" s="403">
        <f>IFERROR(E54*'01 Prod Physique Boites'!L52,"-")</f>
        <v>0</v>
      </c>
      <c r="H54" s="385">
        <v>160.44999999999999</v>
      </c>
      <c r="I54" s="421">
        <f t="shared" si="20"/>
        <v>0</v>
      </c>
      <c r="J54" s="422">
        <f t="shared" si="21"/>
        <v>0</v>
      </c>
    </row>
    <row r="55" spans="1:10" ht="23.4" x14ac:dyDescent="0.3">
      <c r="A55" s="274" t="s">
        <v>103</v>
      </c>
      <c r="B55" s="1044"/>
      <c r="C55" s="295" t="s">
        <v>240</v>
      </c>
      <c r="D55" s="275" t="s">
        <v>238</v>
      </c>
      <c r="E55" s="384">
        <v>101.4935</v>
      </c>
      <c r="F55" s="402">
        <f>IFERROR(E55*'01 Prod Physique Boites'!H53,"-")</f>
        <v>0</v>
      </c>
      <c r="G55" s="403">
        <f>IFERROR(E55*'01 Prod Physique Boites'!L53,"-")</f>
        <v>0</v>
      </c>
      <c r="H55" s="385">
        <v>160.44999999999999</v>
      </c>
      <c r="I55" s="421">
        <f t="shared" si="20"/>
        <v>0</v>
      </c>
      <c r="J55" s="422">
        <f t="shared" si="21"/>
        <v>0</v>
      </c>
    </row>
    <row r="56" spans="1:10" ht="23.4" x14ac:dyDescent="0.3">
      <c r="A56" s="274" t="s">
        <v>103</v>
      </c>
      <c r="B56" s="1044"/>
      <c r="C56" s="295" t="s">
        <v>241</v>
      </c>
      <c r="D56" s="275" t="s">
        <v>243</v>
      </c>
      <c r="E56" s="384">
        <v>101.4935</v>
      </c>
      <c r="F56" s="402">
        <f>IFERROR(E56*'01 Prod Physique Boites'!H54,"-")</f>
        <v>0</v>
      </c>
      <c r="G56" s="403">
        <f>IFERROR(E56*'01 Prod Physique Boites'!L54,"-")</f>
        <v>0</v>
      </c>
      <c r="H56" s="385">
        <v>160.44999999999999</v>
      </c>
      <c r="I56" s="421">
        <f t="shared" si="20"/>
        <v>0</v>
      </c>
      <c r="J56" s="422">
        <f t="shared" si="21"/>
        <v>0</v>
      </c>
    </row>
    <row r="57" spans="1:10" ht="23.4" x14ac:dyDescent="0.3">
      <c r="A57" s="274"/>
      <c r="B57" s="1045"/>
      <c r="C57" s="295" t="s">
        <v>457</v>
      </c>
      <c r="D57" s="275" t="s">
        <v>238</v>
      </c>
      <c r="E57" s="386">
        <v>101.49</v>
      </c>
      <c r="F57" s="402">
        <f>IFERROR(E57*'01 Prod Physique Boites'!H55,"-")</f>
        <v>0</v>
      </c>
      <c r="G57" s="403">
        <f>IFERROR(E57*'01 Prod Physique Boites'!L55,"-")</f>
        <v>0</v>
      </c>
      <c r="H57" s="385">
        <v>160.44999999999999</v>
      </c>
      <c r="I57" s="421">
        <f t="shared" si="20"/>
        <v>0</v>
      </c>
      <c r="J57" s="422">
        <f t="shared" si="21"/>
        <v>0</v>
      </c>
    </row>
    <row r="58" spans="1:10" ht="24" thickBot="1" x14ac:dyDescent="0.35">
      <c r="A58" s="274" t="s">
        <v>103</v>
      </c>
      <c r="B58" s="1045"/>
      <c r="C58" s="295" t="s">
        <v>242</v>
      </c>
      <c r="D58" s="275" t="s">
        <v>238</v>
      </c>
      <c r="E58" s="386">
        <v>101.4935</v>
      </c>
      <c r="F58" s="402">
        <f>IFERROR(E58*'01 Prod Physique Boites'!H56,"-")</f>
        <v>0</v>
      </c>
      <c r="G58" s="403">
        <f>IFERROR(E58*'01 Prod Physique Boites'!L56,"-")</f>
        <v>0</v>
      </c>
      <c r="H58" s="385">
        <v>160.44999999999999</v>
      </c>
      <c r="I58" s="421">
        <f t="shared" si="20"/>
        <v>0</v>
      </c>
      <c r="J58" s="424">
        <f t="shared" si="21"/>
        <v>0</v>
      </c>
    </row>
    <row r="59" spans="1:10" ht="24" thickBot="1" x14ac:dyDescent="0.35">
      <c r="A59" s="274" t="s">
        <v>103</v>
      </c>
      <c r="B59" s="1025" t="s">
        <v>49</v>
      </c>
      <c r="C59" s="1026"/>
      <c r="D59" s="1027"/>
      <c r="E59" s="390"/>
      <c r="F59" s="406">
        <f t="shared" ref="F59" si="22">SUM(F50:F58)</f>
        <v>0</v>
      </c>
      <c r="G59" s="407">
        <f>SUM(G50:G58)</f>
        <v>0</v>
      </c>
      <c r="H59" s="391"/>
      <c r="I59" s="406">
        <f t="shared" ref="I59" si="23">SUM(I50:I58)</f>
        <v>0</v>
      </c>
      <c r="J59" s="425">
        <f>SUM(J50:J58)</f>
        <v>0</v>
      </c>
    </row>
    <row r="60" spans="1:10" ht="24" thickBot="1" x14ac:dyDescent="0.35">
      <c r="A60" s="274" t="s">
        <v>103</v>
      </c>
      <c r="B60" s="1047" t="s">
        <v>25</v>
      </c>
      <c r="C60" s="1048"/>
      <c r="D60" s="1049"/>
      <c r="E60" s="393"/>
      <c r="F60" s="410">
        <f t="shared" ref="F60" si="24">+F49+F59</f>
        <v>0</v>
      </c>
      <c r="G60" s="411">
        <f>+G49+G59</f>
        <v>0</v>
      </c>
      <c r="H60" s="394"/>
      <c r="I60" s="410">
        <f t="shared" ref="I60:J60" si="25">+I49+I59</f>
        <v>0</v>
      </c>
      <c r="J60" s="428">
        <f t="shared" si="25"/>
        <v>0</v>
      </c>
    </row>
    <row r="61" spans="1:10" ht="24" thickBot="1" x14ac:dyDescent="0.35">
      <c r="A61" s="274" t="s">
        <v>103</v>
      </c>
      <c r="B61" s="1019" t="s">
        <v>172</v>
      </c>
      <c r="C61" s="1020"/>
      <c r="D61" s="1021"/>
      <c r="E61" s="395"/>
      <c r="F61" s="412">
        <f t="shared" ref="F61" si="26">+F44+F60</f>
        <v>1529690.5127999999</v>
      </c>
      <c r="G61" s="413">
        <f>+G44+G60</f>
        <v>1529690.5127999999</v>
      </c>
      <c r="H61" s="396"/>
      <c r="I61" s="412">
        <f t="shared" ref="I61:J61" si="27">+I44+I60</f>
        <v>1846317.6</v>
      </c>
      <c r="J61" s="429">
        <f t="shared" si="27"/>
        <v>1846317.6</v>
      </c>
    </row>
    <row r="62" spans="1:10" ht="23.4" x14ac:dyDescent="0.3">
      <c r="A62" s="268" t="s">
        <v>101</v>
      </c>
      <c r="B62" s="1051" t="s">
        <v>26</v>
      </c>
      <c r="C62" s="297" t="s">
        <v>297</v>
      </c>
      <c r="D62" s="299" t="s">
        <v>177</v>
      </c>
      <c r="E62" s="504">
        <v>13.1272</v>
      </c>
      <c r="F62" s="402">
        <f>+'01 Prod Physique Boites'!H60</f>
        <v>0</v>
      </c>
      <c r="G62" s="403">
        <f>IFERROR(E62*'01 Prod Physique Boites'!L60,"-")</f>
        <v>0</v>
      </c>
      <c r="H62" s="381">
        <v>20.76</v>
      </c>
      <c r="I62" s="419">
        <f t="shared" ref="I62:I71" si="28">IFERROR(H62*(F62/E62),"-")</f>
        <v>0</v>
      </c>
      <c r="J62" s="632">
        <f t="shared" ref="J62:J71" si="29">IFERROR(H62*(G62/E62),"-")</f>
        <v>0</v>
      </c>
    </row>
    <row r="63" spans="1:10" ht="23.4" x14ac:dyDescent="0.3">
      <c r="A63" s="274" t="s">
        <v>101</v>
      </c>
      <c r="B63" s="1051"/>
      <c r="C63" s="298" t="s">
        <v>424</v>
      </c>
      <c r="D63" s="298" t="s">
        <v>423</v>
      </c>
      <c r="E63" s="505">
        <v>16.7288</v>
      </c>
      <c r="F63" s="402">
        <f>IFERROR(E63*'01 Prod Physique Boites'!H61,"-")</f>
        <v>1197848.9952</v>
      </c>
      <c r="G63" s="403">
        <f>IFERROR(E63*'01 Prod Physique Boites'!L61,"-")</f>
        <v>1197848.9952</v>
      </c>
      <c r="H63" s="385">
        <v>20.76</v>
      </c>
      <c r="I63" s="421">
        <f t="shared" si="28"/>
        <v>1486499.04</v>
      </c>
      <c r="J63" s="633">
        <f t="shared" si="29"/>
        <v>1486499.04</v>
      </c>
    </row>
    <row r="64" spans="1:10" ht="23.4" x14ac:dyDescent="0.3">
      <c r="A64" s="274" t="s">
        <v>101</v>
      </c>
      <c r="B64" s="1051"/>
      <c r="C64" s="299" t="s">
        <v>27</v>
      </c>
      <c r="D64" s="299" t="s">
        <v>334</v>
      </c>
      <c r="E64" s="501">
        <v>17.8202</v>
      </c>
      <c r="F64" s="402">
        <f>IFERROR(E64*'01 Prod Physique Boites'!H62,"-")</f>
        <v>0</v>
      </c>
      <c r="G64" s="403">
        <f>IFERROR(E64*'01 Prod Physique Boites'!L62,"-")</f>
        <v>0</v>
      </c>
      <c r="H64" s="385">
        <v>21.22</v>
      </c>
      <c r="I64" s="643">
        <f t="shared" si="28"/>
        <v>0</v>
      </c>
      <c r="J64" s="633">
        <f t="shared" si="29"/>
        <v>0</v>
      </c>
    </row>
    <row r="65" spans="1:10" ht="23.4" x14ac:dyDescent="0.3">
      <c r="A65" s="274" t="s">
        <v>101</v>
      </c>
      <c r="B65" s="1051"/>
      <c r="C65" s="299" t="s">
        <v>27</v>
      </c>
      <c r="D65" s="299" t="s">
        <v>234</v>
      </c>
      <c r="E65" s="501">
        <v>17.8202</v>
      </c>
      <c r="F65" s="402">
        <f>IFERROR(E65*'01 Prod Physique Boites'!H63,"-")</f>
        <v>0</v>
      </c>
      <c r="G65" s="403">
        <f>IFERROR(E65*'01 Prod Physique Boites'!L63,"-")</f>
        <v>0</v>
      </c>
      <c r="H65" s="385">
        <v>24.93</v>
      </c>
      <c r="I65" s="643">
        <f t="shared" si="28"/>
        <v>0</v>
      </c>
      <c r="J65" s="633">
        <f t="shared" si="29"/>
        <v>0</v>
      </c>
    </row>
    <row r="66" spans="1:10" ht="23.4" x14ac:dyDescent="0.3">
      <c r="A66" s="274" t="s">
        <v>101</v>
      </c>
      <c r="B66" s="1051"/>
      <c r="C66" s="299" t="s">
        <v>27</v>
      </c>
      <c r="D66" s="299" t="s">
        <v>279</v>
      </c>
      <c r="E66" s="501">
        <v>17.8202</v>
      </c>
      <c r="F66" s="402">
        <f>IFERROR(E66*'01 Prod Physique Boites'!H64,"-")</f>
        <v>0</v>
      </c>
      <c r="G66" s="403">
        <f>IFERROR(E66*'01 Prod Physique Boites'!L64,"-")</f>
        <v>0</v>
      </c>
      <c r="H66" s="385">
        <v>24.93</v>
      </c>
      <c r="I66" s="643">
        <f t="shared" si="28"/>
        <v>0</v>
      </c>
      <c r="J66" s="633">
        <f t="shared" si="29"/>
        <v>0</v>
      </c>
    </row>
    <row r="67" spans="1:10" ht="23.4" x14ac:dyDescent="0.3">
      <c r="A67" s="274"/>
      <c r="B67" s="1051"/>
      <c r="C67" s="299" t="s">
        <v>437</v>
      </c>
      <c r="D67" s="299" t="s">
        <v>178</v>
      </c>
      <c r="E67" s="501">
        <v>14.608000000000001</v>
      </c>
      <c r="F67" s="402">
        <f>IFERROR(E67*'01 Prod Physique Boites'!H65,"-")</f>
        <v>0</v>
      </c>
      <c r="G67" s="403">
        <f>IFERROR(E67*'01 Prod Physique Boites'!L65,"-")</f>
        <v>0</v>
      </c>
      <c r="H67" s="387">
        <v>24.93</v>
      </c>
      <c r="I67" s="643">
        <f t="shared" si="28"/>
        <v>0</v>
      </c>
      <c r="J67" s="634">
        <f t="shared" si="29"/>
        <v>0</v>
      </c>
    </row>
    <row r="68" spans="1:10" ht="23.4" x14ac:dyDescent="0.3">
      <c r="A68" s="274"/>
      <c r="B68" s="1051"/>
      <c r="C68" s="299" t="s">
        <v>436</v>
      </c>
      <c r="D68" s="299" t="s">
        <v>94</v>
      </c>
      <c r="E68" s="501">
        <v>17.8202</v>
      </c>
      <c r="F68" s="724">
        <f>IFERROR(E68*'01 Prod Physique Boites'!H66,"-")</f>
        <v>0</v>
      </c>
      <c r="G68" s="403">
        <f>IFERROR(E68*'01 Prod Physique Boites'!L66,"-")</f>
        <v>0</v>
      </c>
      <c r="H68" s="387">
        <v>24.93</v>
      </c>
      <c r="I68" s="730">
        <f t="shared" si="28"/>
        <v>0</v>
      </c>
      <c r="J68" s="634">
        <f t="shared" si="29"/>
        <v>0</v>
      </c>
    </row>
    <row r="69" spans="1:10" s="731" customFormat="1" ht="23.4" x14ac:dyDescent="0.3">
      <c r="A69" s="725"/>
      <c r="B69" s="1051"/>
      <c r="C69" s="726" t="s">
        <v>383</v>
      </c>
      <c r="D69" s="726" t="s">
        <v>384</v>
      </c>
      <c r="E69" s="727">
        <v>16.345199999999998</v>
      </c>
      <c r="F69" s="724">
        <f>IFERROR(E69*'01 Prod Physique Boites'!H68,"-")</f>
        <v>0</v>
      </c>
      <c r="G69" s="728">
        <f>IFERROR(E69*'01 Prod Physique Boites'!L68,"-")</f>
        <v>0</v>
      </c>
      <c r="H69" s="729">
        <v>23.78</v>
      </c>
      <c r="I69" s="730">
        <f t="shared" si="28"/>
        <v>0</v>
      </c>
      <c r="J69" s="634">
        <f t="shared" si="29"/>
        <v>0</v>
      </c>
    </row>
    <row r="70" spans="1:10" s="731" customFormat="1" ht="23.4" x14ac:dyDescent="0.3">
      <c r="A70" s="725"/>
      <c r="B70" s="1051"/>
      <c r="C70" s="299" t="s">
        <v>433</v>
      </c>
      <c r="D70" s="299" t="s">
        <v>178</v>
      </c>
      <c r="E70" s="727">
        <v>16.7288</v>
      </c>
      <c r="F70" s="724">
        <f>IFERROR(E70*'01 Prod Physique Boites'!H67,"-")</f>
        <v>0</v>
      </c>
      <c r="G70" s="728">
        <f>IFERROR(E70*'01 Prod Physique Boites'!L67,"-")</f>
        <v>0</v>
      </c>
      <c r="H70" s="729">
        <v>25.49</v>
      </c>
      <c r="I70" s="730">
        <f t="shared" si="28"/>
        <v>0</v>
      </c>
      <c r="J70" s="634">
        <f t="shared" si="29"/>
        <v>0</v>
      </c>
    </row>
    <row r="71" spans="1:10" ht="24" thickBot="1" x14ac:dyDescent="0.35">
      <c r="A71" s="274" t="s">
        <v>101</v>
      </c>
      <c r="B71" s="1051"/>
      <c r="C71" s="300" t="s">
        <v>290</v>
      </c>
      <c r="D71" s="299" t="s">
        <v>289</v>
      </c>
      <c r="E71" s="501">
        <v>12.6997</v>
      </c>
      <c r="F71" s="402">
        <f>IFERROR(E71*'01 Prod Physique Boites'!H69,"-")</f>
        <v>0</v>
      </c>
      <c r="G71" s="728">
        <f>IFERROR(E71*'01 Prod Physique Boites'!L69,"-")</f>
        <v>0</v>
      </c>
      <c r="H71" s="387">
        <v>13.25</v>
      </c>
      <c r="I71" s="730">
        <f t="shared" si="28"/>
        <v>0</v>
      </c>
      <c r="J71" s="634">
        <f t="shared" si="29"/>
        <v>0</v>
      </c>
    </row>
    <row r="72" spans="1:10" ht="24" thickBot="1" x14ac:dyDescent="0.35">
      <c r="A72" s="274" t="s">
        <v>101</v>
      </c>
      <c r="B72" s="1052"/>
      <c r="C72" s="301"/>
      <c r="D72" s="302" t="s">
        <v>52</v>
      </c>
      <c r="E72" s="390"/>
      <c r="F72" s="406">
        <f>SUM(F62:F71)</f>
        <v>1197848.9952</v>
      </c>
      <c r="G72" s="407">
        <f>SUM(G62:G71)</f>
        <v>1197848.9952</v>
      </c>
      <c r="H72" s="391"/>
      <c r="I72" s="406">
        <f>SUM(I62:I71)</f>
        <v>1486499.04</v>
      </c>
      <c r="J72" s="425">
        <f>SUM(J62:J71)</f>
        <v>1486499.04</v>
      </c>
    </row>
    <row r="73" spans="1:10" ht="23.4" x14ac:dyDescent="0.3">
      <c r="A73" s="274" t="s">
        <v>101</v>
      </c>
      <c r="B73" s="1053" t="s">
        <v>28</v>
      </c>
      <c r="C73" s="299" t="s">
        <v>27</v>
      </c>
      <c r="D73" s="297" t="s">
        <v>279</v>
      </c>
      <c r="E73" s="504">
        <v>17.8202</v>
      </c>
      <c r="F73" s="402">
        <f>IFERROR(E73*'01 Prod Physique Boites'!H71,"-")</f>
        <v>0</v>
      </c>
      <c r="G73" s="403">
        <f>IFERROR(E73*'01 Prod Physique Boites'!L71,"-")</f>
        <v>0</v>
      </c>
      <c r="H73" s="381">
        <v>24.93</v>
      </c>
      <c r="I73" s="419">
        <f t="shared" ref="I73:I79" si="30">IFERROR(H73*(F73/E73),"-")</f>
        <v>0</v>
      </c>
      <c r="J73" s="632">
        <f t="shared" ref="J73:J79" si="31">IFERROR(H73*(G73/E73),"-")</f>
        <v>0</v>
      </c>
    </row>
    <row r="74" spans="1:10" ht="23.4" x14ac:dyDescent="0.3">
      <c r="A74" s="274" t="s">
        <v>101</v>
      </c>
      <c r="B74" s="1051"/>
      <c r="C74" s="299" t="s">
        <v>386</v>
      </c>
      <c r="D74" s="299" t="s">
        <v>334</v>
      </c>
      <c r="E74" s="711">
        <v>16.7288</v>
      </c>
      <c r="F74" s="402">
        <f>IFERROR(E74*'01 Prod Physique Boites'!H72,"-")</f>
        <v>332735.83199999999</v>
      </c>
      <c r="G74" s="728">
        <f>IFERROR(E74*'01 Prod Physique Boites'!L72,"-")</f>
        <v>332735.83199999999</v>
      </c>
      <c r="H74" s="708">
        <v>20.76</v>
      </c>
      <c r="I74" s="421">
        <f t="shared" si="30"/>
        <v>412916.4</v>
      </c>
      <c r="J74" s="633">
        <f t="shared" si="31"/>
        <v>412916.4</v>
      </c>
    </row>
    <row r="75" spans="1:10" ht="23.4" x14ac:dyDescent="0.3">
      <c r="A75" s="274" t="s">
        <v>101</v>
      </c>
      <c r="B75" s="1051"/>
      <c r="C75" s="299" t="s">
        <v>385</v>
      </c>
      <c r="D75" s="299" t="s">
        <v>334</v>
      </c>
      <c r="E75" s="501">
        <v>17.8202</v>
      </c>
      <c r="F75" s="402">
        <f>IFERROR(E75*'01 Prod Physique Boites'!H73,"-")</f>
        <v>0</v>
      </c>
      <c r="G75" s="403">
        <f>IFERROR(E75*'01 Prod Physique Boites'!L73,"-")</f>
        <v>0</v>
      </c>
      <c r="H75" s="385">
        <v>21.22</v>
      </c>
      <c r="I75" s="421">
        <f t="shared" si="30"/>
        <v>0</v>
      </c>
      <c r="J75" s="633">
        <f>IFERROR(H75*(G75/E75),"-")</f>
        <v>0</v>
      </c>
    </row>
    <row r="76" spans="1:10" ht="23.4" x14ac:dyDescent="0.3">
      <c r="A76" s="274"/>
      <c r="B76" s="1051"/>
      <c r="C76" s="299" t="s">
        <v>460</v>
      </c>
      <c r="D76" s="299" t="s">
        <v>334</v>
      </c>
      <c r="E76" s="501">
        <v>14.608000000000001</v>
      </c>
      <c r="F76" s="402">
        <f>IFERROR(E76*'01 Prod Physique Boites'!H74,"-")</f>
        <v>0</v>
      </c>
      <c r="G76" s="403">
        <f>IFERROR(E76*'01 Prod Physique Boites'!L74,"-")</f>
        <v>0</v>
      </c>
      <c r="H76" s="385">
        <v>21.22</v>
      </c>
      <c r="I76" s="421">
        <f t="shared" si="30"/>
        <v>0</v>
      </c>
      <c r="J76" s="633">
        <f>IFERROR(H76*(G76/E76),"-")</f>
        <v>0</v>
      </c>
    </row>
    <row r="77" spans="1:10" ht="23.4" x14ac:dyDescent="0.3">
      <c r="A77" s="274"/>
      <c r="B77" s="1051"/>
      <c r="C77" s="299" t="s">
        <v>383</v>
      </c>
      <c r="D77" s="299" t="s">
        <v>384</v>
      </c>
      <c r="E77" s="711">
        <v>16.345199999999998</v>
      </c>
      <c r="F77" s="402">
        <f>IFERROR(E77*'01 Prod Physique Boites'!H75,"-")</f>
        <v>0</v>
      </c>
      <c r="G77" s="403">
        <f>IFERROR(E77*'01 Prod Physique Boites'!L75,"-")</f>
        <v>0</v>
      </c>
      <c r="H77" s="385">
        <v>23.78</v>
      </c>
      <c r="I77" s="423">
        <f t="shared" si="30"/>
        <v>0</v>
      </c>
      <c r="J77" s="634">
        <f t="shared" si="31"/>
        <v>0</v>
      </c>
    </row>
    <row r="78" spans="1:10" ht="23.4" x14ac:dyDescent="0.3">
      <c r="A78" s="274"/>
      <c r="B78" s="1051"/>
      <c r="C78" s="299" t="s">
        <v>458</v>
      </c>
      <c r="D78" s="300" t="s">
        <v>280</v>
      </c>
      <c r="E78" s="711">
        <v>17.8202</v>
      </c>
      <c r="F78" s="402">
        <f>IFERROR(E78*'01 Prod Physique Boites'!H76,"-")</f>
        <v>0</v>
      </c>
      <c r="G78" s="403">
        <f>IFERROR(E78*'01 Prod Physique Boites'!L76,"-")</f>
        <v>0</v>
      </c>
      <c r="H78" s="385">
        <v>24.93</v>
      </c>
      <c r="I78" s="730">
        <f t="shared" si="30"/>
        <v>0</v>
      </c>
      <c r="J78" s="634">
        <f t="shared" si="31"/>
        <v>0</v>
      </c>
    </row>
    <row r="79" spans="1:10" ht="24" thickBot="1" x14ac:dyDescent="0.35">
      <c r="A79" s="274" t="s">
        <v>101</v>
      </c>
      <c r="B79" s="1051"/>
      <c r="C79" s="299" t="s">
        <v>27</v>
      </c>
      <c r="D79" s="300" t="s">
        <v>234</v>
      </c>
      <c r="E79" s="501">
        <v>17.8202</v>
      </c>
      <c r="F79" s="402">
        <f>IFERROR(E79*'01 Prod Physique Boites'!H77,"-")</f>
        <v>0</v>
      </c>
      <c r="G79" s="403">
        <f>IFERROR(E79*'01 Prod Physique Boites'!L77,"-")</f>
        <v>0</v>
      </c>
      <c r="H79" s="385">
        <v>24.93</v>
      </c>
      <c r="I79" s="423">
        <f t="shared" si="30"/>
        <v>0</v>
      </c>
      <c r="J79" s="634">
        <f t="shared" si="31"/>
        <v>0</v>
      </c>
    </row>
    <row r="80" spans="1:10" ht="24" thickBot="1" x14ac:dyDescent="0.35">
      <c r="A80" s="274" t="s">
        <v>101</v>
      </c>
      <c r="B80" s="1051"/>
      <c r="C80" s="304"/>
      <c r="D80" s="305" t="s">
        <v>52</v>
      </c>
      <c r="E80" s="397"/>
      <c r="F80" s="414">
        <f t="shared" ref="F80:G80" si="32">SUM(F73:F79)</f>
        <v>332735.83199999999</v>
      </c>
      <c r="G80" s="415">
        <f t="shared" si="32"/>
        <v>332735.83199999999</v>
      </c>
      <c r="H80" s="398"/>
      <c r="I80" s="414">
        <f t="shared" ref="I80:J80" si="33">SUM(I73:I79)</f>
        <v>412916.4</v>
      </c>
      <c r="J80" s="430">
        <f t="shared" si="33"/>
        <v>412916.4</v>
      </c>
    </row>
    <row r="81" spans="1:10" ht="24" thickBot="1" x14ac:dyDescent="0.35">
      <c r="A81" s="744" t="s">
        <v>101</v>
      </c>
      <c r="B81" s="1054" t="s">
        <v>162</v>
      </c>
      <c r="C81" s="1055"/>
      <c r="D81" s="1056"/>
      <c r="E81" s="399"/>
      <c r="F81" s="416">
        <f t="shared" ref="F81:G81" si="34">+F72+F80</f>
        <v>1530584.8271999999</v>
      </c>
      <c r="G81" s="417">
        <f t="shared" si="34"/>
        <v>1530584.8271999999</v>
      </c>
      <c r="H81" s="400"/>
      <c r="I81" s="416">
        <f t="shared" ref="I81:J81" si="35">+I72+I80</f>
        <v>1899415.44</v>
      </c>
      <c r="J81" s="431">
        <f t="shared" si="35"/>
        <v>1899415.44</v>
      </c>
    </row>
    <row r="82" spans="1:10" ht="23.4" x14ac:dyDescent="0.3">
      <c r="A82" s="274" t="s">
        <v>101</v>
      </c>
      <c r="B82" s="1051" t="s">
        <v>30</v>
      </c>
      <c r="C82" s="303" t="s">
        <v>450</v>
      </c>
      <c r="D82" s="299" t="s">
        <v>334</v>
      </c>
      <c r="E82" s="736">
        <v>27.917000000000002</v>
      </c>
      <c r="F82" s="402">
        <f>IFERROR(E82*'01 Prod Physique Boites'!H80,"-")</f>
        <v>0</v>
      </c>
      <c r="G82" s="728">
        <f>IFERROR(E82*'01 Prod Physique Boites'!L80,"-")</f>
        <v>0</v>
      </c>
      <c r="H82" s="734">
        <v>33.299999999999997</v>
      </c>
      <c r="I82" s="419">
        <f>IFERROR(H82*(F82/E82),"-")</f>
        <v>0</v>
      </c>
      <c r="J82" s="420">
        <f t="shared" ref="J82:J84" si="36">IFERROR(H82*(G82/E82),"-")</f>
        <v>0</v>
      </c>
    </row>
    <row r="83" spans="1:10" ht="23.4" x14ac:dyDescent="0.3">
      <c r="A83" s="274" t="s">
        <v>101</v>
      </c>
      <c r="B83" s="1051"/>
      <c r="C83" s="300" t="s">
        <v>448</v>
      </c>
      <c r="D83" s="303" t="s">
        <v>384</v>
      </c>
      <c r="E83" s="733">
        <v>28.526700000000002</v>
      </c>
      <c r="F83" s="402">
        <f>IFERROR(E83*'01 Prod Physique Boites'!H81,"-")</f>
        <v>0</v>
      </c>
      <c r="G83" s="728">
        <f>IFERROR(E83*'01 Prod Physique Boites'!L81,"-")</f>
        <v>0</v>
      </c>
      <c r="H83" s="735">
        <v>37.89</v>
      </c>
      <c r="I83" s="421">
        <f>IFERROR(H83*(F83/E83),"-")</f>
        <v>0</v>
      </c>
      <c r="J83" s="422">
        <f t="shared" si="36"/>
        <v>0</v>
      </c>
    </row>
    <row r="84" spans="1:10" ht="24" thickBot="1" x14ac:dyDescent="0.35">
      <c r="A84" s="274" t="s">
        <v>101</v>
      </c>
      <c r="B84" s="1051"/>
      <c r="C84" s="300" t="s">
        <v>291</v>
      </c>
      <c r="D84" s="300" t="s">
        <v>384</v>
      </c>
      <c r="E84" s="501">
        <v>25.751300000000001</v>
      </c>
      <c r="F84" s="724">
        <f>IFERROR(E84*'01 Prod Physique Boites'!H82,"-")</f>
        <v>0</v>
      </c>
      <c r="G84" s="728">
        <f>IFERROR(E84*'01 Prod Physique Boites'!L82,"-")</f>
        <v>0</v>
      </c>
      <c r="H84" s="387">
        <v>37.89</v>
      </c>
      <c r="I84" s="423">
        <f>IFERROR(H84*(F84/E84),"-")</f>
        <v>0</v>
      </c>
      <c r="J84" s="424">
        <f t="shared" si="36"/>
        <v>0</v>
      </c>
    </row>
    <row r="85" spans="1:10" ht="24" thickBot="1" x14ac:dyDescent="0.35">
      <c r="A85" s="274" t="s">
        <v>101</v>
      </c>
      <c r="B85" s="1051"/>
      <c r="C85" s="301"/>
      <c r="D85" s="302" t="s">
        <v>50</v>
      </c>
      <c r="E85" s="390"/>
      <c r="F85" s="406">
        <f t="shared" ref="F85:G85" si="37">SUM(F82:F84)</f>
        <v>0</v>
      </c>
      <c r="G85" s="407">
        <f t="shared" si="37"/>
        <v>0</v>
      </c>
      <c r="H85" s="391"/>
      <c r="I85" s="406">
        <f t="shared" ref="I85" si="38">SUM(I82:I84)</f>
        <v>0</v>
      </c>
      <c r="J85" s="425">
        <f>SUM(J82:J84)</f>
        <v>0</v>
      </c>
    </row>
    <row r="86" spans="1:10" ht="23.4" x14ac:dyDescent="0.3">
      <c r="A86" s="274" t="s">
        <v>101</v>
      </c>
      <c r="B86" s="1051"/>
      <c r="C86" s="297" t="s">
        <v>439</v>
      </c>
      <c r="D86" s="297" t="s">
        <v>92</v>
      </c>
      <c r="E86" s="504">
        <v>24.2607</v>
      </c>
      <c r="F86" s="402">
        <f>IFERROR(E86*'01 Prod Physique Boites'!H84,"-")</f>
        <v>0</v>
      </c>
      <c r="G86" s="728">
        <f>IFERROR(E86*'01 Prod Physique Boites'!L84,"-")</f>
        <v>0</v>
      </c>
      <c r="H86" s="381">
        <v>28.31</v>
      </c>
      <c r="I86" s="638">
        <f>IFERROR(H86*(F86/E86),"-")</f>
        <v>0</v>
      </c>
      <c r="J86" s="420">
        <f t="shared" ref="J86:J91" si="39">IFERROR(H86*(G86/E86),"-")</f>
        <v>0</v>
      </c>
    </row>
    <row r="87" spans="1:10" ht="23.4" x14ac:dyDescent="0.3">
      <c r="A87" s="274"/>
      <c r="B87" s="1051"/>
      <c r="C87" s="303" t="s">
        <v>449</v>
      </c>
      <c r="D87" s="299" t="s">
        <v>334</v>
      </c>
      <c r="E87" s="504">
        <v>24.2607</v>
      </c>
      <c r="F87" s="402">
        <f>IFERROR(E87*'01 Prod Physique Boites'!H85,"-")</f>
        <v>0</v>
      </c>
      <c r="G87" s="728">
        <f>IFERROR(E87*'01 Prod Physique Boites'!L85,"-")</f>
        <v>0</v>
      </c>
      <c r="H87" s="381">
        <v>28.88</v>
      </c>
      <c r="I87" s="638">
        <f t="shared" ref="I87:I91" si="40">IFERROR(H87*(F87/E87),"-")</f>
        <v>0</v>
      </c>
      <c r="J87" s="420">
        <f t="shared" si="39"/>
        <v>0</v>
      </c>
    </row>
    <row r="88" spans="1:10" ht="23.4" x14ac:dyDescent="0.3">
      <c r="A88" s="274"/>
      <c r="B88" s="1051"/>
      <c r="C88" s="303" t="s">
        <v>452</v>
      </c>
      <c r="D88" s="299" t="s">
        <v>334</v>
      </c>
      <c r="E88" s="504">
        <v>25.4041</v>
      </c>
      <c r="F88" s="402">
        <f>IFERROR(E88*'01 Prod Physique Boites'!H86,"-")</f>
        <v>0</v>
      </c>
      <c r="G88" s="728">
        <f>IFERROR(E88*'01 Prod Physique Boites'!L86,"-")</f>
        <v>0</v>
      </c>
      <c r="H88" s="381">
        <v>28.21</v>
      </c>
      <c r="I88" s="638">
        <f t="shared" si="40"/>
        <v>0</v>
      </c>
      <c r="J88" s="420">
        <f t="shared" si="39"/>
        <v>0</v>
      </c>
    </row>
    <row r="89" spans="1:10" ht="23.4" x14ac:dyDescent="0.3">
      <c r="A89" s="274" t="s">
        <v>101</v>
      </c>
      <c r="B89" s="1051"/>
      <c r="C89" s="303" t="s">
        <v>335</v>
      </c>
      <c r="D89" s="303" t="s">
        <v>234</v>
      </c>
      <c r="E89" s="505">
        <v>27.917000000000002</v>
      </c>
      <c r="F89" s="724">
        <f>IFERROR(E89*'01 Prod Physique Boites'!H87,"-")</f>
        <v>0</v>
      </c>
      <c r="G89" s="728">
        <f>IFERROR(E89*'01 Prod Physique Boites'!L87,"-")</f>
        <v>0</v>
      </c>
      <c r="H89" s="385">
        <v>39</v>
      </c>
      <c r="I89" s="638">
        <f t="shared" si="40"/>
        <v>0</v>
      </c>
      <c r="J89" s="420">
        <f t="shared" si="39"/>
        <v>0</v>
      </c>
    </row>
    <row r="90" spans="1:10" ht="23.4" x14ac:dyDescent="0.3">
      <c r="A90" s="274"/>
      <c r="B90" s="1051"/>
      <c r="C90" s="300" t="s">
        <v>459</v>
      </c>
      <c r="D90" s="300" t="s">
        <v>366</v>
      </c>
      <c r="E90" s="501">
        <v>22.094999999999999</v>
      </c>
      <c r="F90" s="724">
        <f>IFERROR(E90*'01 Prod Physique Boites'!H88,"-")</f>
        <v>0</v>
      </c>
      <c r="G90" s="728">
        <f>IFERROR(E90*'01 Prod Physique Boites'!L88,"-")</f>
        <v>0</v>
      </c>
      <c r="H90" s="745">
        <v>37.11</v>
      </c>
      <c r="I90" s="638">
        <f t="shared" si="40"/>
        <v>0</v>
      </c>
      <c r="J90" s="420">
        <f t="shared" si="39"/>
        <v>0</v>
      </c>
    </row>
    <row r="91" spans="1:10" ht="24" thickBot="1" x14ac:dyDescent="0.35">
      <c r="A91" s="274" t="s">
        <v>101</v>
      </c>
      <c r="B91" s="1051"/>
      <c r="C91" s="300" t="s">
        <v>438</v>
      </c>
      <c r="D91" s="300" t="s">
        <v>423</v>
      </c>
      <c r="E91" s="501">
        <v>23.697399999999998</v>
      </c>
      <c r="F91" s="402">
        <f>IFERROR(E91*'01 Prod Physique Boites'!H89,"-")</f>
        <v>0</v>
      </c>
      <c r="G91" s="403">
        <f>IFERROR(E91*'01 Prod Physique Boites'!L89,"-")</f>
        <v>0</v>
      </c>
      <c r="H91" s="387">
        <v>28.21</v>
      </c>
      <c r="I91" s="638">
        <f t="shared" si="40"/>
        <v>0</v>
      </c>
      <c r="J91" s="420">
        <f t="shared" si="39"/>
        <v>0</v>
      </c>
    </row>
    <row r="92" spans="1:10" ht="24" thickBot="1" x14ac:dyDescent="0.35">
      <c r="A92" s="274" t="s">
        <v>101</v>
      </c>
      <c r="B92" s="1051"/>
      <c r="C92" s="304"/>
      <c r="D92" s="305" t="s">
        <v>51</v>
      </c>
      <c r="E92" s="397"/>
      <c r="F92" s="414">
        <f t="shared" ref="F92:G92" si="41">SUM(F86:F91)</f>
        <v>0</v>
      </c>
      <c r="G92" s="415">
        <f t="shared" si="41"/>
        <v>0</v>
      </c>
      <c r="H92" s="398"/>
      <c r="I92" s="414">
        <f t="shared" ref="I92" si="42">SUM(I86:I91)</f>
        <v>0</v>
      </c>
      <c r="J92" s="430">
        <f>SUM(J86:J91)</f>
        <v>0</v>
      </c>
    </row>
    <row r="93" spans="1:10" ht="24" thickBot="1" x14ac:dyDescent="0.35">
      <c r="A93" s="274" t="s">
        <v>101</v>
      </c>
      <c r="B93" s="1054" t="s">
        <v>163</v>
      </c>
      <c r="C93" s="1055"/>
      <c r="D93" s="1056"/>
      <c r="E93" s="399"/>
      <c r="F93" s="416">
        <f t="shared" ref="F93:G93" si="43">+F85+F92</f>
        <v>0</v>
      </c>
      <c r="G93" s="417">
        <f t="shared" si="43"/>
        <v>0</v>
      </c>
      <c r="H93" s="400"/>
      <c r="I93" s="416">
        <f t="shared" ref="I93:J93" si="44">+I85+I92</f>
        <v>0</v>
      </c>
      <c r="J93" s="431">
        <f t="shared" si="44"/>
        <v>0</v>
      </c>
    </row>
    <row r="94" spans="1:10" ht="24" thickBot="1" x14ac:dyDescent="0.35">
      <c r="A94" s="274" t="s">
        <v>101</v>
      </c>
      <c r="B94" s="599" t="s">
        <v>32</v>
      </c>
      <c r="C94" s="737"/>
      <c r="D94" s="310"/>
      <c r="E94" s="506">
        <v>12.2659</v>
      </c>
      <c r="F94" s="408">
        <f>IFERROR(E94*'01 Prod Physique Boites'!H92,"-")</f>
        <v>0</v>
      </c>
      <c r="G94" s="409">
        <f>IFERROR(E94*'01 Prod Physique Boites'!L92,"-")</f>
        <v>0</v>
      </c>
      <c r="H94" s="392"/>
      <c r="I94" s="426">
        <f>IFERROR(H94*(F94/E94),"-")</f>
        <v>0</v>
      </c>
      <c r="J94" s="427">
        <f>IFERROR(H94*(G94/E94),"-")</f>
        <v>0</v>
      </c>
    </row>
    <row r="95" spans="1:10" ht="24" thickBot="1" x14ac:dyDescent="0.35">
      <c r="A95" s="274" t="s">
        <v>101</v>
      </c>
      <c r="B95" s="1047" t="s">
        <v>21</v>
      </c>
      <c r="C95" s="1048"/>
      <c r="D95" s="1049"/>
      <c r="E95" s="393"/>
      <c r="F95" s="410">
        <f t="shared" ref="F95" si="45">+F81+F93+F94</f>
        <v>1530584.8271999999</v>
      </c>
      <c r="G95" s="411">
        <f>+G81+G93+G94</f>
        <v>1530584.8271999999</v>
      </c>
      <c r="H95" s="394"/>
      <c r="I95" s="410">
        <f t="shared" ref="I95:J95" si="46">+I81+I93+I94</f>
        <v>1899415.44</v>
      </c>
      <c r="J95" s="428">
        <f t="shared" si="46"/>
        <v>1899415.44</v>
      </c>
    </row>
    <row r="96" spans="1:10" ht="24" thickBot="1" x14ac:dyDescent="0.35">
      <c r="A96" s="274" t="s">
        <v>101</v>
      </c>
      <c r="B96" s="1019" t="s">
        <v>171</v>
      </c>
      <c r="C96" s="1020"/>
      <c r="D96" s="1021"/>
      <c r="E96" s="395"/>
      <c r="F96" s="412">
        <f t="shared" ref="F96:G96" si="47">+F95</f>
        <v>1530584.8271999999</v>
      </c>
      <c r="G96" s="413">
        <f t="shared" si="47"/>
        <v>1530584.8271999999</v>
      </c>
      <c r="H96" s="396"/>
      <c r="I96" s="412">
        <f t="shared" ref="I96:J96" si="48">+I95</f>
        <v>1899415.44</v>
      </c>
      <c r="J96" s="429">
        <f t="shared" si="48"/>
        <v>1899415.44</v>
      </c>
    </row>
    <row r="97" spans="1:10" ht="23.4" x14ac:dyDescent="0.3">
      <c r="A97" s="268" t="s">
        <v>102</v>
      </c>
      <c r="B97" s="1022" t="s">
        <v>401</v>
      </c>
      <c r="C97" s="311" t="s">
        <v>113</v>
      </c>
      <c r="D97" s="311"/>
      <c r="E97" s="709">
        <v>254.89750000000001</v>
      </c>
      <c r="F97" s="402">
        <f>IFERROR(E97*'01 Prod Physique Boites'!H95,"-")</f>
        <v>0</v>
      </c>
      <c r="G97" s="403">
        <f>IFERROR(E97*'01 Prod Physique Boites'!L95,"-")</f>
        <v>0</v>
      </c>
      <c r="H97" s="381">
        <v>445.38</v>
      </c>
      <c r="I97" s="419">
        <f>IFERROR(H97*(F97/E97),"-")</f>
        <v>0</v>
      </c>
      <c r="J97" s="420">
        <f t="shared" ref="J97:J99" si="49">IFERROR(H97*(G97/E97),"-")</f>
        <v>0</v>
      </c>
    </row>
    <row r="98" spans="1:10" ht="23.4" x14ac:dyDescent="0.3">
      <c r="A98" s="274" t="s">
        <v>102</v>
      </c>
      <c r="B98" s="1023"/>
      <c r="C98" s="312" t="s">
        <v>247</v>
      </c>
      <c r="D98" s="312"/>
      <c r="E98" s="503">
        <v>246.51390000000001</v>
      </c>
      <c r="F98" s="402">
        <f>IFERROR(E98*'01 Prod Physique Boites'!H96,"-")</f>
        <v>0</v>
      </c>
      <c r="G98" s="403">
        <f>IFERROR(E98*'01 Prod Physique Boites'!L96,"-")</f>
        <v>0</v>
      </c>
      <c r="H98" s="385">
        <v>430.02</v>
      </c>
      <c r="I98" s="421">
        <f>IFERROR(H98*(F98/E98),"-")</f>
        <v>0</v>
      </c>
      <c r="J98" s="422">
        <f t="shared" si="49"/>
        <v>0</v>
      </c>
    </row>
    <row r="99" spans="1:10" ht="24" thickBot="1" x14ac:dyDescent="0.35">
      <c r="A99" s="274" t="s">
        <v>102</v>
      </c>
      <c r="B99" s="1024"/>
      <c r="C99" s="313" t="s">
        <v>33</v>
      </c>
      <c r="D99" s="313"/>
      <c r="E99" s="500">
        <v>225.7713</v>
      </c>
      <c r="F99" s="402">
        <f>IFERROR(E99*'01 Prod Physique Boites'!H97,"-")</f>
        <v>0</v>
      </c>
      <c r="G99" s="403">
        <f>IFERROR(E99*'01 Prod Physique Boites'!L97,"-")</f>
        <v>0</v>
      </c>
      <c r="H99" s="387"/>
      <c r="I99" s="423">
        <f>IFERROR(H99*(F99/E99),"-")</f>
        <v>0</v>
      </c>
      <c r="J99" s="424">
        <f t="shared" si="49"/>
        <v>0</v>
      </c>
    </row>
    <row r="100" spans="1:10" ht="24" thickBot="1" x14ac:dyDescent="0.35">
      <c r="A100" s="274" t="s">
        <v>102</v>
      </c>
      <c r="B100" s="1025" t="s">
        <v>34</v>
      </c>
      <c r="C100" s="1026"/>
      <c r="D100" s="1027"/>
      <c r="E100" s="390"/>
      <c r="F100" s="406">
        <f t="shared" ref="F100:G100" si="50">SUM(F97:F99)</f>
        <v>0</v>
      </c>
      <c r="G100" s="407">
        <f t="shared" si="50"/>
        <v>0</v>
      </c>
      <c r="H100" s="391"/>
      <c r="I100" s="406">
        <f t="shared" ref="I100:J100" si="51">SUM(I97:I99)</f>
        <v>0</v>
      </c>
      <c r="J100" s="425">
        <f t="shared" si="51"/>
        <v>0</v>
      </c>
    </row>
    <row r="101" spans="1:10" ht="23.4" x14ac:dyDescent="0.3">
      <c r="A101" s="274" t="s">
        <v>102</v>
      </c>
      <c r="B101" s="1022" t="s">
        <v>35</v>
      </c>
      <c r="C101" s="311" t="s">
        <v>113</v>
      </c>
      <c r="D101" s="311"/>
      <c r="E101" s="502">
        <v>254.89750000000001</v>
      </c>
      <c r="F101" s="402">
        <f>IFERROR(E101*'01 Prod Physique Boites'!H99,"-")</f>
        <v>0</v>
      </c>
      <c r="G101" s="403">
        <f>IFERROR(E101*'01 Prod Physique Boites'!L99,"-")</f>
        <v>0</v>
      </c>
      <c r="H101" s="381">
        <v>445.38</v>
      </c>
      <c r="I101" s="419">
        <f>IFERROR(H101*(F101/E101),"-")</f>
        <v>0</v>
      </c>
      <c r="J101" s="420">
        <f t="shared" ref="J101:J104" si="52">IFERROR(H101*(G101/E101),"-")</f>
        <v>0</v>
      </c>
    </row>
    <row r="102" spans="1:10" ht="23.4" x14ac:dyDescent="0.3">
      <c r="A102" s="274" t="s">
        <v>102</v>
      </c>
      <c r="B102" s="1023"/>
      <c r="C102" s="312" t="s">
        <v>247</v>
      </c>
      <c r="D102" s="312"/>
      <c r="E102" s="503">
        <v>246.51390000000001</v>
      </c>
      <c r="F102" s="402">
        <f>IFERROR(E102*'01 Prod Physique Boites'!H100,"-")</f>
        <v>0</v>
      </c>
      <c r="G102" s="403">
        <f>IFERROR(E102*'01 Prod Physique Boites'!L100,"-")</f>
        <v>0</v>
      </c>
      <c r="H102" s="385">
        <v>430.02</v>
      </c>
      <c r="I102" s="421">
        <f>IFERROR(H102*(F102/E102),"-")</f>
        <v>0</v>
      </c>
      <c r="J102" s="422">
        <f t="shared" si="52"/>
        <v>0</v>
      </c>
    </row>
    <row r="103" spans="1:10" ht="23.4" x14ac:dyDescent="0.3">
      <c r="A103" s="274" t="s">
        <v>102</v>
      </c>
      <c r="B103" s="1023"/>
      <c r="C103" s="312" t="s">
        <v>184</v>
      </c>
      <c r="D103" s="312" t="s">
        <v>183</v>
      </c>
      <c r="E103" s="503">
        <v>254.89750000000001</v>
      </c>
      <c r="F103" s="402">
        <f>IFERROR(E103*'01 Prod Physique Boites'!H101,"-")</f>
        <v>0</v>
      </c>
      <c r="G103" s="403">
        <f>IFERROR(E103*'01 Prod Physique Boites'!L101,"-")</f>
        <v>0</v>
      </c>
      <c r="H103" s="385"/>
      <c r="I103" s="421">
        <f>IFERROR(H103*(F103/E103),"-")</f>
        <v>0</v>
      </c>
      <c r="J103" s="422">
        <f t="shared" si="52"/>
        <v>0</v>
      </c>
    </row>
    <row r="104" spans="1:10" ht="24" thickBot="1" x14ac:dyDescent="0.35">
      <c r="A104" s="274" t="s">
        <v>102</v>
      </c>
      <c r="B104" s="1024"/>
      <c r="C104" s="313" t="s">
        <v>36</v>
      </c>
      <c r="D104" s="313"/>
      <c r="E104" s="500">
        <v>229.99359999999999</v>
      </c>
      <c r="F104" s="402">
        <f>IFERROR(E104*'01 Prod Physique Boites'!H102,"-")</f>
        <v>0</v>
      </c>
      <c r="G104" s="403">
        <f>IFERROR(E104*'01 Prod Physique Boites'!L102,"-")</f>
        <v>0</v>
      </c>
      <c r="H104" s="387"/>
      <c r="I104" s="423">
        <f>IFERROR(H104*(F104/E104),"-")</f>
        <v>0</v>
      </c>
      <c r="J104" s="424">
        <f t="shared" si="52"/>
        <v>0</v>
      </c>
    </row>
    <row r="105" spans="1:10" ht="24" thickBot="1" x14ac:dyDescent="0.35">
      <c r="A105" s="274" t="s">
        <v>102</v>
      </c>
      <c r="B105" s="1025" t="s">
        <v>37</v>
      </c>
      <c r="C105" s="1026"/>
      <c r="D105" s="1027"/>
      <c r="E105" s="390"/>
      <c r="F105" s="406">
        <f t="shared" ref="F105:G105" si="53">SUM(F101:F104)</f>
        <v>0</v>
      </c>
      <c r="G105" s="407">
        <f t="shared" si="53"/>
        <v>0</v>
      </c>
      <c r="H105" s="391"/>
      <c r="I105" s="406">
        <f>SUM(I101:I104)</f>
        <v>0</v>
      </c>
      <c r="J105" s="425">
        <f>SUM(J101:J104)</f>
        <v>0</v>
      </c>
    </row>
    <row r="106" spans="1:10" ht="23.4" x14ac:dyDescent="0.3">
      <c r="A106" s="274" t="s">
        <v>102</v>
      </c>
      <c r="B106" s="1022" t="s">
        <v>402</v>
      </c>
      <c r="C106" s="314" t="s">
        <v>116</v>
      </c>
      <c r="D106" s="314"/>
      <c r="E106" s="502">
        <v>195.2808</v>
      </c>
      <c r="F106" s="402">
        <f>IFERROR(E106*'01 Prod Physique Boites'!H104,"-")</f>
        <v>0</v>
      </c>
      <c r="G106" s="403">
        <f>IFERROR(E106*'01 Prod Physique Boites'!L104,"-")</f>
        <v>0</v>
      </c>
      <c r="H106" s="681">
        <v>256.7</v>
      </c>
      <c r="I106" s="419">
        <f>IFERROR(H106*(F106/E106),"-")</f>
        <v>0</v>
      </c>
      <c r="J106" s="420">
        <f t="shared" ref="J106:J107" si="54">IFERROR(H106*(G106/E106),"-")</f>
        <v>0</v>
      </c>
    </row>
    <row r="107" spans="1:10" ht="24" thickBot="1" x14ac:dyDescent="0.35">
      <c r="A107" s="274" t="s">
        <v>102</v>
      </c>
      <c r="B107" s="1024"/>
      <c r="C107" s="286" t="s">
        <v>132</v>
      </c>
      <c r="D107" s="286"/>
      <c r="E107" s="500">
        <v>189.91890000000001</v>
      </c>
      <c r="F107" s="402">
        <f>IFERROR(E107*'01 Prod Physique Boites'!H105,"-")</f>
        <v>0</v>
      </c>
      <c r="G107" s="403">
        <f>IFERROR(E107*'01 Prod Physique Boites'!L105,"-")</f>
        <v>0</v>
      </c>
      <c r="H107" s="387">
        <v>320.35000000000002</v>
      </c>
      <c r="I107" s="423">
        <f>IFERROR(H107*(F107/E107),"-")</f>
        <v>0</v>
      </c>
      <c r="J107" s="424">
        <f t="shared" si="54"/>
        <v>0</v>
      </c>
    </row>
    <row r="108" spans="1:10" ht="24" thickBot="1" x14ac:dyDescent="0.35">
      <c r="A108" s="744" t="s">
        <v>102</v>
      </c>
      <c r="B108" s="1025" t="s">
        <v>38</v>
      </c>
      <c r="C108" s="1026"/>
      <c r="D108" s="1027"/>
      <c r="E108" s="390"/>
      <c r="F108" s="406">
        <f>SUM(F106:F107)</f>
        <v>0</v>
      </c>
      <c r="G108" s="407">
        <f t="shared" ref="G108" si="55">SUM(G106:G107)</f>
        <v>0</v>
      </c>
      <c r="H108" s="391"/>
      <c r="I108" s="406">
        <f t="shared" ref="I108:J108" si="56">SUM(I106:I107)</f>
        <v>0</v>
      </c>
      <c r="J108" s="425">
        <f t="shared" si="56"/>
        <v>0</v>
      </c>
    </row>
    <row r="109" spans="1:10" ht="23.4" x14ac:dyDescent="0.3">
      <c r="A109" s="274" t="s">
        <v>102</v>
      </c>
      <c r="B109" s="1022" t="s">
        <v>403</v>
      </c>
      <c r="C109" s="269" t="s">
        <v>306</v>
      </c>
      <c r="D109" s="269" t="s">
        <v>238</v>
      </c>
      <c r="E109" s="504">
        <v>37.248699999999999</v>
      </c>
      <c r="F109" s="402">
        <f>IFERROR(E109*'01 Prod Physique Boites'!H107,"-")</f>
        <v>250311.264</v>
      </c>
      <c r="G109" s="403">
        <f>IFERROR(E109*'01 Prod Physique Boites'!L107,"-")</f>
        <v>250311.264</v>
      </c>
      <c r="H109" s="381">
        <v>71.44</v>
      </c>
      <c r="I109" s="419">
        <f>IFERROR(H109*(F109/E109),"-")</f>
        <v>480076.79999999999</v>
      </c>
      <c r="J109" s="420">
        <f>IFERROR(H109*(G109/E109),"-")</f>
        <v>480076.79999999999</v>
      </c>
    </row>
    <row r="110" spans="1:10" ht="23.4" x14ac:dyDescent="0.3">
      <c r="A110" s="274" t="s">
        <v>102</v>
      </c>
      <c r="B110" s="1023"/>
      <c r="C110" s="269" t="s">
        <v>156</v>
      </c>
      <c r="D110" s="275"/>
      <c r="E110" s="504">
        <v>37.248699999999999</v>
      </c>
      <c r="F110" s="402">
        <f>IFERROR(E110*'01 Prod Physique Boites'!H108,"-")</f>
        <v>0</v>
      </c>
      <c r="G110" s="403">
        <f>IFERROR(E110*'01 Prod Physique Boites'!L108,"-")</f>
        <v>0</v>
      </c>
      <c r="H110" s="385"/>
      <c r="I110" s="421">
        <f>IFERROR(H110*(F110/E110),"-")</f>
        <v>0</v>
      </c>
      <c r="J110" s="422">
        <f t="shared" ref="J110:J112" si="57">IFERROR(H110*(G110/E110),"-")</f>
        <v>0</v>
      </c>
    </row>
    <row r="111" spans="1:10" ht="23.4" x14ac:dyDescent="0.3">
      <c r="A111" s="274" t="s">
        <v>102</v>
      </c>
      <c r="B111" s="1023"/>
      <c r="C111" s="275" t="s">
        <v>345</v>
      </c>
      <c r="D111" s="269" t="s">
        <v>238</v>
      </c>
      <c r="E111" s="504">
        <v>37.248699999999999</v>
      </c>
      <c r="F111" s="402">
        <f>IFERROR(E111*'01 Prod Physique Boites'!H109,"-")</f>
        <v>0</v>
      </c>
      <c r="G111" s="403">
        <f>IFERROR(E111*'01 Prod Physique Boites'!L109,"-")</f>
        <v>0</v>
      </c>
      <c r="H111" s="385">
        <v>71.44</v>
      </c>
      <c r="I111" s="421">
        <f>IFERROR(H111*(F111/E111),"-")</f>
        <v>0</v>
      </c>
      <c r="J111" s="422">
        <f t="shared" si="57"/>
        <v>0</v>
      </c>
    </row>
    <row r="112" spans="1:10" ht="24" thickBot="1" x14ac:dyDescent="0.35">
      <c r="A112" s="274" t="s">
        <v>102</v>
      </c>
      <c r="B112" s="1023"/>
      <c r="C112" s="275" t="s">
        <v>157</v>
      </c>
      <c r="D112" s="275"/>
      <c r="E112" s="505">
        <v>38.466099999999997</v>
      </c>
      <c r="F112" s="402">
        <f>IFERROR(E112*'01 Prod Physique Boites'!H110,"-")</f>
        <v>0</v>
      </c>
      <c r="G112" s="403">
        <f>IFERROR(E112*'01 Prod Physique Boites'!L110,"-")</f>
        <v>0</v>
      </c>
      <c r="H112" s="385"/>
      <c r="I112" s="421">
        <f>IFERROR(H112*(F112/E112),"-")</f>
        <v>0</v>
      </c>
      <c r="J112" s="422">
        <f t="shared" si="57"/>
        <v>0</v>
      </c>
    </row>
    <row r="113" spans="1:10" ht="24" thickBot="1" x14ac:dyDescent="0.35">
      <c r="A113" s="274" t="s">
        <v>102</v>
      </c>
      <c r="B113" s="1025" t="s">
        <v>39</v>
      </c>
      <c r="C113" s="1026"/>
      <c r="D113" s="1027"/>
      <c r="E113" s="390"/>
      <c r="F113" s="406">
        <f>SUM(F109:F112)</f>
        <v>250311.264</v>
      </c>
      <c r="G113" s="407">
        <f>SUM(G109:G112)</f>
        <v>250311.264</v>
      </c>
      <c r="H113" s="391"/>
      <c r="I113" s="406">
        <f>SUM(I109:I112)</f>
        <v>480076.79999999999</v>
      </c>
      <c r="J113" s="406">
        <f>SUM(J109:J112)</f>
        <v>480076.79999999999</v>
      </c>
    </row>
    <row r="114" spans="1:10" ht="23.4" x14ac:dyDescent="0.3">
      <c r="A114" s="274" t="s">
        <v>102</v>
      </c>
      <c r="B114" s="1022" t="s">
        <v>40</v>
      </c>
      <c r="C114" s="269" t="s">
        <v>186</v>
      </c>
      <c r="D114" s="269" t="s">
        <v>183</v>
      </c>
      <c r="E114" s="504">
        <v>30.7499</v>
      </c>
      <c r="F114" s="402">
        <f>IFERROR(E114*'01 Prod Physique Boites'!H113,"-")</f>
        <v>0</v>
      </c>
      <c r="G114" s="403">
        <f>IFERROR(E114*'01 Prod Physique Boites'!L113,"-")</f>
        <v>0</v>
      </c>
      <c r="H114" s="381"/>
      <c r="I114" s="419">
        <f>IFERROR(H114*(F114/E114),"-")</f>
        <v>0</v>
      </c>
      <c r="J114" s="420">
        <f>IFERROR(H114*(G114/E114),"-")</f>
        <v>0</v>
      </c>
    </row>
    <row r="115" spans="1:10" ht="23.4" x14ac:dyDescent="0.3">
      <c r="A115" s="274" t="s">
        <v>102</v>
      </c>
      <c r="B115" s="1023"/>
      <c r="C115" s="275" t="s">
        <v>159</v>
      </c>
      <c r="D115" s="275"/>
      <c r="E115" s="684">
        <v>25.139099999999999</v>
      </c>
      <c r="F115" s="402">
        <f>IFERROR(E115*'01 Prod Physique Boites'!H114,"-")</f>
        <v>286585.74</v>
      </c>
      <c r="G115" s="403">
        <f>IFERROR(E115*'01 Prod Physique Boites'!L114,"-")</f>
        <v>286585.74</v>
      </c>
      <c r="H115" s="385">
        <v>59.96</v>
      </c>
      <c r="I115" s="421">
        <f>IFERROR(H115*(F115/E115),"-")</f>
        <v>683544</v>
      </c>
      <c r="J115" s="422">
        <f t="shared" ref="J115:J116" si="58">IFERROR(H115*(G115/E115),"-")</f>
        <v>683544</v>
      </c>
    </row>
    <row r="116" spans="1:10" ht="24" thickBot="1" x14ac:dyDescent="0.35">
      <c r="A116" s="274" t="s">
        <v>102</v>
      </c>
      <c r="B116" s="1024"/>
      <c r="C116" s="279" t="s">
        <v>186</v>
      </c>
      <c r="D116" s="279" t="s">
        <v>185</v>
      </c>
      <c r="E116" s="501">
        <v>30.073599999999999</v>
      </c>
      <c r="F116" s="402">
        <f>IFERROR(E116*'01 Prod Physique Boites'!H115,"-")</f>
        <v>0</v>
      </c>
      <c r="G116" s="403">
        <f>IFERROR(E116*'01 Prod Physique Boites'!L115,"-")</f>
        <v>0</v>
      </c>
      <c r="H116" s="387"/>
      <c r="I116" s="423">
        <f>IFERROR(H116*(F116/E116),"-")</f>
        <v>0</v>
      </c>
      <c r="J116" s="424">
        <f t="shared" si="58"/>
        <v>0</v>
      </c>
    </row>
    <row r="117" spans="1:10" ht="24" thickBot="1" x14ac:dyDescent="0.35">
      <c r="A117" s="274" t="s">
        <v>102</v>
      </c>
      <c r="B117" s="1034" t="s">
        <v>41</v>
      </c>
      <c r="C117" s="1035"/>
      <c r="D117" s="1036"/>
      <c r="E117" s="390"/>
      <c r="F117" s="406">
        <f t="shared" ref="F117:G117" si="59">SUM(F114:F116)</f>
        <v>286585.74</v>
      </c>
      <c r="G117" s="407">
        <f t="shared" si="59"/>
        <v>286585.74</v>
      </c>
      <c r="H117" s="391"/>
      <c r="I117" s="406">
        <f t="shared" ref="I117:J117" si="60">SUM(I114:I116)</f>
        <v>683544</v>
      </c>
      <c r="J117" s="425">
        <f t="shared" si="60"/>
        <v>683544</v>
      </c>
    </row>
    <row r="118" spans="1:10" ht="23.4" x14ac:dyDescent="0.3">
      <c r="A118" s="274" t="s">
        <v>102</v>
      </c>
      <c r="B118" s="1022" t="s">
        <v>42</v>
      </c>
      <c r="C118" s="269" t="s">
        <v>160</v>
      </c>
      <c r="D118" s="269"/>
      <c r="E118" s="504">
        <v>36.684899999999999</v>
      </c>
      <c r="F118" s="402">
        <f>IFERROR(E118*'01 Prod Physique Boites'!H117,"-")</f>
        <v>0</v>
      </c>
      <c r="G118" s="403">
        <f>IFERROR(E118*'01 Prod Physique Boites'!L117,"-")</f>
        <v>0</v>
      </c>
      <c r="H118" s="381"/>
      <c r="I118" s="382" t="s">
        <v>190</v>
      </c>
      <c r="J118" s="383" t="s">
        <v>190</v>
      </c>
    </row>
    <row r="119" spans="1:10" ht="24" thickBot="1" x14ac:dyDescent="0.35">
      <c r="A119" s="274" t="s">
        <v>102</v>
      </c>
      <c r="B119" s="1024"/>
      <c r="C119" s="279" t="s">
        <v>161</v>
      </c>
      <c r="D119" s="279"/>
      <c r="E119" s="501">
        <v>37.002800000000001</v>
      </c>
      <c r="F119" s="402">
        <f>IFERROR(E119*'01 Prod Physique Boites'!H118,"-")</f>
        <v>0</v>
      </c>
      <c r="G119" s="403">
        <f>IFERROR(E119*'01 Prod Physique Boites'!L118,"-")</f>
        <v>0</v>
      </c>
      <c r="H119" s="387"/>
      <c r="I119" s="388" t="s">
        <v>190</v>
      </c>
      <c r="J119" s="389" t="s">
        <v>190</v>
      </c>
    </row>
    <row r="120" spans="1:10" ht="24" thickBot="1" x14ac:dyDescent="0.35">
      <c r="A120" s="274" t="s">
        <v>102</v>
      </c>
      <c r="B120" s="1034" t="s">
        <v>43</v>
      </c>
      <c r="C120" s="1035"/>
      <c r="D120" s="1036"/>
      <c r="E120" s="390"/>
      <c r="F120" s="402">
        <f>IFERROR(E120*'01 Prod Physique Boites'!H119,"-")</f>
        <v>0</v>
      </c>
      <c r="G120" s="407">
        <f>IFERROR(E120*'01 Prod Physique Boites'!L119,"-")</f>
        <v>0</v>
      </c>
      <c r="H120" s="391"/>
      <c r="I120" s="406">
        <f t="shared" ref="I120:J120" si="61">SUM(I118:I119)</f>
        <v>0</v>
      </c>
      <c r="J120" s="425">
        <f t="shared" si="61"/>
        <v>0</v>
      </c>
    </row>
    <row r="121" spans="1:10" ht="24" thickBot="1" x14ac:dyDescent="0.35">
      <c r="A121" s="274" t="s">
        <v>102</v>
      </c>
      <c r="B121" s="1028" t="s">
        <v>25</v>
      </c>
      <c r="C121" s="1029"/>
      <c r="D121" s="1030"/>
      <c r="E121" s="393"/>
      <c r="F121" s="410">
        <f>+F100+F105+F108+F113+F117+F120</f>
        <v>536897.00399999996</v>
      </c>
      <c r="G121" s="411">
        <f>+G100+G105+G108+G113+G117+G120</f>
        <v>536897.00399999996</v>
      </c>
      <c r="H121" s="394"/>
      <c r="I121" s="410">
        <f>+I100+I105+I108+I113+I117+I120</f>
        <v>1163620.8</v>
      </c>
      <c r="J121" s="428">
        <f>+J100+J105+J108+J113+J117+J120</f>
        <v>1163620.8</v>
      </c>
    </row>
    <row r="122" spans="1:10" ht="24" thickBot="1" x14ac:dyDescent="0.35">
      <c r="A122" s="318" t="s">
        <v>102</v>
      </c>
      <c r="B122" s="1020" t="s">
        <v>173</v>
      </c>
      <c r="C122" s="1020"/>
      <c r="D122" s="1021"/>
      <c r="E122" s="395"/>
      <c r="F122" s="412">
        <f t="shared" ref="F122:G122" si="62">+F121</f>
        <v>536897.00399999996</v>
      </c>
      <c r="G122" s="413">
        <f t="shared" si="62"/>
        <v>536897.00399999996</v>
      </c>
      <c r="H122" s="396"/>
      <c r="I122" s="412">
        <f t="shared" ref="I122" si="63">+I121</f>
        <v>1163620.8</v>
      </c>
      <c r="J122" s="429">
        <f>+J121</f>
        <v>1163620.8</v>
      </c>
    </row>
    <row r="123" spans="1:10" ht="24.6" thickBot="1" x14ac:dyDescent="0.35">
      <c r="A123" s="319"/>
      <c r="B123" s="1031" t="s">
        <v>174</v>
      </c>
      <c r="C123" s="1032"/>
      <c r="D123" s="1033"/>
      <c r="E123" s="401"/>
      <c r="F123" s="418">
        <f>+F61+F96+F122</f>
        <v>3597172.3439999996</v>
      </c>
      <c r="G123" s="418">
        <f>+G61+G96+G122</f>
        <v>3597172.3439999996</v>
      </c>
      <c r="H123" s="401"/>
      <c r="I123" s="418">
        <f>+I61+I96+I122</f>
        <v>4909353.84</v>
      </c>
      <c r="J123" s="432">
        <f>+J61+J96+J122</f>
        <v>4909353.84</v>
      </c>
    </row>
    <row r="124" spans="1:10" ht="24.6" customHeight="1" thickBot="1" x14ac:dyDescent="0.35">
      <c r="A124" s="230"/>
      <c r="B124" s="230"/>
      <c r="C124" s="230"/>
      <c r="D124" s="230"/>
      <c r="E124" s="378"/>
      <c r="F124" s="378"/>
      <c r="G124" s="378"/>
      <c r="H124" s="378"/>
      <c r="I124" s="378"/>
      <c r="J124" s="378"/>
    </row>
    <row r="125" spans="1:10" ht="23.4" x14ac:dyDescent="0.3">
      <c r="A125" s="1057" t="s">
        <v>1</v>
      </c>
      <c r="B125" s="1060" t="s">
        <v>2</v>
      </c>
      <c r="C125" s="1063" t="s">
        <v>396</v>
      </c>
      <c r="D125" s="1063" t="s">
        <v>397</v>
      </c>
      <c r="E125" s="1092" t="s">
        <v>405</v>
      </c>
      <c r="F125" s="1093"/>
      <c r="G125" s="1093"/>
      <c r="H125" s="442"/>
      <c r="I125" s="442"/>
      <c r="J125" s="443"/>
    </row>
    <row r="126" spans="1:10" ht="23.4" x14ac:dyDescent="0.3">
      <c r="A126" s="1058"/>
      <c r="B126" s="1061"/>
      <c r="C126" s="1064"/>
      <c r="D126" s="1064"/>
      <c r="E126" s="1094" t="s">
        <v>408</v>
      </c>
      <c r="F126" s="1095"/>
      <c r="G126" s="1096"/>
      <c r="H126" s="1094" t="s">
        <v>168</v>
      </c>
      <c r="I126" s="1095"/>
      <c r="J126" s="1096"/>
    </row>
    <row r="127" spans="1:10" ht="46.8" x14ac:dyDescent="0.3">
      <c r="A127" s="1059"/>
      <c r="B127" s="1090"/>
      <c r="C127" s="1091"/>
      <c r="D127" s="1091"/>
      <c r="E127" s="379" t="s">
        <v>170</v>
      </c>
      <c r="F127" s="767" t="s">
        <v>407</v>
      </c>
      <c r="G127" s="768" t="s">
        <v>406</v>
      </c>
      <c r="H127" s="1097" t="s">
        <v>170</v>
      </c>
      <c r="I127" s="1099" t="s">
        <v>137</v>
      </c>
      <c r="J127" s="1101" t="s">
        <v>406</v>
      </c>
    </row>
    <row r="128" spans="1:10" ht="24" thickBot="1" x14ac:dyDescent="0.35">
      <c r="A128" s="1059"/>
      <c r="B128" s="1062"/>
      <c r="C128" s="1065"/>
      <c r="D128" s="1065"/>
      <c r="E128" s="1103" t="s">
        <v>483</v>
      </c>
      <c r="F128" s="1104"/>
      <c r="G128" s="1105"/>
      <c r="H128" s="1098"/>
      <c r="I128" s="1100"/>
      <c r="J128" s="1102"/>
    </row>
    <row r="129" spans="1:15" ht="23.4" x14ac:dyDescent="0.3">
      <c r="A129" s="268" t="s">
        <v>103</v>
      </c>
      <c r="B129" s="1043" t="s">
        <v>16</v>
      </c>
      <c r="C129" s="269" t="s">
        <v>368</v>
      </c>
      <c r="D129" s="269" t="s">
        <v>369</v>
      </c>
      <c r="E129" s="705">
        <v>81.360699999999994</v>
      </c>
      <c r="F129" s="402">
        <f>IFERROR(E129*'01 Prod Physique Boites'!H126,"-")</f>
        <v>0</v>
      </c>
      <c r="G129" s="402">
        <f>IFERROR(E129*'01 Prod Physique Boites'!L126,"-")</f>
        <v>0</v>
      </c>
      <c r="H129" s="706">
        <v>143.28</v>
      </c>
      <c r="I129" s="419">
        <f>IFERROR(H129*(F129/E129),"-")</f>
        <v>0</v>
      </c>
      <c r="J129" s="420">
        <f t="shared" ref="J129:J131" si="64">IFERROR(H129*(G129/E129),"-")</f>
        <v>0</v>
      </c>
    </row>
    <row r="130" spans="1:15" ht="23.4" x14ac:dyDescent="0.3">
      <c r="A130" s="713"/>
      <c r="B130" s="1044"/>
      <c r="C130" s="275" t="s">
        <v>470</v>
      </c>
      <c r="D130" s="275" t="s">
        <v>375</v>
      </c>
      <c r="E130" s="505">
        <v>81.360699999999994</v>
      </c>
      <c r="F130" s="402">
        <f>IFERROR(E130*'01 Prod Physique Boites'!H127,"-")</f>
        <v>0</v>
      </c>
      <c r="G130" s="402">
        <f>IFERROR(E130*'01 Prod Physique Boites'!L127,"-")</f>
        <v>0</v>
      </c>
      <c r="H130" s="708">
        <v>143.28</v>
      </c>
      <c r="I130" s="419">
        <f>IFERROR(H130*(F130/E130),"-")</f>
        <v>0</v>
      </c>
      <c r="J130" s="420">
        <f t="shared" si="64"/>
        <v>0</v>
      </c>
    </row>
    <row r="131" spans="1:15" ht="23.4" x14ac:dyDescent="0.3">
      <c r="A131" s="274" t="s">
        <v>103</v>
      </c>
      <c r="B131" s="1044"/>
      <c r="C131" s="275" t="s">
        <v>430</v>
      </c>
      <c r="D131" s="275" t="s">
        <v>384</v>
      </c>
      <c r="E131" s="684">
        <v>77.170400000000001</v>
      </c>
      <c r="F131" s="402">
        <f>IFERROR(E131*'01 Prod Physique Boites'!H128,"-")</f>
        <v>0</v>
      </c>
      <c r="G131" s="685">
        <f>IFERROR(E131*'01 Prod Physique Boites'!L128,"-")</f>
        <v>0</v>
      </c>
      <c r="H131" s="385">
        <v>0</v>
      </c>
      <c r="I131" s="419">
        <f>IFERROR(H131*(F131/E131),"-")</f>
        <v>0</v>
      </c>
      <c r="J131" s="420">
        <f t="shared" si="64"/>
        <v>0</v>
      </c>
    </row>
    <row r="132" spans="1:15" ht="24" thickBot="1" x14ac:dyDescent="0.35">
      <c r="A132" s="274" t="s">
        <v>103</v>
      </c>
      <c r="B132" s="1045"/>
      <c r="C132" s="279" t="s">
        <v>262</v>
      </c>
      <c r="D132" s="279" t="s">
        <v>231</v>
      </c>
      <c r="E132" s="501">
        <v>60.703499999999998</v>
      </c>
      <c r="F132" s="402">
        <f>IFERROR(E132*'01 Prod Physique Boites'!H129,"-")</f>
        <v>0</v>
      </c>
      <c r="G132" s="402">
        <f>IFERROR(E132*'01 Prod Physique Boites'!L129,"-")</f>
        <v>0</v>
      </c>
      <c r="H132" s="387">
        <v>111.09</v>
      </c>
      <c r="I132" s="419">
        <f>IFERROR(H132*(F132/E132),"-")</f>
        <v>0</v>
      </c>
      <c r="J132" s="420">
        <f>IFERROR(H132*(G132/E132),"-")</f>
        <v>0</v>
      </c>
    </row>
    <row r="133" spans="1:15" ht="24" thickBot="1" x14ac:dyDescent="0.35">
      <c r="A133" s="274" t="s">
        <v>103</v>
      </c>
      <c r="B133" s="1025" t="s">
        <v>44</v>
      </c>
      <c r="C133" s="1026"/>
      <c r="D133" s="1027"/>
      <c r="E133" s="390"/>
      <c r="F133" s="406">
        <f t="shared" ref="F133" si="65">SUM(F129:F132)</f>
        <v>0</v>
      </c>
      <c r="G133" s="407">
        <f>SUM(G129:G132)</f>
        <v>0</v>
      </c>
      <c r="H133" s="391"/>
      <c r="I133" s="406">
        <f t="shared" ref="I133:J133" si="66">SUM(I129:I132)</f>
        <v>0</v>
      </c>
      <c r="J133" s="425">
        <f t="shared" si="66"/>
        <v>0</v>
      </c>
      <c r="K133" s="704"/>
      <c r="L133" s="704"/>
      <c r="M133" s="704"/>
      <c r="N133" s="704"/>
      <c r="O133" s="704"/>
    </row>
    <row r="134" spans="1:15" ht="23.4" x14ac:dyDescent="0.3">
      <c r="A134" s="274" t="s">
        <v>103</v>
      </c>
      <c r="B134" s="1043" t="s">
        <v>17</v>
      </c>
      <c r="C134" s="269" t="s">
        <v>294</v>
      </c>
      <c r="D134" s="269"/>
      <c r="E134" s="504">
        <v>12.5275</v>
      </c>
      <c r="F134" s="402">
        <f>IFERROR(E134*'01 Prod Physique Boites'!H131,"-")</f>
        <v>0</v>
      </c>
      <c r="G134" s="402">
        <f>IFERROR(E134*'01 Prod Physique Boites'!L131,"-")</f>
        <v>0</v>
      </c>
      <c r="H134" s="681">
        <v>18.836400000000001</v>
      </c>
      <c r="I134" s="419">
        <f t="shared" ref="I134:I140" si="67">IFERROR(H134*(F134/E134),"-")</f>
        <v>0</v>
      </c>
      <c r="J134" s="420">
        <f t="shared" ref="J134:J139" si="68">IFERROR(H134*(G134/E134),"-")</f>
        <v>0</v>
      </c>
    </row>
    <row r="135" spans="1:15" ht="23.4" x14ac:dyDescent="0.3">
      <c r="A135" s="274" t="s">
        <v>103</v>
      </c>
      <c r="B135" s="1044"/>
      <c r="C135" s="275" t="s">
        <v>344</v>
      </c>
      <c r="D135" s="275" t="s">
        <v>232</v>
      </c>
      <c r="E135" s="677">
        <v>13.002700000000001</v>
      </c>
      <c r="F135" s="402">
        <f>IFERROR(E135*'01 Prod Physique Boites'!H132,"-")</f>
        <v>0</v>
      </c>
      <c r="G135" s="402">
        <f>IFERROR(E135*'01 Prod Physique Boites'!L132,"-")</f>
        <v>0</v>
      </c>
      <c r="H135" s="385">
        <v>21.18</v>
      </c>
      <c r="I135" s="421">
        <f t="shared" si="67"/>
        <v>0</v>
      </c>
      <c r="J135" s="422">
        <f t="shared" si="68"/>
        <v>0</v>
      </c>
    </row>
    <row r="136" spans="1:15" ht="23.4" x14ac:dyDescent="0.3">
      <c r="A136" s="274" t="s">
        <v>103</v>
      </c>
      <c r="B136" s="1044"/>
      <c r="C136" s="275" t="s">
        <v>351</v>
      </c>
      <c r="D136" s="275" t="s">
        <v>187</v>
      </c>
      <c r="E136" s="677">
        <v>12.9049</v>
      </c>
      <c r="F136" s="402">
        <f>IFERROR(E136*'01 Prod Physique Boites'!H133,"-")</f>
        <v>236933.96399999998</v>
      </c>
      <c r="G136" s="402">
        <f>IFERROR(E136*'01 Prod Physique Boites'!L133,"-")</f>
        <v>315911.95199999999</v>
      </c>
      <c r="H136" s="385">
        <v>20.5</v>
      </c>
      <c r="I136" s="421">
        <f t="shared" si="67"/>
        <v>376380</v>
      </c>
      <c r="J136" s="422">
        <f t="shared" si="68"/>
        <v>501840</v>
      </c>
    </row>
    <row r="137" spans="1:15" ht="23.4" x14ac:dyDescent="0.3">
      <c r="A137" s="274" t="s">
        <v>103</v>
      </c>
      <c r="B137" s="1044"/>
      <c r="C137" s="275" t="s">
        <v>293</v>
      </c>
      <c r="D137" s="275" t="s">
        <v>188</v>
      </c>
      <c r="E137" s="505">
        <v>13.078200000000001</v>
      </c>
      <c r="F137" s="402">
        <f>IFERROR(E137*'01 Prod Physique Boites'!H134,"-")</f>
        <v>0</v>
      </c>
      <c r="G137" s="402">
        <f>IFERROR(E137*'01 Prod Physique Boites'!L134,"-")</f>
        <v>0</v>
      </c>
      <c r="H137" s="385">
        <v>20.6</v>
      </c>
      <c r="I137" s="421">
        <f t="shared" si="67"/>
        <v>0</v>
      </c>
      <c r="J137" s="422">
        <f t="shared" si="68"/>
        <v>0</v>
      </c>
    </row>
    <row r="138" spans="1:15" ht="23.4" x14ac:dyDescent="0.3">
      <c r="A138" s="274" t="s">
        <v>103</v>
      </c>
      <c r="B138" s="1044"/>
      <c r="C138" s="275" t="s">
        <v>323</v>
      </c>
      <c r="D138" s="275" t="s">
        <v>318</v>
      </c>
      <c r="E138" s="505">
        <v>13.1958</v>
      </c>
      <c r="F138" s="402">
        <f>IFERROR(E138*'01 Prod Physique Boites'!H135,"-")</f>
        <v>0</v>
      </c>
      <c r="G138" s="402">
        <f>IFERROR(E138*'01 Prod Physique Boites'!L135,"-")</f>
        <v>0</v>
      </c>
      <c r="H138" s="385">
        <v>21.28</v>
      </c>
      <c r="I138" s="421">
        <f t="shared" si="67"/>
        <v>0</v>
      </c>
      <c r="J138" s="422">
        <f t="shared" si="68"/>
        <v>0</v>
      </c>
    </row>
    <row r="139" spans="1:15" ht="23.4" x14ac:dyDescent="0.3">
      <c r="A139" s="274">
        <v>1</v>
      </c>
      <c r="B139" s="1044"/>
      <c r="C139" s="275" t="s">
        <v>352</v>
      </c>
      <c r="D139" s="275" t="s">
        <v>189</v>
      </c>
      <c r="E139" s="677">
        <v>12.9049</v>
      </c>
      <c r="F139" s="402">
        <f>IFERROR(E139*'01 Prod Physique Boites'!H136,"-")</f>
        <v>0</v>
      </c>
      <c r="G139" s="402">
        <f>IFERROR(E139*'01 Prod Physique Boites'!L136,"-")</f>
        <v>0</v>
      </c>
      <c r="H139" s="664">
        <v>20.5</v>
      </c>
      <c r="I139" s="421">
        <f t="shared" si="67"/>
        <v>0</v>
      </c>
      <c r="J139" s="422">
        <f t="shared" si="68"/>
        <v>0</v>
      </c>
    </row>
    <row r="140" spans="1:15" ht="24" thickBot="1" x14ac:dyDescent="0.35">
      <c r="A140" s="274" t="s">
        <v>103</v>
      </c>
      <c r="B140" s="1045"/>
      <c r="C140" s="279" t="s">
        <v>341</v>
      </c>
      <c r="D140" s="279" t="s">
        <v>175</v>
      </c>
      <c r="E140" s="501">
        <v>13.6509</v>
      </c>
      <c r="F140" s="402">
        <f>IFERROR(E140*'01 Prod Physique Boites'!H137,"-")</f>
        <v>0</v>
      </c>
      <c r="G140" s="402">
        <f>IFERROR(E140*'01 Prod Physique Boites'!L137,"-")</f>
        <v>0</v>
      </c>
      <c r="H140" s="387">
        <v>21.18</v>
      </c>
      <c r="I140" s="423">
        <f t="shared" si="67"/>
        <v>0</v>
      </c>
      <c r="J140" s="424">
        <f>IFERROR(H140*(G140/E140),"-")</f>
        <v>0</v>
      </c>
    </row>
    <row r="141" spans="1:15" ht="24" thickBot="1" x14ac:dyDescent="0.35">
      <c r="A141" s="274" t="s">
        <v>103</v>
      </c>
      <c r="B141" s="1025" t="s">
        <v>45</v>
      </c>
      <c r="C141" s="1026"/>
      <c r="D141" s="1027"/>
      <c r="E141" s="390"/>
      <c r="F141" s="406">
        <f t="shared" ref="F141" si="69">SUM(F134:F140)</f>
        <v>236933.96399999998</v>
      </c>
      <c r="G141" s="407">
        <f>SUM(G134:G140)</f>
        <v>315911.95199999999</v>
      </c>
      <c r="H141" s="391"/>
      <c r="I141" s="406">
        <f t="shared" ref="I141" si="70">SUM(I134:I140)</f>
        <v>376380</v>
      </c>
      <c r="J141" s="425">
        <f>SUM(J134:J140)</f>
        <v>501840</v>
      </c>
      <c r="K141" s="704"/>
      <c r="L141" s="704"/>
      <c r="M141" s="704"/>
      <c r="N141" s="704"/>
      <c r="O141" s="704"/>
    </row>
    <row r="142" spans="1:15" ht="23.4" x14ac:dyDescent="0.3">
      <c r="A142" s="274" t="s">
        <v>103</v>
      </c>
      <c r="B142" s="1043" t="s">
        <v>18</v>
      </c>
      <c r="C142" s="269" t="s">
        <v>312</v>
      </c>
      <c r="D142" s="269" t="s">
        <v>92</v>
      </c>
      <c r="E142" s="504">
        <v>17.8202</v>
      </c>
      <c r="F142" s="402">
        <f>IFERROR(E142*'01 Prod Physique Boites'!H139,"-")</f>
        <v>0</v>
      </c>
      <c r="G142" s="403">
        <f>IFERROR(E142*'01 Prod Physique Boites'!L139,"-")</f>
        <v>0</v>
      </c>
      <c r="H142" s="381">
        <v>24.93</v>
      </c>
      <c r="I142" s="419">
        <f t="shared" ref="I142:I148" si="71">IFERROR(H142*(F142/E142),"-")</f>
        <v>0</v>
      </c>
      <c r="J142" s="420">
        <f t="shared" ref="J142:J144" si="72">IFERROR(H142*(G142/E142),"-")</f>
        <v>0</v>
      </c>
    </row>
    <row r="143" spans="1:15" ht="23.4" x14ac:dyDescent="0.3">
      <c r="A143" s="274" t="s">
        <v>103</v>
      </c>
      <c r="B143" s="1044"/>
      <c r="C143" s="275" t="s">
        <v>130</v>
      </c>
      <c r="D143" s="275"/>
      <c r="E143" s="505">
        <v>17.8202</v>
      </c>
      <c r="F143" s="402">
        <f>IFERROR(E143*'01 Prod Physique Boites'!H140,"-")</f>
        <v>0</v>
      </c>
      <c r="G143" s="403">
        <f>IFERROR(E143*'01 Prod Physique Boites'!L140,"-")</f>
        <v>0</v>
      </c>
      <c r="H143" s="385">
        <v>0</v>
      </c>
      <c r="I143" s="421">
        <f t="shared" si="71"/>
        <v>0</v>
      </c>
      <c r="J143" s="422">
        <f t="shared" si="72"/>
        <v>0</v>
      </c>
    </row>
    <row r="144" spans="1:15" ht="23.4" x14ac:dyDescent="0.3">
      <c r="A144" s="274" t="s">
        <v>103</v>
      </c>
      <c r="B144" s="1044"/>
      <c r="C144" s="275" t="s">
        <v>115</v>
      </c>
      <c r="D144" s="275"/>
      <c r="E144" s="505">
        <v>16.4071</v>
      </c>
      <c r="F144" s="402">
        <f>IFERROR(E144*'01 Prod Physique Boites'!H141,"-")</f>
        <v>0</v>
      </c>
      <c r="G144" s="403">
        <f>IFERROR(E144*'01 Prod Physique Boites'!L141,"-")</f>
        <v>0</v>
      </c>
      <c r="H144" s="385">
        <v>0</v>
      </c>
      <c r="I144" s="421">
        <f t="shared" si="71"/>
        <v>0</v>
      </c>
      <c r="J144" s="422">
        <f t="shared" si="72"/>
        <v>0</v>
      </c>
    </row>
    <row r="145" spans="1:10" ht="23.4" x14ac:dyDescent="0.3">
      <c r="A145" s="274" t="s">
        <v>103</v>
      </c>
      <c r="B145" s="1044"/>
      <c r="C145" s="275" t="s">
        <v>122</v>
      </c>
      <c r="D145" s="275"/>
      <c r="E145" s="505">
        <v>17.8202</v>
      </c>
      <c r="F145" s="402">
        <f>IFERROR(E145*'01 Prod Physique Boites'!H142,"-")</f>
        <v>0</v>
      </c>
      <c r="G145" s="403">
        <f>IFERROR(E145*'01 Prod Physique Boites'!L142,"-")</f>
        <v>0</v>
      </c>
      <c r="H145" s="385">
        <v>0</v>
      </c>
      <c r="I145" s="421">
        <f t="shared" si="71"/>
        <v>0</v>
      </c>
      <c r="J145" s="422">
        <f>IFERROR(H145*(G145/E145),"-")</f>
        <v>0</v>
      </c>
    </row>
    <row r="146" spans="1:10" ht="23.4" x14ac:dyDescent="0.3">
      <c r="A146" s="274" t="s">
        <v>103</v>
      </c>
      <c r="B146" s="1044"/>
      <c r="C146" s="275" t="s">
        <v>176</v>
      </c>
      <c r="D146" s="275" t="s">
        <v>177</v>
      </c>
      <c r="E146" s="505">
        <v>17.8202</v>
      </c>
      <c r="F146" s="402">
        <f>IFERROR(E146*'01 Prod Physique Boites'!H143,"-")</f>
        <v>0</v>
      </c>
      <c r="G146" s="403">
        <f>IFERROR(E146*'01 Prod Physique Boites'!L143,"-")</f>
        <v>0</v>
      </c>
      <c r="H146" s="385">
        <v>0</v>
      </c>
      <c r="I146" s="421">
        <f t="shared" si="71"/>
        <v>0</v>
      </c>
      <c r="J146" s="422">
        <f t="shared" ref="J146:J148" si="73">IFERROR(H146*(G146/E146),"-")</f>
        <v>0</v>
      </c>
    </row>
    <row r="147" spans="1:10" ht="23.4" x14ac:dyDescent="0.3">
      <c r="A147" s="274" t="s">
        <v>103</v>
      </c>
      <c r="B147" s="1044"/>
      <c r="C147" s="275" t="s">
        <v>179</v>
      </c>
      <c r="D147" s="275" t="s">
        <v>178</v>
      </c>
      <c r="E147" s="505">
        <v>16.7288</v>
      </c>
      <c r="F147" s="402">
        <f>IFERROR(E147*'01 Prod Physique Boites'!H144,"-")</f>
        <v>0</v>
      </c>
      <c r="G147" s="403">
        <f>IFERROR(E147*'01 Prod Physique Boites'!L144,"-")</f>
        <v>0</v>
      </c>
      <c r="H147" s="385">
        <v>0</v>
      </c>
      <c r="I147" s="421">
        <f t="shared" si="71"/>
        <v>0</v>
      </c>
      <c r="J147" s="422">
        <f t="shared" si="73"/>
        <v>0</v>
      </c>
    </row>
    <row r="148" spans="1:10" ht="24" thickBot="1" x14ac:dyDescent="0.35">
      <c r="A148" s="274" t="s">
        <v>103</v>
      </c>
      <c r="B148" s="1045"/>
      <c r="C148" s="286" t="s">
        <v>180</v>
      </c>
      <c r="D148" s="286" t="s">
        <v>107</v>
      </c>
      <c r="E148" s="501">
        <v>17.8202</v>
      </c>
      <c r="F148" s="402">
        <f>IFERROR(E148*'01 Prod Physique Boites'!H145,"-")</f>
        <v>0</v>
      </c>
      <c r="G148" s="403">
        <f>IFERROR(E148*'01 Prod Physique Boites'!L145,"-")</f>
        <v>0</v>
      </c>
      <c r="H148" s="385">
        <v>0</v>
      </c>
      <c r="I148" s="423">
        <f t="shared" si="71"/>
        <v>0</v>
      </c>
      <c r="J148" s="424">
        <f t="shared" si="73"/>
        <v>0</v>
      </c>
    </row>
    <row r="149" spans="1:10" ht="24" thickBot="1" x14ac:dyDescent="0.35">
      <c r="A149" s="274" t="s">
        <v>103</v>
      </c>
      <c r="B149" s="1025" t="s">
        <v>29</v>
      </c>
      <c r="C149" s="1026"/>
      <c r="D149" s="1027"/>
      <c r="E149" s="648"/>
      <c r="F149" s="649">
        <f t="shared" ref="F149:G149" si="74">SUM(F142:F148)</f>
        <v>0</v>
      </c>
      <c r="G149" s="407">
        <f t="shared" si="74"/>
        <v>0</v>
      </c>
      <c r="H149" s="391"/>
      <c r="I149" s="406">
        <f t="shared" ref="I149:J149" si="75">SUM(I142:I148)</f>
        <v>0</v>
      </c>
      <c r="J149" s="425">
        <f t="shared" si="75"/>
        <v>0</v>
      </c>
    </row>
    <row r="150" spans="1:10" ht="24" thickBot="1" x14ac:dyDescent="0.35">
      <c r="A150" s="274"/>
      <c r="B150" s="1085" t="s">
        <v>19</v>
      </c>
      <c r="C150" s="650" t="s">
        <v>235</v>
      </c>
      <c r="D150" s="656" t="s">
        <v>177</v>
      </c>
      <c r="E150" s="657">
        <v>12.2659</v>
      </c>
      <c r="F150" s="658">
        <f>IFERROR(E150*'01 Prod Physique Boites'!H147,"-")</f>
        <v>0</v>
      </c>
      <c r="G150" s="659">
        <f>IFERROR(E150*'01 Prod Physique Boites'!L147,"-")</f>
        <v>0</v>
      </c>
      <c r="H150" s="653">
        <v>14.79</v>
      </c>
      <c r="I150" s="638">
        <f t="shared" ref="I150:I152" si="76">IFERROR(H150*(F150/E150),"-")</f>
        <v>0</v>
      </c>
      <c r="J150" s="638">
        <f>IFERROR(H150*(G150/E150),"-")</f>
        <v>0</v>
      </c>
    </row>
    <row r="151" spans="1:10" ht="24" thickBot="1" x14ac:dyDescent="0.35">
      <c r="A151" s="274"/>
      <c r="B151" s="1086"/>
      <c r="C151" s="651" t="s">
        <v>359</v>
      </c>
      <c r="D151" s="660" t="s">
        <v>423</v>
      </c>
      <c r="E151" s="642">
        <v>12.2659</v>
      </c>
      <c r="F151" s="658">
        <f>IFERROR(E151*'01 Prod Physique Boites'!H148,"-")</f>
        <v>2072446.4640000002</v>
      </c>
      <c r="G151" s="633">
        <f>IFERROR(E151*'01 Prod Physique Boites'!L148,"-")</f>
        <v>3523158.9887999999</v>
      </c>
      <c r="H151" s="654">
        <v>14.55</v>
      </c>
      <c r="I151" s="643">
        <f t="shared" si="76"/>
        <v>2458368</v>
      </c>
      <c r="J151" s="643">
        <f>IFERROR(H151*(G151/E151),"-")</f>
        <v>4179225.6</v>
      </c>
    </row>
    <row r="152" spans="1:10" ht="24" thickBot="1" x14ac:dyDescent="0.35">
      <c r="A152" s="769" t="s">
        <v>103</v>
      </c>
      <c r="B152" s="1087"/>
      <c r="C152" s="652" t="s">
        <v>342</v>
      </c>
      <c r="D152" s="661"/>
      <c r="E152" s="662">
        <v>0</v>
      </c>
      <c r="F152" s="658">
        <f>IFERROR(E152*'01 Prod Physique Boites'!H149,"-")</f>
        <v>0</v>
      </c>
      <c r="G152" s="663">
        <f>IFERROR(E152*'01 Prod Physique Boites'!L149,"-")</f>
        <v>0</v>
      </c>
      <c r="H152" s="655">
        <v>0</v>
      </c>
      <c r="I152" s="426" t="str">
        <f t="shared" si="76"/>
        <v>-</v>
      </c>
      <c r="J152" s="427" t="str">
        <f t="shared" ref="J152" si="77">IFERROR(I152*(G152/F152),"-")</f>
        <v>-</v>
      </c>
    </row>
    <row r="153" spans="1:10" ht="24" thickBot="1" x14ac:dyDescent="0.35">
      <c r="A153" s="274" t="s">
        <v>103</v>
      </c>
      <c r="B153" s="1025" t="s">
        <v>46</v>
      </c>
      <c r="C153" s="1026"/>
      <c r="D153" s="1027"/>
      <c r="E153" s="390"/>
      <c r="F153" s="406">
        <f>SUM(F150:F152)</f>
        <v>2072446.4640000002</v>
      </c>
      <c r="G153" s="406">
        <f>SUM(G150:G152)</f>
        <v>3523158.9887999999</v>
      </c>
      <c r="H153" s="391"/>
      <c r="I153" s="406">
        <f>SUM(I150:I152)</f>
        <v>2458368</v>
      </c>
      <c r="J153" s="425">
        <f>SUM(J150:J152)</f>
        <v>4179225.6</v>
      </c>
    </row>
    <row r="154" spans="1:10" ht="23.4" x14ac:dyDescent="0.3">
      <c r="A154" s="274" t="s">
        <v>103</v>
      </c>
      <c r="B154" s="1043" t="s">
        <v>20</v>
      </c>
      <c r="C154" s="291" t="s">
        <v>317</v>
      </c>
      <c r="D154" s="291" t="s">
        <v>289</v>
      </c>
      <c r="E154" s="504">
        <v>26.032900000000001</v>
      </c>
      <c r="F154" s="402">
        <f>IFERROR(E154*'01 Prod Physique Boites'!H151,"-")</f>
        <v>0</v>
      </c>
      <c r="G154" s="403">
        <f>IFERROR(E154*'01 Prod Physique Boites'!L151,"-")</f>
        <v>0</v>
      </c>
      <c r="H154" s="381">
        <v>36.44</v>
      </c>
      <c r="I154" s="419">
        <f>IFERROR(H154*(F154/E154),"-")</f>
        <v>0</v>
      </c>
      <c r="J154" s="420">
        <f t="shared" ref="J154:J156" si="78">IFERROR(H154*(G154/E154),"-")</f>
        <v>0</v>
      </c>
    </row>
    <row r="155" spans="1:10" ht="23.4" x14ac:dyDescent="0.3">
      <c r="A155" s="274" t="s">
        <v>103</v>
      </c>
      <c r="B155" s="1044"/>
      <c r="C155" s="292" t="s">
        <v>114</v>
      </c>
      <c r="D155" s="292"/>
      <c r="E155" s="384">
        <v>24.2607</v>
      </c>
      <c r="F155" s="402">
        <f>IFERROR(E155*'01 Prod Physique Boites'!H152,"-")</f>
        <v>0</v>
      </c>
      <c r="G155" s="403">
        <f>IFERROR(E155*'01 Prod Physique Boites'!L152,"-")</f>
        <v>0</v>
      </c>
      <c r="H155" s="385">
        <v>37.369999999999997</v>
      </c>
      <c r="I155" s="421">
        <f>IFERROR(H155*(F155/E155),"-")</f>
        <v>0</v>
      </c>
      <c r="J155" s="422">
        <f t="shared" si="78"/>
        <v>0</v>
      </c>
    </row>
    <row r="156" spans="1:10" ht="24" thickBot="1" x14ac:dyDescent="0.35">
      <c r="A156" s="274" t="s">
        <v>103</v>
      </c>
      <c r="B156" s="1045"/>
      <c r="C156" s="293" t="s">
        <v>120</v>
      </c>
      <c r="D156" s="293"/>
      <c r="E156" s="386">
        <v>26.035799999999998</v>
      </c>
      <c r="F156" s="402">
        <f>IFERROR(E156*'01 Prod Physique Boites'!H153,"-")</f>
        <v>0</v>
      </c>
      <c r="G156" s="403">
        <f>IFERROR(E156*'01 Prod Physique Boites'!L153,"-")</f>
        <v>0</v>
      </c>
      <c r="H156" s="387">
        <v>37.11</v>
      </c>
      <c r="I156" s="423">
        <f>IFERROR(H156*(F156/E156),"-")</f>
        <v>0</v>
      </c>
      <c r="J156" s="424">
        <f t="shared" si="78"/>
        <v>0</v>
      </c>
    </row>
    <row r="157" spans="1:10" ht="24" thickBot="1" x14ac:dyDescent="0.35">
      <c r="A157" s="274" t="s">
        <v>103</v>
      </c>
      <c r="B157" s="1026" t="s">
        <v>47</v>
      </c>
      <c r="C157" s="1026"/>
      <c r="D157" s="1046"/>
      <c r="E157" s="390"/>
      <c r="F157" s="406">
        <f t="shared" ref="F157:G157" si="79">SUM(F154:F156)</f>
        <v>0</v>
      </c>
      <c r="G157" s="407">
        <f t="shared" si="79"/>
        <v>0</v>
      </c>
      <c r="H157" s="391"/>
      <c r="I157" s="406">
        <f t="shared" ref="I157:J157" si="80">SUM(I154:I156)</f>
        <v>0</v>
      </c>
      <c r="J157" s="425">
        <f t="shared" si="80"/>
        <v>0</v>
      </c>
    </row>
    <row r="158" spans="1:10" ht="24" thickBot="1" x14ac:dyDescent="0.35">
      <c r="A158" s="274" t="s">
        <v>103</v>
      </c>
      <c r="B158" s="1047" t="s">
        <v>21</v>
      </c>
      <c r="C158" s="1048"/>
      <c r="D158" s="1049"/>
      <c r="E158" s="393"/>
      <c r="F158" s="410">
        <f>+F133+F141+F149+F153+F157</f>
        <v>2309380.4280000003</v>
      </c>
      <c r="G158" s="411">
        <f>+G133+G141+G149+G153+G157</f>
        <v>3839070.9408</v>
      </c>
      <c r="H158" s="394"/>
      <c r="I158" s="410">
        <f>+I133+I141+I149+I153+I157</f>
        <v>2834748</v>
      </c>
      <c r="J158" s="428">
        <f>+J133+J141+J149+J153+J157</f>
        <v>4681065.5999999996</v>
      </c>
    </row>
    <row r="159" spans="1:10" ht="23.4" x14ac:dyDescent="0.3">
      <c r="A159" s="274" t="s">
        <v>103</v>
      </c>
      <c r="B159" s="1043" t="s">
        <v>400</v>
      </c>
      <c r="C159" s="269" t="s">
        <v>125</v>
      </c>
      <c r="D159" s="269"/>
      <c r="E159" s="380">
        <v>22.820599999999999</v>
      </c>
      <c r="F159" s="402">
        <f>IFERROR(E159*'01 Prod Physique Boites'!H156,"-")</f>
        <v>0</v>
      </c>
      <c r="G159" s="403">
        <f>IFERROR(E159*'01 Prod Physique Boites'!L156,"-")</f>
        <v>0</v>
      </c>
      <c r="H159" s="381">
        <v>27.5</v>
      </c>
      <c r="I159" s="419">
        <f>IFERROR(H159*(F159/E159),"-")</f>
        <v>0</v>
      </c>
      <c r="J159" s="420">
        <f t="shared" ref="J159:J162" si="81">IFERROR(H159*(G159/E159),"-")</f>
        <v>0</v>
      </c>
    </row>
    <row r="160" spans="1:10" ht="23.4" x14ac:dyDescent="0.3">
      <c r="A160" s="274" t="s">
        <v>103</v>
      </c>
      <c r="B160" s="1044"/>
      <c r="C160" s="295" t="s">
        <v>263</v>
      </c>
      <c r="D160" s="295" t="s">
        <v>181</v>
      </c>
      <c r="E160" s="384">
        <v>23.570699999999999</v>
      </c>
      <c r="F160" s="402">
        <f>IFERROR(E160*'01 Prod Physique Boites'!H157,"-")</f>
        <v>0</v>
      </c>
      <c r="G160" s="403">
        <f>IFERROR(E160*'01 Prod Physique Boites'!L157,"-")</f>
        <v>0</v>
      </c>
      <c r="H160" s="385">
        <v>27.5</v>
      </c>
      <c r="I160" s="421">
        <f>IFERROR(H160*(F160/E160),"-")</f>
        <v>0</v>
      </c>
      <c r="J160" s="422">
        <f t="shared" si="81"/>
        <v>0</v>
      </c>
    </row>
    <row r="161" spans="1:10" ht="23.4" x14ac:dyDescent="0.3">
      <c r="A161" s="274" t="s">
        <v>103</v>
      </c>
      <c r="B161" s="1044"/>
      <c r="C161" s="295" t="s">
        <v>362</v>
      </c>
      <c r="D161" s="295" t="s">
        <v>181</v>
      </c>
      <c r="E161" s="384">
        <v>22.820599999999999</v>
      </c>
      <c r="F161" s="402">
        <f>IFERROR(E161*'01 Prod Physique Boites'!H158,"-")</f>
        <v>0</v>
      </c>
      <c r="G161" s="403">
        <f>IFERROR(E161*'01 Prod Physique Boites'!L158,"-")</f>
        <v>0</v>
      </c>
      <c r="H161" s="385">
        <v>27.5</v>
      </c>
      <c r="I161" s="421">
        <f>IFERROR(H161*(F161/E161),"-")</f>
        <v>0</v>
      </c>
      <c r="J161" s="422">
        <f t="shared" si="81"/>
        <v>0</v>
      </c>
    </row>
    <row r="162" spans="1:10" ht="24" thickBot="1" x14ac:dyDescent="0.35">
      <c r="A162" s="274" t="s">
        <v>103</v>
      </c>
      <c r="B162" s="1045"/>
      <c r="C162" s="279" t="s">
        <v>182</v>
      </c>
      <c r="D162" s="279" t="s">
        <v>93</v>
      </c>
      <c r="E162" s="386">
        <v>23.5685</v>
      </c>
      <c r="F162" s="402">
        <f>IFERROR(E162*'01 Prod Physique Boites'!H159,"-")</f>
        <v>0</v>
      </c>
      <c r="G162" s="403">
        <f>IFERROR(E162*'01 Prod Physique Boites'!L159,"-")</f>
        <v>0</v>
      </c>
      <c r="H162" s="387">
        <v>24</v>
      </c>
      <c r="I162" s="423">
        <f>IFERROR(H162*(F162/E162),"-")</f>
        <v>0</v>
      </c>
      <c r="J162" s="424">
        <f t="shared" si="81"/>
        <v>0</v>
      </c>
    </row>
    <row r="163" spans="1:10" ht="24" thickBot="1" x14ac:dyDescent="0.35">
      <c r="A163" s="274" t="s">
        <v>103</v>
      </c>
      <c r="B163" s="1025" t="s">
        <v>48</v>
      </c>
      <c r="C163" s="1026"/>
      <c r="D163" s="1027"/>
      <c r="E163" s="390"/>
      <c r="F163" s="406">
        <f t="shared" ref="F163:G163" si="82">SUM(F159:F162)</f>
        <v>0</v>
      </c>
      <c r="G163" s="407">
        <f t="shared" si="82"/>
        <v>0</v>
      </c>
      <c r="H163" s="391"/>
      <c r="I163" s="406">
        <f t="shared" ref="I163:J163" si="83">SUM(I159:I162)</f>
        <v>0</v>
      </c>
      <c r="J163" s="425">
        <f t="shared" si="83"/>
        <v>0</v>
      </c>
    </row>
    <row r="164" spans="1:10" ht="23.4" x14ac:dyDescent="0.3">
      <c r="A164" s="274" t="s">
        <v>103</v>
      </c>
      <c r="B164" s="1043" t="s">
        <v>23</v>
      </c>
      <c r="C164" s="296" t="s">
        <v>308</v>
      </c>
      <c r="D164" s="296" t="s">
        <v>238</v>
      </c>
      <c r="E164" s="380">
        <v>101.4935</v>
      </c>
      <c r="F164" s="402">
        <f>IFERROR(E164*'01 Prod Physique Boites'!H161,"-")</f>
        <v>0</v>
      </c>
      <c r="G164" s="403">
        <f>IFERROR(E164*'01 Prod Physique Boites'!L161,"-")</f>
        <v>0</v>
      </c>
      <c r="H164" s="385">
        <v>160.44999999999999</v>
      </c>
      <c r="I164" s="419">
        <f t="shared" ref="I164:I172" si="84">IFERROR(H164*(F164/E164),"-")</f>
        <v>0</v>
      </c>
      <c r="J164" s="420">
        <f t="shared" ref="J164:J172" si="85">IFERROR(H164*(G164/E164),"-")</f>
        <v>0</v>
      </c>
    </row>
    <row r="165" spans="1:10" ht="23.4" x14ac:dyDescent="0.3">
      <c r="A165" s="274" t="s">
        <v>103</v>
      </c>
      <c r="B165" s="1044"/>
      <c r="C165" s="275" t="s">
        <v>24</v>
      </c>
      <c r="D165" s="275" t="s">
        <v>238</v>
      </c>
      <c r="E165" s="384">
        <v>101.4935</v>
      </c>
      <c r="F165" s="402">
        <f>IFERROR(E165*'01 Prod Physique Boites'!H162,"-")</f>
        <v>0</v>
      </c>
      <c r="G165" s="403">
        <f>IFERROR(E165*'01 Prod Physique Boites'!L162,"-")</f>
        <v>0</v>
      </c>
      <c r="H165" s="385">
        <v>160.44999999999999</v>
      </c>
      <c r="I165" s="421">
        <f t="shared" si="84"/>
        <v>0</v>
      </c>
      <c r="J165" s="422">
        <f t="shared" si="85"/>
        <v>0</v>
      </c>
    </row>
    <row r="166" spans="1:10" ht="23.4" x14ac:dyDescent="0.3">
      <c r="A166" s="274" t="s">
        <v>103</v>
      </c>
      <c r="B166" s="1044"/>
      <c r="C166" s="275" t="s">
        <v>236</v>
      </c>
      <c r="D166" s="275" t="s">
        <v>238</v>
      </c>
      <c r="E166" s="384">
        <v>101.4935</v>
      </c>
      <c r="F166" s="402">
        <f>IFERROR(E166*'01 Prod Physique Boites'!H163,"-")</f>
        <v>0</v>
      </c>
      <c r="G166" s="403">
        <f>IFERROR(E166*'01 Prod Physique Boites'!L163,"-")</f>
        <v>0</v>
      </c>
      <c r="H166" s="385">
        <v>160.44999999999999</v>
      </c>
      <c r="I166" s="421">
        <f t="shared" si="84"/>
        <v>0</v>
      </c>
      <c r="J166" s="422">
        <f t="shared" si="85"/>
        <v>0</v>
      </c>
    </row>
    <row r="167" spans="1:10" ht="23.4" x14ac:dyDescent="0.3">
      <c r="A167" s="274" t="s">
        <v>103</v>
      </c>
      <c r="B167" s="1044"/>
      <c r="C167" s="275" t="s">
        <v>237</v>
      </c>
      <c r="D167" s="275" t="s">
        <v>238</v>
      </c>
      <c r="E167" s="384">
        <v>101.4935</v>
      </c>
      <c r="F167" s="402">
        <f>IFERROR(E167*'01 Prod Physique Boites'!H164,"-")</f>
        <v>0</v>
      </c>
      <c r="G167" s="403">
        <f>IFERROR(E167*'01 Prod Physique Boites'!L164,"-")</f>
        <v>0</v>
      </c>
      <c r="H167" s="385">
        <v>160.44999999999999</v>
      </c>
      <c r="I167" s="421">
        <f t="shared" si="84"/>
        <v>0</v>
      </c>
      <c r="J167" s="422">
        <f t="shared" si="85"/>
        <v>0</v>
      </c>
    </row>
    <row r="168" spans="1:10" ht="23.4" x14ac:dyDescent="0.3">
      <c r="A168" s="274" t="s">
        <v>103</v>
      </c>
      <c r="B168" s="1044"/>
      <c r="C168" s="295" t="s">
        <v>239</v>
      </c>
      <c r="D168" s="275" t="s">
        <v>238</v>
      </c>
      <c r="E168" s="384">
        <v>101.4935</v>
      </c>
      <c r="F168" s="402">
        <f>IFERROR(E168*'01 Prod Physique Boites'!H165,"-")</f>
        <v>0</v>
      </c>
      <c r="G168" s="403">
        <f>IFERROR(E168*'01 Prod Physique Boites'!L165,"-")</f>
        <v>0</v>
      </c>
      <c r="H168" s="385">
        <v>160.44999999999999</v>
      </c>
      <c r="I168" s="421">
        <f t="shared" si="84"/>
        <v>0</v>
      </c>
      <c r="J168" s="422">
        <f t="shared" si="85"/>
        <v>0</v>
      </c>
    </row>
    <row r="169" spans="1:10" ht="23.4" x14ac:dyDescent="0.3">
      <c r="A169" s="274" t="s">
        <v>103</v>
      </c>
      <c r="B169" s="1044"/>
      <c r="C169" s="295" t="s">
        <v>240</v>
      </c>
      <c r="D169" s="275" t="s">
        <v>238</v>
      </c>
      <c r="E169" s="384">
        <v>101.4935</v>
      </c>
      <c r="F169" s="402">
        <f>IFERROR(E169*'01 Prod Physique Boites'!H166,"-")</f>
        <v>0</v>
      </c>
      <c r="G169" s="403">
        <f>IFERROR(E169*'01 Prod Physique Boites'!L166,"-")</f>
        <v>0</v>
      </c>
      <c r="H169" s="385">
        <v>160.44999999999999</v>
      </c>
      <c r="I169" s="421">
        <f t="shared" si="84"/>
        <v>0</v>
      </c>
      <c r="J169" s="422">
        <f t="shared" si="85"/>
        <v>0</v>
      </c>
    </row>
    <row r="170" spans="1:10" ht="23.4" x14ac:dyDescent="0.3">
      <c r="A170" s="274" t="s">
        <v>103</v>
      </c>
      <c r="B170" s="1044"/>
      <c r="C170" s="295" t="s">
        <v>241</v>
      </c>
      <c r="D170" s="275" t="s">
        <v>243</v>
      </c>
      <c r="E170" s="384">
        <v>101.4935</v>
      </c>
      <c r="F170" s="402">
        <f>IFERROR(E170*'01 Prod Physique Boites'!H167,"-")</f>
        <v>0</v>
      </c>
      <c r="G170" s="403">
        <f>IFERROR(E170*'01 Prod Physique Boites'!L167,"-")</f>
        <v>0</v>
      </c>
      <c r="H170" s="385">
        <v>160.44999999999999</v>
      </c>
      <c r="I170" s="421">
        <f t="shared" si="84"/>
        <v>0</v>
      </c>
      <c r="J170" s="422">
        <f t="shared" si="85"/>
        <v>0</v>
      </c>
    </row>
    <row r="171" spans="1:10" ht="23.4" x14ac:dyDescent="0.3">
      <c r="A171" s="274"/>
      <c r="B171" s="1045"/>
      <c r="C171" s="295" t="s">
        <v>457</v>
      </c>
      <c r="D171" s="275" t="s">
        <v>238</v>
      </c>
      <c r="E171" s="386">
        <v>101.49</v>
      </c>
      <c r="F171" s="402">
        <f>IFERROR(E171*'01 Prod Physique Boites'!H168,"-")</f>
        <v>0</v>
      </c>
      <c r="G171" s="403">
        <f>IFERROR(E171*'01 Prod Physique Boites'!L168,"-")</f>
        <v>0</v>
      </c>
      <c r="H171" s="385">
        <v>160.44999999999999</v>
      </c>
      <c r="I171" s="421">
        <f t="shared" si="84"/>
        <v>0</v>
      </c>
      <c r="J171" s="422">
        <f t="shared" si="85"/>
        <v>0</v>
      </c>
    </row>
    <row r="172" spans="1:10" ht="24" thickBot="1" x14ac:dyDescent="0.35">
      <c r="A172" s="274" t="s">
        <v>103</v>
      </c>
      <c r="B172" s="1045"/>
      <c r="C172" s="295" t="s">
        <v>242</v>
      </c>
      <c r="D172" s="275" t="s">
        <v>238</v>
      </c>
      <c r="E172" s="386">
        <v>101.4935</v>
      </c>
      <c r="F172" s="402">
        <f>IFERROR(E172*'01 Prod Physique Boites'!H169,"-")</f>
        <v>0</v>
      </c>
      <c r="G172" s="403">
        <f>IFERROR(E172*'01 Prod Physique Boites'!L169,"-")</f>
        <v>0</v>
      </c>
      <c r="H172" s="385">
        <v>160.44999999999999</v>
      </c>
      <c r="I172" s="421">
        <f t="shared" si="84"/>
        <v>0</v>
      </c>
      <c r="J172" s="424">
        <f t="shared" si="85"/>
        <v>0</v>
      </c>
    </row>
    <row r="173" spans="1:10" ht="24" thickBot="1" x14ac:dyDescent="0.35">
      <c r="A173" s="274" t="s">
        <v>103</v>
      </c>
      <c r="B173" s="1025" t="s">
        <v>49</v>
      </c>
      <c r="C173" s="1026"/>
      <c r="D173" s="1027"/>
      <c r="E173" s="390"/>
      <c r="F173" s="406">
        <f t="shared" ref="F173" si="86">SUM(F164:F172)</f>
        <v>0</v>
      </c>
      <c r="G173" s="407">
        <f>SUM(G164:G172)</f>
        <v>0</v>
      </c>
      <c r="H173" s="391"/>
      <c r="I173" s="406">
        <f t="shared" ref="I173" si="87">SUM(I164:I172)</f>
        <v>0</v>
      </c>
      <c r="J173" s="425">
        <f>SUM(J164:J172)</f>
        <v>0</v>
      </c>
    </row>
    <row r="174" spans="1:10" ht="24" thickBot="1" x14ac:dyDescent="0.35">
      <c r="A174" s="274" t="s">
        <v>103</v>
      </c>
      <c r="B174" s="1047" t="s">
        <v>25</v>
      </c>
      <c r="C174" s="1048"/>
      <c r="D174" s="1049"/>
      <c r="E174" s="393"/>
      <c r="F174" s="410">
        <f t="shared" ref="F174" si="88">+F163+F173</f>
        <v>0</v>
      </c>
      <c r="G174" s="411">
        <f>+G163+G173</f>
        <v>0</v>
      </c>
      <c r="H174" s="394"/>
      <c r="I174" s="410">
        <f t="shared" ref="I174:J174" si="89">+I163+I173</f>
        <v>0</v>
      </c>
      <c r="J174" s="428">
        <f t="shared" si="89"/>
        <v>0</v>
      </c>
    </row>
    <row r="175" spans="1:10" ht="24" thickBot="1" x14ac:dyDescent="0.35">
      <c r="A175" s="274" t="s">
        <v>103</v>
      </c>
      <c r="B175" s="1019" t="s">
        <v>172</v>
      </c>
      <c r="C175" s="1020"/>
      <c r="D175" s="1021"/>
      <c r="E175" s="395"/>
      <c r="F175" s="412">
        <f t="shared" ref="F175" si="90">+F158+F174</f>
        <v>2309380.4280000003</v>
      </c>
      <c r="G175" s="413">
        <f>+G158+G174</f>
        <v>3839070.9408</v>
      </c>
      <c r="H175" s="396"/>
      <c r="I175" s="412">
        <f t="shared" ref="I175:J175" si="91">+I158+I174</f>
        <v>2834748</v>
      </c>
      <c r="J175" s="429">
        <f t="shared" si="91"/>
        <v>4681065.5999999996</v>
      </c>
    </row>
    <row r="176" spans="1:10" ht="23.4" x14ac:dyDescent="0.3">
      <c r="A176" s="268" t="s">
        <v>101</v>
      </c>
      <c r="B176" s="1051" t="s">
        <v>26</v>
      </c>
      <c r="C176" s="297" t="s">
        <v>297</v>
      </c>
      <c r="D176" s="299" t="s">
        <v>177</v>
      </c>
      <c r="E176" s="504">
        <v>13.1272</v>
      </c>
      <c r="F176" s="402">
        <f>IFERROR(E176*'01 Prod Physique Boites'!H173,"-")</f>
        <v>0</v>
      </c>
      <c r="G176" s="403">
        <f>IFERROR(E176*'01 Prod Physique Boites'!L173,"-")</f>
        <v>0</v>
      </c>
      <c r="H176" s="381">
        <v>20.76</v>
      </c>
      <c r="I176" s="419">
        <f t="shared" ref="I176:I185" si="92">IFERROR(H176*(F176/E176),"-")</f>
        <v>0</v>
      </c>
      <c r="J176" s="632">
        <f t="shared" ref="J176:J185" si="93">IFERROR(H176*(G176/E176),"-")</f>
        <v>0</v>
      </c>
    </row>
    <row r="177" spans="1:10" ht="23.4" x14ac:dyDescent="0.3">
      <c r="A177" s="274" t="s">
        <v>101</v>
      </c>
      <c r="B177" s="1051"/>
      <c r="C177" s="298" t="s">
        <v>424</v>
      </c>
      <c r="D177" s="298" t="s">
        <v>423</v>
      </c>
      <c r="E177" s="505">
        <v>16.7288</v>
      </c>
      <c r="F177" s="402">
        <f>IFERROR(E177*'01 Prod Physique Boites'!H174,"-")</f>
        <v>2129509.3248000001</v>
      </c>
      <c r="G177" s="403">
        <f>IFERROR(E177*'01 Prod Physique Boites'!L174,"-")</f>
        <v>3327358.32</v>
      </c>
      <c r="H177" s="385">
        <v>20.76</v>
      </c>
      <c r="I177" s="421">
        <f t="shared" si="92"/>
        <v>2642664.9600000004</v>
      </c>
      <c r="J177" s="633">
        <f t="shared" si="93"/>
        <v>4129164.0000000005</v>
      </c>
    </row>
    <row r="178" spans="1:10" ht="23.4" x14ac:dyDescent="0.3">
      <c r="A178" s="274" t="s">
        <v>101</v>
      </c>
      <c r="B178" s="1051"/>
      <c r="C178" s="299" t="s">
        <v>27</v>
      </c>
      <c r="D178" s="299" t="s">
        <v>334</v>
      </c>
      <c r="E178" s="501">
        <v>17.8202</v>
      </c>
      <c r="F178" s="402">
        <f>IFERROR(E178*'01 Prod Physique Boites'!H175,"-")</f>
        <v>0</v>
      </c>
      <c r="G178" s="403">
        <f>IFERROR(E178*'01 Prod Physique Boites'!L175,"-")</f>
        <v>0</v>
      </c>
      <c r="H178" s="385">
        <v>21.22</v>
      </c>
      <c r="I178" s="643">
        <f t="shared" si="92"/>
        <v>0</v>
      </c>
      <c r="J178" s="633">
        <f t="shared" si="93"/>
        <v>0</v>
      </c>
    </row>
    <row r="179" spans="1:10" ht="23.4" x14ac:dyDescent="0.3">
      <c r="A179" s="274" t="s">
        <v>101</v>
      </c>
      <c r="B179" s="1051"/>
      <c r="C179" s="299" t="s">
        <v>27</v>
      </c>
      <c r="D179" s="299" t="s">
        <v>234</v>
      </c>
      <c r="E179" s="501">
        <v>17.8202</v>
      </c>
      <c r="F179" s="402">
        <f>IFERROR(E179*'01 Prod Physique Boites'!H176,"-")</f>
        <v>0</v>
      </c>
      <c r="G179" s="403">
        <f>IFERROR(E179*'01 Prod Physique Boites'!L176,"-")</f>
        <v>0</v>
      </c>
      <c r="H179" s="385">
        <v>24.93</v>
      </c>
      <c r="I179" s="643">
        <f t="shared" si="92"/>
        <v>0</v>
      </c>
      <c r="J179" s="633">
        <f t="shared" si="93"/>
        <v>0</v>
      </c>
    </row>
    <row r="180" spans="1:10" ht="23.4" x14ac:dyDescent="0.3">
      <c r="A180" s="274" t="s">
        <v>101</v>
      </c>
      <c r="B180" s="1051"/>
      <c r="C180" s="299" t="s">
        <v>27</v>
      </c>
      <c r="D180" s="299" t="s">
        <v>279</v>
      </c>
      <c r="E180" s="501">
        <v>17.8202</v>
      </c>
      <c r="F180" s="402">
        <f>IFERROR(E180*'01 Prod Physique Boites'!H177,"-")</f>
        <v>0</v>
      </c>
      <c r="G180" s="403">
        <f>IFERROR(E180*'01 Prod Physique Boites'!L177,"-")</f>
        <v>0</v>
      </c>
      <c r="H180" s="385">
        <v>24.93</v>
      </c>
      <c r="I180" s="643">
        <f t="shared" si="92"/>
        <v>0</v>
      </c>
      <c r="J180" s="633">
        <f t="shared" si="93"/>
        <v>0</v>
      </c>
    </row>
    <row r="181" spans="1:10" ht="23.4" x14ac:dyDescent="0.3">
      <c r="A181" s="274"/>
      <c r="B181" s="1051"/>
      <c r="C181" s="299" t="s">
        <v>437</v>
      </c>
      <c r="D181" s="299" t="s">
        <v>178</v>
      </c>
      <c r="E181" s="501">
        <v>14.608000000000001</v>
      </c>
      <c r="F181" s="402">
        <f>IFERROR(E181*'01 Prod Physique Boites'!H178,"-")</f>
        <v>0</v>
      </c>
      <c r="G181" s="403">
        <f>IFERROR(E181*'01 Prod Physique Boites'!L178,"-")</f>
        <v>0</v>
      </c>
      <c r="H181" s="387">
        <v>24.93</v>
      </c>
      <c r="I181" s="643">
        <f t="shared" si="92"/>
        <v>0</v>
      </c>
      <c r="J181" s="634">
        <f t="shared" si="93"/>
        <v>0</v>
      </c>
    </row>
    <row r="182" spans="1:10" ht="23.4" x14ac:dyDescent="0.3">
      <c r="A182" s="274"/>
      <c r="B182" s="1051"/>
      <c r="C182" s="299" t="s">
        <v>436</v>
      </c>
      <c r="D182" s="299" t="s">
        <v>94</v>
      </c>
      <c r="E182" s="501">
        <v>17.8202</v>
      </c>
      <c r="F182" s="724">
        <f>IFERROR(E182*'01 Prod Physique Boites'!H179,"-")</f>
        <v>0</v>
      </c>
      <c r="G182" s="403">
        <f>IFERROR(E182*'01 Prod Physique Boites'!L179,"-")</f>
        <v>0</v>
      </c>
      <c r="H182" s="387">
        <v>24.93</v>
      </c>
      <c r="I182" s="730">
        <f t="shared" si="92"/>
        <v>0</v>
      </c>
      <c r="J182" s="634">
        <f t="shared" si="93"/>
        <v>0</v>
      </c>
    </row>
    <row r="183" spans="1:10" s="731" customFormat="1" ht="23.4" x14ac:dyDescent="0.3">
      <c r="A183" s="725"/>
      <c r="B183" s="1051"/>
      <c r="C183" s="726" t="s">
        <v>383</v>
      </c>
      <c r="D183" s="726" t="s">
        <v>384</v>
      </c>
      <c r="E183" s="727">
        <v>16.345199999999998</v>
      </c>
      <c r="F183" s="724">
        <f>IFERROR(E183*'01 Prod Physique Boites'!H180,"-")</f>
        <v>0</v>
      </c>
      <c r="G183" s="728">
        <f>IFERROR(E183*'01 Prod Physique Boites'!L180,"-")</f>
        <v>0</v>
      </c>
      <c r="H183" s="729">
        <v>23.78</v>
      </c>
      <c r="I183" s="730">
        <f t="shared" si="92"/>
        <v>0</v>
      </c>
      <c r="J183" s="634">
        <f t="shared" si="93"/>
        <v>0</v>
      </c>
    </row>
    <row r="184" spans="1:10" s="731" customFormat="1" ht="23.4" x14ac:dyDescent="0.3">
      <c r="A184" s="725"/>
      <c r="B184" s="1051"/>
      <c r="C184" s="299" t="s">
        <v>433</v>
      </c>
      <c r="D184" s="299" t="s">
        <v>178</v>
      </c>
      <c r="E184" s="727">
        <v>16.7288</v>
      </c>
      <c r="F184" s="724">
        <f>IFERROR(E184*'01 Prod Physique Boites'!H181,"-")</f>
        <v>0</v>
      </c>
      <c r="G184" s="728">
        <f>IFERROR(E184*'01 Prod Physique Boites'!L181,"-")</f>
        <v>0</v>
      </c>
      <c r="H184" s="729">
        <v>25.49</v>
      </c>
      <c r="I184" s="730">
        <f t="shared" si="92"/>
        <v>0</v>
      </c>
      <c r="J184" s="634">
        <f t="shared" si="93"/>
        <v>0</v>
      </c>
    </row>
    <row r="185" spans="1:10" ht="24" thickBot="1" x14ac:dyDescent="0.35">
      <c r="A185" s="274" t="s">
        <v>101</v>
      </c>
      <c r="B185" s="1051"/>
      <c r="C185" s="300" t="s">
        <v>290</v>
      </c>
      <c r="D185" s="299" t="s">
        <v>289</v>
      </c>
      <c r="E185" s="501">
        <v>12.6997</v>
      </c>
      <c r="F185" s="402">
        <f>IFERROR(E185*'01 Prod Physique Boites'!H182,"-")</f>
        <v>0</v>
      </c>
      <c r="G185" s="728">
        <f>IFERROR(E185*'01 Prod Physique Boites'!L182,"-")</f>
        <v>0</v>
      </c>
      <c r="H185" s="387">
        <v>13.25</v>
      </c>
      <c r="I185" s="730">
        <f t="shared" si="92"/>
        <v>0</v>
      </c>
      <c r="J185" s="634">
        <f t="shared" si="93"/>
        <v>0</v>
      </c>
    </row>
    <row r="186" spans="1:10" ht="24" thickBot="1" x14ac:dyDescent="0.35">
      <c r="A186" s="274" t="s">
        <v>101</v>
      </c>
      <c r="B186" s="1052"/>
      <c r="C186" s="301"/>
      <c r="D186" s="302" t="s">
        <v>52</v>
      </c>
      <c r="E186" s="390"/>
      <c r="F186" s="406">
        <f>SUM(F176:F185)</f>
        <v>2129509.3248000001</v>
      </c>
      <c r="G186" s="407">
        <f>SUM(G176:G185)</f>
        <v>3327358.32</v>
      </c>
      <c r="H186" s="391"/>
      <c r="I186" s="406">
        <f>SUM(I176:I185)</f>
        <v>2642664.9600000004</v>
      </c>
      <c r="J186" s="425">
        <f>SUM(J176:J185)</f>
        <v>4129164.0000000005</v>
      </c>
    </row>
    <row r="187" spans="1:10" ht="23.4" x14ac:dyDescent="0.3">
      <c r="A187" s="274" t="s">
        <v>101</v>
      </c>
      <c r="B187" s="1053" t="s">
        <v>28</v>
      </c>
      <c r="C187" s="299" t="s">
        <v>27</v>
      </c>
      <c r="D187" s="297" t="s">
        <v>279</v>
      </c>
      <c r="E187" s="504">
        <v>17.8202</v>
      </c>
      <c r="F187" s="402">
        <f>IFERROR(E187*'01 Prod Physique Boites'!H184,"-")</f>
        <v>0</v>
      </c>
      <c r="G187" s="403">
        <f>IFERROR(E187*'01 Prod Physique Boites'!L184,"-")</f>
        <v>0</v>
      </c>
      <c r="H187" s="381">
        <v>24.93</v>
      </c>
      <c r="I187" s="419">
        <f t="shared" ref="I187:I193" si="94">IFERROR(H187*(F187/E187),"-")</f>
        <v>0</v>
      </c>
      <c r="J187" s="632">
        <f t="shared" ref="J187:J188" si="95">IFERROR(H187*(G187/E187),"-")</f>
        <v>0</v>
      </c>
    </row>
    <row r="188" spans="1:10" ht="23.4" x14ac:dyDescent="0.3">
      <c r="A188" s="274" t="s">
        <v>101</v>
      </c>
      <c r="B188" s="1051"/>
      <c r="C188" s="299" t="s">
        <v>386</v>
      </c>
      <c r="D188" s="299" t="s">
        <v>334</v>
      </c>
      <c r="E188" s="711">
        <v>16.7288</v>
      </c>
      <c r="F188" s="402">
        <f>IFERROR(E188*'01 Prod Physique Boites'!H185,"-")</f>
        <v>798565.99679999996</v>
      </c>
      <c r="G188" s="728">
        <f>IFERROR(E188*'01 Prod Physique Boites'!L185,"-")</f>
        <v>1131301.8288</v>
      </c>
      <c r="H188" s="708">
        <v>20.76</v>
      </c>
      <c r="I188" s="421">
        <f t="shared" si="94"/>
        <v>990999.3600000001</v>
      </c>
      <c r="J188" s="633">
        <f t="shared" si="95"/>
        <v>1403915.76</v>
      </c>
    </row>
    <row r="189" spans="1:10" ht="23.4" x14ac:dyDescent="0.3">
      <c r="A189" s="274" t="s">
        <v>101</v>
      </c>
      <c r="B189" s="1051"/>
      <c r="C189" s="299" t="s">
        <v>385</v>
      </c>
      <c r="D189" s="299" t="s">
        <v>334</v>
      </c>
      <c r="E189" s="501">
        <v>17.8202</v>
      </c>
      <c r="F189" s="402">
        <f>IFERROR(E189*'01 Prod Physique Boites'!H186,"-")</f>
        <v>0</v>
      </c>
      <c r="G189" s="403">
        <f>IFERROR(E189*'01 Prod Physique Boites'!L186,"-")</f>
        <v>0</v>
      </c>
      <c r="H189" s="385">
        <v>21.22</v>
      </c>
      <c r="I189" s="421">
        <f t="shared" si="94"/>
        <v>0</v>
      </c>
      <c r="J189" s="633">
        <f>IFERROR(H189*(G189/E189),"-")</f>
        <v>0</v>
      </c>
    </row>
    <row r="190" spans="1:10" ht="23.4" x14ac:dyDescent="0.3">
      <c r="A190" s="274"/>
      <c r="B190" s="1051"/>
      <c r="C190" s="299" t="s">
        <v>460</v>
      </c>
      <c r="D190" s="299" t="s">
        <v>334</v>
      </c>
      <c r="E190" s="501">
        <v>14.608000000000001</v>
      </c>
      <c r="F190" s="402">
        <f>IFERROR(E190*'01 Prod Physique Boites'!H187,"-")</f>
        <v>0</v>
      </c>
      <c r="G190" s="403">
        <f>IFERROR(E190*'01 Prod Physique Boites'!L187,"-")</f>
        <v>0</v>
      </c>
      <c r="H190" s="385">
        <v>21.22</v>
      </c>
      <c r="I190" s="421">
        <f t="shared" si="94"/>
        <v>0</v>
      </c>
      <c r="J190" s="633">
        <f>IFERROR(H190*(G190/E190),"-")</f>
        <v>0</v>
      </c>
    </row>
    <row r="191" spans="1:10" ht="23.4" x14ac:dyDescent="0.3">
      <c r="A191" s="274"/>
      <c r="B191" s="1051"/>
      <c r="C191" s="299" t="s">
        <v>383</v>
      </c>
      <c r="D191" s="299" t="s">
        <v>384</v>
      </c>
      <c r="E191" s="711">
        <v>16.345199999999998</v>
      </c>
      <c r="F191" s="402">
        <f>IFERROR(E191*'01 Prod Physique Boites'!H188,"-")</f>
        <v>0</v>
      </c>
      <c r="G191" s="403">
        <f>IFERROR(E191*'01 Prod Physique Boites'!L188,"-")</f>
        <v>0</v>
      </c>
      <c r="H191" s="385">
        <v>23.78</v>
      </c>
      <c r="I191" s="423">
        <f t="shared" si="94"/>
        <v>0</v>
      </c>
      <c r="J191" s="634">
        <f t="shared" ref="J191:J193" si="96">IFERROR(H191*(G191/E191),"-")</f>
        <v>0</v>
      </c>
    </row>
    <row r="192" spans="1:10" ht="23.4" x14ac:dyDescent="0.3">
      <c r="A192" s="274"/>
      <c r="B192" s="1051"/>
      <c r="C192" s="299" t="s">
        <v>458</v>
      </c>
      <c r="D192" s="300" t="s">
        <v>280</v>
      </c>
      <c r="E192" s="711">
        <v>17.8202</v>
      </c>
      <c r="F192" s="402">
        <f>IFERROR(E192*'01 Prod Physique Boites'!H189,"-")</f>
        <v>0</v>
      </c>
      <c r="G192" s="403">
        <f>IFERROR(E192*'01 Prod Physique Boites'!L189,"-")</f>
        <v>0</v>
      </c>
      <c r="H192" s="385">
        <v>24.93</v>
      </c>
      <c r="I192" s="730">
        <f t="shared" si="94"/>
        <v>0</v>
      </c>
      <c r="J192" s="634">
        <f t="shared" si="96"/>
        <v>0</v>
      </c>
    </row>
    <row r="193" spans="1:10" ht="24" thickBot="1" x14ac:dyDescent="0.35">
      <c r="A193" s="274" t="s">
        <v>101</v>
      </c>
      <c r="B193" s="1051"/>
      <c r="C193" s="299" t="s">
        <v>27</v>
      </c>
      <c r="D193" s="300" t="s">
        <v>234</v>
      </c>
      <c r="E193" s="501">
        <v>17.8202</v>
      </c>
      <c r="F193" s="402">
        <f>IFERROR(E193*'01 Prod Physique Boites'!H190,"-")</f>
        <v>0</v>
      </c>
      <c r="G193" s="403">
        <f>IFERROR(E193*'01 Prod Physique Boites'!L190,"-")</f>
        <v>0</v>
      </c>
      <c r="H193" s="385">
        <v>24.93</v>
      </c>
      <c r="I193" s="423">
        <f t="shared" si="94"/>
        <v>0</v>
      </c>
      <c r="J193" s="634">
        <f t="shared" si="96"/>
        <v>0</v>
      </c>
    </row>
    <row r="194" spans="1:10" ht="24" thickBot="1" x14ac:dyDescent="0.35">
      <c r="A194" s="274" t="s">
        <v>101</v>
      </c>
      <c r="B194" s="1051"/>
      <c r="C194" s="304"/>
      <c r="D194" s="305" t="s">
        <v>52</v>
      </c>
      <c r="E194" s="397"/>
      <c r="F194" s="414">
        <f t="shared" ref="F194:G194" si="97">SUM(F187:F193)</f>
        <v>798565.99679999996</v>
      </c>
      <c r="G194" s="415">
        <f t="shared" si="97"/>
        <v>1131301.8288</v>
      </c>
      <c r="H194" s="398"/>
      <c r="I194" s="414">
        <f t="shared" ref="I194:J194" si="98">SUM(I187:I193)</f>
        <v>990999.3600000001</v>
      </c>
      <c r="J194" s="430">
        <f t="shared" si="98"/>
        <v>1403915.76</v>
      </c>
    </row>
    <row r="195" spans="1:10" ht="24" thickBot="1" x14ac:dyDescent="0.35">
      <c r="A195" s="769" t="s">
        <v>101</v>
      </c>
      <c r="B195" s="1054" t="s">
        <v>162</v>
      </c>
      <c r="C195" s="1055"/>
      <c r="D195" s="1056"/>
      <c r="E195" s="399"/>
      <c r="F195" s="416">
        <f t="shared" ref="F195:G195" si="99">+F186+F194</f>
        <v>2928075.3215999999</v>
      </c>
      <c r="G195" s="417">
        <f t="shared" si="99"/>
        <v>4458660.1487999996</v>
      </c>
      <c r="H195" s="400"/>
      <c r="I195" s="416">
        <f t="shared" ref="I195:J195" si="100">+I186+I194</f>
        <v>3633664.3200000003</v>
      </c>
      <c r="J195" s="431">
        <f t="shared" si="100"/>
        <v>5533079.7600000007</v>
      </c>
    </row>
    <row r="196" spans="1:10" ht="23.4" x14ac:dyDescent="0.3">
      <c r="A196" s="274" t="s">
        <v>101</v>
      </c>
      <c r="B196" s="1051" t="s">
        <v>30</v>
      </c>
      <c r="C196" s="303" t="s">
        <v>450</v>
      </c>
      <c r="D196" s="299" t="s">
        <v>334</v>
      </c>
      <c r="E196" s="736">
        <v>27.917000000000002</v>
      </c>
      <c r="F196" s="402">
        <f>IFERROR(E196*'01 Prod Physique Boites'!H193,"-")</f>
        <v>0</v>
      </c>
      <c r="G196" s="728">
        <f>IFERROR(E196*'01 Prod Physique Boites'!L193,"-")</f>
        <v>0</v>
      </c>
      <c r="H196" s="734">
        <v>33.299999999999997</v>
      </c>
      <c r="I196" s="419">
        <f>IFERROR(H196*(F196/E196),"-")</f>
        <v>0</v>
      </c>
      <c r="J196" s="420">
        <f t="shared" ref="J196:J198" si="101">IFERROR(H196*(G196/E196),"-")</f>
        <v>0</v>
      </c>
    </row>
    <row r="197" spans="1:10" ht="23.4" x14ac:dyDescent="0.3">
      <c r="A197" s="274" t="s">
        <v>101</v>
      </c>
      <c r="B197" s="1051"/>
      <c r="C197" s="300" t="s">
        <v>448</v>
      </c>
      <c r="D197" s="303" t="s">
        <v>384</v>
      </c>
      <c r="E197" s="733">
        <v>28.526700000000002</v>
      </c>
      <c r="F197" s="402">
        <f>IFERROR(E197*'01 Prod Physique Boites'!H194,"-")</f>
        <v>0</v>
      </c>
      <c r="G197" s="728">
        <f>IFERROR(E197*'01 Prod Physique Boites'!L194,"-")</f>
        <v>0</v>
      </c>
      <c r="H197" s="735">
        <v>37.89</v>
      </c>
      <c r="I197" s="421">
        <f>IFERROR(H197*(F197/E197),"-")</f>
        <v>0</v>
      </c>
      <c r="J197" s="422">
        <f t="shared" si="101"/>
        <v>0</v>
      </c>
    </row>
    <row r="198" spans="1:10" ht="24" thickBot="1" x14ac:dyDescent="0.35">
      <c r="A198" s="274" t="s">
        <v>101</v>
      </c>
      <c r="B198" s="1051"/>
      <c r="C198" s="300" t="s">
        <v>291</v>
      </c>
      <c r="D198" s="300" t="s">
        <v>384</v>
      </c>
      <c r="E198" s="501">
        <v>25.751300000000001</v>
      </c>
      <c r="F198" s="724">
        <f>IFERROR(E198*'01 Prod Physique Boites'!H195,"-")</f>
        <v>0</v>
      </c>
      <c r="G198" s="728">
        <f>IFERROR(E198*'01 Prod Physique Boites'!L195,"-")</f>
        <v>0</v>
      </c>
      <c r="H198" s="387">
        <v>37.89</v>
      </c>
      <c r="I198" s="423">
        <f>IFERROR(H198*(F198/E198),"-")</f>
        <v>0</v>
      </c>
      <c r="J198" s="424">
        <f t="shared" si="101"/>
        <v>0</v>
      </c>
    </row>
    <row r="199" spans="1:10" ht="24" thickBot="1" x14ac:dyDescent="0.35">
      <c r="A199" s="274" t="s">
        <v>101</v>
      </c>
      <c r="B199" s="1051"/>
      <c r="C199" s="301"/>
      <c r="D199" s="302" t="s">
        <v>50</v>
      </c>
      <c r="E199" s="390"/>
      <c r="F199" s="406">
        <f t="shared" ref="F199:G199" si="102">SUM(F196:F198)</f>
        <v>0</v>
      </c>
      <c r="G199" s="407">
        <f t="shared" si="102"/>
        <v>0</v>
      </c>
      <c r="H199" s="391"/>
      <c r="I199" s="406">
        <f t="shared" ref="I199" si="103">SUM(I196:I198)</f>
        <v>0</v>
      </c>
      <c r="J199" s="425">
        <f>SUM(J196:J198)</f>
        <v>0</v>
      </c>
    </row>
    <row r="200" spans="1:10" ht="23.4" x14ac:dyDescent="0.3">
      <c r="A200" s="274" t="s">
        <v>101</v>
      </c>
      <c r="B200" s="1051"/>
      <c r="C200" s="297" t="s">
        <v>439</v>
      </c>
      <c r="D200" s="297" t="s">
        <v>92</v>
      </c>
      <c r="E200" s="504">
        <v>24.2607</v>
      </c>
      <c r="F200" s="402">
        <f>IFERROR(E200*'01 Prod Physique Boites'!H197,"-")</f>
        <v>0</v>
      </c>
      <c r="G200" s="728">
        <f>IFERROR(E200*'01 Prod Physique Boites'!L197,"-")</f>
        <v>0</v>
      </c>
      <c r="H200" s="381">
        <v>28.31</v>
      </c>
      <c r="I200" s="638">
        <f>IFERROR(H200*(F200/E200),"-")</f>
        <v>0</v>
      </c>
      <c r="J200" s="420">
        <f t="shared" ref="J200:J205" si="104">IFERROR(H200*(G200/E200),"-")</f>
        <v>0</v>
      </c>
    </row>
    <row r="201" spans="1:10" ht="23.4" x14ac:dyDescent="0.3">
      <c r="A201" s="274"/>
      <c r="B201" s="1051"/>
      <c r="C201" s="303" t="s">
        <v>449</v>
      </c>
      <c r="D201" s="299" t="s">
        <v>334</v>
      </c>
      <c r="E201" s="504">
        <v>24.2607</v>
      </c>
      <c r="F201" s="402">
        <f>IFERROR(E201*'01 Prod Physique Boites'!H198,"-")</f>
        <v>0</v>
      </c>
      <c r="G201" s="728">
        <f>IFERROR(E201*'01 Prod Physique Boites'!L198,"-")</f>
        <v>0</v>
      </c>
      <c r="H201" s="381">
        <v>28.88</v>
      </c>
      <c r="I201" s="638">
        <f t="shared" ref="I201:I205" si="105">IFERROR(H201*(F201/E201),"-")</f>
        <v>0</v>
      </c>
      <c r="J201" s="420">
        <f t="shared" si="104"/>
        <v>0</v>
      </c>
    </row>
    <row r="202" spans="1:10" ht="23.4" x14ac:dyDescent="0.3">
      <c r="A202" s="274"/>
      <c r="B202" s="1051"/>
      <c r="C202" s="303" t="s">
        <v>452</v>
      </c>
      <c r="D202" s="299" t="s">
        <v>334</v>
      </c>
      <c r="E202" s="504">
        <v>25.4041</v>
      </c>
      <c r="F202" s="402">
        <f>IFERROR(E202*'01 Prod Physique Boites'!H199,"-")</f>
        <v>0</v>
      </c>
      <c r="G202" s="728">
        <f>IFERROR(E202*'01 Prod Physique Boites'!L199,"-")</f>
        <v>0</v>
      </c>
      <c r="H202" s="381">
        <v>28.21</v>
      </c>
      <c r="I202" s="638">
        <f t="shared" si="105"/>
        <v>0</v>
      </c>
      <c r="J202" s="420">
        <f t="shared" si="104"/>
        <v>0</v>
      </c>
    </row>
    <row r="203" spans="1:10" ht="23.4" x14ac:dyDescent="0.3">
      <c r="A203" s="274" t="s">
        <v>101</v>
      </c>
      <c r="B203" s="1051"/>
      <c r="C203" s="303" t="s">
        <v>335</v>
      </c>
      <c r="D203" s="303" t="s">
        <v>234</v>
      </c>
      <c r="E203" s="505">
        <v>27.917000000000002</v>
      </c>
      <c r="F203" s="724">
        <f>IFERROR(E203*'01 Prod Physique Boites'!H200,"-")</f>
        <v>0</v>
      </c>
      <c r="G203" s="728">
        <f>IFERROR(E203*'01 Prod Physique Boites'!L200,"-")</f>
        <v>0</v>
      </c>
      <c r="H203" s="385">
        <v>39</v>
      </c>
      <c r="I203" s="638">
        <f t="shared" si="105"/>
        <v>0</v>
      </c>
      <c r="J203" s="420">
        <f t="shared" si="104"/>
        <v>0</v>
      </c>
    </row>
    <row r="204" spans="1:10" ht="23.4" x14ac:dyDescent="0.3">
      <c r="A204" s="274"/>
      <c r="B204" s="1051"/>
      <c r="C204" s="300" t="s">
        <v>459</v>
      </c>
      <c r="D204" s="300" t="s">
        <v>366</v>
      </c>
      <c r="E204" s="501">
        <v>22.094999999999999</v>
      </c>
      <c r="F204" s="724">
        <f>IFERROR(E204*'01 Prod Physique Boites'!H201,"-")</f>
        <v>0</v>
      </c>
      <c r="G204" s="728">
        <f>IFERROR(E204*'01 Prod Physique Boites'!L201,"-")</f>
        <v>0</v>
      </c>
      <c r="H204" s="745">
        <v>37.11</v>
      </c>
      <c r="I204" s="638">
        <f t="shared" si="105"/>
        <v>0</v>
      </c>
      <c r="J204" s="420">
        <f t="shared" si="104"/>
        <v>0</v>
      </c>
    </row>
    <row r="205" spans="1:10" ht="24" thickBot="1" x14ac:dyDescent="0.35">
      <c r="A205" s="274" t="s">
        <v>101</v>
      </c>
      <c r="B205" s="1051"/>
      <c r="C205" s="300" t="s">
        <v>438</v>
      </c>
      <c r="D205" s="300" t="s">
        <v>423</v>
      </c>
      <c r="E205" s="501">
        <v>23.697399999999998</v>
      </c>
      <c r="F205" s="402">
        <f>IFERROR(E205*'01 Prod Physique Boites'!H202,"-")</f>
        <v>0</v>
      </c>
      <c r="G205" s="403">
        <f>IFERROR(E205*'01 Prod Physique Boites'!L202,"-")</f>
        <v>0</v>
      </c>
      <c r="H205" s="387">
        <v>28.21</v>
      </c>
      <c r="I205" s="638">
        <f t="shared" si="105"/>
        <v>0</v>
      </c>
      <c r="J205" s="420">
        <f t="shared" si="104"/>
        <v>0</v>
      </c>
    </row>
    <row r="206" spans="1:10" ht="24" thickBot="1" x14ac:dyDescent="0.35">
      <c r="A206" s="274" t="s">
        <v>101</v>
      </c>
      <c r="B206" s="1051"/>
      <c r="C206" s="304"/>
      <c r="D206" s="305" t="s">
        <v>51</v>
      </c>
      <c r="E206" s="397"/>
      <c r="F206" s="414">
        <f t="shared" ref="F206:G206" si="106">SUM(F200:F205)</f>
        <v>0</v>
      </c>
      <c r="G206" s="415">
        <f t="shared" si="106"/>
        <v>0</v>
      </c>
      <c r="H206" s="398"/>
      <c r="I206" s="414">
        <f t="shared" ref="I206" si="107">SUM(I200:I205)</f>
        <v>0</v>
      </c>
      <c r="J206" s="430">
        <f>SUM(J200:J205)</f>
        <v>0</v>
      </c>
    </row>
    <row r="207" spans="1:10" ht="24" thickBot="1" x14ac:dyDescent="0.35">
      <c r="A207" s="274" t="s">
        <v>101</v>
      </c>
      <c r="B207" s="1054" t="s">
        <v>163</v>
      </c>
      <c r="C207" s="1055"/>
      <c r="D207" s="1056"/>
      <c r="E207" s="399"/>
      <c r="F207" s="416">
        <f t="shared" ref="F207:G207" si="108">+F199+F206</f>
        <v>0</v>
      </c>
      <c r="G207" s="417">
        <f t="shared" si="108"/>
        <v>0</v>
      </c>
      <c r="H207" s="400"/>
      <c r="I207" s="416">
        <f t="shared" ref="I207:J207" si="109">+I199+I206</f>
        <v>0</v>
      </c>
      <c r="J207" s="431">
        <f t="shared" si="109"/>
        <v>0</v>
      </c>
    </row>
    <row r="208" spans="1:10" ht="24" thickBot="1" x14ac:dyDescent="0.35">
      <c r="A208" s="274" t="s">
        <v>101</v>
      </c>
      <c r="B208" s="599" t="s">
        <v>32</v>
      </c>
      <c r="C208" s="762"/>
      <c r="D208" s="310"/>
      <c r="E208" s="506">
        <v>12.2659</v>
      </c>
      <c r="F208" s="408">
        <f>IFERROR(E208*'01 Prod Physique Boites'!H205,"-")</f>
        <v>0</v>
      </c>
      <c r="G208" s="409">
        <f>IFERROR(E208*'01 Prod Physique Boites'!L205,"-")</f>
        <v>0</v>
      </c>
      <c r="H208" s="392"/>
      <c r="I208" s="426">
        <f>IFERROR(H208*(F208/E208),"-")</f>
        <v>0</v>
      </c>
      <c r="J208" s="427">
        <f>IFERROR(H208*(G208/E208),"-")</f>
        <v>0</v>
      </c>
    </row>
    <row r="209" spans="1:10" ht="24" thickBot="1" x14ac:dyDescent="0.35">
      <c r="A209" s="274" t="s">
        <v>101</v>
      </c>
      <c r="B209" s="1047" t="s">
        <v>21</v>
      </c>
      <c r="C209" s="1048"/>
      <c r="D209" s="1049"/>
      <c r="E209" s="393"/>
      <c r="F209" s="410">
        <f t="shared" ref="F209" si="110">+F195+F207+F208</f>
        <v>2928075.3215999999</v>
      </c>
      <c r="G209" s="411">
        <f>+G195+G207+G208</f>
        <v>4458660.1487999996</v>
      </c>
      <c r="H209" s="394"/>
      <c r="I209" s="410">
        <f t="shared" ref="I209:J209" si="111">+I195+I207+I208</f>
        <v>3633664.3200000003</v>
      </c>
      <c r="J209" s="428">
        <f t="shared" si="111"/>
        <v>5533079.7600000007</v>
      </c>
    </row>
    <row r="210" spans="1:10" ht="24" thickBot="1" x14ac:dyDescent="0.35">
      <c r="A210" s="274" t="s">
        <v>101</v>
      </c>
      <c r="B210" s="1019" t="s">
        <v>171</v>
      </c>
      <c r="C210" s="1020"/>
      <c r="D210" s="1021"/>
      <c r="E210" s="395"/>
      <c r="F210" s="412">
        <f t="shared" ref="F210:G210" si="112">+F209</f>
        <v>2928075.3215999999</v>
      </c>
      <c r="G210" s="413">
        <f t="shared" si="112"/>
        <v>4458660.1487999996</v>
      </c>
      <c r="H210" s="396"/>
      <c r="I210" s="412">
        <f t="shared" ref="I210:J210" si="113">+I209</f>
        <v>3633664.3200000003</v>
      </c>
      <c r="J210" s="429">
        <f t="shared" si="113"/>
        <v>5533079.7600000007</v>
      </c>
    </row>
    <row r="211" spans="1:10" ht="23.4" x14ac:dyDescent="0.3">
      <c r="A211" s="268" t="s">
        <v>102</v>
      </c>
      <c r="B211" s="1022" t="s">
        <v>401</v>
      </c>
      <c r="C211" s="311" t="s">
        <v>113</v>
      </c>
      <c r="D211" s="311"/>
      <c r="E211" s="709">
        <v>254.89750000000001</v>
      </c>
      <c r="F211" s="402">
        <f>IFERROR(E211*'01 Prod Physique Boites'!H208,"-")</f>
        <v>0</v>
      </c>
      <c r="G211" s="403">
        <f>IFERROR(E211*'01 Prod Physique Boites'!L208,"-")</f>
        <v>0</v>
      </c>
      <c r="H211" s="381">
        <v>445.38</v>
      </c>
      <c r="I211" s="419">
        <f>IFERROR(H211*(F211/E211),"-")</f>
        <v>0</v>
      </c>
      <c r="J211" s="420">
        <f t="shared" ref="J211:J213" si="114">IFERROR(H211*(G211/E211),"-")</f>
        <v>0</v>
      </c>
    </row>
    <row r="212" spans="1:10" ht="23.4" x14ac:dyDescent="0.3">
      <c r="A212" s="274" t="s">
        <v>102</v>
      </c>
      <c r="B212" s="1023"/>
      <c r="C212" s="312" t="s">
        <v>247</v>
      </c>
      <c r="D212" s="312"/>
      <c r="E212" s="503">
        <v>246.51390000000001</v>
      </c>
      <c r="F212" s="402">
        <f>IFERROR(E212*'01 Prod Physique Boites'!H209,"-")</f>
        <v>172559.73</v>
      </c>
      <c r="G212" s="403">
        <f>IFERROR(E212*'01 Prod Physique Boites'!L209,"-")</f>
        <v>172559.73</v>
      </c>
      <c r="H212" s="385">
        <v>430.02</v>
      </c>
      <c r="I212" s="421">
        <f>IFERROR(H212*(F212/E212),"-")</f>
        <v>301014</v>
      </c>
      <c r="J212" s="422">
        <f t="shared" si="114"/>
        <v>301014</v>
      </c>
    </row>
    <row r="213" spans="1:10" ht="24" thickBot="1" x14ac:dyDescent="0.35">
      <c r="A213" s="274" t="s">
        <v>102</v>
      </c>
      <c r="B213" s="1024"/>
      <c r="C213" s="313" t="s">
        <v>33</v>
      </c>
      <c r="D213" s="313"/>
      <c r="E213" s="500">
        <v>225.7713</v>
      </c>
      <c r="F213" s="402">
        <f>IFERROR(E213*'01 Prod Physique Boites'!H210,"-")</f>
        <v>0</v>
      </c>
      <c r="G213" s="403">
        <f>IFERROR(E213*'01 Prod Physique Boites'!L210,"-")</f>
        <v>0</v>
      </c>
      <c r="H213" s="387"/>
      <c r="I213" s="423">
        <f>IFERROR(H213*(F213/E213),"-")</f>
        <v>0</v>
      </c>
      <c r="J213" s="424">
        <f t="shared" si="114"/>
        <v>0</v>
      </c>
    </row>
    <row r="214" spans="1:10" ht="24" thickBot="1" x14ac:dyDescent="0.35">
      <c r="A214" s="274" t="s">
        <v>102</v>
      </c>
      <c r="B214" s="1025" t="s">
        <v>34</v>
      </c>
      <c r="C214" s="1026"/>
      <c r="D214" s="1027"/>
      <c r="E214" s="390"/>
      <c r="F214" s="406">
        <f t="shared" ref="F214:G214" si="115">SUM(F211:F213)</f>
        <v>172559.73</v>
      </c>
      <c r="G214" s="407">
        <f t="shared" si="115"/>
        <v>172559.73</v>
      </c>
      <c r="H214" s="391"/>
      <c r="I214" s="406">
        <f t="shared" ref="I214:J214" si="116">SUM(I211:I213)</f>
        <v>301014</v>
      </c>
      <c r="J214" s="425">
        <f t="shared" si="116"/>
        <v>301014</v>
      </c>
    </row>
    <row r="215" spans="1:10" ht="23.4" x14ac:dyDescent="0.3">
      <c r="A215" s="274" t="s">
        <v>102</v>
      </c>
      <c r="B215" s="1022" t="s">
        <v>35</v>
      </c>
      <c r="C215" s="311" t="s">
        <v>113</v>
      </c>
      <c r="D215" s="311"/>
      <c r="E215" s="502">
        <v>254.89750000000001</v>
      </c>
      <c r="F215" s="402">
        <f>IFERROR(E215*'01 Prod Physique Boites'!H212,"-")</f>
        <v>0</v>
      </c>
      <c r="G215" s="403">
        <f>IFERROR(E215*'01 Prod Physique Boites'!L212,"-")</f>
        <v>0</v>
      </c>
      <c r="H215" s="381">
        <v>445.38</v>
      </c>
      <c r="I215" s="419">
        <f>IFERROR(H215*(F215/E215),"-")</f>
        <v>0</v>
      </c>
      <c r="J215" s="420">
        <f t="shared" ref="J215:J218" si="117">IFERROR(H215*(G215/E215),"-")</f>
        <v>0</v>
      </c>
    </row>
    <row r="216" spans="1:10" ht="23.4" x14ac:dyDescent="0.3">
      <c r="A216" s="274" t="s">
        <v>102</v>
      </c>
      <c r="B216" s="1023"/>
      <c r="C216" s="312" t="s">
        <v>247</v>
      </c>
      <c r="D216" s="312"/>
      <c r="E216" s="503">
        <v>246.51390000000001</v>
      </c>
      <c r="F216" s="402">
        <f>IFERROR(E216*'01 Prod Physique Boites'!H213,"-")</f>
        <v>0</v>
      </c>
      <c r="G216" s="403">
        <f>IFERROR(E216*'01 Prod Physique Boites'!L213,"-")</f>
        <v>0</v>
      </c>
      <c r="H216" s="385">
        <v>430.02</v>
      </c>
      <c r="I216" s="421">
        <f>IFERROR(H216*(F216/E216),"-")</f>
        <v>0</v>
      </c>
      <c r="J216" s="422">
        <f t="shared" si="117"/>
        <v>0</v>
      </c>
    </row>
    <row r="217" spans="1:10" ht="23.4" x14ac:dyDescent="0.3">
      <c r="A217" s="274" t="s">
        <v>102</v>
      </c>
      <c r="B217" s="1023"/>
      <c r="C217" s="312" t="s">
        <v>184</v>
      </c>
      <c r="D217" s="312" t="s">
        <v>183</v>
      </c>
      <c r="E217" s="503">
        <v>254.89750000000001</v>
      </c>
      <c r="F217" s="402">
        <f>IFERROR(E217*'01 Prod Physique Boites'!H214,"-")</f>
        <v>0</v>
      </c>
      <c r="G217" s="403">
        <f>IFERROR(E217*'01 Prod Physique Boites'!L214,"-")</f>
        <v>0</v>
      </c>
      <c r="H217" s="385"/>
      <c r="I217" s="421">
        <f>IFERROR(H217*(F217/E217),"-")</f>
        <v>0</v>
      </c>
      <c r="J217" s="422">
        <f t="shared" si="117"/>
        <v>0</v>
      </c>
    </row>
    <row r="218" spans="1:10" ht="24" thickBot="1" x14ac:dyDescent="0.35">
      <c r="A218" s="274" t="s">
        <v>102</v>
      </c>
      <c r="B218" s="1024"/>
      <c r="C218" s="313" t="s">
        <v>36</v>
      </c>
      <c r="D218" s="313"/>
      <c r="E218" s="500">
        <v>229.99359999999999</v>
      </c>
      <c r="F218" s="402">
        <f>IFERROR(E218*'01 Prod Physique Boites'!H215,"-")</f>
        <v>0</v>
      </c>
      <c r="G218" s="403">
        <f>IFERROR(E218*'01 Prod Physique Boites'!L215,"-")</f>
        <v>0</v>
      </c>
      <c r="H218" s="387"/>
      <c r="I218" s="423">
        <f>IFERROR(H218*(F218/E218),"-")</f>
        <v>0</v>
      </c>
      <c r="J218" s="424">
        <f t="shared" si="117"/>
        <v>0</v>
      </c>
    </row>
    <row r="219" spans="1:10" ht="24" thickBot="1" x14ac:dyDescent="0.35">
      <c r="A219" s="274" t="s">
        <v>102</v>
      </c>
      <c r="B219" s="1025" t="s">
        <v>37</v>
      </c>
      <c r="C219" s="1026"/>
      <c r="D219" s="1027"/>
      <c r="E219" s="390"/>
      <c r="F219" s="406">
        <f t="shared" ref="F219:G219" si="118">SUM(F215:F218)</f>
        <v>0</v>
      </c>
      <c r="G219" s="407">
        <f t="shared" si="118"/>
        <v>0</v>
      </c>
      <c r="H219" s="391"/>
      <c r="I219" s="406">
        <f>SUM(I215:I218)</f>
        <v>0</v>
      </c>
      <c r="J219" s="425">
        <f>SUM(J215:J218)</f>
        <v>0</v>
      </c>
    </row>
    <row r="220" spans="1:10" ht="23.4" x14ac:dyDescent="0.3">
      <c r="A220" s="274" t="s">
        <v>102</v>
      </c>
      <c r="B220" s="1022" t="s">
        <v>402</v>
      </c>
      <c r="C220" s="314" t="s">
        <v>116</v>
      </c>
      <c r="D220" s="314"/>
      <c r="E220" s="502">
        <v>195.2808</v>
      </c>
      <c r="F220" s="402">
        <f>IFERROR(E220*'01 Prod Physique Boites'!H217,"-")</f>
        <v>0</v>
      </c>
      <c r="G220" s="403">
        <f>IFERROR(E220*'01 Prod Physique Boites'!L217,"-")</f>
        <v>0</v>
      </c>
      <c r="H220" s="681">
        <v>256.7</v>
      </c>
      <c r="I220" s="419">
        <f>IFERROR(H220*(F220/E220),"-")</f>
        <v>0</v>
      </c>
      <c r="J220" s="420">
        <f t="shared" ref="J220:J221" si="119">IFERROR(H220*(G220/E220),"-")</f>
        <v>0</v>
      </c>
    </row>
    <row r="221" spans="1:10" ht="24" thickBot="1" x14ac:dyDescent="0.35">
      <c r="A221" s="274" t="s">
        <v>102</v>
      </c>
      <c r="B221" s="1024"/>
      <c r="C221" s="286" t="s">
        <v>132</v>
      </c>
      <c r="D221" s="286"/>
      <c r="E221" s="500">
        <v>189.91890000000001</v>
      </c>
      <c r="F221" s="402">
        <f>IFERROR(E221*'01 Prod Physique Boites'!H218,"-")</f>
        <v>151935.12</v>
      </c>
      <c r="G221" s="403">
        <f>IFERROR(E221*'01 Prod Physique Boites'!L218,"-")</f>
        <v>151935.12</v>
      </c>
      <c r="H221" s="387">
        <v>320.35000000000002</v>
      </c>
      <c r="I221" s="423">
        <f>IFERROR(H221*(F221/E221),"-")</f>
        <v>256279.99999999997</v>
      </c>
      <c r="J221" s="424">
        <f t="shared" si="119"/>
        <v>256279.99999999997</v>
      </c>
    </row>
    <row r="222" spans="1:10" ht="24" thickBot="1" x14ac:dyDescent="0.35">
      <c r="A222" s="769" t="s">
        <v>102</v>
      </c>
      <c r="B222" s="1025" t="s">
        <v>38</v>
      </c>
      <c r="C222" s="1026"/>
      <c r="D222" s="1027"/>
      <c r="E222" s="390"/>
      <c r="F222" s="406">
        <f>SUM(F220:F221)</f>
        <v>151935.12</v>
      </c>
      <c r="G222" s="407">
        <f t="shared" ref="G222" si="120">SUM(G220:G221)</f>
        <v>151935.12</v>
      </c>
      <c r="H222" s="391"/>
      <c r="I222" s="406">
        <f t="shared" ref="I222:J222" si="121">SUM(I220:I221)</f>
        <v>256279.99999999997</v>
      </c>
      <c r="J222" s="425">
        <f t="shared" si="121"/>
        <v>256279.99999999997</v>
      </c>
    </row>
    <row r="223" spans="1:10" ht="23.4" x14ac:dyDescent="0.3">
      <c r="A223" s="274" t="s">
        <v>102</v>
      </c>
      <c r="B223" s="1022" t="s">
        <v>403</v>
      </c>
      <c r="C223" s="269" t="s">
        <v>306</v>
      </c>
      <c r="D223" s="269" t="s">
        <v>238</v>
      </c>
      <c r="E223" s="504">
        <v>37.248699999999999</v>
      </c>
      <c r="F223" s="402">
        <f>IFERROR(E223*'01 Prod Physique Boites'!H220,"-")</f>
        <v>938667.24</v>
      </c>
      <c r="G223" s="403">
        <f>IFERROR(E223*'01 Prod Physique Boites'!L220,"-")</f>
        <v>1188978.504</v>
      </c>
      <c r="H223" s="381">
        <v>71.44</v>
      </c>
      <c r="I223" s="419">
        <f>IFERROR(H223*(F223/E223),"-")</f>
        <v>1800288</v>
      </c>
      <c r="J223" s="420">
        <f>IFERROR(H223*(G223/E223),"-")</f>
        <v>2280364.7999999998</v>
      </c>
    </row>
    <row r="224" spans="1:10" ht="23.4" x14ac:dyDescent="0.3">
      <c r="A224" s="274" t="s">
        <v>102</v>
      </c>
      <c r="B224" s="1023"/>
      <c r="C224" s="269" t="s">
        <v>156</v>
      </c>
      <c r="D224" s="275"/>
      <c r="E224" s="504">
        <v>37.248699999999999</v>
      </c>
      <c r="F224" s="402">
        <f>IFERROR(E224*'01 Prod Physique Boites'!H221,"-")</f>
        <v>0</v>
      </c>
      <c r="G224" s="403">
        <f>IFERROR(E224*'01 Prod Physique Boites'!L221,"-")</f>
        <v>0</v>
      </c>
      <c r="H224" s="385"/>
      <c r="I224" s="421">
        <f>IFERROR(H224*(F224/E224),"-")</f>
        <v>0</v>
      </c>
      <c r="J224" s="422">
        <f t="shared" ref="J224:J226" si="122">IFERROR(H224*(G224/E224),"-")</f>
        <v>0</v>
      </c>
    </row>
    <row r="225" spans="1:10" ht="23.4" x14ac:dyDescent="0.3">
      <c r="A225" s="274" t="s">
        <v>102</v>
      </c>
      <c r="B225" s="1023"/>
      <c r="C225" s="275" t="s">
        <v>345</v>
      </c>
      <c r="D225" s="269" t="s">
        <v>238</v>
      </c>
      <c r="E225" s="504">
        <v>37.248699999999999</v>
      </c>
      <c r="F225" s="402">
        <f>IFERROR(E225*'01 Prod Physique Boites'!H222,"-")</f>
        <v>0</v>
      </c>
      <c r="G225" s="403">
        <f>IFERROR(E225*'01 Prod Physique Boites'!L222,"-")</f>
        <v>0</v>
      </c>
      <c r="H225" s="385">
        <v>71.44</v>
      </c>
      <c r="I225" s="421">
        <f>IFERROR(H225*(F225/E225),"-")</f>
        <v>0</v>
      </c>
      <c r="J225" s="422">
        <f t="shared" si="122"/>
        <v>0</v>
      </c>
    </row>
    <row r="226" spans="1:10" ht="24" thickBot="1" x14ac:dyDescent="0.35">
      <c r="A226" s="274" t="s">
        <v>102</v>
      </c>
      <c r="B226" s="1023"/>
      <c r="C226" s="275" t="s">
        <v>157</v>
      </c>
      <c r="D226" s="275"/>
      <c r="E226" s="505">
        <v>38.466099999999997</v>
      </c>
      <c r="F226" s="402">
        <f>IFERROR(E226*'01 Prod Physique Boites'!H223,"-")</f>
        <v>0</v>
      </c>
      <c r="G226" s="403">
        <f>IFERROR(E226*'01 Prod Physique Boites'!L223,"-")</f>
        <v>0</v>
      </c>
      <c r="H226" s="385"/>
      <c r="I226" s="421">
        <f>IFERROR(H226*(F226/E226),"-")</f>
        <v>0</v>
      </c>
      <c r="J226" s="422">
        <f t="shared" si="122"/>
        <v>0</v>
      </c>
    </row>
    <row r="227" spans="1:10" ht="24" thickBot="1" x14ac:dyDescent="0.35">
      <c r="A227" s="274" t="s">
        <v>102</v>
      </c>
      <c r="B227" s="1025" t="s">
        <v>39</v>
      </c>
      <c r="C227" s="1026"/>
      <c r="D227" s="1027"/>
      <c r="E227" s="390"/>
      <c r="F227" s="406">
        <f>SUM(F223:F226)</f>
        <v>938667.24</v>
      </c>
      <c r="G227" s="407">
        <f>SUM(G223:G226)</f>
        <v>1188978.504</v>
      </c>
      <c r="H227" s="391"/>
      <c r="I227" s="406">
        <f>SUM(I223:I226)</f>
        <v>1800288</v>
      </c>
      <c r="J227" s="406">
        <f>SUM(J223:J226)</f>
        <v>2280364.7999999998</v>
      </c>
    </row>
    <row r="228" spans="1:10" ht="23.4" x14ac:dyDescent="0.3">
      <c r="A228" s="274" t="s">
        <v>102</v>
      </c>
      <c r="B228" s="1022" t="s">
        <v>40</v>
      </c>
      <c r="C228" s="269" t="s">
        <v>186</v>
      </c>
      <c r="D228" s="269" t="s">
        <v>183</v>
      </c>
      <c r="E228" s="504">
        <v>30.7499</v>
      </c>
      <c r="F228" s="402">
        <f>IFERROR(E228*'01 Prod Physique Boites'!H226,"-")</f>
        <v>0</v>
      </c>
      <c r="G228" s="403">
        <f>IFERROR(E228*'01 Prod Physique Boites'!L226,"-")</f>
        <v>0</v>
      </c>
      <c r="H228" s="381"/>
      <c r="I228" s="419">
        <f>IFERROR(H228*(F228/E228),"-")</f>
        <v>0</v>
      </c>
      <c r="J228" s="420">
        <f>IFERROR(H228*(G228/E228),"-")</f>
        <v>0</v>
      </c>
    </row>
    <row r="229" spans="1:10" ht="23.4" x14ac:dyDescent="0.3">
      <c r="A229" s="274" t="s">
        <v>102</v>
      </c>
      <c r="B229" s="1023"/>
      <c r="C229" s="275" t="s">
        <v>159</v>
      </c>
      <c r="D229" s="275"/>
      <c r="E229" s="684">
        <v>25.139099999999999</v>
      </c>
      <c r="F229" s="402">
        <f>IFERROR(E229*'01 Prod Physique Boites'!H227,"-")</f>
        <v>0</v>
      </c>
      <c r="G229" s="403">
        <f>IFERROR(E229*'01 Prod Physique Boites'!L227,"-")</f>
        <v>286585.74</v>
      </c>
      <c r="H229" s="385">
        <v>59.96</v>
      </c>
      <c r="I229" s="421">
        <f>IFERROR(H229*(F229/E229),"-")</f>
        <v>0</v>
      </c>
      <c r="J229" s="422">
        <f t="shared" ref="J229:J230" si="123">IFERROR(H229*(G229/E229),"-")</f>
        <v>683544</v>
      </c>
    </row>
    <row r="230" spans="1:10" ht="24" thickBot="1" x14ac:dyDescent="0.35">
      <c r="A230" s="274" t="s">
        <v>102</v>
      </c>
      <c r="B230" s="1024"/>
      <c r="C230" s="279" t="s">
        <v>186</v>
      </c>
      <c r="D230" s="279" t="s">
        <v>185</v>
      </c>
      <c r="E230" s="501">
        <v>30.073599999999999</v>
      </c>
      <c r="F230" s="402">
        <f>IFERROR(E230*'01 Prod Physique Boites'!H228,"-")</f>
        <v>0</v>
      </c>
      <c r="G230" s="403">
        <f>IFERROR(E230*'01 Prod Physique Boites'!L228,"-")</f>
        <v>0</v>
      </c>
      <c r="H230" s="387"/>
      <c r="I230" s="423">
        <f>IFERROR(H230*(F230/E230),"-")</f>
        <v>0</v>
      </c>
      <c r="J230" s="424">
        <f t="shared" si="123"/>
        <v>0</v>
      </c>
    </row>
    <row r="231" spans="1:10" ht="24" thickBot="1" x14ac:dyDescent="0.35">
      <c r="A231" s="274" t="s">
        <v>102</v>
      </c>
      <c r="B231" s="1034" t="s">
        <v>41</v>
      </c>
      <c r="C231" s="1035"/>
      <c r="D231" s="1036"/>
      <c r="E231" s="390"/>
      <c r="F231" s="406">
        <f t="shared" ref="F231:G231" si="124">SUM(F228:F230)</f>
        <v>0</v>
      </c>
      <c r="G231" s="407">
        <f t="shared" si="124"/>
        <v>286585.74</v>
      </c>
      <c r="H231" s="391"/>
      <c r="I231" s="406">
        <f t="shared" ref="I231:J231" si="125">SUM(I228:I230)</f>
        <v>0</v>
      </c>
      <c r="J231" s="425">
        <f t="shared" si="125"/>
        <v>683544</v>
      </c>
    </row>
    <row r="232" spans="1:10" ht="23.4" x14ac:dyDescent="0.3">
      <c r="A232" s="274" t="s">
        <v>102</v>
      </c>
      <c r="B232" s="1022" t="s">
        <v>42</v>
      </c>
      <c r="C232" s="269" t="s">
        <v>160</v>
      </c>
      <c r="D232" s="269"/>
      <c r="E232" s="504">
        <v>36.684899999999999</v>
      </c>
      <c r="F232" s="402">
        <f>IFERROR(E232*'01 Prod Physique Boites'!H230,"-")</f>
        <v>0</v>
      </c>
      <c r="G232" s="403">
        <f>IFERROR(E232*'01 Prod Physique Boites'!L230,"-")</f>
        <v>0</v>
      </c>
      <c r="H232" s="381"/>
      <c r="I232" s="382" t="s">
        <v>190</v>
      </c>
      <c r="J232" s="383" t="s">
        <v>190</v>
      </c>
    </row>
    <row r="233" spans="1:10" ht="24" thickBot="1" x14ac:dyDescent="0.35">
      <c r="A233" s="274" t="s">
        <v>102</v>
      </c>
      <c r="B233" s="1024"/>
      <c r="C233" s="279" t="s">
        <v>161</v>
      </c>
      <c r="D233" s="279"/>
      <c r="E233" s="501">
        <v>37.002800000000001</v>
      </c>
      <c r="F233" s="402">
        <f>IFERROR(E233*'01 Prod Physique Boites'!H231,"-")</f>
        <v>0</v>
      </c>
      <c r="G233" s="403">
        <f>IFERROR(E233*'01 Prod Physique Boites'!L231,"-")</f>
        <v>0</v>
      </c>
      <c r="H233" s="387"/>
      <c r="I233" s="388" t="s">
        <v>190</v>
      </c>
      <c r="J233" s="389" t="s">
        <v>190</v>
      </c>
    </row>
    <row r="234" spans="1:10" ht="24" thickBot="1" x14ac:dyDescent="0.35">
      <c r="A234" s="274" t="s">
        <v>102</v>
      </c>
      <c r="B234" s="1034" t="s">
        <v>43</v>
      </c>
      <c r="C234" s="1035"/>
      <c r="D234" s="1036"/>
      <c r="E234" s="390"/>
      <c r="F234" s="402">
        <f>IFERROR(E234*'01 Prod Physique Boites'!H233,"-")</f>
        <v>0</v>
      </c>
      <c r="G234" s="407">
        <f>IFERROR(E234*'01 Prod Physique Boites'!L233,"-")</f>
        <v>0</v>
      </c>
      <c r="H234" s="391"/>
      <c r="I234" s="406">
        <f t="shared" ref="I234:J234" si="126">SUM(I232:I233)</f>
        <v>0</v>
      </c>
      <c r="J234" s="425">
        <f t="shared" si="126"/>
        <v>0</v>
      </c>
    </row>
    <row r="235" spans="1:10" ht="24" thickBot="1" x14ac:dyDescent="0.35">
      <c r="A235" s="274" t="s">
        <v>102</v>
      </c>
      <c r="B235" s="1028" t="s">
        <v>25</v>
      </c>
      <c r="C235" s="1029"/>
      <c r="D235" s="1030"/>
      <c r="E235" s="393"/>
      <c r="F235" s="410">
        <f>+F214+F219+F222+F227+F231+F234</f>
        <v>1263162.0899999999</v>
      </c>
      <c r="G235" s="411">
        <f>+G214+G219+G222+G227+G231+G234</f>
        <v>1800059.0939999998</v>
      </c>
      <c r="H235" s="394"/>
      <c r="I235" s="410">
        <f>+I214+I219+I222+I227+I231+I234</f>
        <v>2357582</v>
      </c>
      <c r="J235" s="428">
        <f>+J214+J219+J222+J227+J231+J234</f>
        <v>3521202.8</v>
      </c>
    </row>
    <row r="236" spans="1:10" ht="24" thickBot="1" x14ac:dyDescent="0.35">
      <c r="A236" s="318" t="s">
        <v>102</v>
      </c>
      <c r="B236" s="1020" t="s">
        <v>173</v>
      </c>
      <c r="C236" s="1020"/>
      <c r="D236" s="1021"/>
      <c r="E236" s="395"/>
      <c r="F236" s="412">
        <f t="shared" ref="F236:G236" si="127">+F235</f>
        <v>1263162.0899999999</v>
      </c>
      <c r="G236" s="413">
        <f t="shared" si="127"/>
        <v>1800059.0939999998</v>
      </c>
      <c r="H236" s="396"/>
      <c r="I236" s="412">
        <f t="shared" ref="I236" si="128">+I235</f>
        <v>2357582</v>
      </c>
      <c r="J236" s="429">
        <f>+J235</f>
        <v>3521202.8</v>
      </c>
    </row>
    <row r="237" spans="1:10" ht="24.6" thickBot="1" x14ac:dyDescent="0.35">
      <c r="A237" s="319"/>
      <c r="B237" s="1031" t="s">
        <v>174</v>
      </c>
      <c r="C237" s="1032"/>
      <c r="D237" s="1033"/>
      <c r="E237" s="401"/>
      <c r="F237" s="418">
        <f>+F175+F210+F236</f>
        <v>6500617.8396000005</v>
      </c>
      <c r="G237" s="418">
        <f>+G175+G210+G236</f>
        <v>10097790.183599999</v>
      </c>
      <c r="H237" s="401"/>
      <c r="I237" s="418">
        <f>+I175+I210+I236</f>
        <v>8825994.3200000003</v>
      </c>
      <c r="J237" s="432">
        <f>+J175+J210+J236</f>
        <v>13735348.16</v>
      </c>
    </row>
    <row r="238" spans="1:10" ht="24.6" customHeight="1" thickBot="1" x14ac:dyDescent="0.35">
      <c r="A238" s="230"/>
      <c r="B238" s="230"/>
      <c r="C238" s="230"/>
      <c r="D238" s="230"/>
      <c r="E238" s="378"/>
      <c r="F238" s="378"/>
      <c r="G238" s="378"/>
      <c r="H238" s="378"/>
      <c r="I238" s="378"/>
      <c r="J238" s="378"/>
    </row>
    <row r="239" spans="1:10" ht="23.4" x14ac:dyDescent="0.3">
      <c r="A239" s="1057" t="s">
        <v>1</v>
      </c>
      <c r="B239" s="1060" t="s">
        <v>2</v>
      </c>
      <c r="C239" s="1063" t="s">
        <v>396</v>
      </c>
      <c r="D239" s="1063" t="s">
        <v>397</v>
      </c>
      <c r="E239" s="1092" t="s">
        <v>405</v>
      </c>
      <c r="F239" s="1093"/>
      <c r="G239" s="1093"/>
      <c r="H239" s="442"/>
      <c r="I239" s="442"/>
      <c r="J239" s="443"/>
    </row>
    <row r="240" spans="1:10" ht="23.4" x14ac:dyDescent="0.3">
      <c r="A240" s="1058"/>
      <c r="B240" s="1061"/>
      <c r="C240" s="1064"/>
      <c r="D240" s="1064"/>
      <c r="E240" s="1094" t="s">
        <v>408</v>
      </c>
      <c r="F240" s="1095"/>
      <c r="G240" s="1096"/>
      <c r="H240" s="1094" t="s">
        <v>168</v>
      </c>
      <c r="I240" s="1095"/>
      <c r="J240" s="1096"/>
    </row>
    <row r="241" spans="1:15" ht="46.8" x14ac:dyDescent="0.3">
      <c r="A241" s="1059"/>
      <c r="B241" s="1090"/>
      <c r="C241" s="1091"/>
      <c r="D241" s="1091"/>
      <c r="E241" s="379" t="s">
        <v>170</v>
      </c>
      <c r="F241" s="775" t="s">
        <v>407</v>
      </c>
      <c r="G241" s="776" t="s">
        <v>406</v>
      </c>
      <c r="H241" s="1097" t="s">
        <v>170</v>
      </c>
      <c r="I241" s="1099" t="s">
        <v>137</v>
      </c>
      <c r="J241" s="1101" t="s">
        <v>406</v>
      </c>
    </row>
    <row r="242" spans="1:15" ht="24" thickBot="1" x14ac:dyDescent="0.35">
      <c r="A242" s="1059"/>
      <c r="B242" s="1062"/>
      <c r="C242" s="1065"/>
      <c r="D242" s="1065"/>
      <c r="E242" s="1103" t="s">
        <v>488</v>
      </c>
      <c r="F242" s="1104"/>
      <c r="G242" s="1105"/>
      <c r="H242" s="1098"/>
      <c r="I242" s="1100"/>
      <c r="J242" s="1102"/>
    </row>
    <row r="243" spans="1:15" ht="23.4" x14ac:dyDescent="0.3">
      <c r="A243" s="268" t="s">
        <v>103</v>
      </c>
      <c r="B243" s="1043" t="s">
        <v>16</v>
      </c>
      <c r="C243" s="269" t="s">
        <v>368</v>
      </c>
      <c r="D243" s="269" t="s">
        <v>369</v>
      </c>
      <c r="E243" s="705">
        <v>81.360699999999994</v>
      </c>
      <c r="F243" s="402">
        <f>IFERROR(E243*'01 Prod Physique Boites'!H239,"-")</f>
        <v>0</v>
      </c>
      <c r="G243" s="402">
        <f>IFERROR(E243*'01 Prod Physique Boites'!L239,"-")</f>
        <v>0</v>
      </c>
      <c r="H243" s="706">
        <v>143.28</v>
      </c>
      <c r="I243" s="419">
        <f>IFERROR(H243*(F243/E243),"-")</f>
        <v>0</v>
      </c>
      <c r="J243" s="420">
        <f t="shared" ref="J243:J245" si="129">IFERROR(H243*(G243/E243),"-")</f>
        <v>0</v>
      </c>
    </row>
    <row r="244" spans="1:15" ht="23.4" x14ac:dyDescent="0.3">
      <c r="A244" s="713"/>
      <c r="B244" s="1044"/>
      <c r="C244" s="275" t="s">
        <v>470</v>
      </c>
      <c r="D244" s="275" t="s">
        <v>375</v>
      </c>
      <c r="E244" s="505">
        <v>81.360699999999994</v>
      </c>
      <c r="F244" s="402">
        <f>IFERROR(E244*'01 Prod Physique Boites'!H240,"-")</f>
        <v>0</v>
      </c>
      <c r="G244" s="402">
        <f>IFERROR(E244*'01 Prod Physique Boites'!L240,"-")</f>
        <v>0</v>
      </c>
      <c r="H244" s="708">
        <v>143.28</v>
      </c>
      <c r="I244" s="419">
        <f>IFERROR(H244*(F244/E244),"-")</f>
        <v>0</v>
      </c>
      <c r="J244" s="420">
        <f t="shared" si="129"/>
        <v>0</v>
      </c>
    </row>
    <row r="245" spans="1:15" ht="23.4" x14ac:dyDescent="0.3">
      <c r="A245" s="274" t="s">
        <v>103</v>
      </c>
      <c r="B245" s="1044"/>
      <c r="C245" s="275" t="s">
        <v>430</v>
      </c>
      <c r="D245" s="275" t="s">
        <v>384</v>
      </c>
      <c r="E245" s="684">
        <v>77.170400000000001</v>
      </c>
      <c r="F245" s="402">
        <f>IFERROR(E245*'01 Prod Physique Boites'!H241,"-")</f>
        <v>271639.80800000002</v>
      </c>
      <c r="G245" s="685">
        <f>IFERROR(E245*'01 Prod Physique Boites'!L241,"-")</f>
        <v>271639.80800000002</v>
      </c>
      <c r="H245" s="385">
        <v>0</v>
      </c>
      <c r="I245" s="419">
        <f>IFERROR(H245*(F245/E245),"-")</f>
        <v>0</v>
      </c>
      <c r="J245" s="420">
        <f t="shared" si="129"/>
        <v>0</v>
      </c>
    </row>
    <row r="246" spans="1:15" ht="24" thickBot="1" x14ac:dyDescent="0.35">
      <c r="A246" s="274" t="s">
        <v>103</v>
      </c>
      <c r="B246" s="1045"/>
      <c r="C246" s="279" t="s">
        <v>262</v>
      </c>
      <c r="D246" s="279" t="s">
        <v>231</v>
      </c>
      <c r="E246" s="501">
        <v>60.703499999999998</v>
      </c>
      <c r="F246" s="402">
        <f>IFERROR(E246*'01 Prod Physique Boites'!H242,"-")</f>
        <v>0</v>
      </c>
      <c r="G246" s="402">
        <f>IFERROR(E246*'01 Prod Physique Boites'!L242,"-")</f>
        <v>0</v>
      </c>
      <c r="H246" s="387">
        <v>111.09</v>
      </c>
      <c r="I246" s="419">
        <f>IFERROR(H246*(F246/E246),"-")</f>
        <v>0</v>
      </c>
      <c r="J246" s="420">
        <f>IFERROR(H246*(G246/E246),"-")</f>
        <v>0</v>
      </c>
    </row>
    <row r="247" spans="1:15" ht="24" thickBot="1" x14ac:dyDescent="0.35">
      <c r="A247" s="274" t="s">
        <v>103</v>
      </c>
      <c r="B247" s="1025" t="s">
        <v>44</v>
      </c>
      <c r="C247" s="1026"/>
      <c r="D247" s="1027"/>
      <c r="E247" s="390"/>
      <c r="F247" s="406">
        <f t="shared" ref="F247" si="130">SUM(F243:F246)</f>
        <v>271639.80800000002</v>
      </c>
      <c r="G247" s="407">
        <f>SUM(G243:G246)</f>
        <v>271639.80800000002</v>
      </c>
      <c r="H247" s="391"/>
      <c r="I247" s="406">
        <f t="shared" ref="I247:J247" si="131">SUM(I243:I246)</f>
        <v>0</v>
      </c>
      <c r="J247" s="425">
        <f t="shared" si="131"/>
        <v>0</v>
      </c>
      <c r="K247" s="704"/>
      <c r="L247" s="704"/>
      <c r="M247" s="704"/>
      <c r="N247" s="704"/>
      <c r="O247" s="704"/>
    </row>
    <row r="248" spans="1:15" ht="23.4" x14ac:dyDescent="0.3">
      <c r="A248" s="274" t="s">
        <v>103</v>
      </c>
      <c r="B248" s="1043" t="s">
        <v>17</v>
      </c>
      <c r="C248" s="269" t="s">
        <v>294</v>
      </c>
      <c r="D248" s="269"/>
      <c r="E248" s="504">
        <v>12.5275</v>
      </c>
      <c r="F248" s="402">
        <f>IFERROR(E248*'01 Prod Physique Boites'!H244,"-")</f>
        <v>0</v>
      </c>
      <c r="G248" s="402">
        <f>IFERROR(E248*'01 Prod Physique Boites'!L244,"-")</f>
        <v>0</v>
      </c>
      <c r="H248" s="681">
        <v>18.836400000000001</v>
      </c>
      <c r="I248" s="419">
        <f t="shared" ref="I248:I254" si="132">IFERROR(H248*(F248/E248),"-")</f>
        <v>0</v>
      </c>
      <c r="J248" s="420">
        <f t="shared" ref="J248:J253" si="133">IFERROR(H248*(G248/E248),"-")</f>
        <v>0</v>
      </c>
    </row>
    <row r="249" spans="1:15" ht="23.4" x14ac:dyDescent="0.3">
      <c r="A249" s="274" t="s">
        <v>103</v>
      </c>
      <c r="B249" s="1044"/>
      <c r="C249" s="275" t="s">
        <v>344</v>
      </c>
      <c r="D249" s="275" t="s">
        <v>232</v>
      </c>
      <c r="E249" s="677">
        <v>13.002700000000001</v>
      </c>
      <c r="F249" s="402">
        <f>IFERROR(E249*'01 Prod Physique Boites'!H245,"-")</f>
        <v>0</v>
      </c>
      <c r="G249" s="402">
        <f>IFERROR(E249*'01 Prod Physique Boites'!L245,"-")</f>
        <v>0</v>
      </c>
      <c r="H249" s="385">
        <v>21.18</v>
      </c>
      <c r="I249" s="421">
        <f t="shared" si="132"/>
        <v>0</v>
      </c>
      <c r="J249" s="422">
        <f t="shared" si="133"/>
        <v>0</v>
      </c>
    </row>
    <row r="250" spans="1:15" ht="23.4" x14ac:dyDescent="0.3">
      <c r="A250" s="274" t="s">
        <v>103</v>
      </c>
      <c r="B250" s="1044"/>
      <c r="C250" s="275" t="s">
        <v>351</v>
      </c>
      <c r="D250" s="275" t="s">
        <v>187</v>
      </c>
      <c r="E250" s="677">
        <v>12.9049</v>
      </c>
      <c r="F250" s="402">
        <f>IFERROR(E250*'01 Prod Physique Boites'!H246,"-")</f>
        <v>1342625.7959999999</v>
      </c>
      <c r="G250" s="402">
        <f>IFERROR(E250*'01 Prod Physique Boites'!L246,"-")</f>
        <v>1658537.7479999999</v>
      </c>
      <c r="H250" s="385">
        <v>20.5</v>
      </c>
      <c r="I250" s="421">
        <f t="shared" si="132"/>
        <v>2132819.9999999995</v>
      </c>
      <c r="J250" s="422">
        <f t="shared" si="133"/>
        <v>2634660</v>
      </c>
    </row>
    <row r="251" spans="1:15" ht="23.4" x14ac:dyDescent="0.3">
      <c r="A251" s="274" t="s">
        <v>103</v>
      </c>
      <c r="B251" s="1044"/>
      <c r="C251" s="275" t="s">
        <v>293</v>
      </c>
      <c r="D251" s="275" t="s">
        <v>188</v>
      </c>
      <c r="E251" s="505">
        <v>13.078200000000001</v>
      </c>
      <c r="F251" s="402">
        <f>IFERROR(E251*'01 Prod Physique Boites'!H247,"-")</f>
        <v>0</v>
      </c>
      <c r="G251" s="402">
        <f>IFERROR(E251*'01 Prod Physique Boites'!L247,"-")</f>
        <v>0</v>
      </c>
      <c r="H251" s="385">
        <v>20.6</v>
      </c>
      <c r="I251" s="421">
        <f t="shared" si="132"/>
        <v>0</v>
      </c>
      <c r="J251" s="422">
        <f t="shared" si="133"/>
        <v>0</v>
      </c>
    </row>
    <row r="252" spans="1:15" ht="23.4" x14ac:dyDescent="0.3">
      <c r="A252" s="274" t="s">
        <v>103</v>
      </c>
      <c r="B252" s="1044"/>
      <c r="C252" s="275" t="s">
        <v>323</v>
      </c>
      <c r="D252" s="275" t="s">
        <v>318</v>
      </c>
      <c r="E252" s="505">
        <v>13.1958</v>
      </c>
      <c r="F252" s="402">
        <f>IFERROR(E252*'01 Prod Physique Boites'!H248,"-")</f>
        <v>0</v>
      </c>
      <c r="G252" s="402">
        <f>IFERROR(E252*'01 Prod Physique Boites'!L248,"-")</f>
        <v>0</v>
      </c>
      <c r="H252" s="385">
        <v>21.28</v>
      </c>
      <c r="I252" s="421">
        <f t="shared" si="132"/>
        <v>0</v>
      </c>
      <c r="J252" s="422">
        <f t="shared" si="133"/>
        <v>0</v>
      </c>
    </row>
    <row r="253" spans="1:15" ht="23.4" x14ac:dyDescent="0.3">
      <c r="A253" s="274">
        <v>1</v>
      </c>
      <c r="B253" s="1044"/>
      <c r="C253" s="275" t="s">
        <v>352</v>
      </c>
      <c r="D253" s="275" t="s">
        <v>189</v>
      </c>
      <c r="E253" s="677">
        <v>12.9049</v>
      </c>
      <c r="F253" s="402">
        <f>IFERROR(E253*'01 Prod Physique Boites'!H249,"-")</f>
        <v>0</v>
      </c>
      <c r="G253" s="402">
        <f>IFERROR(E253*'01 Prod Physique Boites'!L249,"-")</f>
        <v>0</v>
      </c>
      <c r="H253" s="664">
        <v>20.5</v>
      </c>
      <c r="I253" s="421">
        <f t="shared" si="132"/>
        <v>0</v>
      </c>
      <c r="J253" s="422">
        <f t="shared" si="133"/>
        <v>0</v>
      </c>
    </row>
    <row r="254" spans="1:15" ht="24" thickBot="1" x14ac:dyDescent="0.35">
      <c r="A254" s="274" t="s">
        <v>103</v>
      </c>
      <c r="B254" s="1045"/>
      <c r="C254" s="279" t="s">
        <v>341</v>
      </c>
      <c r="D254" s="279" t="s">
        <v>175</v>
      </c>
      <c r="E254" s="501">
        <v>13.6509</v>
      </c>
      <c r="F254" s="402">
        <f>IFERROR(E254*'01 Prod Physique Boites'!H250,"-")</f>
        <v>0</v>
      </c>
      <c r="G254" s="402">
        <f>IFERROR(E254*'01 Prod Physique Boites'!L250,"-")</f>
        <v>0</v>
      </c>
      <c r="H254" s="387">
        <v>21.18</v>
      </c>
      <c r="I254" s="423">
        <f t="shared" si="132"/>
        <v>0</v>
      </c>
      <c r="J254" s="424">
        <f>IFERROR(H254*(G254/E254),"-")</f>
        <v>0</v>
      </c>
    </row>
    <row r="255" spans="1:15" ht="24" thickBot="1" x14ac:dyDescent="0.35">
      <c r="A255" s="274" t="s">
        <v>103</v>
      </c>
      <c r="B255" s="1025" t="s">
        <v>45</v>
      </c>
      <c r="C255" s="1026"/>
      <c r="D255" s="1027"/>
      <c r="E255" s="390"/>
      <c r="F255" s="406">
        <f t="shared" ref="F255" si="134">SUM(F248:F254)</f>
        <v>1342625.7959999999</v>
      </c>
      <c r="G255" s="407">
        <f>SUM(G248:G254)</f>
        <v>1658537.7479999999</v>
      </c>
      <c r="H255" s="391"/>
      <c r="I255" s="406">
        <f t="shared" ref="I255" si="135">SUM(I248:I254)</f>
        <v>2132819.9999999995</v>
      </c>
      <c r="J255" s="425">
        <f>SUM(J248:J254)</f>
        <v>2634660</v>
      </c>
      <c r="K255" s="704"/>
      <c r="L255" s="704"/>
      <c r="M255" s="704"/>
      <c r="N255" s="704"/>
      <c r="O255" s="704"/>
    </row>
    <row r="256" spans="1:15" ht="23.4" x14ac:dyDescent="0.3">
      <c r="A256" s="274" t="s">
        <v>103</v>
      </c>
      <c r="B256" s="1043" t="s">
        <v>18</v>
      </c>
      <c r="C256" s="269" t="s">
        <v>312</v>
      </c>
      <c r="D256" s="269" t="s">
        <v>92</v>
      </c>
      <c r="E256" s="504">
        <v>17.8202</v>
      </c>
      <c r="F256" s="402">
        <f>IFERROR(E256*'01 Prod Physique Boites'!H252,"-")</f>
        <v>0</v>
      </c>
      <c r="G256" s="403">
        <f>IFERROR(E256*'01 Prod Physique Boites'!L252,"-")</f>
        <v>0</v>
      </c>
      <c r="H256" s="381">
        <v>24.93</v>
      </c>
      <c r="I256" s="419">
        <f t="shared" ref="I256:I262" si="136">IFERROR(H256*(F256/E256),"-")</f>
        <v>0</v>
      </c>
      <c r="J256" s="420">
        <f t="shared" ref="J256:J258" si="137">IFERROR(H256*(G256/E256),"-")</f>
        <v>0</v>
      </c>
    </row>
    <row r="257" spans="1:10" ht="23.4" x14ac:dyDescent="0.3">
      <c r="A257" s="274" t="s">
        <v>103</v>
      </c>
      <c r="B257" s="1044"/>
      <c r="C257" s="275" t="s">
        <v>130</v>
      </c>
      <c r="D257" s="275"/>
      <c r="E257" s="505">
        <v>17.8202</v>
      </c>
      <c r="F257" s="402">
        <f>IFERROR(E257*'01 Prod Physique Boites'!H253,"-")</f>
        <v>0</v>
      </c>
      <c r="G257" s="403">
        <f>IFERROR(E257*'01 Prod Physique Boites'!L253,"-")</f>
        <v>0</v>
      </c>
      <c r="H257" s="385">
        <v>0</v>
      </c>
      <c r="I257" s="421">
        <f t="shared" si="136"/>
        <v>0</v>
      </c>
      <c r="J257" s="422">
        <f t="shared" si="137"/>
        <v>0</v>
      </c>
    </row>
    <row r="258" spans="1:10" ht="23.4" x14ac:dyDescent="0.3">
      <c r="A258" s="274" t="s">
        <v>103</v>
      </c>
      <c r="B258" s="1044"/>
      <c r="C258" s="275" t="s">
        <v>115</v>
      </c>
      <c r="D258" s="275"/>
      <c r="E258" s="505">
        <v>16.4071</v>
      </c>
      <c r="F258" s="402">
        <f>IFERROR(E258*'01 Prod Physique Boites'!H254,"-")</f>
        <v>0</v>
      </c>
      <c r="G258" s="403">
        <f>IFERROR(E258*'01 Prod Physique Boites'!L254,"-")</f>
        <v>0</v>
      </c>
      <c r="H258" s="385">
        <v>0</v>
      </c>
      <c r="I258" s="421">
        <f t="shared" si="136"/>
        <v>0</v>
      </c>
      <c r="J258" s="422">
        <f t="shared" si="137"/>
        <v>0</v>
      </c>
    </row>
    <row r="259" spans="1:10" ht="23.4" x14ac:dyDescent="0.3">
      <c r="A259" s="274" t="s">
        <v>103</v>
      </c>
      <c r="B259" s="1044"/>
      <c r="C259" s="275" t="s">
        <v>122</v>
      </c>
      <c r="D259" s="275"/>
      <c r="E259" s="505">
        <v>17.8202</v>
      </c>
      <c r="F259" s="402">
        <f>IFERROR(E259*'01 Prod Physique Boites'!H255,"-")</f>
        <v>0</v>
      </c>
      <c r="G259" s="403">
        <f>IFERROR(E259*'01 Prod Physique Boites'!L255,"-")</f>
        <v>0</v>
      </c>
      <c r="H259" s="385">
        <v>0</v>
      </c>
      <c r="I259" s="421">
        <f t="shared" si="136"/>
        <v>0</v>
      </c>
      <c r="J259" s="422">
        <f>IFERROR(H259*(G259/E259),"-")</f>
        <v>0</v>
      </c>
    </row>
    <row r="260" spans="1:10" ht="23.4" x14ac:dyDescent="0.3">
      <c r="A260" s="274" t="s">
        <v>103</v>
      </c>
      <c r="B260" s="1044"/>
      <c r="C260" s="275" t="s">
        <v>176</v>
      </c>
      <c r="D260" s="275" t="s">
        <v>177</v>
      </c>
      <c r="E260" s="505">
        <v>17.8202</v>
      </c>
      <c r="F260" s="402">
        <f>IFERROR(E260*'01 Prod Physique Boites'!H256,"-")</f>
        <v>0</v>
      </c>
      <c r="G260" s="403">
        <f>IFERROR(E260*'01 Prod Physique Boites'!L256,"-")</f>
        <v>0</v>
      </c>
      <c r="H260" s="385">
        <v>0</v>
      </c>
      <c r="I260" s="421">
        <f t="shared" si="136"/>
        <v>0</v>
      </c>
      <c r="J260" s="422">
        <f t="shared" ref="J260:J262" si="138">IFERROR(H260*(G260/E260),"-")</f>
        <v>0</v>
      </c>
    </row>
    <row r="261" spans="1:10" ht="23.4" x14ac:dyDescent="0.3">
      <c r="A261" s="274" t="s">
        <v>103</v>
      </c>
      <c r="B261" s="1044"/>
      <c r="C261" s="275" t="s">
        <v>179</v>
      </c>
      <c r="D261" s="275" t="s">
        <v>178</v>
      </c>
      <c r="E261" s="505">
        <v>16.7288</v>
      </c>
      <c r="F261" s="402">
        <f>IFERROR(E261*'01 Prod Physique Boites'!H257,"-")</f>
        <v>0</v>
      </c>
      <c r="G261" s="403">
        <f>IFERROR(E261*'01 Prod Physique Boites'!L257,"-")</f>
        <v>0</v>
      </c>
      <c r="H261" s="385">
        <v>0</v>
      </c>
      <c r="I261" s="421">
        <f t="shared" si="136"/>
        <v>0</v>
      </c>
      <c r="J261" s="422">
        <f t="shared" si="138"/>
        <v>0</v>
      </c>
    </row>
    <row r="262" spans="1:10" ht="24" thickBot="1" x14ac:dyDescent="0.35">
      <c r="A262" s="274" t="s">
        <v>103</v>
      </c>
      <c r="B262" s="1045"/>
      <c r="C262" s="286" t="s">
        <v>180</v>
      </c>
      <c r="D262" s="286" t="s">
        <v>107</v>
      </c>
      <c r="E262" s="501">
        <v>17.8202</v>
      </c>
      <c r="F262" s="402">
        <f>IFERROR(E262*'01 Prod Physique Boites'!H258,"-")</f>
        <v>0</v>
      </c>
      <c r="G262" s="403">
        <f>IFERROR(E262*'01 Prod Physique Boites'!L258,"-")</f>
        <v>0</v>
      </c>
      <c r="H262" s="385">
        <v>0</v>
      </c>
      <c r="I262" s="423">
        <f t="shared" si="136"/>
        <v>0</v>
      </c>
      <c r="J262" s="424">
        <f t="shared" si="138"/>
        <v>0</v>
      </c>
    </row>
    <row r="263" spans="1:10" ht="24" thickBot="1" x14ac:dyDescent="0.35">
      <c r="A263" s="274" t="s">
        <v>103</v>
      </c>
      <c r="B263" s="1025" t="s">
        <v>29</v>
      </c>
      <c r="C263" s="1026"/>
      <c r="D263" s="1027"/>
      <c r="E263" s="648"/>
      <c r="F263" s="649">
        <f t="shared" ref="F263:G263" si="139">SUM(F256:F262)</f>
        <v>0</v>
      </c>
      <c r="G263" s="407">
        <f t="shared" si="139"/>
        <v>0</v>
      </c>
      <c r="H263" s="391"/>
      <c r="I263" s="406">
        <f t="shared" ref="I263:J263" si="140">SUM(I256:I262)</f>
        <v>0</v>
      </c>
      <c r="J263" s="425">
        <f t="shared" si="140"/>
        <v>0</v>
      </c>
    </row>
    <row r="264" spans="1:10" ht="24" thickBot="1" x14ac:dyDescent="0.35">
      <c r="A264" s="274"/>
      <c r="B264" s="1085" t="s">
        <v>19</v>
      </c>
      <c r="C264" s="650" t="s">
        <v>235</v>
      </c>
      <c r="D264" s="656" t="s">
        <v>177</v>
      </c>
      <c r="E264" s="657">
        <v>12.2659</v>
      </c>
      <c r="F264" s="658">
        <f>IFERROR(E264*'01 Prod Physique Boites'!H260,"-")</f>
        <v>0</v>
      </c>
      <c r="G264" s="659">
        <f>IFERROR(E264*'01 Prod Physique Boites'!L260,"-")</f>
        <v>0</v>
      </c>
      <c r="H264" s="653">
        <v>14.79</v>
      </c>
      <c r="I264" s="638">
        <f t="shared" ref="I264:I266" si="141">IFERROR(H264*(F264/E264),"-")</f>
        <v>0</v>
      </c>
      <c r="J264" s="638">
        <f>IFERROR(H264*(G264/E264),"-")</f>
        <v>0</v>
      </c>
    </row>
    <row r="265" spans="1:10" ht="24" thickBot="1" x14ac:dyDescent="0.35">
      <c r="A265" s="274"/>
      <c r="B265" s="1086"/>
      <c r="C265" s="651" t="s">
        <v>359</v>
      </c>
      <c r="D265" s="660" t="s">
        <v>423</v>
      </c>
      <c r="E265" s="642">
        <v>12.2659</v>
      </c>
      <c r="F265" s="658">
        <f>IFERROR(E265*'01 Prod Physique Boites'!H261,"-")</f>
        <v>1450712.5248</v>
      </c>
      <c r="G265" s="633">
        <f>IFERROR(E265*'01 Prod Physique Boites'!L261,"-")</f>
        <v>4973871.5136000002</v>
      </c>
      <c r="H265" s="654">
        <v>14.55</v>
      </c>
      <c r="I265" s="643">
        <f t="shared" si="141"/>
        <v>1720857.6000000001</v>
      </c>
      <c r="J265" s="643">
        <f>IFERROR(H265*(G265/E265),"-")</f>
        <v>5900083.2000000002</v>
      </c>
    </row>
    <row r="266" spans="1:10" ht="24" thickBot="1" x14ac:dyDescent="0.35">
      <c r="A266" s="777" t="s">
        <v>103</v>
      </c>
      <c r="B266" s="1087"/>
      <c r="C266" s="652" t="s">
        <v>342</v>
      </c>
      <c r="D266" s="661"/>
      <c r="E266" s="662">
        <v>0</v>
      </c>
      <c r="F266" s="658">
        <f>IFERROR(E266*'01 Prod Physique Boites'!H262,"-")</f>
        <v>0</v>
      </c>
      <c r="G266" s="663">
        <f>IFERROR(E266*'01 Prod Physique Boites'!L262,"-")</f>
        <v>0</v>
      </c>
      <c r="H266" s="655">
        <v>0</v>
      </c>
      <c r="I266" s="426" t="str">
        <f t="shared" si="141"/>
        <v>-</v>
      </c>
      <c r="J266" s="427" t="str">
        <f t="shared" ref="J266" si="142">IFERROR(I266*(G266/F266),"-")</f>
        <v>-</v>
      </c>
    </row>
    <row r="267" spans="1:10" ht="24" thickBot="1" x14ac:dyDescent="0.35">
      <c r="A267" s="274" t="s">
        <v>103</v>
      </c>
      <c r="B267" s="1025" t="s">
        <v>46</v>
      </c>
      <c r="C267" s="1026"/>
      <c r="D267" s="1027"/>
      <c r="E267" s="390"/>
      <c r="F267" s="406">
        <f>SUM(F264:F266)</f>
        <v>1450712.5248</v>
      </c>
      <c r="G267" s="406">
        <f>SUM(G264:G266)</f>
        <v>4973871.5136000002</v>
      </c>
      <c r="H267" s="391"/>
      <c r="I267" s="406">
        <f>SUM(I264:I266)</f>
        <v>1720857.6000000001</v>
      </c>
      <c r="J267" s="425">
        <f>SUM(J264:J266)</f>
        <v>5900083.2000000002</v>
      </c>
    </row>
    <row r="268" spans="1:10" ht="23.4" x14ac:dyDescent="0.3">
      <c r="A268" s="274" t="s">
        <v>103</v>
      </c>
      <c r="B268" s="1043" t="s">
        <v>20</v>
      </c>
      <c r="C268" s="291" t="s">
        <v>317</v>
      </c>
      <c r="D268" s="291" t="s">
        <v>289</v>
      </c>
      <c r="E268" s="504">
        <v>26.032900000000001</v>
      </c>
      <c r="F268" s="402">
        <f>IFERROR(E268*'01 Prod Physique Boites'!H264,"-")</f>
        <v>0</v>
      </c>
      <c r="G268" s="403">
        <f>IFERROR(E268*'01 Prod Physique Boites'!L264,"-")</f>
        <v>0</v>
      </c>
      <c r="H268" s="381">
        <v>36.44</v>
      </c>
      <c r="I268" s="419">
        <f>IFERROR(H268*(F268/E268),"-")</f>
        <v>0</v>
      </c>
      <c r="J268" s="420">
        <f t="shared" ref="J268:J270" si="143">IFERROR(H268*(G268/E268),"-")</f>
        <v>0</v>
      </c>
    </row>
    <row r="269" spans="1:10" ht="23.4" x14ac:dyDescent="0.3">
      <c r="A269" s="274" t="s">
        <v>103</v>
      </c>
      <c r="B269" s="1044"/>
      <c r="C269" s="292" t="s">
        <v>114</v>
      </c>
      <c r="D269" s="292"/>
      <c r="E269" s="384">
        <v>24.2607</v>
      </c>
      <c r="F269" s="402">
        <f>IFERROR(E269*'01 Prod Physique Boites'!H265,"-")</f>
        <v>0</v>
      </c>
      <c r="G269" s="403">
        <f>IFERROR(E269*'01 Prod Physique Boites'!L265,"-")</f>
        <v>0</v>
      </c>
      <c r="H269" s="385">
        <v>37.369999999999997</v>
      </c>
      <c r="I269" s="421">
        <f>IFERROR(H269*(F269/E269),"-")</f>
        <v>0</v>
      </c>
      <c r="J269" s="422">
        <f t="shared" si="143"/>
        <v>0</v>
      </c>
    </row>
    <row r="270" spans="1:10" ht="24" thickBot="1" x14ac:dyDescent="0.35">
      <c r="A270" s="274" t="s">
        <v>103</v>
      </c>
      <c r="B270" s="1045"/>
      <c r="C270" s="293" t="s">
        <v>120</v>
      </c>
      <c r="D270" s="293"/>
      <c r="E270" s="386">
        <v>26.035799999999998</v>
      </c>
      <c r="F270" s="402">
        <f>IFERROR(E270*'01 Prod Physique Boites'!H266,"-")</f>
        <v>0</v>
      </c>
      <c r="G270" s="403">
        <f>IFERROR(E270*'01 Prod Physique Boites'!L266,"-")</f>
        <v>0</v>
      </c>
      <c r="H270" s="387">
        <v>37.11</v>
      </c>
      <c r="I270" s="423">
        <f>IFERROR(H270*(F270/E270),"-")</f>
        <v>0</v>
      </c>
      <c r="J270" s="424">
        <f t="shared" si="143"/>
        <v>0</v>
      </c>
    </row>
    <row r="271" spans="1:10" ht="24" thickBot="1" x14ac:dyDescent="0.35">
      <c r="A271" s="274" t="s">
        <v>103</v>
      </c>
      <c r="B271" s="1026" t="s">
        <v>47</v>
      </c>
      <c r="C271" s="1026"/>
      <c r="D271" s="1046"/>
      <c r="E271" s="390"/>
      <c r="F271" s="406">
        <f t="shared" ref="F271:G271" si="144">SUM(F268:F270)</f>
        <v>0</v>
      </c>
      <c r="G271" s="407">
        <f t="shared" si="144"/>
        <v>0</v>
      </c>
      <c r="H271" s="391"/>
      <c r="I271" s="406">
        <f t="shared" ref="I271:J271" si="145">SUM(I268:I270)</f>
        <v>0</v>
      </c>
      <c r="J271" s="425">
        <f t="shared" si="145"/>
        <v>0</v>
      </c>
    </row>
    <row r="272" spans="1:10" ht="24" thickBot="1" x14ac:dyDescent="0.35">
      <c r="A272" s="274" t="s">
        <v>103</v>
      </c>
      <c r="B272" s="1047" t="s">
        <v>21</v>
      </c>
      <c r="C272" s="1048"/>
      <c r="D272" s="1049"/>
      <c r="E272" s="393"/>
      <c r="F272" s="410">
        <f>+F247+F255+F263+F267+F271</f>
        <v>3064978.1288000001</v>
      </c>
      <c r="G272" s="411">
        <f>+G247+G255+G263+G267+G271</f>
        <v>6904049.0696</v>
      </c>
      <c r="H272" s="394"/>
      <c r="I272" s="410">
        <f>+I247+I255+I263+I267+I271</f>
        <v>3853677.5999999996</v>
      </c>
      <c r="J272" s="428">
        <f>+J247+J255+J263+J267+J271</f>
        <v>8534743.1999999993</v>
      </c>
    </row>
    <row r="273" spans="1:10" ht="23.4" x14ac:dyDescent="0.3">
      <c r="A273" s="274" t="s">
        <v>103</v>
      </c>
      <c r="B273" s="1043" t="s">
        <v>400</v>
      </c>
      <c r="C273" s="269" t="s">
        <v>125</v>
      </c>
      <c r="D273" s="269"/>
      <c r="E273" s="380">
        <v>22.820599999999999</v>
      </c>
      <c r="F273" s="402">
        <f>IFERROR(E273*'01 Prod Physique Boites'!H269,"-")</f>
        <v>0</v>
      </c>
      <c r="G273" s="403">
        <f>IFERROR(E273*'01 Prod Physique Boites'!L269,"-")</f>
        <v>0</v>
      </c>
      <c r="H273" s="381">
        <v>27.5</v>
      </c>
      <c r="I273" s="419">
        <f>IFERROR(H273*(F273/E273),"-")</f>
        <v>0</v>
      </c>
      <c r="J273" s="420">
        <f t="shared" ref="J273:J276" si="146">IFERROR(H273*(G273/E273),"-")</f>
        <v>0</v>
      </c>
    </row>
    <row r="274" spans="1:10" ht="23.4" x14ac:dyDescent="0.3">
      <c r="A274" s="274" t="s">
        <v>103</v>
      </c>
      <c r="B274" s="1044"/>
      <c r="C274" s="295" t="s">
        <v>263</v>
      </c>
      <c r="D274" s="295" t="s">
        <v>181</v>
      </c>
      <c r="E274" s="384">
        <v>23.570699999999999</v>
      </c>
      <c r="F274" s="402">
        <f>IFERROR(E274*'01 Prod Physique Boites'!H270,"-")</f>
        <v>0</v>
      </c>
      <c r="G274" s="403">
        <f>IFERROR(E274*'01 Prod Physique Boites'!L270,"-")</f>
        <v>0</v>
      </c>
      <c r="H274" s="385">
        <v>27.5</v>
      </c>
      <c r="I274" s="421">
        <f>IFERROR(H274*(F274/E274),"-")</f>
        <v>0</v>
      </c>
      <c r="J274" s="422">
        <f t="shared" si="146"/>
        <v>0</v>
      </c>
    </row>
    <row r="275" spans="1:10" ht="23.4" x14ac:dyDescent="0.3">
      <c r="A275" s="274" t="s">
        <v>103</v>
      </c>
      <c r="B275" s="1044"/>
      <c r="C275" s="295" t="s">
        <v>362</v>
      </c>
      <c r="D275" s="295" t="s">
        <v>181</v>
      </c>
      <c r="E275" s="384">
        <v>22.820599999999999</v>
      </c>
      <c r="F275" s="402">
        <f>IFERROR(E275*'01 Prod Physique Boites'!H271,"-")</f>
        <v>0</v>
      </c>
      <c r="G275" s="403">
        <f>IFERROR(E275*'01 Prod Physique Boites'!L271,"-")</f>
        <v>0</v>
      </c>
      <c r="H275" s="385">
        <v>27.5</v>
      </c>
      <c r="I275" s="421">
        <f>IFERROR(H275*(F275/E275),"-")</f>
        <v>0</v>
      </c>
      <c r="J275" s="422">
        <f t="shared" si="146"/>
        <v>0</v>
      </c>
    </row>
    <row r="276" spans="1:10" ht="24" thickBot="1" x14ac:dyDescent="0.35">
      <c r="A276" s="274" t="s">
        <v>103</v>
      </c>
      <c r="B276" s="1045"/>
      <c r="C276" s="279" t="s">
        <v>182</v>
      </c>
      <c r="D276" s="279" t="s">
        <v>93</v>
      </c>
      <c r="E276" s="386">
        <v>23.5685</v>
      </c>
      <c r="F276" s="402">
        <f>IFERROR(E276*'01 Prod Physique Boites'!H272,"-")</f>
        <v>0</v>
      </c>
      <c r="G276" s="403">
        <f>IFERROR(E276*'01 Prod Physique Boites'!L272,"-")</f>
        <v>0</v>
      </c>
      <c r="H276" s="387">
        <v>24</v>
      </c>
      <c r="I276" s="423">
        <f>IFERROR(H276*(F276/E276),"-")</f>
        <v>0</v>
      </c>
      <c r="J276" s="424">
        <f t="shared" si="146"/>
        <v>0</v>
      </c>
    </row>
    <row r="277" spans="1:10" ht="24" thickBot="1" x14ac:dyDescent="0.35">
      <c r="A277" s="274" t="s">
        <v>103</v>
      </c>
      <c r="B277" s="1025" t="s">
        <v>48</v>
      </c>
      <c r="C277" s="1026"/>
      <c r="D277" s="1027"/>
      <c r="E277" s="390"/>
      <c r="F277" s="406">
        <f t="shared" ref="F277:G277" si="147">SUM(F273:F276)</f>
        <v>0</v>
      </c>
      <c r="G277" s="407">
        <f t="shared" si="147"/>
        <v>0</v>
      </c>
      <c r="H277" s="391"/>
      <c r="I277" s="406">
        <f t="shared" ref="I277:J277" si="148">SUM(I273:I276)</f>
        <v>0</v>
      </c>
      <c r="J277" s="425">
        <f t="shared" si="148"/>
        <v>0</v>
      </c>
    </row>
    <row r="278" spans="1:10" ht="23.4" x14ac:dyDescent="0.3">
      <c r="A278" s="274" t="s">
        <v>103</v>
      </c>
      <c r="B278" s="1043" t="s">
        <v>23</v>
      </c>
      <c r="C278" s="296" t="s">
        <v>308</v>
      </c>
      <c r="D278" s="296" t="s">
        <v>238</v>
      </c>
      <c r="E278" s="380">
        <v>101.4935</v>
      </c>
      <c r="F278" s="402">
        <f>IFERROR(E278*'01 Prod Physique Boites'!H274,"-")</f>
        <v>0</v>
      </c>
      <c r="G278" s="403">
        <f>IFERROR(E278*'01 Prod Physique Boites'!L274,"-")</f>
        <v>0</v>
      </c>
      <c r="H278" s="385">
        <v>160.44999999999999</v>
      </c>
      <c r="I278" s="419">
        <f t="shared" ref="I278:I286" si="149">IFERROR(H278*(F278/E278),"-")</f>
        <v>0</v>
      </c>
      <c r="J278" s="420">
        <f t="shared" ref="J278:J286" si="150">IFERROR(H278*(G278/E278),"-")</f>
        <v>0</v>
      </c>
    </row>
    <row r="279" spans="1:10" ht="23.4" x14ac:dyDescent="0.3">
      <c r="A279" s="274" t="s">
        <v>103</v>
      </c>
      <c r="B279" s="1044"/>
      <c r="C279" s="275" t="s">
        <v>24</v>
      </c>
      <c r="D279" s="275" t="s">
        <v>238</v>
      </c>
      <c r="E279" s="384">
        <v>101.4935</v>
      </c>
      <c r="F279" s="402">
        <f>IFERROR(E279*'01 Prod Physique Boites'!H275,"-")</f>
        <v>0</v>
      </c>
      <c r="G279" s="403">
        <f>IFERROR(E279*'01 Prod Physique Boites'!L275,"-")</f>
        <v>0</v>
      </c>
      <c r="H279" s="385">
        <v>160.44999999999999</v>
      </c>
      <c r="I279" s="421">
        <f t="shared" si="149"/>
        <v>0</v>
      </c>
      <c r="J279" s="422">
        <f t="shared" si="150"/>
        <v>0</v>
      </c>
    </row>
    <row r="280" spans="1:10" ht="23.4" x14ac:dyDescent="0.3">
      <c r="A280" s="274" t="s">
        <v>103</v>
      </c>
      <c r="B280" s="1044"/>
      <c r="C280" s="275" t="s">
        <v>236</v>
      </c>
      <c r="D280" s="275" t="s">
        <v>238</v>
      </c>
      <c r="E280" s="384">
        <v>101.4935</v>
      </c>
      <c r="F280" s="402">
        <f>IFERROR(E280*'01 Prod Physique Boites'!H276,"-")</f>
        <v>0</v>
      </c>
      <c r="G280" s="403">
        <f>IFERROR(E280*'01 Prod Physique Boites'!L276,"-")</f>
        <v>0</v>
      </c>
      <c r="H280" s="385">
        <v>160.44999999999999</v>
      </c>
      <c r="I280" s="421">
        <f t="shared" si="149"/>
        <v>0</v>
      </c>
      <c r="J280" s="422">
        <f t="shared" si="150"/>
        <v>0</v>
      </c>
    </row>
    <row r="281" spans="1:10" ht="23.4" x14ac:dyDescent="0.3">
      <c r="A281" s="274" t="s">
        <v>103</v>
      </c>
      <c r="B281" s="1044"/>
      <c r="C281" s="275" t="s">
        <v>237</v>
      </c>
      <c r="D281" s="275" t="s">
        <v>238</v>
      </c>
      <c r="E281" s="384">
        <v>101.4935</v>
      </c>
      <c r="F281" s="402">
        <f>IFERROR(E281*'01 Prod Physique Boites'!H277,"-")</f>
        <v>0</v>
      </c>
      <c r="G281" s="403">
        <f>IFERROR(E281*'01 Prod Physique Boites'!L277,"-")</f>
        <v>0</v>
      </c>
      <c r="H281" s="385">
        <v>160.44999999999999</v>
      </c>
      <c r="I281" s="421">
        <f t="shared" si="149"/>
        <v>0</v>
      </c>
      <c r="J281" s="422">
        <f t="shared" si="150"/>
        <v>0</v>
      </c>
    </row>
    <row r="282" spans="1:10" ht="23.4" x14ac:dyDescent="0.3">
      <c r="A282" s="274" t="s">
        <v>103</v>
      </c>
      <c r="B282" s="1044"/>
      <c r="C282" s="295" t="s">
        <v>239</v>
      </c>
      <c r="D282" s="275" t="s">
        <v>238</v>
      </c>
      <c r="E282" s="384">
        <v>101.4935</v>
      </c>
      <c r="F282" s="402">
        <f>IFERROR(E282*'01 Prod Physique Boites'!H278,"-")</f>
        <v>0</v>
      </c>
      <c r="G282" s="403">
        <f>IFERROR(E282*'01 Prod Physique Boites'!L278,"-")</f>
        <v>0</v>
      </c>
      <c r="H282" s="385">
        <v>160.44999999999999</v>
      </c>
      <c r="I282" s="421">
        <f t="shared" si="149"/>
        <v>0</v>
      </c>
      <c r="J282" s="422">
        <f t="shared" si="150"/>
        <v>0</v>
      </c>
    </row>
    <row r="283" spans="1:10" ht="23.4" x14ac:dyDescent="0.3">
      <c r="A283" s="274" t="s">
        <v>103</v>
      </c>
      <c r="B283" s="1044"/>
      <c r="C283" s="295" t="s">
        <v>240</v>
      </c>
      <c r="D283" s="275" t="s">
        <v>238</v>
      </c>
      <c r="E283" s="384">
        <v>101.4935</v>
      </c>
      <c r="F283" s="402">
        <f>IFERROR(E283*'01 Prod Physique Boites'!H279,"-")</f>
        <v>0</v>
      </c>
      <c r="G283" s="403">
        <f>IFERROR(E283*'01 Prod Physique Boites'!L279,"-")</f>
        <v>0</v>
      </c>
      <c r="H283" s="385">
        <v>160.44999999999999</v>
      </c>
      <c r="I283" s="421">
        <f t="shared" si="149"/>
        <v>0</v>
      </c>
      <c r="J283" s="422">
        <f t="shared" si="150"/>
        <v>0</v>
      </c>
    </row>
    <row r="284" spans="1:10" ht="23.4" x14ac:dyDescent="0.3">
      <c r="A284" s="274" t="s">
        <v>103</v>
      </c>
      <c r="B284" s="1044"/>
      <c r="C284" s="295" t="s">
        <v>241</v>
      </c>
      <c r="D284" s="275" t="s">
        <v>243</v>
      </c>
      <c r="E284" s="384">
        <v>101.4935</v>
      </c>
      <c r="F284" s="402">
        <f>IFERROR(E284*'01 Prod Physique Boites'!H280,"-")</f>
        <v>0</v>
      </c>
      <c r="G284" s="403">
        <f>IFERROR(E284*'01 Prod Physique Boites'!L280,"-")</f>
        <v>0</v>
      </c>
      <c r="H284" s="385">
        <v>160.44999999999999</v>
      </c>
      <c r="I284" s="421">
        <f t="shared" si="149"/>
        <v>0</v>
      </c>
      <c r="J284" s="422">
        <f t="shared" si="150"/>
        <v>0</v>
      </c>
    </row>
    <row r="285" spans="1:10" ht="23.4" x14ac:dyDescent="0.3">
      <c r="A285" s="274"/>
      <c r="B285" s="1045"/>
      <c r="C285" s="295" t="s">
        <v>457</v>
      </c>
      <c r="D285" s="275" t="s">
        <v>238</v>
      </c>
      <c r="E285" s="386">
        <v>101.49</v>
      </c>
      <c r="F285" s="402">
        <f>IFERROR(E285*'01 Prod Physique Boites'!H281,"-")</f>
        <v>0</v>
      </c>
      <c r="G285" s="403">
        <f>IFERROR(E285*'01 Prod Physique Boites'!L281,"-")</f>
        <v>0</v>
      </c>
      <c r="H285" s="385">
        <v>160.44999999999999</v>
      </c>
      <c r="I285" s="421">
        <f t="shared" si="149"/>
        <v>0</v>
      </c>
      <c r="J285" s="422">
        <f t="shared" si="150"/>
        <v>0</v>
      </c>
    </row>
    <row r="286" spans="1:10" ht="24" thickBot="1" x14ac:dyDescent="0.35">
      <c r="A286" s="274" t="s">
        <v>103</v>
      </c>
      <c r="B286" s="1045"/>
      <c r="C286" s="295" t="s">
        <v>242</v>
      </c>
      <c r="D286" s="275" t="s">
        <v>238</v>
      </c>
      <c r="E286" s="386">
        <v>101.4935</v>
      </c>
      <c r="F286" s="402">
        <f>IFERROR(E286*'01 Prod Physique Boites'!H282,"-")</f>
        <v>0</v>
      </c>
      <c r="G286" s="403">
        <f>IFERROR(E286*'01 Prod Physique Boites'!L282,"-")</f>
        <v>0</v>
      </c>
      <c r="H286" s="385">
        <v>160.44999999999999</v>
      </c>
      <c r="I286" s="421">
        <f t="shared" si="149"/>
        <v>0</v>
      </c>
      <c r="J286" s="424">
        <f t="shared" si="150"/>
        <v>0</v>
      </c>
    </row>
    <row r="287" spans="1:10" ht="24" thickBot="1" x14ac:dyDescent="0.35">
      <c r="A287" s="274" t="s">
        <v>103</v>
      </c>
      <c r="B287" s="1025" t="s">
        <v>49</v>
      </c>
      <c r="C287" s="1026"/>
      <c r="D287" s="1027"/>
      <c r="E287" s="390"/>
      <c r="F287" s="406">
        <f t="shared" ref="F287" si="151">SUM(F278:F286)</f>
        <v>0</v>
      </c>
      <c r="G287" s="407">
        <f>SUM(G278:G286)</f>
        <v>0</v>
      </c>
      <c r="H287" s="391"/>
      <c r="I287" s="406">
        <f t="shared" ref="I287" si="152">SUM(I278:I286)</f>
        <v>0</v>
      </c>
      <c r="J287" s="425">
        <f>SUM(J278:J286)</f>
        <v>0</v>
      </c>
    </row>
    <row r="288" spans="1:10" ht="24" thickBot="1" x14ac:dyDescent="0.35">
      <c r="A288" s="274" t="s">
        <v>103</v>
      </c>
      <c r="B288" s="1047" t="s">
        <v>25</v>
      </c>
      <c r="C288" s="1048"/>
      <c r="D288" s="1049"/>
      <c r="E288" s="393"/>
      <c r="F288" s="410">
        <f t="shared" ref="F288" si="153">+F277+F287</f>
        <v>0</v>
      </c>
      <c r="G288" s="411">
        <f>+G277+G287</f>
        <v>0</v>
      </c>
      <c r="H288" s="394"/>
      <c r="I288" s="410">
        <f t="shared" ref="I288:J288" si="154">+I277+I287</f>
        <v>0</v>
      </c>
      <c r="J288" s="428">
        <f t="shared" si="154"/>
        <v>0</v>
      </c>
    </row>
    <row r="289" spans="1:10" ht="24" thickBot="1" x14ac:dyDescent="0.35">
      <c r="A289" s="274" t="s">
        <v>103</v>
      </c>
      <c r="B289" s="1019" t="s">
        <v>172</v>
      </c>
      <c r="C289" s="1020"/>
      <c r="D289" s="1021"/>
      <c r="E289" s="395"/>
      <c r="F289" s="412">
        <f t="shared" ref="F289" si="155">+F272+F288</f>
        <v>3064978.1288000001</v>
      </c>
      <c r="G289" s="413">
        <f>+G272+G288</f>
        <v>6904049.0696</v>
      </c>
      <c r="H289" s="396"/>
      <c r="I289" s="412">
        <f t="shared" ref="I289:J289" si="156">+I272+I288</f>
        <v>3853677.5999999996</v>
      </c>
      <c r="J289" s="429">
        <f t="shared" si="156"/>
        <v>8534743.1999999993</v>
      </c>
    </row>
    <row r="290" spans="1:10" ht="23.4" x14ac:dyDescent="0.3">
      <c r="A290" s="268" t="s">
        <v>101</v>
      </c>
      <c r="B290" s="1051" t="s">
        <v>26</v>
      </c>
      <c r="C290" s="297" t="s">
        <v>297</v>
      </c>
      <c r="D290" s="299" t="s">
        <v>177</v>
      </c>
      <c r="E290" s="504">
        <v>13.1272</v>
      </c>
      <c r="F290" s="402">
        <f>IFERROR(E290*'01 Prod Physique Boites'!H286,"-")</f>
        <v>0</v>
      </c>
      <c r="G290" s="403">
        <f>IFERROR(E290*'01 Prod Physique Boites'!L286,"-")</f>
        <v>0</v>
      </c>
      <c r="H290" s="381">
        <v>20.76</v>
      </c>
      <c r="I290" s="419">
        <f t="shared" ref="I290:I299" si="157">IFERROR(H290*(F290/E290),"-")</f>
        <v>0</v>
      </c>
      <c r="J290" s="632">
        <f t="shared" ref="J290:J299" si="158">IFERROR(H290*(G290/E290),"-")</f>
        <v>0</v>
      </c>
    </row>
    <row r="291" spans="1:10" ht="23.4" x14ac:dyDescent="0.3">
      <c r="A291" s="274" t="s">
        <v>101</v>
      </c>
      <c r="B291" s="1051"/>
      <c r="C291" s="298" t="s">
        <v>424</v>
      </c>
      <c r="D291" s="298" t="s">
        <v>423</v>
      </c>
      <c r="E291" s="505">
        <v>16.7288</v>
      </c>
      <c r="F291" s="402">
        <f>IFERROR(E291*'01 Prod Physique Boites'!H287,"-")</f>
        <v>798565.99679999996</v>
      </c>
      <c r="G291" s="403">
        <f>IFERROR(E291*'01 Prod Physique Boites'!L287,"-")</f>
        <v>4125924.3168000001</v>
      </c>
      <c r="H291" s="385">
        <v>20.76</v>
      </c>
      <c r="I291" s="421">
        <f t="shared" si="157"/>
        <v>990999.3600000001</v>
      </c>
      <c r="J291" s="633">
        <f t="shared" si="158"/>
        <v>5120163.3600000003</v>
      </c>
    </row>
    <row r="292" spans="1:10" ht="23.4" x14ac:dyDescent="0.3">
      <c r="A292" s="274" t="s">
        <v>101</v>
      </c>
      <c r="B292" s="1051"/>
      <c r="C292" s="299" t="s">
        <v>27</v>
      </c>
      <c r="D292" s="299" t="s">
        <v>334</v>
      </c>
      <c r="E292" s="501">
        <v>17.8202</v>
      </c>
      <c r="F292" s="402">
        <f>IFERROR(E292*'01 Prod Physique Boites'!H288,"-")</f>
        <v>0</v>
      </c>
      <c r="G292" s="403">
        <f>IFERROR(E292*'01 Prod Physique Boites'!L288,"-")</f>
        <v>0</v>
      </c>
      <c r="H292" s="385">
        <v>21.22</v>
      </c>
      <c r="I292" s="643">
        <f t="shared" si="157"/>
        <v>0</v>
      </c>
      <c r="J292" s="633">
        <f t="shared" si="158"/>
        <v>0</v>
      </c>
    </row>
    <row r="293" spans="1:10" ht="23.4" x14ac:dyDescent="0.3">
      <c r="A293" s="274" t="s">
        <v>101</v>
      </c>
      <c r="B293" s="1051"/>
      <c r="C293" s="299" t="s">
        <v>27</v>
      </c>
      <c r="D293" s="299" t="s">
        <v>234</v>
      </c>
      <c r="E293" s="501">
        <v>17.8202</v>
      </c>
      <c r="F293" s="402">
        <f>IFERROR(E293*'01 Prod Physique Boites'!H289,"-")</f>
        <v>0</v>
      </c>
      <c r="G293" s="403">
        <f>IFERROR(E293*'01 Prod Physique Boites'!L289,"-")</f>
        <v>0</v>
      </c>
      <c r="H293" s="385">
        <v>24.93</v>
      </c>
      <c r="I293" s="643">
        <f t="shared" si="157"/>
        <v>0</v>
      </c>
      <c r="J293" s="633">
        <f t="shared" si="158"/>
        <v>0</v>
      </c>
    </row>
    <row r="294" spans="1:10" ht="23.4" x14ac:dyDescent="0.3">
      <c r="A294" s="274" t="s">
        <v>101</v>
      </c>
      <c r="B294" s="1051"/>
      <c r="C294" s="299" t="s">
        <v>27</v>
      </c>
      <c r="D294" s="299" t="s">
        <v>279</v>
      </c>
      <c r="E294" s="501">
        <v>17.8202</v>
      </c>
      <c r="F294" s="402">
        <f>IFERROR(E294*'01 Prod Physique Boites'!H290,"-")</f>
        <v>0</v>
      </c>
      <c r="G294" s="403">
        <f>IFERROR(E294*'01 Prod Physique Boites'!L290,"-")</f>
        <v>0</v>
      </c>
      <c r="H294" s="385">
        <v>24.93</v>
      </c>
      <c r="I294" s="643">
        <f t="shared" si="157"/>
        <v>0</v>
      </c>
      <c r="J294" s="633">
        <f t="shared" si="158"/>
        <v>0</v>
      </c>
    </row>
    <row r="295" spans="1:10" ht="23.4" x14ac:dyDescent="0.3">
      <c r="A295" s="274"/>
      <c r="B295" s="1051"/>
      <c r="C295" s="299" t="s">
        <v>437</v>
      </c>
      <c r="D295" s="299" t="s">
        <v>178</v>
      </c>
      <c r="E295" s="501">
        <v>14.608000000000001</v>
      </c>
      <c r="F295" s="402">
        <f>IFERROR(E295*'01 Prod Physique Boites'!H291,"-")</f>
        <v>0</v>
      </c>
      <c r="G295" s="403">
        <f>IFERROR(E295*'01 Prod Physique Boites'!L291,"-")</f>
        <v>0</v>
      </c>
      <c r="H295" s="387">
        <v>24.93</v>
      </c>
      <c r="I295" s="643">
        <f t="shared" si="157"/>
        <v>0</v>
      </c>
      <c r="J295" s="634">
        <f t="shared" si="158"/>
        <v>0</v>
      </c>
    </row>
    <row r="296" spans="1:10" ht="23.4" x14ac:dyDescent="0.3">
      <c r="A296" s="274"/>
      <c r="B296" s="1051"/>
      <c r="C296" s="299" t="s">
        <v>436</v>
      </c>
      <c r="D296" s="299" t="s">
        <v>94</v>
      </c>
      <c r="E296" s="501">
        <v>17.8202</v>
      </c>
      <c r="F296" s="724">
        <f>IFERROR(E296*'01 Prod Physique Boites'!H292,"-")</f>
        <v>0</v>
      </c>
      <c r="G296" s="403">
        <f>IFERROR(E296*'01 Prod Physique Boites'!L292,"-")</f>
        <v>0</v>
      </c>
      <c r="H296" s="387">
        <v>24.93</v>
      </c>
      <c r="I296" s="730">
        <f t="shared" si="157"/>
        <v>0</v>
      </c>
      <c r="J296" s="634">
        <f t="shared" si="158"/>
        <v>0</v>
      </c>
    </row>
    <row r="297" spans="1:10" s="731" customFormat="1" ht="23.4" x14ac:dyDescent="0.3">
      <c r="A297" s="725"/>
      <c r="B297" s="1051"/>
      <c r="C297" s="726" t="s">
        <v>383</v>
      </c>
      <c r="D297" s="726" t="s">
        <v>384</v>
      </c>
      <c r="E297" s="727">
        <v>16.345199999999998</v>
      </c>
      <c r="F297" s="724">
        <f>IFERROR(E297*'01 Prod Physique Boites'!H293,"-")</f>
        <v>0</v>
      </c>
      <c r="G297" s="728">
        <f>IFERROR(E297*'01 Prod Physique Boites'!L293,"-")</f>
        <v>0</v>
      </c>
      <c r="H297" s="729">
        <v>23.78</v>
      </c>
      <c r="I297" s="730">
        <f t="shared" si="157"/>
        <v>0</v>
      </c>
      <c r="J297" s="634">
        <f t="shared" si="158"/>
        <v>0</v>
      </c>
    </row>
    <row r="298" spans="1:10" s="731" customFormat="1" ht="23.4" x14ac:dyDescent="0.3">
      <c r="A298" s="725"/>
      <c r="B298" s="1051"/>
      <c r="C298" s="299" t="s">
        <v>433</v>
      </c>
      <c r="D298" s="299" t="s">
        <v>178</v>
      </c>
      <c r="E298" s="727">
        <v>16.7288</v>
      </c>
      <c r="F298" s="724">
        <f>IFERROR(E298*'01 Prod Physique Boites'!H294,"-")</f>
        <v>0</v>
      </c>
      <c r="G298" s="728">
        <f>IFERROR(E298*'01 Prod Physique Boites'!L294,"-")</f>
        <v>0</v>
      </c>
      <c r="H298" s="729">
        <v>25.49</v>
      </c>
      <c r="I298" s="730">
        <f t="shared" si="157"/>
        <v>0</v>
      </c>
      <c r="J298" s="634">
        <f t="shared" si="158"/>
        <v>0</v>
      </c>
    </row>
    <row r="299" spans="1:10" ht="24" thickBot="1" x14ac:dyDescent="0.35">
      <c r="A299" s="274" t="s">
        <v>101</v>
      </c>
      <c r="B299" s="1051"/>
      <c r="C299" s="300" t="s">
        <v>290</v>
      </c>
      <c r="D299" s="299" t="s">
        <v>289</v>
      </c>
      <c r="E299" s="501">
        <v>12.6997</v>
      </c>
      <c r="F299" s="402">
        <f>IFERROR(E299*'01 Prod Physique Boites'!H295,"-")</f>
        <v>0</v>
      </c>
      <c r="G299" s="728">
        <f>IFERROR(E299*'01 Prod Physique Boites'!L295,"-")</f>
        <v>0</v>
      </c>
      <c r="H299" s="387">
        <v>13.25</v>
      </c>
      <c r="I299" s="730">
        <f t="shared" si="157"/>
        <v>0</v>
      </c>
      <c r="J299" s="634">
        <f t="shared" si="158"/>
        <v>0</v>
      </c>
    </row>
    <row r="300" spans="1:10" ht="24" thickBot="1" x14ac:dyDescent="0.35">
      <c r="A300" s="274" t="s">
        <v>101</v>
      </c>
      <c r="B300" s="1052"/>
      <c r="C300" s="301"/>
      <c r="D300" s="302" t="s">
        <v>52</v>
      </c>
      <c r="E300" s="390"/>
      <c r="F300" s="406">
        <f>SUM(F290:F299)</f>
        <v>798565.99679999996</v>
      </c>
      <c r="G300" s="407">
        <f>SUM(G290:G299)</f>
        <v>4125924.3168000001</v>
      </c>
      <c r="H300" s="391"/>
      <c r="I300" s="406">
        <f>SUM(I290:I299)</f>
        <v>990999.3600000001</v>
      </c>
      <c r="J300" s="425">
        <f>SUM(J290:J299)</f>
        <v>5120163.3600000003</v>
      </c>
    </row>
    <row r="301" spans="1:10" ht="23.4" x14ac:dyDescent="0.3">
      <c r="A301" s="274" t="s">
        <v>101</v>
      </c>
      <c r="B301" s="1053" t="s">
        <v>28</v>
      </c>
      <c r="C301" s="299" t="s">
        <v>27</v>
      </c>
      <c r="D301" s="297" t="s">
        <v>492</v>
      </c>
      <c r="E301" s="504">
        <v>17.8202</v>
      </c>
      <c r="F301" s="402">
        <f>IFERROR(E301*'01 Prod Physique Boites'!H297,"-")</f>
        <v>567110.04480000003</v>
      </c>
      <c r="G301" s="403">
        <f>IFERROR(E301*'01 Prod Physique Boites'!L297,"-")</f>
        <v>567110.04480000003</v>
      </c>
      <c r="H301" s="381">
        <v>24.93</v>
      </c>
      <c r="I301" s="419">
        <f t="shared" ref="I301:I307" si="159">IFERROR(H301*(F301/E301),"-")</f>
        <v>793372.32000000007</v>
      </c>
      <c r="J301" s="632">
        <f t="shared" ref="J301:J302" si="160">IFERROR(H301*(G301/E301),"-")</f>
        <v>793372.32000000007</v>
      </c>
    </row>
    <row r="302" spans="1:10" ht="23.4" x14ac:dyDescent="0.3">
      <c r="A302" s="274" t="s">
        <v>101</v>
      </c>
      <c r="B302" s="1051"/>
      <c r="C302" s="299" t="s">
        <v>386</v>
      </c>
      <c r="D302" s="299" t="s">
        <v>334</v>
      </c>
      <c r="E302" s="711">
        <v>16.7288</v>
      </c>
      <c r="F302" s="402">
        <f>IFERROR(E302*'01 Prod Physique Boites'!H298,"-")</f>
        <v>465830.16479999997</v>
      </c>
      <c r="G302" s="728">
        <f>IFERROR(E302*'01 Prod Physique Boites'!L298,"-")</f>
        <v>1597131.9935999999</v>
      </c>
      <c r="H302" s="708">
        <v>20.76</v>
      </c>
      <c r="I302" s="421">
        <f t="shared" si="159"/>
        <v>578082.96000000008</v>
      </c>
      <c r="J302" s="633">
        <f t="shared" si="160"/>
        <v>1981998.7200000002</v>
      </c>
    </row>
    <row r="303" spans="1:10" ht="23.4" x14ac:dyDescent="0.3">
      <c r="A303" s="274" t="s">
        <v>101</v>
      </c>
      <c r="B303" s="1051"/>
      <c r="C303" s="299" t="s">
        <v>385</v>
      </c>
      <c r="D303" s="299" t="s">
        <v>334</v>
      </c>
      <c r="E303" s="501">
        <v>17.8202</v>
      </c>
      <c r="F303" s="402">
        <f>IFERROR(E303*'01 Prod Physique Boites'!H299,"-")</f>
        <v>0</v>
      </c>
      <c r="G303" s="403">
        <f>IFERROR(E303*'01 Prod Physique Boites'!L299,"-")</f>
        <v>0</v>
      </c>
      <c r="H303" s="385">
        <v>21.22</v>
      </c>
      <c r="I303" s="421">
        <f t="shared" si="159"/>
        <v>0</v>
      </c>
      <c r="J303" s="633">
        <f>IFERROR(H303*(G303/E303),"-")</f>
        <v>0</v>
      </c>
    </row>
    <row r="304" spans="1:10" ht="23.4" x14ac:dyDescent="0.3">
      <c r="A304" s="274"/>
      <c r="B304" s="1051"/>
      <c r="C304" s="299" t="s">
        <v>460</v>
      </c>
      <c r="D304" s="299" t="s">
        <v>334</v>
      </c>
      <c r="E304" s="501">
        <v>14.608000000000001</v>
      </c>
      <c r="F304" s="402">
        <f>IFERROR(E304*'01 Prod Physique Boites'!H300,"-")</f>
        <v>0</v>
      </c>
      <c r="G304" s="403">
        <f>IFERROR(E304*'01 Prod Physique Boites'!L300,"-")</f>
        <v>0</v>
      </c>
      <c r="H304" s="385">
        <v>21.22</v>
      </c>
      <c r="I304" s="421">
        <f t="shared" si="159"/>
        <v>0</v>
      </c>
      <c r="J304" s="633">
        <f>IFERROR(H304*(G304/E304),"-")</f>
        <v>0</v>
      </c>
    </row>
    <row r="305" spans="1:10" ht="23.4" x14ac:dyDescent="0.3">
      <c r="A305" s="274"/>
      <c r="B305" s="1051"/>
      <c r="C305" s="299" t="s">
        <v>383</v>
      </c>
      <c r="D305" s="299" t="s">
        <v>384</v>
      </c>
      <c r="E305" s="711">
        <v>16.345199999999998</v>
      </c>
      <c r="F305" s="402">
        <f>IFERROR(E305*'01 Prod Physique Boites'!H301,"-")</f>
        <v>0</v>
      </c>
      <c r="G305" s="403">
        <f>IFERROR(E305*'01 Prod Physique Boites'!L301,"-")</f>
        <v>0</v>
      </c>
      <c r="H305" s="385">
        <v>23.78</v>
      </c>
      <c r="I305" s="423">
        <f t="shared" si="159"/>
        <v>0</v>
      </c>
      <c r="J305" s="634">
        <f t="shared" ref="J305:J307" si="161">IFERROR(H305*(G305/E305),"-")</f>
        <v>0</v>
      </c>
    </row>
    <row r="306" spans="1:10" ht="23.4" x14ac:dyDescent="0.3">
      <c r="A306" s="274"/>
      <c r="B306" s="1051"/>
      <c r="C306" s="299" t="s">
        <v>458</v>
      </c>
      <c r="D306" s="300" t="s">
        <v>280</v>
      </c>
      <c r="E306" s="711">
        <v>17.8202</v>
      </c>
      <c r="F306" s="402">
        <f>IFERROR(E306*'01 Prod Physique Boites'!H302,"-")</f>
        <v>0</v>
      </c>
      <c r="G306" s="403">
        <f>IFERROR(E306*'01 Prod Physique Boites'!L302,"-")</f>
        <v>0</v>
      </c>
      <c r="H306" s="385">
        <v>24.93</v>
      </c>
      <c r="I306" s="730">
        <f t="shared" si="159"/>
        <v>0</v>
      </c>
      <c r="J306" s="634">
        <f t="shared" si="161"/>
        <v>0</v>
      </c>
    </row>
    <row r="307" spans="1:10" ht="24" thickBot="1" x14ac:dyDescent="0.35">
      <c r="A307" s="274" t="s">
        <v>101</v>
      </c>
      <c r="B307" s="1051"/>
      <c r="C307" s="299" t="s">
        <v>27</v>
      </c>
      <c r="D307" s="300" t="s">
        <v>234</v>
      </c>
      <c r="E307" s="501">
        <v>17.8202</v>
      </c>
      <c r="F307" s="402">
        <f>IFERROR(E307*'01 Prod Physique Boites'!H303,"-")</f>
        <v>0</v>
      </c>
      <c r="G307" s="403">
        <f>IFERROR(E307*'01 Prod Physique Boites'!L303,"-")</f>
        <v>0</v>
      </c>
      <c r="H307" s="385">
        <v>24.93</v>
      </c>
      <c r="I307" s="423">
        <f t="shared" si="159"/>
        <v>0</v>
      </c>
      <c r="J307" s="634">
        <f t="shared" si="161"/>
        <v>0</v>
      </c>
    </row>
    <row r="308" spans="1:10" ht="24" thickBot="1" x14ac:dyDescent="0.35">
      <c r="A308" s="274" t="s">
        <v>101</v>
      </c>
      <c r="B308" s="1051"/>
      <c r="C308" s="304"/>
      <c r="D308" s="305" t="s">
        <v>52</v>
      </c>
      <c r="E308" s="397"/>
      <c r="F308" s="414">
        <f t="shared" ref="F308:G308" si="162">SUM(F301:F307)</f>
        <v>1032940.2095999999</v>
      </c>
      <c r="G308" s="415">
        <f t="shared" si="162"/>
        <v>2164242.0384</v>
      </c>
      <c r="H308" s="398"/>
      <c r="I308" s="414">
        <f t="shared" ref="I308:J308" si="163">SUM(I301:I307)</f>
        <v>1371455.2800000003</v>
      </c>
      <c r="J308" s="430">
        <f t="shared" si="163"/>
        <v>2775371.04</v>
      </c>
    </row>
    <row r="309" spans="1:10" ht="24" thickBot="1" x14ac:dyDescent="0.35">
      <c r="A309" s="777" t="s">
        <v>101</v>
      </c>
      <c r="B309" s="1054" t="s">
        <v>162</v>
      </c>
      <c r="C309" s="1055"/>
      <c r="D309" s="1056"/>
      <c r="E309" s="399"/>
      <c r="F309" s="416">
        <f t="shared" ref="F309:G309" si="164">+F300+F308</f>
        <v>1831506.2064</v>
      </c>
      <c r="G309" s="417">
        <f t="shared" si="164"/>
        <v>6290166.3552000001</v>
      </c>
      <c r="H309" s="400"/>
      <c r="I309" s="416">
        <f t="shared" ref="I309:J309" si="165">+I300+I308</f>
        <v>2362454.6400000006</v>
      </c>
      <c r="J309" s="431">
        <f t="shared" si="165"/>
        <v>7895534.4000000004</v>
      </c>
    </row>
    <row r="310" spans="1:10" ht="23.4" x14ac:dyDescent="0.3">
      <c r="A310" s="274" t="s">
        <v>101</v>
      </c>
      <c r="B310" s="1051" t="s">
        <v>30</v>
      </c>
      <c r="C310" s="303" t="s">
        <v>450</v>
      </c>
      <c r="D310" s="299" t="s">
        <v>334</v>
      </c>
      <c r="E310" s="736">
        <v>27.917000000000002</v>
      </c>
      <c r="F310" s="402">
        <f>IFERROR(E310*'01 Prod Physique Boites'!H306,"-")</f>
        <v>0</v>
      </c>
      <c r="G310" s="728">
        <f>IFERROR(E310*'01 Prod Physique Boites'!L306,"-")</f>
        <v>0</v>
      </c>
      <c r="H310" s="734">
        <v>33.299999999999997</v>
      </c>
      <c r="I310" s="419">
        <f>IFERROR(H310*(F310/E310),"-")</f>
        <v>0</v>
      </c>
      <c r="J310" s="420">
        <f t="shared" ref="J310:J312" si="166">IFERROR(H310*(G310/E310),"-")</f>
        <v>0</v>
      </c>
    </row>
    <row r="311" spans="1:10" ht="23.4" x14ac:dyDescent="0.3">
      <c r="A311" s="274" t="s">
        <v>101</v>
      </c>
      <c r="B311" s="1051"/>
      <c r="C311" s="300" t="s">
        <v>448</v>
      </c>
      <c r="D311" s="303" t="s">
        <v>384</v>
      </c>
      <c r="E311" s="733">
        <v>28.526700000000002</v>
      </c>
      <c r="F311" s="402">
        <f>IFERROR(E311*'01 Prod Physique Boites'!H307,"-")</f>
        <v>0</v>
      </c>
      <c r="G311" s="728">
        <f>IFERROR(E311*'01 Prod Physique Boites'!L307,"-")</f>
        <v>0</v>
      </c>
      <c r="H311" s="735">
        <v>37.89</v>
      </c>
      <c r="I311" s="421">
        <f>IFERROR(H311*(F311/E311),"-")</f>
        <v>0</v>
      </c>
      <c r="J311" s="422">
        <f t="shared" si="166"/>
        <v>0</v>
      </c>
    </row>
    <row r="312" spans="1:10" ht="24" thickBot="1" x14ac:dyDescent="0.35">
      <c r="A312" s="274" t="s">
        <v>101</v>
      </c>
      <c r="B312" s="1051"/>
      <c r="C312" s="300" t="s">
        <v>291</v>
      </c>
      <c r="D312" s="300" t="s">
        <v>384</v>
      </c>
      <c r="E312" s="501">
        <v>25.751300000000001</v>
      </c>
      <c r="F312" s="724">
        <f>IFERROR(E312*'01 Prod Physique Boites'!H308,"-")</f>
        <v>0</v>
      </c>
      <c r="G312" s="728">
        <f>IFERROR(E312*'01 Prod Physique Boites'!L308,"-")</f>
        <v>0</v>
      </c>
      <c r="H312" s="387">
        <v>37.89</v>
      </c>
      <c r="I312" s="423">
        <f>IFERROR(H312*(F312/E312),"-")</f>
        <v>0</v>
      </c>
      <c r="J312" s="424">
        <f t="shared" si="166"/>
        <v>0</v>
      </c>
    </row>
    <row r="313" spans="1:10" ht="24" thickBot="1" x14ac:dyDescent="0.35">
      <c r="A313" s="274" t="s">
        <v>101</v>
      </c>
      <c r="B313" s="1051"/>
      <c r="C313" s="301"/>
      <c r="D313" s="302" t="s">
        <v>50</v>
      </c>
      <c r="E313" s="390"/>
      <c r="F313" s="406">
        <f t="shared" ref="F313:G313" si="167">SUM(F310:F312)</f>
        <v>0</v>
      </c>
      <c r="G313" s="407">
        <f t="shared" si="167"/>
        <v>0</v>
      </c>
      <c r="H313" s="391"/>
      <c r="I313" s="406">
        <f t="shared" ref="I313" si="168">SUM(I310:I312)</f>
        <v>0</v>
      </c>
      <c r="J313" s="425">
        <f>SUM(J310:J312)</f>
        <v>0</v>
      </c>
    </row>
    <row r="314" spans="1:10" ht="23.4" x14ac:dyDescent="0.3">
      <c r="A314" s="274" t="s">
        <v>101</v>
      </c>
      <c r="B314" s="1051"/>
      <c r="C314" s="297" t="s">
        <v>439</v>
      </c>
      <c r="D314" s="297" t="s">
        <v>92</v>
      </c>
      <c r="E314" s="504">
        <v>24.2607</v>
      </c>
      <c r="F314" s="402">
        <f>IFERROR(E314*'01 Prod Physique Boites'!H310,"-")</f>
        <v>0</v>
      </c>
      <c r="G314" s="728">
        <f>IFERROR(E314*'01 Prod Physique Boites'!L310,"-")</f>
        <v>0</v>
      </c>
      <c r="H314" s="381">
        <v>28.31</v>
      </c>
      <c r="I314" s="638">
        <f>IFERROR(H314*(F314/E314),"-")</f>
        <v>0</v>
      </c>
      <c r="J314" s="420">
        <f t="shared" ref="J314:J319" si="169">IFERROR(H314*(G314/E314),"-")</f>
        <v>0</v>
      </c>
    </row>
    <row r="315" spans="1:10" ht="23.4" x14ac:dyDescent="0.3">
      <c r="A315" s="274"/>
      <c r="B315" s="1051"/>
      <c r="C315" s="303" t="s">
        <v>449</v>
      </c>
      <c r="D315" s="299" t="s">
        <v>334</v>
      </c>
      <c r="E315" s="504">
        <v>24.2607</v>
      </c>
      <c r="F315" s="402">
        <f>IFERROR(E315*'01 Prod Physique Boites'!H311,"-")</f>
        <v>0</v>
      </c>
      <c r="G315" s="728">
        <f>IFERROR(E315*'01 Prod Physique Boites'!L311,"-")</f>
        <v>0</v>
      </c>
      <c r="H315" s="381">
        <v>28.88</v>
      </c>
      <c r="I315" s="638">
        <f t="shared" ref="I315:I319" si="170">IFERROR(H315*(F315/E315),"-")</f>
        <v>0</v>
      </c>
      <c r="J315" s="420">
        <f t="shared" si="169"/>
        <v>0</v>
      </c>
    </row>
    <row r="316" spans="1:10" ht="23.4" x14ac:dyDescent="0.3">
      <c r="A316" s="274"/>
      <c r="B316" s="1051"/>
      <c r="C316" s="303" t="s">
        <v>452</v>
      </c>
      <c r="D316" s="299" t="s">
        <v>334</v>
      </c>
      <c r="E316" s="504">
        <v>25.4041</v>
      </c>
      <c r="F316" s="402">
        <f>IFERROR(E316*'01 Prod Physique Boites'!H312,"-")</f>
        <v>0</v>
      </c>
      <c r="G316" s="728">
        <f>IFERROR(E316*'01 Prod Physique Boites'!L312,"-")</f>
        <v>0</v>
      </c>
      <c r="H316" s="381">
        <v>28.21</v>
      </c>
      <c r="I316" s="638">
        <f t="shared" si="170"/>
        <v>0</v>
      </c>
      <c r="J316" s="420">
        <f t="shared" si="169"/>
        <v>0</v>
      </c>
    </row>
    <row r="317" spans="1:10" ht="23.4" x14ac:dyDescent="0.3">
      <c r="A317" s="274" t="s">
        <v>101</v>
      </c>
      <c r="B317" s="1051"/>
      <c r="C317" s="303" t="s">
        <v>335</v>
      </c>
      <c r="D317" s="303" t="s">
        <v>234</v>
      </c>
      <c r="E317" s="505">
        <v>27.917000000000002</v>
      </c>
      <c r="F317" s="724">
        <f>IFERROR(E317*'01 Prod Physique Boites'!H313,"-")</f>
        <v>0</v>
      </c>
      <c r="G317" s="728">
        <f>IFERROR(E317*'01 Prod Physique Boites'!L313,"-")</f>
        <v>0</v>
      </c>
      <c r="H317" s="385">
        <v>39</v>
      </c>
      <c r="I317" s="638">
        <f t="shared" si="170"/>
        <v>0</v>
      </c>
      <c r="J317" s="420">
        <f t="shared" si="169"/>
        <v>0</v>
      </c>
    </row>
    <row r="318" spans="1:10" ht="23.4" x14ac:dyDescent="0.3">
      <c r="A318" s="274"/>
      <c r="B318" s="1051"/>
      <c r="C318" s="300" t="s">
        <v>459</v>
      </c>
      <c r="D318" s="300" t="s">
        <v>366</v>
      </c>
      <c r="E318" s="501">
        <v>22.094999999999999</v>
      </c>
      <c r="F318" s="724">
        <f>IFERROR(E318*'01 Prod Physique Boites'!H314,"-")</f>
        <v>0</v>
      </c>
      <c r="G318" s="728">
        <f>IFERROR(E318*'01 Prod Physique Boites'!L314,"-")</f>
        <v>0</v>
      </c>
      <c r="H318" s="745">
        <v>37.11</v>
      </c>
      <c r="I318" s="638">
        <f t="shared" si="170"/>
        <v>0</v>
      </c>
      <c r="J318" s="420">
        <f t="shared" si="169"/>
        <v>0</v>
      </c>
    </row>
    <row r="319" spans="1:10" ht="24" thickBot="1" x14ac:dyDescent="0.35">
      <c r="A319" s="274" t="s">
        <v>101</v>
      </c>
      <c r="B319" s="1051"/>
      <c r="C319" s="300" t="s">
        <v>438</v>
      </c>
      <c r="D319" s="300" t="s">
        <v>423</v>
      </c>
      <c r="E319" s="501">
        <v>23.697399999999998</v>
      </c>
      <c r="F319" s="402">
        <f>IFERROR(E319*'01 Prod Physique Boites'!H315,"-")</f>
        <v>0</v>
      </c>
      <c r="G319" s="403">
        <f>IFERROR(E319*'01 Prod Physique Boites'!L315,"-")</f>
        <v>0</v>
      </c>
      <c r="H319" s="387">
        <v>28.21</v>
      </c>
      <c r="I319" s="638">
        <f t="shared" si="170"/>
        <v>0</v>
      </c>
      <c r="J319" s="420">
        <f t="shared" si="169"/>
        <v>0</v>
      </c>
    </row>
    <row r="320" spans="1:10" ht="24" thickBot="1" x14ac:dyDescent="0.35">
      <c r="A320" s="274" t="s">
        <v>101</v>
      </c>
      <c r="B320" s="1051"/>
      <c r="C320" s="304"/>
      <c r="D320" s="305" t="s">
        <v>51</v>
      </c>
      <c r="E320" s="397"/>
      <c r="F320" s="414">
        <f t="shared" ref="F320:G320" si="171">SUM(F314:F319)</f>
        <v>0</v>
      </c>
      <c r="G320" s="415">
        <f t="shared" si="171"/>
        <v>0</v>
      </c>
      <c r="H320" s="398"/>
      <c r="I320" s="414">
        <f t="shared" ref="I320" si="172">SUM(I314:I319)</f>
        <v>0</v>
      </c>
      <c r="J320" s="430">
        <f>SUM(J314:J319)</f>
        <v>0</v>
      </c>
    </row>
    <row r="321" spans="1:10" ht="24" thickBot="1" x14ac:dyDescent="0.35">
      <c r="A321" s="274" t="s">
        <v>101</v>
      </c>
      <c r="B321" s="1054" t="s">
        <v>163</v>
      </c>
      <c r="C321" s="1055"/>
      <c r="D321" s="1056"/>
      <c r="E321" s="399"/>
      <c r="F321" s="416">
        <f t="shared" ref="F321:G321" si="173">+F313+F320</f>
        <v>0</v>
      </c>
      <c r="G321" s="417">
        <f t="shared" si="173"/>
        <v>0</v>
      </c>
      <c r="H321" s="400"/>
      <c r="I321" s="416">
        <f t="shared" ref="I321:J321" si="174">+I313+I320</f>
        <v>0</v>
      </c>
      <c r="J321" s="431">
        <f t="shared" si="174"/>
        <v>0</v>
      </c>
    </row>
    <row r="322" spans="1:10" ht="24" thickBot="1" x14ac:dyDescent="0.35">
      <c r="A322" s="274" t="s">
        <v>101</v>
      </c>
      <c r="B322" s="599" t="s">
        <v>32</v>
      </c>
      <c r="C322" s="773"/>
      <c r="D322" s="310"/>
      <c r="E322" s="506">
        <v>12.2659</v>
      </c>
      <c r="F322" s="408">
        <f>IFERROR(E322*'01 Prod Physique Boites'!H318,"-")</f>
        <v>0</v>
      </c>
      <c r="G322" s="409">
        <f>IFERROR(E322*'01 Prod Physique Boites'!L318,"-")</f>
        <v>0</v>
      </c>
      <c r="H322" s="392"/>
      <c r="I322" s="426">
        <f>IFERROR(H322*(F322/E322),"-")</f>
        <v>0</v>
      </c>
      <c r="J322" s="427">
        <f>IFERROR(H322*(G322/E322),"-")</f>
        <v>0</v>
      </c>
    </row>
    <row r="323" spans="1:10" ht="24" thickBot="1" x14ac:dyDescent="0.35">
      <c r="A323" s="274" t="s">
        <v>101</v>
      </c>
      <c r="B323" s="1047" t="s">
        <v>21</v>
      </c>
      <c r="C323" s="1048"/>
      <c r="D323" s="1049"/>
      <c r="E323" s="393"/>
      <c r="F323" s="410">
        <f t="shared" ref="F323" si="175">+F309+F321+F322</f>
        <v>1831506.2064</v>
      </c>
      <c r="G323" s="411">
        <f>+G309+G321+G322</f>
        <v>6290166.3552000001</v>
      </c>
      <c r="H323" s="394"/>
      <c r="I323" s="410">
        <f t="shared" ref="I323:J323" si="176">+I309+I321+I322</f>
        <v>2362454.6400000006</v>
      </c>
      <c r="J323" s="428">
        <f t="shared" si="176"/>
        <v>7895534.4000000004</v>
      </c>
    </row>
    <row r="324" spans="1:10" ht="24" thickBot="1" x14ac:dyDescent="0.35">
      <c r="A324" s="274" t="s">
        <v>101</v>
      </c>
      <c r="B324" s="1019" t="s">
        <v>171</v>
      </c>
      <c r="C324" s="1020"/>
      <c r="D324" s="1021"/>
      <c r="E324" s="395"/>
      <c r="F324" s="412">
        <f t="shared" ref="F324:G324" si="177">+F323</f>
        <v>1831506.2064</v>
      </c>
      <c r="G324" s="413">
        <f t="shared" si="177"/>
        <v>6290166.3552000001</v>
      </c>
      <c r="H324" s="396"/>
      <c r="I324" s="412">
        <f t="shared" ref="I324:J324" si="178">+I323</f>
        <v>2362454.6400000006</v>
      </c>
      <c r="J324" s="429">
        <f t="shared" si="178"/>
        <v>7895534.4000000004</v>
      </c>
    </row>
    <row r="325" spans="1:10" ht="23.4" x14ac:dyDescent="0.3">
      <c r="A325" s="268" t="s">
        <v>102</v>
      </c>
      <c r="B325" s="1022" t="s">
        <v>401</v>
      </c>
      <c r="C325" s="311" t="s">
        <v>113</v>
      </c>
      <c r="D325" s="311"/>
      <c r="E325" s="709">
        <v>254.89750000000001</v>
      </c>
      <c r="F325" s="402">
        <f>IFERROR(E325*'01 Prod Physique Boites'!H321,"-")</f>
        <v>0</v>
      </c>
      <c r="G325" s="403">
        <f>IFERROR(E325*'01 Prod Physique Boites'!L321,"-")</f>
        <v>0</v>
      </c>
      <c r="H325" s="381">
        <v>445.38</v>
      </c>
      <c r="I325" s="419">
        <f>IFERROR(H325*(F325/E325),"-")</f>
        <v>0</v>
      </c>
      <c r="J325" s="420">
        <f t="shared" ref="J325:J327" si="179">IFERROR(H325*(G325/E325),"-")</f>
        <v>0</v>
      </c>
    </row>
    <row r="326" spans="1:10" ht="23.4" x14ac:dyDescent="0.3">
      <c r="A326" s="274" t="s">
        <v>102</v>
      </c>
      <c r="B326" s="1023"/>
      <c r="C326" s="312" t="s">
        <v>247</v>
      </c>
      <c r="D326" s="312"/>
      <c r="E326" s="503">
        <v>246.51390000000001</v>
      </c>
      <c r="F326" s="402">
        <f>IFERROR(E326*'01 Prod Physique Boites'!H322,"-")</f>
        <v>295816.68</v>
      </c>
      <c r="G326" s="403">
        <f>IFERROR(E326*'01 Prod Physique Boites'!L322,"-")</f>
        <v>468376.41000000003</v>
      </c>
      <c r="H326" s="385">
        <v>430.02</v>
      </c>
      <c r="I326" s="421">
        <f>IFERROR(H326*(F326/E326),"-")</f>
        <v>516024</v>
      </c>
      <c r="J326" s="422">
        <f t="shared" si="179"/>
        <v>817038</v>
      </c>
    </row>
    <row r="327" spans="1:10" ht="24" thickBot="1" x14ac:dyDescent="0.35">
      <c r="A327" s="274" t="s">
        <v>102</v>
      </c>
      <c r="B327" s="1024"/>
      <c r="C327" s="313" t="s">
        <v>33</v>
      </c>
      <c r="D327" s="313"/>
      <c r="E327" s="500">
        <v>225.7713</v>
      </c>
      <c r="F327" s="402">
        <f>IFERROR(E327*'01 Prod Physique Boites'!H323,"-")</f>
        <v>0</v>
      </c>
      <c r="G327" s="403">
        <f>IFERROR(E327*'01 Prod Physique Boites'!L323,"-")</f>
        <v>0</v>
      </c>
      <c r="H327" s="387"/>
      <c r="I327" s="423">
        <f>IFERROR(H327*(F327/E327),"-")</f>
        <v>0</v>
      </c>
      <c r="J327" s="424">
        <f t="shared" si="179"/>
        <v>0</v>
      </c>
    </row>
    <row r="328" spans="1:10" ht="24" thickBot="1" x14ac:dyDescent="0.35">
      <c r="A328" s="274" t="s">
        <v>102</v>
      </c>
      <c r="B328" s="1025" t="s">
        <v>34</v>
      </c>
      <c r="C328" s="1026"/>
      <c r="D328" s="1027"/>
      <c r="E328" s="390"/>
      <c r="F328" s="406">
        <f t="shared" ref="F328:G328" si="180">SUM(F325:F327)</f>
        <v>295816.68</v>
      </c>
      <c r="G328" s="407">
        <f t="shared" si="180"/>
        <v>468376.41000000003</v>
      </c>
      <c r="H328" s="391"/>
      <c r="I328" s="406">
        <f t="shared" ref="I328:J328" si="181">SUM(I325:I327)</f>
        <v>516024</v>
      </c>
      <c r="J328" s="425">
        <f t="shared" si="181"/>
        <v>817038</v>
      </c>
    </row>
    <row r="329" spans="1:10" ht="23.4" x14ac:dyDescent="0.3">
      <c r="A329" s="274" t="s">
        <v>102</v>
      </c>
      <c r="B329" s="1022" t="s">
        <v>35</v>
      </c>
      <c r="C329" s="311" t="s">
        <v>113</v>
      </c>
      <c r="D329" s="311"/>
      <c r="E329" s="502">
        <v>254.89750000000001</v>
      </c>
      <c r="F329" s="402">
        <f>IFERROR(E329*'01 Prod Physique Boites'!H325,"-")</f>
        <v>0</v>
      </c>
      <c r="G329" s="403">
        <f>IFERROR(E329*'01 Prod Physique Boites'!L325,"-")</f>
        <v>0</v>
      </c>
      <c r="H329" s="381">
        <v>445.38</v>
      </c>
      <c r="I329" s="419">
        <f>IFERROR(H329*(F329/E329),"-")</f>
        <v>0</v>
      </c>
      <c r="J329" s="420">
        <f t="shared" ref="J329:J332" si="182">IFERROR(H329*(G329/E329),"-")</f>
        <v>0</v>
      </c>
    </row>
    <row r="330" spans="1:10" ht="23.4" x14ac:dyDescent="0.3">
      <c r="A330" s="274" t="s">
        <v>102</v>
      </c>
      <c r="B330" s="1023"/>
      <c r="C330" s="312" t="s">
        <v>247</v>
      </c>
      <c r="D330" s="312"/>
      <c r="E330" s="503">
        <v>246.51390000000001</v>
      </c>
      <c r="F330" s="402">
        <f>IFERROR(E330*'01 Prod Physique Boites'!H326,"-")</f>
        <v>0</v>
      </c>
      <c r="G330" s="403">
        <f>IFERROR(E330*'01 Prod Physique Boites'!L326,"-")</f>
        <v>0</v>
      </c>
      <c r="H330" s="385">
        <v>430.02</v>
      </c>
      <c r="I330" s="421">
        <f>IFERROR(H330*(F330/E330),"-")</f>
        <v>0</v>
      </c>
      <c r="J330" s="422">
        <f t="shared" si="182"/>
        <v>0</v>
      </c>
    </row>
    <row r="331" spans="1:10" ht="23.4" x14ac:dyDescent="0.3">
      <c r="A331" s="274" t="s">
        <v>102</v>
      </c>
      <c r="B331" s="1023"/>
      <c r="C331" s="312" t="s">
        <v>184</v>
      </c>
      <c r="D331" s="312" t="s">
        <v>183</v>
      </c>
      <c r="E331" s="503">
        <v>254.89750000000001</v>
      </c>
      <c r="F331" s="402">
        <f>IFERROR(E331*'01 Prod Physique Boites'!H327,"-")</f>
        <v>0</v>
      </c>
      <c r="G331" s="403">
        <f>IFERROR(E331*'01 Prod Physique Boites'!L327,"-")</f>
        <v>0</v>
      </c>
      <c r="H331" s="385"/>
      <c r="I331" s="421">
        <f>IFERROR(H331*(F331/E331),"-")</f>
        <v>0</v>
      </c>
      <c r="J331" s="422">
        <f t="shared" si="182"/>
        <v>0</v>
      </c>
    </row>
    <row r="332" spans="1:10" ht="24" thickBot="1" x14ac:dyDescent="0.35">
      <c r="A332" s="274" t="s">
        <v>102</v>
      </c>
      <c r="B332" s="1024"/>
      <c r="C332" s="313" t="s">
        <v>36</v>
      </c>
      <c r="D332" s="313"/>
      <c r="E332" s="500">
        <v>229.99359999999999</v>
      </c>
      <c r="F332" s="402">
        <f>IFERROR(E332*'01 Prod Physique Boites'!H328,"-")</f>
        <v>0</v>
      </c>
      <c r="G332" s="403">
        <f>IFERROR(E332*'01 Prod Physique Boites'!L328,"-")</f>
        <v>0</v>
      </c>
      <c r="H332" s="387"/>
      <c r="I332" s="423">
        <f>IFERROR(H332*(F332/E332),"-")</f>
        <v>0</v>
      </c>
      <c r="J332" s="424">
        <f t="shared" si="182"/>
        <v>0</v>
      </c>
    </row>
    <row r="333" spans="1:10" ht="24" thickBot="1" x14ac:dyDescent="0.35">
      <c r="A333" s="274" t="s">
        <v>102</v>
      </c>
      <c r="B333" s="1025" t="s">
        <v>37</v>
      </c>
      <c r="C333" s="1026"/>
      <c r="D333" s="1027"/>
      <c r="E333" s="390"/>
      <c r="F333" s="406">
        <f t="shared" ref="F333:G333" si="183">SUM(F329:F332)</f>
        <v>0</v>
      </c>
      <c r="G333" s="407">
        <f t="shared" si="183"/>
        <v>0</v>
      </c>
      <c r="H333" s="391"/>
      <c r="I333" s="406">
        <f>SUM(I329:I332)</f>
        <v>0</v>
      </c>
      <c r="J333" s="425">
        <f>SUM(J329:J332)</f>
        <v>0</v>
      </c>
    </row>
    <row r="334" spans="1:10" ht="23.4" x14ac:dyDescent="0.3">
      <c r="A334" s="274" t="s">
        <v>102</v>
      </c>
      <c r="B334" s="1022" t="s">
        <v>402</v>
      </c>
      <c r="C334" s="314" t="s">
        <v>116</v>
      </c>
      <c r="D334" s="314"/>
      <c r="E334" s="502">
        <v>195.2808</v>
      </c>
      <c r="F334" s="402">
        <f>IFERROR(E334*'01 Prod Physique Boites'!H330,"-")</f>
        <v>0</v>
      </c>
      <c r="G334" s="403">
        <f>IFERROR(E334*'01 Prod Physique Boites'!L330,"-")</f>
        <v>0</v>
      </c>
      <c r="H334" s="681">
        <v>256.7</v>
      </c>
      <c r="I334" s="419">
        <f>IFERROR(H334*(F334/E334),"-")</f>
        <v>0</v>
      </c>
      <c r="J334" s="420">
        <f t="shared" ref="J334:J335" si="184">IFERROR(H334*(G334/E334),"-")</f>
        <v>0</v>
      </c>
    </row>
    <row r="335" spans="1:10" ht="24" thickBot="1" x14ac:dyDescent="0.35">
      <c r="A335" s="274" t="s">
        <v>102</v>
      </c>
      <c r="B335" s="1024"/>
      <c r="C335" s="286" t="s">
        <v>132</v>
      </c>
      <c r="D335" s="286"/>
      <c r="E335" s="500">
        <v>189.91890000000001</v>
      </c>
      <c r="F335" s="402">
        <f>IFERROR(E335*'01 Prod Physique Boites'!H331,"-")</f>
        <v>320962.94099999999</v>
      </c>
      <c r="G335" s="403">
        <f>IFERROR(E335*'01 Prod Physique Boites'!L331,"-")</f>
        <v>472898.06100000005</v>
      </c>
      <c r="H335" s="387">
        <v>320.35000000000002</v>
      </c>
      <c r="I335" s="423">
        <f>IFERROR(H335*(F335/E335),"-")</f>
        <v>541391.5</v>
      </c>
      <c r="J335" s="424">
        <f t="shared" si="184"/>
        <v>797671.5</v>
      </c>
    </row>
    <row r="336" spans="1:10" ht="24" thickBot="1" x14ac:dyDescent="0.35">
      <c r="A336" s="777" t="s">
        <v>102</v>
      </c>
      <c r="B336" s="1025" t="s">
        <v>38</v>
      </c>
      <c r="C336" s="1026"/>
      <c r="D336" s="1027"/>
      <c r="E336" s="390"/>
      <c r="F336" s="406">
        <f>SUM(F334:F335)</f>
        <v>320962.94099999999</v>
      </c>
      <c r="G336" s="407">
        <f t="shared" ref="G336" si="185">SUM(G334:G335)</f>
        <v>472898.06100000005</v>
      </c>
      <c r="H336" s="391"/>
      <c r="I336" s="406">
        <f t="shared" ref="I336:J336" si="186">SUM(I334:I335)</f>
        <v>541391.5</v>
      </c>
      <c r="J336" s="425">
        <f t="shared" si="186"/>
        <v>797671.5</v>
      </c>
    </row>
    <row r="337" spans="1:10" ht="23.4" x14ac:dyDescent="0.3">
      <c r="A337" s="274" t="s">
        <v>102</v>
      </c>
      <c r="B337" s="1022" t="s">
        <v>403</v>
      </c>
      <c r="C337" s="269" t="s">
        <v>306</v>
      </c>
      <c r="D337" s="269" t="s">
        <v>238</v>
      </c>
      <c r="E337" s="504">
        <v>37.248699999999999</v>
      </c>
      <c r="F337" s="402">
        <f>IFERROR(E337*'01 Prod Physique Boites'!H333,"-")</f>
        <v>1001245.056</v>
      </c>
      <c r="G337" s="403">
        <f>IFERROR(E337*'01 Prod Physique Boites'!L333,"-")</f>
        <v>2190223.56</v>
      </c>
      <c r="H337" s="381">
        <v>71.44</v>
      </c>
      <c r="I337" s="419">
        <f>IFERROR(H337*(F337/E337),"-")</f>
        <v>1920307.2</v>
      </c>
      <c r="J337" s="420">
        <f>IFERROR(H337*(G337/E337),"-")</f>
        <v>4200672</v>
      </c>
    </row>
    <row r="338" spans="1:10" ht="23.4" x14ac:dyDescent="0.3">
      <c r="A338" s="274" t="s">
        <v>102</v>
      </c>
      <c r="B338" s="1023"/>
      <c r="C338" s="269" t="s">
        <v>156</v>
      </c>
      <c r="D338" s="275"/>
      <c r="E338" s="504">
        <v>37.248699999999999</v>
      </c>
      <c r="F338" s="402">
        <f>IFERROR(E338*'01 Prod Physique Boites'!H334,"-")</f>
        <v>0</v>
      </c>
      <c r="G338" s="403">
        <f>IFERROR(E338*'01 Prod Physique Boites'!L334,"-")</f>
        <v>0</v>
      </c>
      <c r="H338" s="385"/>
      <c r="I338" s="421">
        <f>IFERROR(H338*(F338/E338),"-")</f>
        <v>0</v>
      </c>
      <c r="J338" s="422">
        <f t="shared" ref="J338:J340" si="187">IFERROR(H338*(G338/E338),"-")</f>
        <v>0</v>
      </c>
    </row>
    <row r="339" spans="1:10" ht="23.4" x14ac:dyDescent="0.3">
      <c r="A339" s="274" t="s">
        <v>102</v>
      </c>
      <c r="B339" s="1023"/>
      <c r="C339" s="275" t="s">
        <v>345</v>
      </c>
      <c r="D339" s="269" t="s">
        <v>238</v>
      </c>
      <c r="E339" s="504">
        <v>37.248699999999999</v>
      </c>
      <c r="F339" s="402">
        <f>IFERROR(E339*'01 Prod Physique Boites'!H335,"-")</f>
        <v>0</v>
      </c>
      <c r="G339" s="403">
        <f>IFERROR(E339*'01 Prod Physique Boites'!L335,"-")</f>
        <v>0</v>
      </c>
      <c r="H339" s="385">
        <v>71.44</v>
      </c>
      <c r="I339" s="421">
        <f>IFERROR(H339*(F339/E339),"-")</f>
        <v>0</v>
      </c>
      <c r="J339" s="422">
        <f t="shared" si="187"/>
        <v>0</v>
      </c>
    </row>
    <row r="340" spans="1:10" ht="24" thickBot="1" x14ac:dyDescent="0.35">
      <c r="A340" s="274" t="s">
        <v>102</v>
      </c>
      <c r="B340" s="1023"/>
      <c r="C340" s="275" t="s">
        <v>157</v>
      </c>
      <c r="D340" s="275"/>
      <c r="E340" s="505">
        <v>38.466099999999997</v>
      </c>
      <c r="F340" s="402">
        <f>IFERROR(E340*'01 Prod Physique Boites'!H336,"-")</f>
        <v>0</v>
      </c>
      <c r="G340" s="403">
        <f>IFERROR(E340*'01 Prod Physique Boites'!L336,"-")</f>
        <v>0</v>
      </c>
      <c r="H340" s="385"/>
      <c r="I340" s="421">
        <f>IFERROR(H340*(F340/E340),"-")</f>
        <v>0</v>
      </c>
      <c r="J340" s="422">
        <f t="shared" si="187"/>
        <v>0</v>
      </c>
    </row>
    <row r="341" spans="1:10" ht="24" thickBot="1" x14ac:dyDescent="0.35">
      <c r="A341" s="274" t="s">
        <v>102</v>
      </c>
      <c r="B341" s="1025" t="s">
        <v>39</v>
      </c>
      <c r="C341" s="1026"/>
      <c r="D341" s="1027"/>
      <c r="E341" s="390"/>
      <c r="F341" s="406">
        <f>SUM(F337:F340)</f>
        <v>1001245.056</v>
      </c>
      <c r="G341" s="407">
        <f>SUM(G337:G340)</f>
        <v>2190223.56</v>
      </c>
      <c r="H341" s="391"/>
      <c r="I341" s="406">
        <f>SUM(I337:I340)</f>
        <v>1920307.2</v>
      </c>
      <c r="J341" s="406">
        <f>SUM(J337:J340)</f>
        <v>4200672</v>
      </c>
    </row>
    <row r="342" spans="1:10" ht="23.4" x14ac:dyDescent="0.3">
      <c r="A342" s="274" t="s">
        <v>102</v>
      </c>
      <c r="B342" s="1022" t="s">
        <v>40</v>
      </c>
      <c r="C342" s="269" t="s">
        <v>186</v>
      </c>
      <c r="D342" s="269" t="s">
        <v>183</v>
      </c>
      <c r="E342" s="504">
        <v>30.7499</v>
      </c>
      <c r="F342" s="402">
        <f>IFERROR(E342*'01 Prod Physique Boites'!H339,"-")</f>
        <v>0</v>
      </c>
      <c r="G342" s="402">
        <f>IFERROR(F342*'01 Prod Physique Boites'!I339,"-")</f>
        <v>0</v>
      </c>
      <c r="H342" s="381"/>
      <c r="I342" s="419">
        <f>IFERROR(H342*(F342/E342),"-")</f>
        <v>0</v>
      </c>
      <c r="J342" s="420">
        <f>IFERROR(H342*(G342/E342),"-")</f>
        <v>0</v>
      </c>
    </row>
    <row r="343" spans="1:10" ht="23.4" x14ac:dyDescent="0.3">
      <c r="A343" s="274" t="s">
        <v>102</v>
      </c>
      <c r="B343" s="1023"/>
      <c r="C343" s="275" t="s">
        <v>159</v>
      </c>
      <c r="D343" s="275"/>
      <c r="E343" s="684">
        <v>30.073599999999999</v>
      </c>
      <c r="F343" s="402">
        <f>IFERROR(E343*'01 Prod Physique Boites'!H340,"-")</f>
        <v>0</v>
      </c>
      <c r="G343" s="403">
        <f>IFERROR(E343*'01 Prod Physique Boites'!L340,"-")</f>
        <v>342839.03999999998</v>
      </c>
      <c r="H343" s="385">
        <v>59.96</v>
      </c>
      <c r="I343" s="421">
        <f>IFERROR(H343*(F343/E343),"-")</f>
        <v>0</v>
      </c>
      <c r="J343" s="422">
        <f t="shared" ref="J343:J344" si="188">IFERROR(H343*(G343/E343),"-")</f>
        <v>683544</v>
      </c>
    </row>
    <row r="344" spans="1:10" ht="24" thickBot="1" x14ac:dyDescent="0.35">
      <c r="A344" s="274" t="s">
        <v>102</v>
      </c>
      <c r="B344" s="1024"/>
      <c r="C344" s="279" t="s">
        <v>186</v>
      </c>
      <c r="D344" s="279" t="s">
        <v>185</v>
      </c>
      <c r="E344" s="501">
        <v>30.073599999999999</v>
      </c>
      <c r="F344" s="402">
        <f>IFERROR(E344*'01 Prod Physique Boites'!H341,"-")</f>
        <v>0</v>
      </c>
      <c r="G344" s="403">
        <f>IFERROR(E344*'01 Prod Physique Boites'!L341,"-")</f>
        <v>0</v>
      </c>
      <c r="H344" s="387"/>
      <c r="I344" s="423">
        <f>IFERROR(H344*(F344/E344),"-")</f>
        <v>0</v>
      </c>
      <c r="J344" s="424">
        <f t="shared" si="188"/>
        <v>0</v>
      </c>
    </row>
    <row r="345" spans="1:10" ht="24" thickBot="1" x14ac:dyDescent="0.35">
      <c r="A345" s="274" t="s">
        <v>102</v>
      </c>
      <c r="B345" s="1034" t="s">
        <v>41</v>
      </c>
      <c r="C345" s="1035"/>
      <c r="D345" s="1036"/>
      <c r="E345" s="390"/>
      <c r="F345" s="406">
        <f t="shared" ref="F345:G345" si="189">SUM(F342:F344)</f>
        <v>0</v>
      </c>
      <c r="G345" s="407">
        <f t="shared" si="189"/>
        <v>342839.03999999998</v>
      </c>
      <c r="H345" s="391"/>
      <c r="I345" s="406">
        <f t="shared" ref="I345:J345" si="190">SUM(I342:I344)</f>
        <v>0</v>
      </c>
      <c r="J345" s="425">
        <f t="shared" si="190"/>
        <v>683544</v>
      </c>
    </row>
    <row r="346" spans="1:10" ht="23.4" x14ac:dyDescent="0.3">
      <c r="A346" s="274" t="s">
        <v>102</v>
      </c>
      <c r="B346" s="1022" t="s">
        <v>42</v>
      </c>
      <c r="C346" s="269" t="s">
        <v>160</v>
      </c>
      <c r="D346" s="269"/>
      <c r="E346" s="504">
        <v>36.684899999999999</v>
      </c>
      <c r="F346" s="402">
        <f>IFERROR(E346*'01 Prod Physique Boites'!H343,"-")</f>
        <v>0</v>
      </c>
      <c r="G346" s="403">
        <f>IFERROR(E346*'01 Prod Physique Boites'!L343,"-")</f>
        <v>0</v>
      </c>
      <c r="H346" s="381"/>
      <c r="I346" s="382" t="s">
        <v>190</v>
      </c>
      <c r="J346" s="383" t="s">
        <v>190</v>
      </c>
    </row>
    <row r="347" spans="1:10" ht="24" thickBot="1" x14ac:dyDescent="0.35">
      <c r="A347" s="274" t="s">
        <v>102</v>
      </c>
      <c r="B347" s="1024"/>
      <c r="C347" s="279" t="s">
        <v>161</v>
      </c>
      <c r="D347" s="279"/>
      <c r="E347" s="501">
        <v>37.002800000000001</v>
      </c>
      <c r="F347" s="402">
        <f>IFERROR(E347*'01 Prod Physique Boites'!H344,"-")</f>
        <v>0</v>
      </c>
      <c r="G347" s="403">
        <f>IFERROR(E347*'01 Prod Physique Boites'!L344,"-")</f>
        <v>0</v>
      </c>
      <c r="H347" s="387"/>
      <c r="I347" s="388" t="s">
        <v>190</v>
      </c>
      <c r="J347" s="389" t="s">
        <v>190</v>
      </c>
    </row>
    <row r="348" spans="1:10" ht="24" thickBot="1" x14ac:dyDescent="0.35">
      <c r="A348" s="274" t="s">
        <v>102</v>
      </c>
      <c r="B348" s="1034" t="s">
        <v>43</v>
      </c>
      <c r="C348" s="1035"/>
      <c r="D348" s="1036"/>
      <c r="E348" s="390"/>
      <c r="F348" s="402">
        <f>IFERROR(E348*'01 Prod Physique Boites'!H347,"-")</f>
        <v>0</v>
      </c>
      <c r="G348" s="407">
        <f>IFERROR(E348*'01 Prod Physique Boites'!L347,"-")</f>
        <v>0</v>
      </c>
      <c r="H348" s="391"/>
      <c r="I348" s="406">
        <f t="shared" ref="I348:J348" si="191">SUM(I346:I347)</f>
        <v>0</v>
      </c>
      <c r="J348" s="425">
        <f t="shared" si="191"/>
        <v>0</v>
      </c>
    </row>
    <row r="349" spans="1:10" ht="24" thickBot="1" x14ac:dyDescent="0.35">
      <c r="A349" s="274" t="s">
        <v>102</v>
      </c>
      <c r="B349" s="1028" t="s">
        <v>25</v>
      </c>
      <c r="C349" s="1029"/>
      <c r="D349" s="1030"/>
      <c r="E349" s="393"/>
      <c r="F349" s="410">
        <f>+F328+F333+F336+F341+F345+F348</f>
        <v>1618024.6770000001</v>
      </c>
      <c r="G349" s="411">
        <f>+G328+G333+G336+G341+G345+G348</f>
        <v>3474337.0710000005</v>
      </c>
      <c r="H349" s="394"/>
      <c r="I349" s="410">
        <f>+I328+I333+I336+I341+I345+I348</f>
        <v>2977722.7</v>
      </c>
      <c r="J349" s="428">
        <f>+J328+J333+J336+J341+J345+J348</f>
        <v>6498925.5</v>
      </c>
    </row>
    <row r="350" spans="1:10" ht="24" thickBot="1" x14ac:dyDescent="0.35">
      <c r="A350" s="318" t="s">
        <v>102</v>
      </c>
      <c r="B350" s="1020" t="s">
        <v>173</v>
      </c>
      <c r="C350" s="1020"/>
      <c r="D350" s="1021"/>
      <c r="E350" s="395"/>
      <c r="F350" s="412">
        <f t="shared" ref="F350:G350" si="192">+F349</f>
        <v>1618024.6770000001</v>
      </c>
      <c r="G350" s="413">
        <f t="shared" si="192"/>
        <v>3474337.0710000005</v>
      </c>
      <c r="H350" s="396"/>
      <c r="I350" s="412">
        <f t="shared" ref="I350" si="193">+I349</f>
        <v>2977722.7</v>
      </c>
      <c r="J350" s="429">
        <f>+J349</f>
        <v>6498925.5</v>
      </c>
    </row>
    <row r="351" spans="1:10" ht="24.6" thickBot="1" x14ac:dyDescent="0.35">
      <c r="A351" s="319"/>
      <c r="B351" s="1031" t="s">
        <v>174</v>
      </c>
      <c r="C351" s="1032"/>
      <c r="D351" s="1033"/>
      <c r="E351" s="401"/>
      <c r="F351" s="418">
        <f>+F289+F324+F350</f>
        <v>6514509.0122000007</v>
      </c>
      <c r="G351" s="418">
        <f>+G289+G324+G350</f>
        <v>16668552.495800002</v>
      </c>
      <c r="H351" s="401"/>
      <c r="I351" s="418">
        <f>+I289+I324+I350</f>
        <v>9193854.9400000013</v>
      </c>
      <c r="J351" s="432">
        <f>+J289+J324+J350</f>
        <v>22929203.100000001</v>
      </c>
    </row>
    <row r="352" spans="1:10" ht="24.6" customHeight="1" thickBot="1" x14ac:dyDescent="0.35">
      <c r="A352" s="230"/>
      <c r="B352" s="230"/>
      <c r="C352" s="230"/>
      <c r="D352" s="230"/>
      <c r="E352" s="378"/>
      <c r="F352" s="378"/>
      <c r="G352" s="378"/>
      <c r="H352" s="378"/>
      <c r="I352" s="378"/>
      <c r="J352" s="378"/>
    </row>
    <row r="353" spans="1:15" ht="23.4" x14ac:dyDescent="0.3">
      <c r="A353" s="1057" t="s">
        <v>1</v>
      </c>
      <c r="B353" s="1060" t="s">
        <v>2</v>
      </c>
      <c r="C353" s="1063" t="s">
        <v>396</v>
      </c>
      <c r="D353" s="1063" t="s">
        <v>397</v>
      </c>
      <c r="E353" s="1092" t="s">
        <v>405</v>
      </c>
      <c r="F353" s="1093"/>
      <c r="G353" s="1093"/>
      <c r="H353" s="442"/>
      <c r="I353" s="442"/>
      <c r="J353" s="443"/>
    </row>
    <row r="354" spans="1:15" ht="23.4" x14ac:dyDescent="0.3">
      <c r="A354" s="1058"/>
      <c r="B354" s="1061"/>
      <c r="C354" s="1064"/>
      <c r="D354" s="1064"/>
      <c r="E354" s="1094" t="s">
        <v>408</v>
      </c>
      <c r="F354" s="1095"/>
      <c r="G354" s="1096"/>
      <c r="H354" s="1094" t="s">
        <v>168</v>
      </c>
      <c r="I354" s="1095"/>
      <c r="J354" s="1096"/>
    </row>
    <row r="355" spans="1:15" ht="46.8" x14ac:dyDescent="0.3">
      <c r="A355" s="1059"/>
      <c r="B355" s="1090"/>
      <c r="C355" s="1091"/>
      <c r="D355" s="1091"/>
      <c r="E355" s="379" t="s">
        <v>170</v>
      </c>
      <c r="F355" s="783" t="s">
        <v>407</v>
      </c>
      <c r="G355" s="784" t="s">
        <v>406</v>
      </c>
      <c r="H355" s="1097" t="s">
        <v>170</v>
      </c>
      <c r="I355" s="1099" t="s">
        <v>137</v>
      </c>
      <c r="J355" s="1101" t="s">
        <v>406</v>
      </c>
    </row>
    <row r="356" spans="1:15" ht="24" thickBot="1" x14ac:dyDescent="0.35">
      <c r="A356" s="1059"/>
      <c r="B356" s="1062"/>
      <c r="C356" s="1065"/>
      <c r="D356" s="1065"/>
      <c r="E356" s="1103" t="s">
        <v>493</v>
      </c>
      <c r="F356" s="1104"/>
      <c r="G356" s="1105"/>
      <c r="H356" s="1098"/>
      <c r="I356" s="1100"/>
      <c r="J356" s="1102"/>
    </row>
    <row r="357" spans="1:15" ht="23.4" x14ac:dyDescent="0.3">
      <c r="A357" s="268" t="s">
        <v>103</v>
      </c>
      <c r="B357" s="1043" t="s">
        <v>16</v>
      </c>
      <c r="C357" s="269" t="s">
        <v>368</v>
      </c>
      <c r="D357" s="269" t="s">
        <v>369</v>
      </c>
      <c r="E357" s="705">
        <v>81.360699999999994</v>
      </c>
      <c r="F357" s="402">
        <f>IFERROR(E357*'01 Prod Physique Boites'!H352,"-")</f>
        <v>0</v>
      </c>
      <c r="G357" s="402">
        <f>IFERROR(E357*'01 Prod Physique Boites'!L352,"-")</f>
        <v>0</v>
      </c>
      <c r="H357" s="706">
        <v>143.28</v>
      </c>
      <c r="I357" s="419">
        <f>IFERROR(H357*(F357/E357),"-")</f>
        <v>0</v>
      </c>
      <c r="J357" s="420">
        <f t="shared" ref="J357:J359" si="194">IFERROR(H357*(G357/E357),"-")</f>
        <v>0</v>
      </c>
    </row>
    <row r="358" spans="1:15" ht="23.4" x14ac:dyDescent="0.3">
      <c r="A358" s="713"/>
      <c r="B358" s="1044"/>
      <c r="C358" s="275" t="s">
        <v>470</v>
      </c>
      <c r="D358" s="275" t="s">
        <v>375</v>
      </c>
      <c r="E358" s="505">
        <v>81.360699999999994</v>
      </c>
      <c r="F358" s="402">
        <f>IFERROR(E358*'01 Prod Physique Boites'!H353,"-")</f>
        <v>0</v>
      </c>
      <c r="G358" s="402">
        <f>IFERROR(E358*'01 Prod Physique Boites'!L353,"-")</f>
        <v>0</v>
      </c>
      <c r="H358" s="708">
        <v>143.28</v>
      </c>
      <c r="I358" s="419">
        <f>IFERROR(H358*(F358/E358),"-")</f>
        <v>0</v>
      </c>
      <c r="J358" s="420">
        <f t="shared" si="194"/>
        <v>0</v>
      </c>
    </row>
    <row r="359" spans="1:15" ht="23.4" x14ac:dyDescent="0.3">
      <c r="A359" s="274" t="s">
        <v>103</v>
      </c>
      <c r="B359" s="1044"/>
      <c r="C359" s="275" t="s">
        <v>430</v>
      </c>
      <c r="D359" s="275" t="s">
        <v>384</v>
      </c>
      <c r="E359" s="684">
        <v>77.170400000000001</v>
      </c>
      <c r="F359" s="402">
        <f>IFERROR(E359*'01 Prod Physique Boites'!H354,"-")</f>
        <v>0</v>
      </c>
      <c r="G359" s="402">
        <f>IFERROR(E359*'01 Prod Physique Boites'!L354,"-")</f>
        <v>271639.80800000002</v>
      </c>
      <c r="H359" s="385">
        <v>0</v>
      </c>
      <c r="I359" s="419">
        <f>IFERROR(H359*(F359/E359),"-")</f>
        <v>0</v>
      </c>
      <c r="J359" s="420">
        <f t="shared" si="194"/>
        <v>0</v>
      </c>
    </row>
    <row r="360" spans="1:15" ht="24" thickBot="1" x14ac:dyDescent="0.35">
      <c r="A360" s="274" t="s">
        <v>103</v>
      </c>
      <c r="B360" s="1045"/>
      <c r="C360" s="279" t="s">
        <v>262</v>
      </c>
      <c r="D360" s="279" t="s">
        <v>231</v>
      </c>
      <c r="E360" s="501">
        <v>60.703499999999998</v>
      </c>
      <c r="F360" s="402">
        <f>IFERROR(E360*'01 Prod Physique Boites'!H355,"-")</f>
        <v>0</v>
      </c>
      <c r="G360" s="402">
        <f>IFERROR(E360*'01 Prod Physique Boites'!L355,"-")</f>
        <v>0</v>
      </c>
      <c r="H360" s="387">
        <v>111.09</v>
      </c>
      <c r="I360" s="419">
        <f>IFERROR(H360*(F360/E360),"-")</f>
        <v>0</v>
      </c>
      <c r="J360" s="420">
        <f>IFERROR(H360*(G360/E360),"-")</f>
        <v>0</v>
      </c>
    </row>
    <row r="361" spans="1:15" ht="24" thickBot="1" x14ac:dyDescent="0.35">
      <c r="A361" s="274" t="s">
        <v>103</v>
      </c>
      <c r="B361" s="1025" t="s">
        <v>44</v>
      </c>
      <c r="C361" s="1026"/>
      <c r="D361" s="1027"/>
      <c r="E361" s="390"/>
      <c r="F361" s="406">
        <f t="shared" ref="F361" si="195">SUM(F357:F360)</f>
        <v>0</v>
      </c>
      <c r="G361" s="407">
        <f>SUM(G357:G360)</f>
        <v>271639.80800000002</v>
      </c>
      <c r="H361" s="391"/>
      <c r="I361" s="406">
        <f t="shared" ref="I361:J361" si="196">SUM(I357:I360)</f>
        <v>0</v>
      </c>
      <c r="J361" s="425">
        <f t="shared" si="196"/>
        <v>0</v>
      </c>
      <c r="K361" s="704"/>
      <c r="L361" s="704"/>
      <c r="M361" s="704"/>
      <c r="N361" s="704"/>
      <c r="O361" s="704"/>
    </row>
    <row r="362" spans="1:15" ht="23.4" x14ac:dyDescent="0.3">
      <c r="A362" s="274" t="s">
        <v>103</v>
      </c>
      <c r="B362" s="1043" t="s">
        <v>17</v>
      </c>
      <c r="C362" s="269" t="s">
        <v>294</v>
      </c>
      <c r="D362" s="269"/>
      <c r="E362" s="504">
        <v>12.5275</v>
      </c>
      <c r="F362" s="402">
        <f>IFERROR(E362*'01 Prod Physique Boites'!H357,"-")</f>
        <v>0</v>
      </c>
      <c r="G362" s="402">
        <f>IFERROR(E362*'01 Prod Physique Boites'!L357,"-")</f>
        <v>0</v>
      </c>
      <c r="H362" s="681">
        <v>18.836400000000001</v>
      </c>
      <c r="I362" s="419">
        <f t="shared" ref="I362:I368" si="197">IFERROR(H362*(F362/E362),"-")</f>
        <v>0</v>
      </c>
      <c r="J362" s="420">
        <f t="shared" ref="J362:J367" si="198">IFERROR(H362*(G362/E362),"-")</f>
        <v>0</v>
      </c>
    </row>
    <row r="363" spans="1:15" ht="23.4" x14ac:dyDescent="0.3">
      <c r="A363" s="274" t="s">
        <v>103</v>
      </c>
      <c r="B363" s="1044"/>
      <c r="C363" s="275" t="s">
        <v>344</v>
      </c>
      <c r="D363" s="275" t="s">
        <v>232</v>
      </c>
      <c r="E363" s="677">
        <v>13.002700000000001</v>
      </c>
      <c r="F363" s="402">
        <f>IFERROR(E363*'01 Prod Physique Boites'!H358,"-")</f>
        <v>77756.146000000008</v>
      </c>
      <c r="G363" s="402">
        <f>IFERROR(E363*'01 Prod Physique Boites'!L358,"-")</f>
        <v>77756.146000000008</v>
      </c>
      <c r="H363" s="385">
        <v>21.18</v>
      </c>
      <c r="I363" s="421">
        <f t="shared" si="197"/>
        <v>126656.4</v>
      </c>
      <c r="J363" s="422">
        <f t="shared" si="198"/>
        <v>126656.4</v>
      </c>
    </row>
    <row r="364" spans="1:15" ht="23.4" x14ac:dyDescent="0.3">
      <c r="A364" s="274" t="s">
        <v>103</v>
      </c>
      <c r="B364" s="1044"/>
      <c r="C364" s="275" t="s">
        <v>351</v>
      </c>
      <c r="D364" s="275" t="s">
        <v>187</v>
      </c>
      <c r="E364" s="677">
        <v>12.9049</v>
      </c>
      <c r="F364" s="402">
        <f>IFERROR(E364*'01 Prod Physique Boites'!H359,"-")</f>
        <v>1579559.76</v>
      </c>
      <c r="G364" s="402">
        <f>IFERROR(E364*'01 Prod Physique Boites'!L359,"-")</f>
        <v>3238097.5079999999</v>
      </c>
      <c r="H364" s="385">
        <v>20.5</v>
      </c>
      <c r="I364" s="421">
        <f t="shared" si="197"/>
        <v>2509200</v>
      </c>
      <c r="J364" s="422">
        <f t="shared" si="198"/>
        <v>5143860</v>
      </c>
    </row>
    <row r="365" spans="1:15" ht="23.4" x14ac:dyDescent="0.3">
      <c r="A365" s="274" t="s">
        <v>103</v>
      </c>
      <c r="B365" s="1044"/>
      <c r="C365" s="275" t="s">
        <v>293</v>
      </c>
      <c r="D365" s="275" t="s">
        <v>188</v>
      </c>
      <c r="E365" s="505">
        <v>13.078200000000001</v>
      </c>
      <c r="F365" s="402">
        <f>IFERROR(E365*'01 Prod Physique Boites'!H360,"-")</f>
        <v>0</v>
      </c>
      <c r="G365" s="402">
        <f>IFERROR(E365*'01 Prod Physique Boites'!L360,"-")</f>
        <v>0</v>
      </c>
      <c r="H365" s="385">
        <v>20.6</v>
      </c>
      <c r="I365" s="421">
        <f t="shared" si="197"/>
        <v>0</v>
      </c>
      <c r="J365" s="422">
        <f t="shared" si="198"/>
        <v>0</v>
      </c>
    </row>
    <row r="366" spans="1:15" ht="23.4" x14ac:dyDescent="0.3">
      <c r="A366" s="274" t="s">
        <v>103</v>
      </c>
      <c r="B366" s="1044"/>
      <c r="C366" s="275" t="s">
        <v>323</v>
      </c>
      <c r="D366" s="275" t="s">
        <v>318</v>
      </c>
      <c r="E366" s="505">
        <v>13.1958</v>
      </c>
      <c r="F366" s="402">
        <f>IFERROR(E366*'01 Prod Physique Boites'!H361,"-")</f>
        <v>0</v>
      </c>
      <c r="G366" s="402">
        <f>IFERROR(E366*'01 Prod Physique Boites'!L361,"-")</f>
        <v>0</v>
      </c>
      <c r="H366" s="385">
        <v>21.28</v>
      </c>
      <c r="I366" s="421">
        <f t="shared" si="197"/>
        <v>0</v>
      </c>
      <c r="J366" s="422">
        <f t="shared" si="198"/>
        <v>0</v>
      </c>
    </row>
    <row r="367" spans="1:15" ht="23.4" x14ac:dyDescent="0.3">
      <c r="A367" s="274">
        <v>1</v>
      </c>
      <c r="B367" s="1044"/>
      <c r="C367" s="275" t="s">
        <v>352</v>
      </c>
      <c r="D367" s="275" t="s">
        <v>189</v>
      </c>
      <c r="E367" s="677">
        <v>12.9049</v>
      </c>
      <c r="F367" s="402">
        <f>IFERROR(E367*'01 Prod Physique Boites'!H362,"-")</f>
        <v>0</v>
      </c>
      <c r="G367" s="402">
        <f>IFERROR(E367*'01 Prod Physique Boites'!L362,"-")</f>
        <v>0</v>
      </c>
      <c r="H367" s="664">
        <v>20.5</v>
      </c>
      <c r="I367" s="421">
        <f t="shared" si="197"/>
        <v>0</v>
      </c>
      <c r="J367" s="422">
        <f t="shared" si="198"/>
        <v>0</v>
      </c>
    </row>
    <row r="368" spans="1:15" ht="24" thickBot="1" x14ac:dyDescent="0.35">
      <c r="A368" s="274" t="s">
        <v>103</v>
      </c>
      <c r="B368" s="1045"/>
      <c r="C368" s="279" t="s">
        <v>341</v>
      </c>
      <c r="D368" s="279" t="s">
        <v>175</v>
      </c>
      <c r="E368" s="501">
        <v>13.6509</v>
      </c>
      <c r="F368" s="402">
        <f>IFERROR(E368*'01 Prod Physique Boites'!H363,"-")</f>
        <v>0</v>
      </c>
      <c r="G368" s="402">
        <f>IFERROR(E368*'01 Prod Physique Boites'!L363,"-")</f>
        <v>0</v>
      </c>
      <c r="H368" s="387">
        <v>21.18</v>
      </c>
      <c r="I368" s="423">
        <f t="shared" si="197"/>
        <v>0</v>
      </c>
      <c r="J368" s="424">
        <f>IFERROR(H368*(G368/E368),"-")</f>
        <v>0</v>
      </c>
    </row>
    <row r="369" spans="1:15" ht="24" thickBot="1" x14ac:dyDescent="0.35">
      <c r="A369" s="274" t="s">
        <v>103</v>
      </c>
      <c r="B369" s="1025" t="s">
        <v>45</v>
      </c>
      <c r="C369" s="1026"/>
      <c r="D369" s="1027"/>
      <c r="E369" s="390"/>
      <c r="F369" s="406">
        <f t="shared" ref="F369" si="199">SUM(F362:F368)</f>
        <v>1657315.906</v>
      </c>
      <c r="G369" s="407">
        <f>SUM(G362:G368)</f>
        <v>3315853.6540000001</v>
      </c>
      <c r="H369" s="391"/>
      <c r="I369" s="406">
        <f t="shared" ref="I369" si="200">SUM(I362:I368)</f>
        <v>2635856.4</v>
      </c>
      <c r="J369" s="425">
        <f>SUM(J362:J368)</f>
        <v>5270516.4000000004</v>
      </c>
      <c r="K369" s="704"/>
      <c r="L369" s="704"/>
      <c r="M369" s="704"/>
      <c r="N369" s="704"/>
      <c r="O369" s="704"/>
    </row>
    <row r="370" spans="1:15" ht="23.4" x14ac:dyDescent="0.3">
      <c r="A370" s="274" t="s">
        <v>103</v>
      </c>
      <c r="B370" s="1043" t="s">
        <v>18</v>
      </c>
      <c r="C370" s="269" t="s">
        <v>312</v>
      </c>
      <c r="D370" s="269" t="s">
        <v>92</v>
      </c>
      <c r="E370" s="504">
        <v>17.8202</v>
      </c>
      <c r="F370" s="402">
        <f>IFERROR(E370*'01 Prod Physique Boites'!H365,"-")</f>
        <v>0</v>
      </c>
      <c r="G370" s="403">
        <f>IFERROR(E370*'01 Prod Physique Boites'!L365,"-")</f>
        <v>0</v>
      </c>
      <c r="H370" s="381">
        <v>24.93</v>
      </c>
      <c r="I370" s="419">
        <f t="shared" ref="I370:I376" si="201">IFERROR(H370*(F370/E370),"-")</f>
        <v>0</v>
      </c>
      <c r="J370" s="420">
        <f t="shared" ref="J370:J372" si="202">IFERROR(H370*(G370/E370),"-")</f>
        <v>0</v>
      </c>
    </row>
    <row r="371" spans="1:15" ht="23.4" x14ac:dyDescent="0.3">
      <c r="A371" s="274" t="s">
        <v>103</v>
      </c>
      <c r="B371" s="1044"/>
      <c r="C371" s="275" t="s">
        <v>130</v>
      </c>
      <c r="D371" s="275"/>
      <c r="E371" s="505">
        <v>17.8202</v>
      </c>
      <c r="F371" s="402">
        <f>IFERROR(E371*'01 Prod Physique Boites'!H366,"-")</f>
        <v>0</v>
      </c>
      <c r="G371" s="403">
        <f>IFERROR(E371*'01 Prod Physique Boites'!L366,"-")</f>
        <v>0</v>
      </c>
      <c r="H371" s="385">
        <v>0</v>
      </c>
      <c r="I371" s="421">
        <f t="shared" si="201"/>
        <v>0</v>
      </c>
      <c r="J371" s="422">
        <f t="shared" si="202"/>
        <v>0</v>
      </c>
    </row>
    <row r="372" spans="1:15" ht="23.4" x14ac:dyDescent="0.3">
      <c r="A372" s="274" t="s">
        <v>103</v>
      </c>
      <c r="B372" s="1044"/>
      <c r="C372" s="275" t="s">
        <v>115</v>
      </c>
      <c r="D372" s="275"/>
      <c r="E372" s="505">
        <v>16.4071</v>
      </c>
      <c r="F372" s="402">
        <f>IFERROR(E372*'01 Prod Physique Boites'!H367,"-")</f>
        <v>0</v>
      </c>
      <c r="G372" s="403">
        <f>IFERROR(E372*'01 Prod Physique Boites'!L367,"-")</f>
        <v>0</v>
      </c>
      <c r="H372" s="385">
        <v>0</v>
      </c>
      <c r="I372" s="421">
        <f t="shared" si="201"/>
        <v>0</v>
      </c>
      <c r="J372" s="422">
        <f t="shared" si="202"/>
        <v>0</v>
      </c>
    </row>
    <row r="373" spans="1:15" ht="23.4" x14ac:dyDescent="0.3">
      <c r="A373" s="274" t="s">
        <v>103</v>
      </c>
      <c r="B373" s="1044"/>
      <c r="C373" s="275" t="s">
        <v>122</v>
      </c>
      <c r="D373" s="275"/>
      <c r="E373" s="505">
        <v>17.8202</v>
      </c>
      <c r="F373" s="402">
        <f>IFERROR(E373*'01 Prod Physique Boites'!H368,"-")</f>
        <v>0</v>
      </c>
      <c r="G373" s="403">
        <f>IFERROR(E373*'01 Prod Physique Boites'!L368,"-")</f>
        <v>0</v>
      </c>
      <c r="H373" s="385">
        <v>0</v>
      </c>
      <c r="I373" s="421">
        <f t="shared" si="201"/>
        <v>0</v>
      </c>
      <c r="J373" s="422">
        <f>IFERROR(H373*(G373/E373),"-")</f>
        <v>0</v>
      </c>
    </row>
    <row r="374" spans="1:15" ht="23.4" x14ac:dyDescent="0.3">
      <c r="A374" s="274" t="s">
        <v>103</v>
      </c>
      <c r="B374" s="1044"/>
      <c r="C374" s="275" t="s">
        <v>176</v>
      </c>
      <c r="D374" s="275" t="s">
        <v>177</v>
      </c>
      <c r="E374" s="505">
        <v>17.8202</v>
      </c>
      <c r="F374" s="402">
        <f>IFERROR(E374*'01 Prod Physique Boites'!H369,"-")</f>
        <v>0</v>
      </c>
      <c r="G374" s="403">
        <f>IFERROR(E374*'01 Prod Physique Boites'!L369,"-")</f>
        <v>0</v>
      </c>
      <c r="H374" s="385">
        <v>0</v>
      </c>
      <c r="I374" s="421">
        <f t="shared" si="201"/>
        <v>0</v>
      </c>
      <c r="J374" s="422">
        <f t="shared" ref="J374:J376" si="203">IFERROR(H374*(G374/E374),"-")</f>
        <v>0</v>
      </c>
    </row>
    <row r="375" spans="1:15" ht="23.4" x14ac:dyDescent="0.3">
      <c r="A375" s="274" t="s">
        <v>103</v>
      </c>
      <c r="B375" s="1044"/>
      <c r="C375" s="275" t="s">
        <v>179</v>
      </c>
      <c r="D375" s="275" t="s">
        <v>178</v>
      </c>
      <c r="E375" s="505">
        <v>16.7288</v>
      </c>
      <c r="F375" s="402">
        <f>IFERROR(E375*'01 Prod Physique Boites'!H370,"-")</f>
        <v>0</v>
      </c>
      <c r="G375" s="403">
        <f>IFERROR(E375*'01 Prod Physique Boites'!L370,"-")</f>
        <v>0</v>
      </c>
      <c r="H375" s="385">
        <v>0</v>
      </c>
      <c r="I375" s="421">
        <f t="shared" si="201"/>
        <v>0</v>
      </c>
      <c r="J375" s="422">
        <f t="shared" si="203"/>
        <v>0</v>
      </c>
    </row>
    <row r="376" spans="1:15" ht="24" thickBot="1" x14ac:dyDescent="0.35">
      <c r="A376" s="274" t="s">
        <v>103</v>
      </c>
      <c r="B376" s="1045"/>
      <c r="C376" s="286" t="s">
        <v>180</v>
      </c>
      <c r="D376" s="286" t="s">
        <v>107</v>
      </c>
      <c r="E376" s="501">
        <v>17.8202</v>
      </c>
      <c r="F376" s="402">
        <f>IFERROR(E376*'01 Prod Physique Boites'!H371,"-")</f>
        <v>0</v>
      </c>
      <c r="G376" s="403">
        <f>IFERROR(E376*'01 Prod Physique Boites'!L371,"-")</f>
        <v>0</v>
      </c>
      <c r="H376" s="385">
        <v>0</v>
      </c>
      <c r="I376" s="423">
        <f t="shared" si="201"/>
        <v>0</v>
      </c>
      <c r="J376" s="424">
        <f t="shared" si="203"/>
        <v>0</v>
      </c>
    </row>
    <row r="377" spans="1:15" ht="24" thickBot="1" x14ac:dyDescent="0.35">
      <c r="A377" s="274" t="s">
        <v>103</v>
      </c>
      <c r="B377" s="1025" t="s">
        <v>29</v>
      </c>
      <c r="C377" s="1026"/>
      <c r="D377" s="1027"/>
      <c r="E377" s="648"/>
      <c r="F377" s="649">
        <f t="shared" ref="F377:G377" si="204">SUM(F370:F376)</f>
        <v>0</v>
      </c>
      <c r="G377" s="407">
        <f t="shared" si="204"/>
        <v>0</v>
      </c>
      <c r="H377" s="391"/>
      <c r="I377" s="406">
        <f t="shared" ref="I377:J377" si="205">SUM(I370:I376)</f>
        <v>0</v>
      </c>
      <c r="J377" s="425">
        <f t="shared" si="205"/>
        <v>0</v>
      </c>
    </row>
    <row r="378" spans="1:15" ht="24" thickBot="1" x14ac:dyDescent="0.35">
      <c r="A378" s="274"/>
      <c r="B378" s="1085" t="s">
        <v>19</v>
      </c>
      <c r="C378" s="650" t="s">
        <v>235</v>
      </c>
      <c r="D378" s="656" t="s">
        <v>177</v>
      </c>
      <c r="E378" s="657">
        <v>12.2659</v>
      </c>
      <c r="F378" s="658">
        <f>IFERROR(E378*'01 Prod Physique Boites'!H373,"-")</f>
        <v>0</v>
      </c>
      <c r="G378" s="659">
        <f>IFERROR(E378*'01 Prod Physique Boites'!L373,"-")</f>
        <v>0</v>
      </c>
      <c r="H378" s="653">
        <v>14.79</v>
      </c>
      <c r="I378" s="638">
        <f t="shared" ref="I378:I380" si="206">IFERROR(H378*(F378/E378),"-")</f>
        <v>0</v>
      </c>
      <c r="J378" s="638">
        <f>IFERROR(H378*(G378/E378),"-")</f>
        <v>0</v>
      </c>
    </row>
    <row r="379" spans="1:15" ht="24" thickBot="1" x14ac:dyDescent="0.35">
      <c r="A379" s="274"/>
      <c r="B379" s="1086"/>
      <c r="C379" s="651" t="s">
        <v>359</v>
      </c>
      <c r="D379" s="660" t="s">
        <v>423</v>
      </c>
      <c r="E379" s="642">
        <v>12.2659</v>
      </c>
      <c r="F379" s="658">
        <f>IFERROR(E379*'01 Prod Physique Boites'!H374,"-")</f>
        <v>2072446.4640000002</v>
      </c>
      <c r="G379" s="633">
        <f>IFERROR(E379*'01 Prod Physique Boites'!L374,"-")</f>
        <v>7046317.9775999999</v>
      </c>
      <c r="H379" s="654">
        <v>14.55</v>
      </c>
      <c r="I379" s="643">
        <f t="shared" si="206"/>
        <v>2458368</v>
      </c>
      <c r="J379" s="643">
        <f>IFERROR(H379*(G379/E379),"-")</f>
        <v>8358451.2000000002</v>
      </c>
    </row>
    <row r="380" spans="1:15" ht="24" thickBot="1" x14ac:dyDescent="0.35">
      <c r="A380" s="785" t="s">
        <v>103</v>
      </c>
      <c r="B380" s="1087"/>
      <c r="C380" s="652" t="s">
        <v>342</v>
      </c>
      <c r="D380" s="661"/>
      <c r="E380" s="662">
        <v>0</v>
      </c>
      <c r="F380" s="658">
        <f>IFERROR(E380*'01 Prod Physique Boites'!H375,"-")</f>
        <v>0</v>
      </c>
      <c r="G380" s="663">
        <f>IFERROR(E380*'01 Prod Physique Boites'!L375,"-")</f>
        <v>0</v>
      </c>
      <c r="H380" s="655">
        <v>0</v>
      </c>
      <c r="I380" s="426" t="str">
        <f t="shared" si="206"/>
        <v>-</v>
      </c>
      <c r="J380" s="427" t="str">
        <f t="shared" ref="J380" si="207">IFERROR(I380*(G380/F380),"-")</f>
        <v>-</v>
      </c>
    </row>
    <row r="381" spans="1:15" ht="24" thickBot="1" x14ac:dyDescent="0.35">
      <c r="A381" s="274" t="s">
        <v>103</v>
      </c>
      <c r="B381" s="1025" t="s">
        <v>46</v>
      </c>
      <c r="C381" s="1026"/>
      <c r="D381" s="1027"/>
      <c r="E381" s="390"/>
      <c r="F381" s="406">
        <f>SUM(F378:F380)</f>
        <v>2072446.4640000002</v>
      </c>
      <c r="G381" s="406">
        <f>SUM(G378:G380)</f>
        <v>7046317.9775999999</v>
      </c>
      <c r="H381" s="391"/>
      <c r="I381" s="406">
        <f>SUM(I378:I380)</f>
        <v>2458368</v>
      </c>
      <c r="J381" s="425">
        <f>SUM(J378:J380)</f>
        <v>8358451.2000000002</v>
      </c>
    </row>
    <row r="382" spans="1:15" ht="23.4" x14ac:dyDescent="0.3">
      <c r="A382" s="274" t="s">
        <v>103</v>
      </c>
      <c r="B382" s="1043" t="s">
        <v>20</v>
      </c>
      <c r="C382" s="291" t="s">
        <v>317</v>
      </c>
      <c r="D382" s="291" t="s">
        <v>289</v>
      </c>
      <c r="E382" s="504">
        <v>26.032900000000001</v>
      </c>
      <c r="F382" s="402">
        <f>IFERROR(E382*'01 Prod Physique Boites'!H377,"-")</f>
        <v>0</v>
      </c>
      <c r="G382" s="403">
        <f>IFERROR(E382*'01 Prod Physique Boites'!L377,"-")</f>
        <v>0</v>
      </c>
      <c r="H382" s="381">
        <v>36.44</v>
      </c>
      <c r="I382" s="419">
        <f>IFERROR(H382*(F382/E382),"-")</f>
        <v>0</v>
      </c>
      <c r="J382" s="420">
        <f t="shared" ref="J382:J384" si="208">IFERROR(H382*(G382/E382),"-")</f>
        <v>0</v>
      </c>
    </row>
    <row r="383" spans="1:15" ht="23.4" x14ac:dyDescent="0.3">
      <c r="A383" s="274" t="s">
        <v>103</v>
      </c>
      <c r="B383" s="1044"/>
      <c r="C383" s="292" t="s">
        <v>114</v>
      </c>
      <c r="D383" s="292"/>
      <c r="E383" s="384">
        <v>24.2607</v>
      </c>
      <c r="F383" s="402">
        <f>IFERROR(E383*'01 Prod Physique Boites'!H378,"-")</f>
        <v>0</v>
      </c>
      <c r="G383" s="403">
        <f>IFERROR(E383*'01 Prod Physique Boites'!L378,"-")</f>
        <v>0</v>
      </c>
      <c r="H383" s="385">
        <v>37.369999999999997</v>
      </c>
      <c r="I383" s="421">
        <f>IFERROR(H383*(F383/E383),"-")</f>
        <v>0</v>
      </c>
      <c r="J383" s="422">
        <f t="shared" si="208"/>
        <v>0</v>
      </c>
    </row>
    <row r="384" spans="1:15" ht="24" thickBot="1" x14ac:dyDescent="0.35">
      <c r="A384" s="274" t="s">
        <v>103</v>
      </c>
      <c r="B384" s="1045"/>
      <c r="C384" s="293" t="s">
        <v>120</v>
      </c>
      <c r="D384" s="293"/>
      <c r="E384" s="386">
        <v>26.035799999999998</v>
      </c>
      <c r="F384" s="402">
        <f>IFERROR(E384*'01 Prod Physique Boites'!H379,"-")</f>
        <v>0</v>
      </c>
      <c r="G384" s="403">
        <f>IFERROR(E384*'01 Prod Physique Boites'!L379,"-")</f>
        <v>0</v>
      </c>
      <c r="H384" s="387">
        <v>37.11</v>
      </c>
      <c r="I384" s="423">
        <f>IFERROR(H384*(F384/E384),"-")</f>
        <v>0</v>
      </c>
      <c r="J384" s="424">
        <f t="shared" si="208"/>
        <v>0</v>
      </c>
    </row>
    <row r="385" spans="1:10" ht="24" thickBot="1" x14ac:dyDescent="0.35">
      <c r="A385" s="274" t="s">
        <v>103</v>
      </c>
      <c r="B385" s="1026" t="s">
        <v>47</v>
      </c>
      <c r="C385" s="1026"/>
      <c r="D385" s="1046"/>
      <c r="E385" s="390"/>
      <c r="F385" s="406">
        <f t="shared" ref="F385:G385" si="209">SUM(F382:F384)</f>
        <v>0</v>
      </c>
      <c r="G385" s="407">
        <f t="shared" si="209"/>
        <v>0</v>
      </c>
      <c r="H385" s="391"/>
      <c r="I385" s="406">
        <f t="shared" ref="I385:J385" si="210">SUM(I382:I384)</f>
        <v>0</v>
      </c>
      <c r="J385" s="425">
        <f t="shared" si="210"/>
        <v>0</v>
      </c>
    </row>
    <row r="386" spans="1:10" ht="24" thickBot="1" x14ac:dyDescent="0.35">
      <c r="A386" s="274" t="s">
        <v>103</v>
      </c>
      <c r="B386" s="1047" t="s">
        <v>21</v>
      </c>
      <c r="C386" s="1048"/>
      <c r="D386" s="1049"/>
      <c r="E386" s="393"/>
      <c r="F386" s="410">
        <f>+F361+F369+F377+F381+F385</f>
        <v>3729762.37</v>
      </c>
      <c r="G386" s="411">
        <f>+G361+G369+G377+G381+G385</f>
        <v>10633811.4396</v>
      </c>
      <c r="H386" s="394"/>
      <c r="I386" s="410">
        <f>+I361+I369+I377+I381+I385</f>
        <v>5094224.4000000004</v>
      </c>
      <c r="J386" s="428">
        <f>+J361+J369+J377+J381+J385</f>
        <v>13628967.600000001</v>
      </c>
    </row>
    <row r="387" spans="1:10" ht="23.4" x14ac:dyDescent="0.3">
      <c r="A387" s="274" t="s">
        <v>103</v>
      </c>
      <c r="B387" s="1043" t="s">
        <v>400</v>
      </c>
      <c r="C387" s="269" t="s">
        <v>125</v>
      </c>
      <c r="D387" s="269"/>
      <c r="E387" s="380">
        <v>22.820599999999999</v>
      </c>
      <c r="F387" s="402">
        <f>IFERROR(E387*'01 Prod Physique Boites'!H382,"-")</f>
        <v>0</v>
      </c>
      <c r="G387" s="403">
        <f>IFERROR(E387*'01 Prod Physique Boites'!L382,"-")</f>
        <v>0</v>
      </c>
      <c r="H387" s="381">
        <v>27.5</v>
      </c>
      <c r="I387" s="419">
        <f>IFERROR(H387*(F387/E387),"-")</f>
        <v>0</v>
      </c>
      <c r="J387" s="420">
        <f t="shared" ref="J387:J390" si="211">IFERROR(H387*(G387/E387),"-")</f>
        <v>0</v>
      </c>
    </row>
    <row r="388" spans="1:10" ht="23.4" x14ac:dyDescent="0.3">
      <c r="A388" s="274" t="s">
        <v>103</v>
      </c>
      <c r="B388" s="1044"/>
      <c r="C388" s="295" t="s">
        <v>263</v>
      </c>
      <c r="D388" s="295" t="s">
        <v>181</v>
      </c>
      <c r="E388" s="384">
        <v>23.570699999999999</v>
      </c>
      <c r="F388" s="402">
        <f>IFERROR(E388*'01 Prod Physique Boites'!H383,"-")</f>
        <v>0</v>
      </c>
      <c r="G388" s="403">
        <f>IFERROR(E388*'01 Prod Physique Boites'!L383,"-")</f>
        <v>0</v>
      </c>
      <c r="H388" s="385">
        <v>27.5</v>
      </c>
      <c r="I388" s="421">
        <f>IFERROR(H388*(F388/E388),"-")</f>
        <v>0</v>
      </c>
      <c r="J388" s="422">
        <f t="shared" si="211"/>
        <v>0</v>
      </c>
    </row>
    <row r="389" spans="1:10" ht="23.4" x14ac:dyDescent="0.3">
      <c r="A389" s="274" t="s">
        <v>103</v>
      </c>
      <c r="B389" s="1044"/>
      <c r="C389" s="295" t="s">
        <v>362</v>
      </c>
      <c r="D389" s="295" t="s">
        <v>181</v>
      </c>
      <c r="E389" s="384">
        <v>22.820599999999999</v>
      </c>
      <c r="F389" s="402">
        <f>IFERROR(E389*'01 Prod Physique Boites'!H384,"-")</f>
        <v>0</v>
      </c>
      <c r="G389" s="403">
        <f>IFERROR(E389*'01 Prod Physique Boites'!L384,"-")</f>
        <v>0</v>
      </c>
      <c r="H389" s="385">
        <v>27.5</v>
      </c>
      <c r="I389" s="421">
        <f>IFERROR(H389*(F389/E389),"-")</f>
        <v>0</v>
      </c>
      <c r="J389" s="422">
        <f t="shared" si="211"/>
        <v>0</v>
      </c>
    </row>
    <row r="390" spans="1:10" ht="24" thickBot="1" x14ac:dyDescent="0.35">
      <c r="A390" s="274" t="s">
        <v>103</v>
      </c>
      <c r="B390" s="1045"/>
      <c r="C390" s="279" t="s">
        <v>182</v>
      </c>
      <c r="D390" s="279" t="s">
        <v>93</v>
      </c>
      <c r="E390" s="386">
        <v>23.5685</v>
      </c>
      <c r="F390" s="402">
        <f>IFERROR(E390*'01 Prod Physique Boites'!H385,"-")</f>
        <v>0</v>
      </c>
      <c r="G390" s="403">
        <f>IFERROR(E390*'01 Prod Physique Boites'!L385,"-")</f>
        <v>0</v>
      </c>
      <c r="H390" s="387">
        <v>24</v>
      </c>
      <c r="I390" s="423">
        <f>IFERROR(H390*(F390/E390),"-")</f>
        <v>0</v>
      </c>
      <c r="J390" s="424">
        <f t="shared" si="211"/>
        <v>0</v>
      </c>
    </row>
    <row r="391" spans="1:10" ht="24" thickBot="1" x14ac:dyDescent="0.35">
      <c r="A391" s="274" t="s">
        <v>103</v>
      </c>
      <c r="B391" s="1025" t="s">
        <v>48</v>
      </c>
      <c r="C391" s="1026"/>
      <c r="D391" s="1027"/>
      <c r="E391" s="390"/>
      <c r="F391" s="406">
        <f t="shared" ref="F391:G391" si="212">SUM(F387:F390)</f>
        <v>0</v>
      </c>
      <c r="G391" s="407">
        <f t="shared" si="212"/>
        <v>0</v>
      </c>
      <c r="H391" s="391"/>
      <c r="I391" s="406">
        <f t="shared" ref="I391:J391" si="213">SUM(I387:I390)</f>
        <v>0</v>
      </c>
      <c r="J391" s="425">
        <f t="shared" si="213"/>
        <v>0</v>
      </c>
    </row>
    <row r="392" spans="1:10" ht="23.4" x14ac:dyDescent="0.3">
      <c r="A392" s="274" t="s">
        <v>103</v>
      </c>
      <c r="B392" s="1043" t="s">
        <v>23</v>
      </c>
      <c r="C392" s="296" t="s">
        <v>308</v>
      </c>
      <c r="D392" s="296" t="s">
        <v>238</v>
      </c>
      <c r="E392" s="380">
        <v>101.4935</v>
      </c>
      <c r="F392" s="402">
        <f>IFERROR(E392*'01 Prod Physique Boites'!H387,"-")</f>
        <v>0</v>
      </c>
      <c r="G392" s="403">
        <f>IFERROR(E392*'01 Prod Physique Boites'!L387,"-")</f>
        <v>0</v>
      </c>
      <c r="H392" s="385">
        <v>160.44999999999999</v>
      </c>
      <c r="I392" s="419">
        <f t="shared" ref="I392:I400" si="214">IFERROR(H392*(F392/E392),"-")</f>
        <v>0</v>
      </c>
      <c r="J392" s="420">
        <f t="shared" ref="J392:J400" si="215">IFERROR(H392*(G392/E392),"-")</f>
        <v>0</v>
      </c>
    </row>
    <row r="393" spans="1:10" ht="23.4" x14ac:dyDescent="0.3">
      <c r="A393" s="274" t="s">
        <v>103</v>
      </c>
      <c r="B393" s="1044"/>
      <c r="C393" s="275" t="s">
        <v>24</v>
      </c>
      <c r="D393" s="275" t="s">
        <v>238</v>
      </c>
      <c r="E393" s="384">
        <v>101.4935</v>
      </c>
      <c r="F393" s="402">
        <f>IFERROR(E393*'01 Prod Physique Boites'!H388,"-")</f>
        <v>0</v>
      </c>
      <c r="G393" s="403">
        <f>IFERROR(E393*'01 Prod Physique Boites'!L388,"-")</f>
        <v>0</v>
      </c>
      <c r="H393" s="385">
        <v>160.44999999999999</v>
      </c>
      <c r="I393" s="421">
        <f t="shared" si="214"/>
        <v>0</v>
      </c>
      <c r="J393" s="422">
        <f t="shared" si="215"/>
        <v>0</v>
      </c>
    </row>
    <row r="394" spans="1:10" ht="23.4" x14ac:dyDescent="0.3">
      <c r="A394" s="274" t="s">
        <v>103</v>
      </c>
      <c r="B394" s="1044"/>
      <c r="C394" s="275" t="s">
        <v>236</v>
      </c>
      <c r="D394" s="275" t="s">
        <v>238</v>
      </c>
      <c r="E394" s="384">
        <v>101.4935</v>
      </c>
      <c r="F394" s="402">
        <f>IFERROR(E394*'01 Prod Physique Boites'!H389,"-")</f>
        <v>0</v>
      </c>
      <c r="G394" s="403">
        <f>IFERROR(E394*'01 Prod Physique Boites'!L389,"-")</f>
        <v>0</v>
      </c>
      <c r="H394" s="385">
        <v>160.44999999999999</v>
      </c>
      <c r="I394" s="421">
        <f t="shared" si="214"/>
        <v>0</v>
      </c>
      <c r="J394" s="422">
        <f t="shared" si="215"/>
        <v>0</v>
      </c>
    </row>
    <row r="395" spans="1:10" ht="23.4" x14ac:dyDescent="0.3">
      <c r="A395" s="274" t="s">
        <v>103</v>
      </c>
      <c r="B395" s="1044"/>
      <c r="C395" s="275" t="s">
        <v>237</v>
      </c>
      <c r="D395" s="275" t="s">
        <v>238</v>
      </c>
      <c r="E395" s="384">
        <v>101.4935</v>
      </c>
      <c r="F395" s="402">
        <f>IFERROR(E395*'01 Prod Physique Boites'!H390,"-")</f>
        <v>0</v>
      </c>
      <c r="G395" s="403">
        <f>IFERROR(E395*'01 Prod Physique Boites'!L390,"-")</f>
        <v>0</v>
      </c>
      <c r="H395" s="385">
        <v>160.44999999999999</v>
      </c>
      <c r="I395" s="421">
        <f t="shared" si="214"/>
        <v>0</v>
      </c>
      <c r="J395" s="422">
        <f t="shared" si="215"/>
        <v>0</v>
      </c>
    </row>
    <row r="396" spans="1:10" ht="23.4" x14ac:dyDescent="0.3">
      <c r="A396" s="274" t="s">
        <v>103</v>
      </c>
      <c r="B396" s="1044"/>
      <c r="C396" s="295" t="s">
        <v>239</v>
      </c>
      <c r="D396" s="275" t="s">
        <v>238</v>
      </c>
      <c r="E396" s="384">
        <v>101.4935</v>
      </c>
      <c r="F396" s="402">
        <f>IFERROR(E396*'01 Prod Physique Boites'!H391,"-")</f>
        <v>0</v>
      </c>
      <c r="G396" s="403">
        <f>IFERROR(E396*'01 Prod Physique Boites'!L391,"-")</f>
        <v>0</v>
      </c>
      <c r="H396" s="385">
        <v>160.44999999999999</v>
      </c>
      <c r="I396" s="421">
        <f t="shared" si="214"/>
        <v>0</v>
      </c>
      <c r="J396" s="422">
        <f t="shared" si="215"/>
        <v>0</v>
      </c>
    </row>
    <row r="397" spans="1:10" ht="23.4" x14ac:dyDescent="0.3">
      <c r="A397" s="274" t="s">
        <v>103</v>
      </c>
      <c r="B397" s="1044"/>
      <c r="C397" s="295" t="s">
        <v>240</v>
      </c>
      <c r="D397" s="275" t="s">
        <v>238</v>
      </c>
      <c r="E397" s="384">
        <v>101.4935</v>
      </c>
      <c r="F397" s="402">
        <f>IFERROR(E397*'01 Prod Physique Boites'!H392,"-")</f>
        <v>0</v>
      </c>
      <c r="G397" s="403">
        <f>IFERROR(E397*'01 Prod Physique Boites'!L392,"-")</f>
        <v>0</v>
      </c>
      <c r="H397" s="385">
        <v>160.44999999999999</v>
      </c>
      <c r="I397" s="421">
        <f t="shared" si="214"/>
        <v>0</v>
      </c>
      <c r="J397" s="422">
        <f t="shared" si="215"/>
        <v>0</v>
      </c>
    </row>
    <row r="398" spans="1:10" ht="23.4" x14ac:dyDescent="0.3">
      <c r="A398" s="274" t="s">
        <v>103</v>
      </c>
      <c r="B398" s="1044"/>
      <c r="C398" s="295" t="s">
        <v>241</v>
      </c>
      <c r="D398" s="275" t="s">
        <v>243</v>
      </c>
      <c r="E398" s="384">
        <v>101.4935</v>
      </c>
      <c r="F398" s="402">
        <f>IFERROR(E398*'01 Prod Physique Boites'!H393,"-")</f>
        <v>0</v>
      </c>
      <c r="G398" s="403">
        <f>IFERROR(E398*'01 Prod Physique Boites'!L393,"-")</f>
        <v>0</v>
      </c>
      <c r="H398" s="385">
        <v>160.44999999999999</v>
      </c>
      <c r="I398" s="421">
        <f t="shared" si="214"/>
        <v>0</v>
      </c>
      <c r="J398" s="422">
        <f t="shared" si="215"/>
        <v>0</v>
      </c>
    </row>
    <row r="399" spans="1:10" ht="23.4" x14ac:dyDescent="0.3">
      <c r="A399" s="274"/>
      <c r="B399" s="1045"/>
      <c r="C399" s="295" t="s">
        <v>457</v>
      </c>
      <c r="D399" s="275" t="s">
        <v>238</v>
      </c>
      <c r="E399" s="386">
        <v>101.49</v>
      </c>
      <c r="F399" s="402">
        <f>IFERROR(E399*'01 Prod Physique Boites'!H394,"-")</f>
        <v>0</v>
      </c>
      <c r="G399" s="403">
        <f>IFERROR(E399*'01 Prod Physique Boites'!L394,"-")</f>
        <v>0</v>
      </c>
      <c r="H399" s="385">
        <v>160.44999999999999</v>
      </c>
      <c r="I399" s="421">
        <f t="shared" si="214"/>
        <v>0</v>
      </c>
      <c r="J399" s="422">
        <f t="shared" si="215"/>
        <v>0</v>
      </c>
    </row>
    <row r="400" spans="1:10" ht="24" thickBot="1" x14ac:dyDescent="0.35">
      <c r="A400" s="274" t="s">
        <v>103</v>
      </c>
      <c r="B400" s="1045"/>
      <c r="C400" s="295" t="s">
        <v>242</v>
      </c>
      <c r="D400" s="275" t="s">
        <v>238</v>
      </c>
      <c r="E400" s="386">
        <v>101.4935</v>
      </c>
      <c r="F400" s="402">
        <f>IFERROR(E400*'01 Prod Physique Boites'!H395,"-")</f>
        <v>0</v>
      </c>
      <c r="G400" s="403">
        <f>IFERROR(E400*'01 Prod Physique Boites'!L395,"-")</f>
        <v>0</v>
      </c>
      <c r="H400" s="385">
        <v>160.44999999999999</v>
      </c>
      <c r="I400" s="421">
        <f t="shared" si="214"/>
        <v>0</v>
      </c>
      <c r="J400" s="424">
        <f t="shared" si="215"/>
        <v>0</v>
      </c>
    </row>
    <row r="401" spans="1:10" ht="24" thickBot="1" x14ac:dyDescent="0.35">
      <c r="A401" s="274" t="s">
        <v>103</v>
      </c>
      <c r="B401" s="1025" t="s">
        <v>49</v>
      </c>
      <c r="C401" s="1026"/>
      <c r="D401" s="1027"/>
      <c r="E401" s="390"/>
      <c r="F401" s="406">
        <f t="shared" ref="F401" si="216">SUM(F392:F400)</f>
        <v>0</v>
      </c>
      <c r="G401" s="407">
        <f>SUM(G392:G400)</f>
        <v>0</v>
      </c>
      <c r="H401" s="391"/>
      <c r="I401" s="406">
        <f t="shared" ref="I401" si="217">SUM(I392:I400)</f>
        <v>0</v>
      </c>
      <c r="J401" s="425">
        <f>SUM(J392:J400)</f>
        <v>0</v>
      </c>
    </row>
    <row r="402" spans="1:10" ht="24" thickBot="1" x14ac:dyDescent="0.35">
      <c r="A402" s="274" t="s">
        <v>103</v>
      </c>
      <c r="B402" s="1047" t="s">
        <v>25</v>
      </c>
      <c r="C402" s="1048"/>
      <c r="D402" s="1049"/>
      <c r="E402" s="393"/>
      <c r="F402" s="410">
        <f t="shared" ref="F402" si="218">+F391+F401</f>
        <v>0</v>
      </c>
      <c r="G402" s="411">
        <f>+G391+G401</f>
        <v>0</v>
      </c>
      <c r="H402" s="394"/>
      <c r="I402" s="410">
        <f t="shared" ref="I402:J402" si="219">+I391+I401</f>
        <v>0</v>
      </c>
      <c r="J402" s="428">
        <f t="shared" si="219"/>
        <v>0</v>
      </c>
    </row>
    <row r="403" spans="1:10" ht="24" thickBot="1" x14ac:dyDescent="0.35">
      <c r="A403" s="274" t="s">
        <v>103</v>
      </c>
      <c r="B403" s="1019" t="s">
        <v>172</v>
      </c>
      <c r="C403" s="1020"/>
      <c r="D403" s="1021"/>
      <c r="E403" s="395"/>
      <c r="F403" s="412">
        <f t="shared" ref="F403" si="220">+F386+F402</f>
        <v>3729762.37</v>
      </c>
      <c r="G403" s="413">
        <f>+G386+G402</f>
        <v>10633811.4396</v>
      </c>
      <c r="H403" s="396"/>
      <c r="I403" s="412">
        <f t="shared" ref="I403:J403" si="221">+I386+I402</f>
        <v>5094224.4000000004</v>
      </c>
      <c r="J403" s="429">
        <f t="shared" si="221"/>
        <v>13628967.600000001</v>
      </c>
    </row>
    <row r="404" spans="1:10" ht="23.4" x14ac:dyDescent="0.3">
      <c r="A404" s="268" t="s">
        <v>101</v>
      </c>
      <c r="B404" s="1051" t="s">
        <v>26</v>
      </c>
      <c r="C404" s="297" t="s">
        <v>297</v>
      </c>
      <c r="D404" s="299" t="s">
        <v>177</v>
      </c>
      <c r="E404" s="504">
        <v>13.1272</v>
      </c>
      <c r="F404" s="402">
        <f>IFERROR(E404*'01 Prod Physique Boites'!H399,"-")</f>
        <v>0</v>
      </c>
      <c r="G404" s="403">
        <f>IFERROR(E404*'01 Prod Physique Boites'!L399,"-")</f>
        <v>0</v>
      </c>
      <c r="H404" s="381">
        <v>20.76</v>
      </c>
      <c r="I404" s="419">
        <f t="shared" ref="I404:I413" si="222">IFERROR(H404*(F404/E404),"-")</f>
        <v>0</v>
      </c>
      <c r="J404" s="632">
        <f t="shared" ref="J404:J413" si="223">IFERROR(H404*(G404/E404),"-")</f>
        <v>0</v>
      </c>
    </row>
    <row r="405" spans="1:10" ht="23.4" x14ac:dyDescent="0.3">
      <c r="A405" s="274" t="s">
        <v>101</v>
      </c>
      <c r="B405" s="1051"/>
      <c r="C405" s="298" t="s">
        <v>424</v>
      </c>
      <c r="D405" s="298" t="s">
        <v>423</v>
      </c>
      <c r="E405" s="505">
        <v>16.7288</v>
      </c>
      <c r="F405" s="402">
        <f>IFERROR(E405*'01 Prod Physique Boites'!H400,"-")</f>
        <v>0</v>
      </c>
      <c r="G405" s="403">
        <f>IFERROR(E405*'01 Prod Physique Boites'!L400,"-")</f>
        <v>4125924.3168000001</v>
      </c>
      <c r="H405" s="385">
        <v>20.76</v>
      </c>
      <c r="I405" s="421">
        <f t="shared" si="222"/>
        <v>0</v>
      </c>
      <c r="J405" s="633">
        <f t="shared" si="223"/>
        <v>5120163.3600000003</v>
      </c>
    </row>
    <row r="406" spans="1:10" ht="23.4" x14ac:dyDescent="0.3">
      <c r="A406" s="274" t="s">
        <v>101</v>
      </c>
      <c r="B406" s="1051"/>
      <c r="C406" s="299" t="s">
        <v>27</v>
      </c>
      <c r="D406" s="299" t="s">
        <v>334</v>
      </c>
      <c r="E406" s="501">
        <v>17.8202</v>
      </c>
      <c r="F406" s="402">
        <f>IFERROR(E406*'01 Prod Physique Boites'!H401,"-")</f>
        <v>0</v>
      </c>
      <c r="G406" s="403">
        <f>IFERROR(E406*'01 Prod Physique Boites'!L401,"-")</f>
        <v>0</v>
      </c>
      <c r="H406" s="385">
        <v>21.22</v>
      </c>
      <c r="I406" s="643">
        <f t="shared" si="222"/>
        <v>0</v>
      </c>
      <c r="J406" s="633">
        <f t="shared" si="223"/>
        <v>0</v>
      </c>
    </row>
    <row r="407" spans="1:10" ht="23.4" x14ac:dyDescent="0.3">
      <c r="A407" s="274" t="s">
        <v>101</v>
      </c>
      <c r="B407" s="1051"/>
      <c r="C407" s="299" t="s">
        <v>27</v>
      </c>
      <c r="D407" s="297" t="s">
        <v>492</v>
      </c>
      <c r="E407" s="501">
        <v>17.8202</v>
      </c>
      <c r="F407" s="402">
        <f>IFERROR(E407*'01 Prod Physique Boites'!H402,"-")</f>
        <v>1205108.8452000001</v>
      </c>
      <c r="G407" s="403">
        <f>IFERROR(E407*'01 Prod Physique Boites'!L402,"-")</f>
        <v>1205108.8452000001</v>
      </c>
      <c r="H407" s="385">
        <v>26.75</v>
      </c>
      <c r="I407" s="643">
        <f t="shared" si="222"/>
        <v>1808995.5</v>
      </c>
      <c r="J407" s="633">
        <f t="shared" si="223"/>
        <v>1808995.5</v>
      </c>
    </row>
    <row r="408" spans="1:10" ht="23.4" x14ac:dyDescent="0.3">
      <c r="A408" s="274" t="s">
        <v>101</v>
      </c>
      <c r="B408" s="1051"/>
      <c r="C408" s="299" t="s">
        <v>27</v>
      </c>
      <c r="D408" s="299" t="s">
        <v>279</v>
      </c>
      <c r="E408" s="501">
        <v>17.8202</v>
      </c>
      <c r="F408" s="402">
        <f>IFERROR(E408*'01 Prod Physique Boites'!H403,"-")</f>
        <v>0</v>
      </c>
      <c r="G408" s="403">
        <f>IFERROR(E408*'01 Prod Physique Boites'!L403,"-")</f>
        <v>0</v>
      </c>
      <c r="H408" s="385">
        <v>24.93</v>
      </c>
      <c r="I408" s="643">
        <f t="shared" si="222"/>
        <v>0</v>
      </c>
      <c r="J408" s="633">
        <f t="shared" si="223"/>
        <v>0</v>
      </c>
    </row>
    <row r="409" spans="1:10" ht="23.4" x14ac:dyDescent="0.3">
      <c r="A409" s="274"/>
      <c r="B409" s="1051"/>
      <c r="C409" s="299" t="s">
        <v>437</v>
      </c>
      <c r="D409" s="299" t="s">
        <v>178</v>
      </c>
      <c r="E409" s="501">
        <v>14.608000000000001</v>
      </c>
      <c r="F409" s="402">
        <f>IFERROR(E409*'01 Prod Physique Boites'!H404,"-")</f>
        <v>0</v>
      </c>
      <c r="G409" s="403">
        <f>IFERROR(E409*'01 Prod Physique Boites'!L404,"-")</f>
        <v>0</v>
      </c>
      <c r="H409" s="387">
        <v>24.93</v>
      </c>
      <c r="I409" s="643">
        <f t="shared" si="222"/>
        <v>0</v>
      </c>
      <c r="J409" s="634">
        <f t="shared" si="223"/>
        <v>0</v>
      </c>
    </row>
    <row r="410" spans="1:10" ht="23.4" x14ac:dyDescent="0.3">
      <c r="A410" s="274"/>
      <c r="B410" s="1051"/>
      <c r="C410" s="299" t="s">
        <v>436</v>
      </c>
      <c r="D410" s="299" t="s">
        <v>94</v>
      </c>
      <c r="E410" s="501">
        <v>17.8202</v>
      </c>
      <c r="F410" s="724">
        <f>IFERROR(E410*'01 Prod Physique Boites'!H405,"-")</f>
        <v>0</v>
      </c>
      <c r="G410" s="403">
        <f>IFERROR(E410*'01 Prod Physique Boites'!L405,"-")</f>
        <v>0</v>
      </c>
      <c r="H410" s="387">
        <v>24.93</v>
      </c>
      <c r="I410" s="730">
        <f t="shared" si="222"/>
        <v>0</v>
      </c>
      <c r="J410" s="634">
        <f t="shared" si="223"/>
        <v>0</v>
      </c>
    </row>
    <row r="411" spans="1:10" s="731" customFormat="1" ht="23.4" x14ac:dyDescent="0.3">
      <c r="A411" s="725"/>
      <c r="B411" s="1051"/>
      <c r="C411" s="726" t="s">
        <v>383</v>
      </c>
      <c r="D411" s="726" t="s">
        <v>384</v>
      </c>
      <c r="E411" s="727">
        <v>16.345199999999998</v>
      </c>
      <c r="F411" s="724">
        <f>IFERROR(E411*'01 Prod Physique Boites'!H406,"-")</f>
        <v>0</v>
      </c>
      <c r="G411" s="728">
        <f>IFERROR(E411*'01 Prod Physique Boites'!L406,"-")</f>
        <v>0</v>
      </c>
      <c r="H411" s="729">
        <v>23.78</v>
      </c>
      <c r="I411" s="730">
        <f t="shared" si="222"/>
        <v>0</v>
      </c>
      <c r="J411" s="634">
        <f t="shared" si="223"/>
        <v>0</v>
      </c>
    </row>
    <row r="412" spans="1:10" s="731" customFormat="1" ht="23.4" x14ac:dyDescent="0.3">
      <c r="A412" s="725"/>
      <c r="B412" s="1051"/>
      <c r="C412" s="299" t="s">
        <v>433</v>
      </c>
      <c r="D412" s="299" t="s">
        <v>178</v>
      </c>
      <c r="E412" s="727">
        <v>16.7288</v>
      </c>
      <c r="F412" s="724">
        <f>IFERROR(E412*'01 Prod Physique Boites'!H407,"-")</f>
        <v>0</v>
      </c>
      <c r="G412" s="728">
        <f>IFERROR(E412*'01 Prod Physique Boites'!L407,"-")</f>
        <v>0</v>
      </c>
      <c r="H412" s="729">
        <v>25.49</v>
      </c>
      <c r="I412" s="730">
        <f t="shared" si="222"/>
        <v>0</v>
      </c>
      <c r="J412" s="634">
        <f t="shared" si="223"/>
        <v>0</v>
      </c>
    </row>
    <row r="413" spans="1:10" ht="24" thickBot="1" x14ac:dyDescent="0.35">
      <c r="A413" s="274" t="s">
        <v>101</v>
      </c>
      <c r="B413" s="1051"/>
      <c r="C413" s="300" t="s">
        <v>290</v>
      </c>
      <c r="D413" s="299" t="s">
        <v>289</v>
      </c>
      <c r="E413" s="501">
        <v>12.6997</v>
      </c>
      <c r="F413" s="402">
        <f>IFERROR(E413*'01 Prod Physique Boites'!H408,"-")</f>
        <v>0</v>
      </c>
      <c r="G413" s="728">
        <f>IFERROR(E413*'01 Prod Physique Boites'!L408,"-")</f>
        <v>0</v>
      </c>
      <c r="H413" s="387">
        <v>13.25</v>
      </c>
      <c r="I413" s="730">
        <f t="shared" si="222"/>
        <v>0</v>
      </c>
      <c r="J413" s="634">
        <f t="shared" si="223"/>
        <v>0</v>
      </c>
    </row>
    <row r="414" spans="1:10" ht="24" thickBot="1" x14ac:dyDescent="0.35">
      <c r="A414" s="274" t="s">
        <v>101</v>
      </c>
      <c r="B414" s="1052"/>
      <c r="C414" s="301"/>
      <c r="D414" s="302" t="s">
        <v>52</v>
      </c>
      <c r="E414" s="390"/>
      <c r="F414" s="406">
        <f>SUM(F404:F413)</f>
        <v>1205108.8452000001</v>
      </c>
      <c r="G414" s="407">
        <f>SUM(G404:G413)</f>
        <v>5331033.1620000005</v>
      </c>
      <c r="H414" s="391"/>
      <c r="I414" s="406">
        <f>SUM(I404:I413)</f>
        <v>1808995.5</v>
      </c>
      <c r="J414" s="425">
        <f>SUM(J404:J413)</f>
        <v>6929158.8600000003</v>
      </c>
    </row>
    <row r="415" spans="1:10" ht="23.4" x14ac:dyDescent="0.3">
      <c r="A415" s="274" t="s">
        <v>101</v>
      </c>
      <c r="B415" s="1053" t="s">
        <v>28</v>
      </c>
      <c r="C415" s="299" t="s">
        <v>27</v>
      </c>
      <c r="D415" s="297" t="s">
        <v>492</v>
      </c>
      <c r="E415" s="504">
        <v>17.8202</v>
      </c>
      <c r="F415" s="402">
        <f>IFERROR(E415*'01 Prod Physique Boites'!H410,"-")</f>
        <v>779776.31160000002</v>
      </c>
      <c r="G415" s="403">
        <f>IFERROR(E415*'01 Prod Physique Boites'!L410,"-")</f>
        <v>1346886.3563999999</v>
      </c>
      <c r="H415" s="381">
        <v>26.75</v>
      </c>
      <c r="I415" s="419">
        <f t="shared" ref="I415:I421" si="224">IFERROR(H415*(F415/E415),"-")</f>
        <v>1170526.5</v>
      </c>
      <c r="J415" s="632">
        <f t="shared" ref="J415:J416" si="225">IFERROR(H415*(G415/E415),"-")</f>
        <v>2021818.5</v>
      </c>
    </row>
    <row r="416" spans="1:10" ht="23.4" x14ac:dyDescent="0.3">
      <c r="A416" s="274" t="s">
        <v>101</v>
      </c>
      <c r="B416" s="1051"/>
      <c r="C416" s="299" t="s">
        <v>386</v>
      </c>
      <c r="D416" s="299" t="s">
        <v>334</v>
      </c>
      <c r="E416" s="711">
        <v>16.7288</v>
      </c>
      <c r="F416" s="402">
        <f>IFERROR(E416*'01 Prod Physique Boites'!H411,"-")</f>
        <v>0</v>
      </c>
      <c r="G416" s="728">
        <f>IFERROR(E416*'01 Prod Physique Boites'!L411,"-")</f>
        <v>1597131.9935999999</v>
      </c>
      <c r="H416" s="708">
        <v>20.76</v>
      </c>
      <c r="I416" s="421">
        <f t="shared" si="224"/>
        <v>0</v>
      </c>
      <c r="J416" s="633">
        <f t="shared" si="225"/>
        <v>1981998.7200000002</v>
      </c>
    </row>
    <row r="417" spans="1:10" ht="23.4" x14ac:dyDescent="0.3">
      <c r="A417" s="274" t="s">
        <v>101</v>
      </c>
      <c r="B417" s="1051"/>
      <c r="C417" s="299" t="s">
        <v>385</v>
      </c>
      <c r="D417" s="299" t="s">
        <v>334</v>
      </c>
      <c r="E417" s="501">
        <v>17.8202</v>
      </c>
      <c r="F417" s="402">
        <f>IFERROR(E417*'01 Prod Physique Boites'!H412,"-")</f>
        <v>0</v>
      </c>
      <c r="G417" s="403">
        <f>IFERROR(E417*'01 Prod Physique Boites'!L412,"-")</f>
        <v>0</v>
      </c>
      <c r="H417" s="385">
        <v>21.22</v>
      </c>
      <c r="I417" s="421">
        <f t="shared" si="224"/>
        <v>0</v>
      </c>
      <c r="J417" s="633">
        <f>IFERROR(H417*(G417/E417),"-")</f>
        <v>0</v>
      </c>
    </row>
    <row r="418" spans="1:10" ht="23.4" x14ac:dyDescent="0.3">
      <c r="A418" s="274"/>
      <c r="B418" s="1051"/>
      <c r="C418" s="299" t="s">
        <v>460</v>
      </c>
      <c r="D418" s="299" t="s">
        <v>334</v>
      </c>
      <c r="E418" s="501">
        <v>14.608000000000001</v>
      </c>
      <c r="F418" s="402">
        <f>IFERROR(E418*'01 Prod Physique Boites'!H413,"-")</f>
        <v>0</v>
      </c>
      <c r="G418" s="403">
        <f>IFERROR(E418*'01 Prod Physique Boites'!L413,"-")</f>
        <v>0</v>
      </c>
      <c r="H418" s="385">
        <v>21.22</v>
      </c>
      <c r="I418" s="421">
        <f t="shared" si="224"/>
        <v>0</v>
      </c>
      <c r="J418" s="633">
        <f>IFERROR(H418*(G418/E418),"-")</f>
        <v>0</v>
      </c>
    </row>
    <row r="419" spans="1:10" ht="23.4" x14ac:dyDescent="0.3">
      <c r="A419" s="274"/>
      <c r="B419" s="1051"/>
      <c r="C419" s="299" t="s">
        <v>383</v>
      </c>
      <c r="D419" s="299" t="s">
        <v>384</v>
      </c>
      <c r="E419" s="711">
        <v>16.345199999999998</v>
      </c>
      <c r="F419" s="402">
        <f>IFERROR(E419*'01 Prod Physique Boites'!H414,"-")</f>
        <v>0</v>
      </c>
      <c r="G419" s="403">
        <f>IFERROR(E419*'01 Prod Physique Boites'!L414,"-")</f>
        <v>0</v>
      </c>
      <c r="H419" s="385">
        <v>23.78</v>
      </c>
      <c r="I419" s="423">
        <f t="shared" si="224"/>
        <v>0</v>
      </c>
      <c r="J419" s="634">
        <f t="shared" ref="J419:J421" si="226">IFERROR(H419*(G419/E419),"-")</f>
        <v>0</v>
      </c>
    </row>
    <row r="420" spans="1:10" ht="23.4" x14ac:dyDescent="0.3">
      <c r="A420" s="274"/>
      <c r="B420" s="1051"/>
      <c r="C420" s="299" t="s">
        <v>458</v>
      </c>
      <c r="D420" s="300" t="s">
        <v>280</v>
      </c>
      <c r="E420" s="711">
        <v>17.8202</v>
      </c>
      <c r="F420" s="402">
        <f>IFERROR(E420*'01 Prod Physique Boites'!H415,"-")</f>
        <v>0</v>
      </c>
      <c r="G420" s="403">
        <f>IFERROR(E420*'01 Prod Physique Boites'!L415,"-")</f>
        <v>0</v>
      </c>
      <c r="H420" s="385">
        <v>24.93</v>
      </c>
      <c r="I420" s="730">
        <f t="shared" si="224"/>
        <v>0</v>
      </c>
      <c r="J420" s="634">
        <f t="shared" si="226"/>
        <v>0</v>
      </c>
    </row>
    <row r="421" spans="1:10" ht="24" thickBot="1" x14ac:dyDescent="0.35">
      <c r="A421" s="274" t="s">
        <v>101</v>
      </c>
      <c r="B421" s="1051"/>
      <c r="C421" s="299" t="s">
        <v>27</v>
      </c>
      <c r="D421" s="300" t="s">
        <v>234</v>
      </c>
      <c r="E421" s="501">
        <v>17.8202</v>
      </c>
      <c r="F421" s="402">
        <f>IFERROR(E421*'01 Prod Physique Boites'!H416,"-")</f>
        <v>0</v>
      </c>
      <c r="G421" s="403">
        <f>IFERROR(E421*'01 Prod Physique Boites'!L416,"-")</f>
        <v>0</v>
      </c>
      <c r="H421" s="385">
        <v>24.93</v>
      </c>
      <c r="I421" s="423">
        <f t="shared" si="224"/>
        <v>0</v>
      </c>
      <c r="J421" s="634">
        <f t="shared" si="226"/>
        <v>0</v>
      </c>
    </row>
    <row r="422" spans="1:10" ht="24" thickBot="1" x14ac:dyDescent="0.35">
      <c r="A422" s="274" t="s">
        <v>101</v>
      </c>
      <c r="B422" s="1051"/>
      <c r="C422" s="304"/>
      <c r="D422" s="305" t="s">
        <v>52</v>
      </c>
      <c r="E422" s="397"/>
      <c r="F422" s="414">
        <f t="shared" ref="F422:G422" si="227">SUM(F415:F421)</f>
        <v>779776.31160000002</v>
      </c>
      <c r="G422" s="415">
        <f t="shared" si="227"/>
        <v>2944018.3499999996</v>
      </c>
      <c r="H422" s="398"/>
      <c r="I422" s="414">
        <f t="shared" ref="I422:J422" si="228">SUM(I415:I421)</f>
        <v>1170526.5</v>
      </c>
      <c r="J422" s="430">
        <f t="shared" si="228"/>
        <v>4003817.22</v>
      </c>
    </row>
    <row r="423" spans="1:10" ht="24" thickBot="1" x14ac:dyDescent="0.35">
      <c r="A423" s="785" t="s">
        <v>101</v>
      </c>
      <c r="B423" s="1054" t="s">
        <v>162</v>
      </c>
      <c r="C423" s="1055"/>
      <c r="D423" s="1056"/>
      <c r="E423" s="399"/>
      <c r="F423" s="416">
        <f t="shared" ref="F423:G423" si="229">+F414+F422</f>
        <v>1984885.1568</v>
      </c>
      <c r="G423" s="417">
        <f t="shared" si="229"/>
        <v>8275051.5120000001</v>
      </c>
      <c r="H423" s="400"/>
      <c r="I423" s="416">
        <f t="shared" ref="I423:J423" si="230">+I414+I422</f>
        <v>2979522</v>
      </c>
      <c r="J423" s="431">
        <f t="shared" si="230"/>
        <v>10932976.08</v>
      </c>
    </row>
    <row r="424" spans="1:10" ht="23.4" x14ac:dyDescent="0.3">
      <c r="A424" s="274" t="s">
        <v>101</v>
      </c>
      <c r="B424" s="1051" t="s">
        <v>30</v>
      </c>
      <c r="C424" s="303" t="s">
        <v>450</v>
      </c>
      <c r="D424" s="299" t="s">
        <v>334</v>
      </c>
      <c r="E424" s="736">
        <v>27.917000000000002</v>
      </c>
      <c r="F424" s="402">
        <f>IFERROR(E424*'01 Prod Physique Boites'!H419,"-")</f>
        <v>0</v>
      </c>
      <c r="G424" s="728">
        <f>IFERROR(E424*'01 Prod Physique Boites'!L419,"-")</f>
        <v>0</v>
      </c>
      <c r="H424" s="734">
        <v>33.299999999999997</v>
      </c>
      <c r="I424" s="419">
        <f>IFERROR(H424*(F424/E424),"-")</f>
        <v>0</v>
      </c>
      <c r="J424" s="420">
        <f t="shared" ref="J424:J426" si="231">IFERROR(H424*(G424/E424),"-")</f>
        <v>0</v>
      </c>
    </row>
    <row r="425" spans="1:10" ht="23.4" x14ac:dyDescent="0.3">
      <c r="A425" s="274" t="s">
        <v>101</v>
      </c>
      <c r="B425" s="1051"/>
      <c r="C425" s="300" t="s">
        <v>448</v>
      </c>
      <c r="D425" s="303" t="s">
        <v>384</v>
      </c>
      <c r="E425" s="733">
        <v>28.526700000000002</v>
      </c>
      <c r="F425" s="402">
        <f>IFERROR(E425*'01 Prod Physique Boites'!H420,"-")</f>
        <v>0</v>
      </c>
      <c r="G425" s="728">
        <f>IFERROR(E425*'01 Prod Physique Boites'!L420,"-")</f>
        <v>0</v>
      </c>
      <c r="H425" s="735">
        <v>37.89</v>
      </c>
      <c r="I425" s="421">
        <f>IFERROR(H425*(F425/E425),"-")</f>
        <v>0</v>
      </c>
      <c r="J425" s="422">
        <f t="shared" si="231"/>
        <v>0</v>
      </c>
    </row>
    <row r="426" spans="1:10" ht="24" thickBot="1" x14ac:dyDescent="0.35">
      <c r="A426" s="274" t="s">
        <v>101</v>
      </c>
      <c r="B426" s="1051"/>
      <c r="C426" s="300" t="s">
        <v>291</v>
      </c>
      <c r="D426" s="300" t="s">
        <v>384</v>
      </c>
      <c r="E426" s="501">
        <v>25.751300000000001</v>
      </c>
      <c r="F426" s="724">
        <f>IFERROR(E426*'01 Prod Physique Boites'!H421,"-")</f>
        <v>0</v>
      </c>
      <c r="G426" s="728">
        <f>IFERROR(E426*'01 Prod Physique Boites'!L421,"-")</f>
        <v>0</v>
      </c>
      <c r="H426" s="387">
        <v>37.89</v>
      </c>
      <c r="I426" s="423">
        <f>IFERROR(H426*(F426/E426),"-")</f>
        <v>0</v>
      </c>
      <c r="J426" s="424">
        <f t="shared" si="231"/>
        <v>0</v>
      </c>
    </row>
    <row r="427" spans="1:10" ht="24" thickBot="1" x14ac:dyDescent="0.35">
      <c r="A427" s="274" t="s">
        <v>101</v>
      </c>
      <c r="B427" s="1051"/>
      <c r="C427" s="301"/>
      <c r="D427" s="302" t="s">
        <v>50</v>
      </c>
      <c r="E427" s="390"/>
      <c r="F427" s="406">
        <f t="shared" ref="F427:G427" si="232">SUM(F424:F426)</f>
        <v>0</v>
      </c>
      <c r="G427" s="407">
        <f t="shared" si="232"/>
        <v>0</v>
      </c>
      <c r="H427" s="391"/>
      <c r="I427" s="406">
        <f t="shared" ref="I427" si="233">SUM(I424:I426)</f>
        <v>0</v>
      </c>
      <c r="J427" s="425">
        <f>SUM(J424:J426)</f>
        <v>0</v>
      </c>
    </row>
    <row r="428" spans="1:10" ht="23.4" x14ac:dyDescent="0.3">
      <c r="A428" s="274" t="s">
        <v>101</v>
      </c>
      <c r="B428" s="1051"/>
      <c r="C428" s="297" t="s">
        <v>439</v>
      </c>
      <c r="D428" s="297" t="s">
        <v>92</v>
      </c>
      <c r="E428" s="504">
        <v>24.2607</v>
      </c>
      <c r="F428" s="402">
        <f>IFERROR(E428*'01 Prod Physique Boites'!H423,"-")</f>
        <v>0</v>
      </c>
      <c r="G428" s="728">
        <f>IFERROR(E428*'01 Prod Physique Boites'!L423,"-")</f>
        <v>0</v>
      </c>
      <c r="H428" s="381">
        <v>28.31</v>
      </c>
      <c r="I428" s="638">
        <f>IFERROR(H428*(F428/E428),"-")</f>
        <v>0</v>
      </c>
      <c r="J428" s="420">
        <f t="shared" ref="J428:J433" si="234">IFERROR(H428*(G428/E428),"-")</f>
        <v>0</v>
      </c>
    </row>
    <row r="429" spans="1:10" ht="23.4" x14ac:dyDescent="0.3">
      <c r="A429" s="274"/>
      <c r="B429" s="1051"/>
      <c r="C429" s="303" t="s">
        <v>449</v>
      </c>
      <c r="D429" s="299" t="s">
        <v>334</v>
      </c>
      <c r="E429" s="504">
        <v>24.2607</v>
      </c>
      <c r="F429" s="402">
        <f>IFERROR(E429*'01 Prod Physique Boites'!H424,"-")</f>
        <v>0</v>
      </c>
      <c r="G429" s="728">
        <f>IFERROR(E429*'01 Prod Physique Boites'!L424,"-")</f>
        <v>0</v>
      </c>
      <c r="H429" s="381">
        <v>28.88</v>
      </c>
      <c r="I429" s="638">
        <f t="shared" ref="I429:I433" si="235">IFERROR(H429*(F429/E429),"-")</f>
        <v>0</v>
      </c>
      <c r="J429" s="420">
        <f t="shared" si="234"/>
        <v>0</v>
      </c>
    </row>
    <row r="430" spans="1:10" ht="23.4" x14ac:dyDescent="0.3">
      <c r="A430" s="274"/>
      <c r="B430" s="1051"/>
      <c r="C430" s="303" t="s">
        <v>452</v>
      </c>
      <c r="D430" s="299" t="s">
        <v>334</v>
      </c>
      <c r="E430" s="504">
        <v>25.4041</v>
      </c>
      <c r="F430" s="402">
        <f>IFERROR(E430*'01 Prod Physique Boites'!H425,"-")</f>
        <v>0</v>
      </c>
      <c r="G430" s="728">
        <f>IFERROR(E430*'01 Prod Physique Boites'!L425,"-")</f>
        <v>0</v>
      </c>
      <c r="H430" s="381">
        <v>28.21</v>
      </c>
      <c r="I430" s="638">
        <f t="shared" si="235"/>
        <v>0</v>
      </c>
      <c r="J430" s="420">
        <f t="shared" si="234"/>
        <v>0</v>
      </c>
    </row>
    <row r="431" spans="1:10" ht="23.4" x14ac:dyDescent="0.3">
      <c r="A431" s="274" t="s">
        <v>101</v>
      </c>
      <c r="B431" s="1051"/>
      <c r="C431" s="303" t="s">
        <v>501</v>
      </c>
      <c r="D431" s="300" t="s">
        <v>423</v>
      </c>
      <c r="E431" s="505">
        <v>23.697399999999998</v>
      </c>
      <c r="F431" s="724">
        <f>IFERROR(E431*'01 Prod Physique Boites'!H426,"-")</f>
        <v>177446.13119999997</v>
      </c>
      <c r="G431" s="728">
        <f>IFERROR(E431*'01 Prod Physique Boites'!L426,"-")</f>
        <v>177446.13119999997</v>
      </c>
      <c r="H431" s="385">
        <v>28.21</v>
      </c>
      <c r="I431" s="638">
        <f t="shared" si="235"/>
        <v>211236.47999999998</v>
      </c>
      <c r="J431" s="420">
        <f t="shared" si="234"/>
        <v>211236.47999999998</v>
      </c>
    </row>
    <row r="432" spans="1:10" ht="23.4" x14ac:dyDescent="0.3">
      <c r="A432" s="274"/>
      <c r="B432" s="1051"/>
      <c r="C432" s="300" t="s">
        <v>459</v>
      </c>
      <c r="D432" s="300" t="s">
        <v>366</v>
      </c>
      <c r="E432" s="501">
        <v>22.094999999999999</v>
      </c>
      <c r="F432" s="724">
        <f>IFERROR(E432*'01 Prod Physique Boites'!H427,"-")</f>
        <v>0</v>
      </c>
      <c r="G432" s="728">
        <f>IFERROR(E432*'01 Prod Physique Boites'!L427,"-")</f>
        <v>0</v>
      </c>
      <c r="H432" s="745">
        <v>37.11</v>
      </c>
      <c r="I432" s="638">
        <f t="shared" si="235"/>
        <v>0</v>
      </c>
      <c r="J432" s="420">
        <f t="shared" si="234"/>
        <v>0</v>
      </c>
    </row>
    <row r="433" spans="1:10" ht="24" thickBot="1" x14ac:dyDescent="0.35">
      <c r="A433" s="274" t="s">
        <v>101</v>
      </c>
      <c r="B433" s="1051"/>
      <c r="C433" s="300" t="s">
        <v>438</v>
      </c>
      <c r="D433" s="300" t="s">
        <v>423</v>
      </c>
      <c r="E433" s="501">
        <v>23.697399999999998</v>
      </c>
      <c r="F433" s="402">
        <f>IFERROR(E433*'01 Prod Physique Boites'!H428,"-")</f>
        <v>0</v>
      </c>
      <c r="G433" s="403">
        <f>IFERROR(E433*'01 Prod Physique Boites'!L428,"-")</f>
        <v>0</v>
      </c>
      <c r="H433" s="387">
        <v>28.21</v>
      </c>
      <c r="I433" s="638">
        <f t="shared" si="235"/>
        <v>0</v>
      </c>
      <c r="J433" s="420">
        <f t="shared" si="234"/>
        <v>0</v>
      </c>
    </row>
    <row r="434" spans="1:10" ht="24" thickBot="1" x14ac:dyDescent="0.35">
      <c r="A434" s="274" t="s">
        <v>101</v>
      </c>
      <c r="B434" s="1051"/>
      <c r="C434" s="304"/>
      <c r="D434" s="305" t="s">
        <v>51</v>
      </c>
      <c r="E434" s="397"/>
      <c r="F434" s="414">
        <f t="shared" ref="F434:G434" si="236">SUM(F428:F433)</f>
        <v>177446.13119999997</v>
      </c>
      <c r="G434" s="415">
        <f t="shared" si="236"/>
        <v>177446.13119999997</v>
      </c>
      <c r="H434" s="398"/>
      <c r="I434" s="414">
        <f t="shared" ref="I434" si="237">SUM(I428:I433)</f>
        <v>211236.47999999998</v>
      </c>
      <c r="J434" s="430">
        <f>SUM(J428:J433)</f>
        <v>211236.47999999998</v>
      </c>
    </row>
    <row r="435" spans="1:10" ht="24" thickBot="1" x14ac:dyDescent="0.35">
      <c r="A435" s="274" t="s">
        <v>101</v>
      </c>
      <c r="B435" s="1054" t="s">
        <v>163</v>
      </c>
      <c r="C435" s="1055"/>
      <c r="D435" s="1056"/>
      <c r="E435" s="399"/>
      <c r="F435" s="416">
        <f t="shared" ref="F435:G435" si="238">+F427+F434</f>
        <v>177446.13119999997</v>
      </c>
      <c r="G435" s="417">
        <f t="shared" si="238"/>
        <v>177446.13119999997</v>
      </c>
      <c r="H435" s="400"/>
      <c r="I435" s="416">
        <f t="shared" ref="I435:J435" si="239">+I427+I434</f>
        <v>211236.47999999998</v>
      </c>
      <c r="J435" s="431">
        <f t="shared" si="239"/>
        <v>211236.47999999998</v>
      </c>
    </row>
    <row r="436" spans="1:10" ht="24" thickBot="1" x14ac:dyDescent="0.35">
      <c r="A436" s="274" t="s">
        <v>101</v>
      </c>
      <c r="B436" s="599" t="s">
        <v>32</v>
      </c>
      <c r="C436" s="781"/>
      <c r="D436" s="310"/>
      <c r="E436" s="506">
        <v>12.2659</v>
      </c>
      <c r="F436" s="408">
        <f>IFERROR(E436*'01 Prod Physique Boites'!H431,"-")</f>
        <v>0</v>
      </c>
      <c r="G436" s="409">
        <f>IFERROR(E436*'01 Prod Physique Boites'!L431,"-")</f>
        <v>0</v>
      </c>
      <c r="H436" s="392"/>
      <c r="I436" s="426">
        <f>IFERROR(H436*(F436/E436),"-")</f>
        <v>0</v>
      </c>
      <c r="J436" s="427">
        <f>IFERROR(H436*(G436/E436),"-")</f>
        <v>0</v>
      </c>
    </row>
    <row r="437" spans="1:10" ht="24" thickBot="1" x14ac:dyDescent="0.35">
      <c r="A437" s="274" t="s">
        <v>101</v>
      </c>
      <c r="B437" s="1047" t="s">
        <v>21</v>
      </c>
      <c r="C437" s="1048"/>
      <c r="D437" s="1049"/>
      <c r="E437" s="393"/>
      <c r="F437" s="410">
        <f t="shared" ref="F437" si="240">+F423+F435+F436</f>
        <v>2162331.2880000002</v>
      </c>
      <c r="G437" s="411">
        <f>+G423+G435+G436</f>
        <v>8452497.6432000007</v>
      </c>
      <c r="H437" s="394"/>
      <c r="I437" s="410">
        <f t="shared" ref="I437:J437" si="241">+I423+I435+I436</f>
        <v>3190758.48</v>
      </c>
      <c r="J437" s="428">
        <f t="shared" si="241"/>
        <v>11144212.560000001</v>
      </c>
    </row>
    <row r="438" spans="1:10" ht="24" thickBot="1" x14ac:dyDescent="0.35">
      <c r="A438" s="274" t="s">
        <v>101</v>
      </c>
      <c r="B438" s="1019" t="s">
        <v>171</v>
      </c>
      <c r="C438" s="1020"/>
      <c r="D438" s="1021"/>
      <c r="E438" s="395"/>
      <c r="F438" s="412">
        <f t="shared" ref="F438:G438" si="242">+F437</f>
        <v>2162331.2880000002</v>
      </c>
      <c r="G438" s="413">
        <f t="shared" si="242"/>
        <v>8452497.6432000007</v>
      </c>
      <c r="H438" s="396"/>
      <c r="I438" s="412">
        <f t="shared" ref="I438:J438" si="243">+I437</f>
        <v>3190758.48</v>
      </c>
      <c r="J438" s="429">
        <f t="shared" si="243"/>
        <v>11144212.560000001</v>
      </c>
    </row>
    <row r="439" spans="1:10" ht="23.4" x14ac:dyDescent="0.3">
      <c r="A439" s="268" t="s">
        <v>102</v>
      </c>
      <c r="B439" s="1022" t="s">
        <v>401</v>
      </c>
      <c r="C439" s="311" t="s">
        <v>113</v>
      </c>
      <c r="D439" s="311"/>
      <c r="E439" s="709">
        <v>254.89750000000001</v>
      </c>
      <c r="F439" s="402">
        <f>IFERROR(E439*'01 Prod Physique Boites'!H434,"-")</f>
        <v>0</v>
      </c>
      <c r="G439" s="403">
        <f>IFERROR(E439*'01 Prod Physique Boites'!L434,"-")</f>
        <v>0</v>
      </c>
      <c r="H439" s="381">
        <v>445.38</v>
      </c>
      <c r="I439" s="419">
        <f>IFERROR(H439*(F439/E439),"-")</f>
        <v>0</v>
      </c>
      <c r="J439" s="420">
        <f t="shared" ref="J439:J441" si="244">IFERROR(H439*(G439/E439),"-")</f>
        <v>0</v>
      </c>
    </row>
    <row r="440" spans="1:10" ht="23.4" x14ac:dyDescent="0.3">
      <c r="A440" s="274" t="s">
        <v>102</v>
      </c>
      <c r="B440" s="1023"/>
      <c r="C440" s="312" t="s">
        <v>247</v>
      </c>
      <c r="D440" s="312"/>
      <c r="E440" s="503">
        <v>246.51390000000001</v>
      </c>
      <c r="F440" s="402">
        <f>IFERROR(E440*'01 Prod Physique Boites'!H435,"-")</f>
        <v>320468.07</v>
      </c>
      <c r="G440" s="403">
        <f>IFERROR(E440*'01 Prod Physique Boites'!L435,"-")</f>
        <v>788844.48</v>
      </c>
      <c r="H440" s="385">
        <v>430.02</v>
      </c>
      <c r="I440" s="421">
        <f>IFERROR(H440*(F440/E440),"-")</f>
        <v>559026</v>
      </c>
      <c r="J440" s="422">
        <f t="shared" si="244"/>
        <v>1376064</v>
      </c>
    </row>
    <row r="441" spans="1:10" ht="24" thickBot="1" x14ac:dyDescent="0.35">
      <c r="A441" s="274" t="s">
        <v>102</v>
      </c>
      <c r="B441" s="1024"/>
      <c r="C441" s="313" t="s">
        <v>33</v>
      </c>
      <c r="D441" s="313"/>
      <c r="E441" s="500">
        <v>225.7713</v>
      </c>
      <c r="F441" s="402">
        <f>IFERROR(E441*'01 Prod Physique Boites'!H436,"-")</f>
        <v>0</v>
      </c>
      <c r="G441" s="403">
        <f>IFERROR(E441*'01 Prod Physique Boites'!L436,"-")</f>
        <v>0</v>
      </c>
      <c r="H441" s="387"/>
      <c r="I441" s="423">
        <f>IFERROR(H441*(F441/E441),"-")</f>
        <v>0</v>
      </c>
      <c r="J441" s="424">
        <f t="shared" si="244"/>
        <v>0</v>
      </c>
    </row>
    <row r="442" spans="1:10" ht="24" thickBot="1" x14ac:dyDescent="0.35">
      <c r="A442" s="274" t="s">
        <v>102</v>
      </c>
      <c r="B442" s="1025" t="s">
        <v>34</v>
      </c>
      <c r="C442" s="1026"/>
      <c r="D442" s="1027"/>
      <c r="E442" s="390"/>
      <c r="F442" s="406">
        <f t="shared" ref="F442:G442" si="245">SUM(F439:F441)</f>
        <v>320468.07</v>
      </c>
      <c r="G442" s="407">
        <f t="shared" si="245"/>
        <v>788844.48</v>
      </c>
      <c r="H442" s="391"/>
      <c r="I442" s="406">
        <f t="shared" ref="I442:J442" si="246">SUM(I439:I441)</f>
        <v>559026</v>
      </c>
      <c r="J442" s="425">
        <f t="shared" si="246"/>
        <v>1376064</v>
      </c>
    </row>
    <row r="443" spans="1:10" ht="23.4" x14ac:dyDescent="0.3">
      <c r="A443" s="274" t="s">
        <v>102</v>
      </c>
      <c r="B443" s="1022" t="s">
        <v>35</v>
      </c>
      <c r="C443" s="311" t="s">
        <v>113</v>
      </c>
      <c r="D443" s="311"/>
      <c r="E443" s="502">
        <v>254.89750000000001</v>
      </c>
      <c r="F443" s="402">
        <f>IFERROR(E443*'01 Prod Physique Boites'!H438,"-")</f>
        <v>0</v>
      </c>
      <c r="G443" s="403">
        <f>IFERROR(E443*'01 Prod Physique Boites'!L438,"-")</f>
        <v>0</v>
      </c>
      <c r="H443" s="381">
        <v>445.38</v>
      </c>
      <c r="I443" s="419">
        <f>IFERROR(H443*(F443/E443),"-")</f>
        <v>0</v>
      </c>
      <c r="J443" s="420">
        <f t="shared" ref="J443:J446" si="247">IFERROR(H443*(G443/E443),"-")</f>
        <v>0</v>
      </c>
    </row>
    <row r="444" spans="1:10" ht="23.4" x14ac:dyDescent="0.3">
      <c r="A444" s="274" t="s">
        <v>102</v>
      </c>
      <c r="B444" s="1023"/>
      <c r="C444" s="312" t="s">
        <v>247</v>
      </c>
      <c r="D444" s="312"/>
      <c r="E444" s="503">
        <v>246.51390000000001</v>
      </c>
      <c r="F444" s="402">
        <f>IFERROR(E444*'01 Prod Physique Boites'!H439,"-")</f>
        <v>0</v>
      </c>
      <c r="G444" s="403">
        <f>IFERROR(E444*'01 Prod Physique Boites'!L439,"-")</f>
        <v>0</v>
      </c>
      <c r="H444" s="385">
        <v>430.02</v>
      </c>
      <c r="I444" s="421">
        <f>IFERROR(H444*(F444/E444),"-")</f>
        <v>0</v>
      </c>
      <c r="J444" s="422">
        <f t="shared" si="247"/>
        <v>0</v>
      </c>
    </row>
    <row r="445" spans="1:10" ht="23.4" x14ac:dyDescent="0.3">
      <c r="A445" s="274" t="s">
        <v>102</v>
      </c>
      <c r="B445" s="1023"/>
      <c r="C445" s="312" t="s">
        <v>184</v>
      </c>
      <c r="D445" s="312" t="s">
        <v>183</v>
      </c>
      <c r="E445" s="503">
        <v>254.89750000000001</v>
      </c>
      <c r="F445" s="402">
        <f>IFERROR(E445*'01 Prod Physique Boites'!H440,"-")</f>
        <v>0</v>
      </c>
      <c r="G445" s="403">
        <f>IFERROR(E445*'01 Prod Physique Boites'!L440,"-")</f>
        <v>0</v>
      </c>
      <c r="H445" s="385"/>
      <c r="I445" s="421">
        <f>IFERROR(H445*(F445/E445),"-")</f>
        <v>0</v>
      </c>
      <c r="J445" s="422">
        <f t="shared" si="247"/>
        <v>0</v>
      </c>
    </row>
    <row r="446" spans="1:10" ht="24" thickBot="1" x14ac:dyDescent="0.35">
      <c r="A446" s="274" t="s">
        <v>102</v>
      </c>
      <c r="B446" s="1024"/>
      <c r="C446" s="313" t="s">
        <v>36</v>
      </c>
      <c r="D446" s="313"/>
      <c r="E446" s="500">
        <v>229.99359999999999</v>
      </c>
      <c r="F446" s="402">
        <f>IFERROR(E446*'01 Prod Physique Boites'!H441,"-")</f>
        <v>0</v>
      </c>
      <c r="G446" s="403">
        <f>IFERROR(E446*'01 Prod Physique Boites'!L441,"-")</f>
        <v>0</v>
      </c>
      <c r="H446" s="387"/>
      <c r="I446" s="423">
        <f>IFERROR(H446*(F446/E446),"-")</f>
        <v>0</v>
      </c>
      <c r="J446" s="424">
        <f t="shared" si="247"/>
        <v>0</v>
      </c>
    </row>
    <row r="447" spans="1:10" ht="24" thickBot="1" x14ac:dyDescent="0.35">
      <c r="A447" s="274" t="s">
        <v>102</v>
      </c>
      <c r="B447" s="1025" t="s">
        <v>37</v>
      </c>
      <c r="C447" s="1026"/>
      <c r="D447" s="1027"/>
      <c r="E447" s="390"/>
      <c r="F447" s="406">
        <f t="shared" ref="F447:G447" si="248">SUM(F443:F446)</f>
        <v>0</v>
      </c>
      <c r="G447" s="407">
        <f t="shared" si="248"/>
        <v>0</v>
      </c>
      <c r="H447" s="391"/>
      <c r="I447" s="406">
        <f>SUM(I443:I446)</f>
        <v>0</v>
      </c>
      <c r="J447" s="425">
        <f>SUM(J443:J446)</f>
        <v>0</v>
      </c>
    </row>
    <row r="448" spans="1:10" ht="23.4" x14ac:dyDescent="0.3">
      <c r="A448" s="274" t="s">
        <v>102</v>
      </c>
      <c r="B448" s="1022" t="s">
        <v>402</v>
      </c>
      <c r="C448" s="314" t="s">
        <v>116</v>
      </c>
      <c r="D448" s="314"/>
      <c r="E448" s="502">
        <v>195.2808</v>
      </c>
      <c r="F448" s="402">
        <f>IFERROR(E448*'01 Prod Physique Boites'!H443,"-")</f>
        <v>0</v>
      </c>
      <c r="G448" s="403">
        <f>IFERROR(E448*'01 Prod Physique Boites'!L443,"-")</f>
        <v>0</v>
      </c>
      <c r="H448" s="681">
        <v>256.7</v>
      </c>
      <c r="I448" s="419">
        <f>IFERROR(H448*(F448/E448),"-")</f>
        <v>0</v>
      </c>
      <c r="J448" s="420">
        <f t="shared" ref="J448:J449" si="249">IFERROR(H448*(G448/E448),"-")</f>
        <v>0</v>
      </c>
    </row>
    <row r="449" spans="1:10" ht="24" thickBot="1" x14ac:dyDescent="0.35">
      <c r="A449" s="274" t="s">
        <v>102</v>
      </c>
      <c r="B449" s="1024"/>
      <c r="C449" s="286" t="s">
        <v>132</v>
      </c>
      <c r="D449" s="286"/>
      <c r="E449" s="500">
        <v>189.91890000000001</v>
      </c>
      <c r="F449" s="402">
        <f>IFERROR(E449*'01 Prod Physique Boites'!H444,"-")</f>
        <v>0</v>
      </c>
      <c r="G449" s="403">
        <f>IFERROR(E449*'01 Prod Physique Boites'!L444,"-")</f>
        <v>472898.06100000005</v>
      </c>
      <c r="H449" s="387">
        <v>320.35000000000002</v>
      </c>
      <c r="I449" s="423">
        <f>IFERROR(H449*(F449/E449),"-")</f>
        <v>0</v>
      </c>
      <c r="J449" s="424">
        <f t="shared" si="249"/>
        <v>797671.5</v>
      </c>
    </row>
    <row r="450" spans="1:10" ht="24" thickBot="1" x14ac:dyDescent="0.35">
      <c r="A450" s="785" t="s">
        <v>102</v>
      </c>
      <c r="B450" s="1025" t="s">
        <v>38</v>
      </c>
      <c r="C450" s="1026"/>
      <c r="D450" s="1027"/>
      <c r="E450" s="390"/>
      <c r="F450" s="406">
        <f>SUM(F448:F449)</f>
        <v>0</v>
      </c>
      <c r="G450" s="407">
        <f t="shared" ref="G450" si="250">SUM(G448:G449)</f>
        <v>472898.06100000005</v>
      </c>
      <c r="H450" s="391"/>
      <c r="I450" s="406">
        <f t="shared" ref="I450:J450" si="251">SUM(I448:I449)</f>
        <v>0</v>
      </c>
      <c r="J450" s="425">
        <f t="shared" si="251"/>
        <v>797671.5</v>
      </c>
    </row>
    <row r="451" spans="1:10" ht="23.4" x14ac:dyDescent="0.3">
      <c r="A451" s="274" t="s">
        <v>102</v>
      </c>
      <c r="B451" s="1022" t="s">
        <v>403</v>
      </c>
      <c r="C451" s="269" t="s">
        <v>306</v>
      </c>
      <c r="D451" s="269" t="s">
        <v>238</v>
      </c>
      <c r="E451" s="504">
        <v>37.248699999999999</v>
      </c>
      <c r="F451" s="402">
        <f>IFERROR(E451*'01 Prod Physique Boites'!H446,"-")</f>
        <v>720985.83719999995</v>
      </c>
      <c r="G451" s="403">
        <f>IFERROR(E451*'01 Prod Physique Boites'!L446,"-")</f>
        <v>2911209.3972</v>
      </c>
      <c r="H451" s="381">
        <v>71.44</v>
      </c>
      <c r="I451" s="419">
        <f>IFERROR(H451*(F451/E451),"-")</f>
        <v>1382792.64</v>
      </c>
      <c r="J451" s="420">
        <f>IFERROR(H451*(G451/E451),"-")</f>
        <v>5583464.6399999997</v>
      </c>
    </row>
    <row r="452" spans="1:10" ht="23.4" x14ac:dyDescent="0.3">
      <c r="A452" s="274" t="s">
        <v>102</v>
      </c>
      <c r="B452" s="1023"/>
      <c r="C452" s="269" t="s">
        <v>156</v>
      </c>
      <c r="D452" s="275"/>
      <c r="E452" s="504">
        <v>37.248699999999999</v>
      </c>
      <c r="F452" s="402">
        <f>IFERROR(E452*'01 Prod Physique Boites'!H447,"-")</f>
        <v>0</v>
      </c>
      <c r="G452" s="403">
        <f>IFERROR(E452*'01 Prod Physique Boites'!L447,"-")</f>
        <v>0</v>
      </c>
      <c r="H452" s="385"/>
      <c r="I452" s="421">
        <f>IFERROR(H452*(F452/E452),"-")</f>
        <v>0</v>
      </c>
      <c r="J452" s="422">
        <f t="shared" ref="J452:J454" si="252">IFERROR(H452*(G452/E452),"-")</f>
        <v>0</v>
      </c>
    </row>
    <row r="453" spans="1:10" ht="23.4" x14ac:dyDescent="0.3">
      <c r="A453" s="274" t="s">
        <v>102</v>
      </c>
      <c r="B453" s="1023"/>
      <c r="C453" s="275" t="s">
        <v>345</v>
      </c>
      <c r="D453" s="269" t="s">
        <v>238</v>
      </c>
      <c r="E453" s="504">
        <v>37.248699999999999</v>
      </c>
      <c r="F453" s="402">
        <f>IFERROR(E453*'01 Prod Physique Boites'!H448,"-")</f>
        <v>268190.64</v>
      </c>
      <c r="G453" s="403">
        <f>IFERROR(E453*'01 Prod Physique Boites'!L448,"-")</f>
        <v>268190.64</v>
      </c>
      <c r="H453" s="385">
        <v>71.44</v>
      </c>
      <c r="I453" s="421">
        <f>IFERROR(H453*(F453/E453),"-")</f>
        <v>514368.00000000006</v>
      </c>
      <c r="J453" s="422">
        <f t="shared" si="252"/>
        <v>514368.00000000006</v>
      </c>
    </row>
    <row r="454" spans="1:10" ht="24" thickBot="1" x14ac:dyDescent="0.35">
      <c r="A454" s="274" t="s">
        <v>102</v>
      </c>
      <c r="B454" s="1023"/>
      <c r="C454" s="275" t="s">
        <v>157</v>
      </c>
      <c r="D454" s="275"/>
      <c r="E454" s="505">
        <v>38.466099999999997</v>
      </c>
      <c r="F454" s="402">
        <f>IFERROR(E454*'01 Prod Physique Boites'!H449,"-")</f>
        <v>0</v>
      </c>
      <c r="G454" s="403">
        <f>IFERROR(E454*'01 Prod Physique Boites'!L449,"-")</f>
        <v>0</v>
      </c>
      <c r="H454" s="385"/>
      <c r="I454" s="421">
        <f>IFERROR(H454*(F454/E454),"-")</f>
        <v>0</v>
      </c>
      <c r="J454" s="422">
        <f t="shared" si="252"/>
        <v>0</v>
      </c>
    </row>
    <row r="455" spans="1:10" ht="24" thickBot="1" x14ac:dyDescent="0.35">
      <c r="A455" s="274" t="s">
        <v>102</v>
      </c>
      <c r="B455" s="1025" t="s">
        <v>39</v>
      </c>
      <c r="C455" s="1026"/>
      <c r="D455" s="1027"/>
      <c r="E455" s="390"/>
      <c r="F455" s="406">
        <f>SUM(F451:F454)</f>
        <v>989176.47719999996</v>
      </c>
      <c r="G455" s="407">
        <f>SUM(G451:G454)</f>
        <v>3179400.0372000001</v>
      </c>
      <c r="H455" s="391"/>
      <c r="I455" s="406">
        <f>SUM(I451:I454)</f>
        <v>1897160.64</v>
      </c>
      <c r="J455" s="406">
        <f>SUM(J451:J454)</f>
        <v>6097832.6399999997</v>
      </c>
    </row>
    <row r="456" spans="1:10" ht="23.4" x14ac:dyDescent="0.3">
      <c r="A456" s="274" t="s">
        <v>102</v>
      </c>
      <c r="B456" s="1022" t="s">
        <v>40</v>
      </c>
      <c r="C456" s="269" t="s">
        <v>186</v>
      </c>
      <c r="D456" s="269" t="s">
        <v>183</v>
      </c>
      <c r="E456" s="504">
        <v>30.7499</v>
      </c>
      <c r="F456" s="402">
        <f>IFERROR(E456*'01 Prod Physique Boites'!H452,"-")</f>
        <v>0</v>
      </c>
      <c r="G456" s="402">
        <f>IFERROR(E456*'01 Prod Physique Boites'!L452,"-")</f>
        <v>0</v>
      </c>
      <c r="H456" s="381"/>
      <c r="I456" s="419">
        <f>IFERROR(H456*(F456/E456),"-")</f>
        <v>0</v>
      </c>
      <c r="J456" s="420">
        <f>IFERROR(H456*(G456/E456),"-")</f>
        <v>0</v>
      </c>
    </row>
    <row r="457" spans="1:10" ht="23.4" x14ac:dyDescent="0.3">
      <c r="A457" s="274" t="s">
        <v>102</v>
      </c>
      <c r="B457" s="1023"/>
      <c r="C457" s="275" t="s">
        <v>159</v>
      </c>
      <c r="D457" s="275"/>
      <c r="E457" s="684">
        <v>30.073599999999999</v>
      </c>
      <c r="F457" s="402">
        <f>IFERROR(E457*'01 Prod Physique Boites'!H453,"-")</f>
        <v>0</v>
      </c>
      <c r="G457" s="403">
        <f>IFERROR(E457*'01 Prod Physique Boites'!L453,"-")</f>
        <v>342839.03999999998</v>
      </c>
      <c r="H457" s="385">
        <v>59.96</v>
      </c>
      <c r="I457" s="421">
        <f>IFERROR(H457*(F457/E457),"-")</f>
        <v>0</v>
      </c>
      <c r="J457" s="422">
        <f t="shared" ref="J457:J458" si="253">IFERROR(H457*(G457/E457),"-")</f>
        <v>683544</v>
      </c>
    </row>
    <row r="458" spans="1:10" ht="24" thickBot="1" x14ac:dyDescent="0.35">
      <c r="A458" s="274" t="s">
        <v>102</v>
      </c>
      <c r="B458" s="1024"/>
      <c r="C458" s="279" t="s">
        <v>186</v>
      </c>
      <c r="D458" s="279" t="s">
        <v>185</v>
      </c>
      <c r="E458" s="501">
        <v>30.073599999999999</v>
      </c>
      <c r="F458" s="402">
        <f>IFERROR(E458*'01 Prod Physique Boites'!H454,"-")</f>
        <v>0</v>
      </c>
      <c r="G458" s="403">
        <f>IFERROR(E458*'01 Prod Physique Boites'!L454,"-")</f>
        <v>0</v>
      </c>
      <c r="H458" s="387"/>
      <c r="I458" s="423">
        <f>IFERROR(H458*(F458/E458),"-")</f>
        <v>0</v>
      </c>
      <c r="J458" s="424">
        <f t="shared" si="253"/>
        <v>0</v>
      </c>
    </row>
    <row r="459" spans="1:10" ht="24" thickBot="1" x14ac:dyDescent="0.35">
      <c r="A459" s="274" t="s">
        <v>102</v>
      </c>
      <c r="B459" s="1034" t="s">
        <v>41</v>
      </c>
      <c r="C459" s="1035"/>
      <c r="D459" s="1036"/>
      <c r="E459" s="390"/>
      <c r="F459" s="406">
        <f t="shared" ref="F459:G459" si="254">SUM(F456:F458)</f>
        <v>0</v>
      </c>
      <c r="G459" s="407">
        <f t="shared" si="254"/>
        <v>342839.03999999998</v>
      </c>
      <c r="H459" s="391"/>
      <c r="I459" s="406">
        <f t="shared" ref="I459:J459" si="255">SUM(I456:I458)</f>
        <v>0</v>
      </c>
      <c r="J459" s="425">
        <f t="shared" si="255"/>
        <v>683544</v>
      </c>
    </row>
    <row r="460" spans="1:10" ht="23.4" x14ac:dyDescent="0.3">
      <c r="A460" s="274" t="s">
        <v>102</v>
      </c>
      <c r="B460" s="1022" t="s">
        <v>42</v>
      </c>
      <c r="C460" s="269" t="s">
        <v>160</v>
      </c>
      <c r="D460" s="269"/>
      <c r="E460" s="504">
        <v>36.684899999999999</v>
      </c>
      <c r="F460" s="402">
        <f>IFERROR(E460*'01 Prod Physique Boites'!H456,"-")</f>
        <v>0</v>
      </c>
      <c r="G460" s="402">
        <f>IFERROR(E460*'01 Prod Physique Boites'!L456,"-")</f>
        <v>0</v>
      </c>
      <c r="H460" s="381"/>
      <c r="I460" s="382" t="s">
        <v>190</v>
      </c>
      <c r="J460" s="383" t="s">
        <v>190</v>
      </c>
    </row>
    <row r="461" spans="1:10" ht="24" thickBot="1" x14ac:dyDescent="0.35">
      <c r="A461" s="274" t="s">
        <v>102</v>
      </c>
      <c r="B461" s="1024"/>
      <c r="C461" s="279" t="s">
        <v>161</v>
      </c>
      <c r="D461" s="279"/>
      <c r="E461" s="501">
        <v>37.002800000000001</v>
      </c>
      <c r="F461" s="402">
        <f>IFERROR(E461*'01 Prod Physique Boites'!H457,"-")</f>
        <v>0</v>
      </c>
      <c r="G461" s="402">
        <f>IFERROR(E461*'01 Prod Physique Boites'!L457,"-")</f>
        <v>0</v>
      </c>
      <c r="H461" s="387"/>
      <c r="I461" s="388" t="s">
        <v>190</v>
      </c>
      <c r="J461" s="389" t="s">
        <v>190</v>
      </c>
    </row>
    <row r="462" spans="1:10" ht="24" thickBot="1" x14ac:dyDescent="0.35">
      <c r="A462" s="274" t="s">
        <v>102</v>
      </c>
      <c r="B462" s="1034" t="s">
        <v>43</v>
      </c>
      <c r="C462" s="1035"/>
      <c r="D462" s="1036"/>
      <c r="E462" s="390"/>
      <c r="F462" s="402">
        <f>IFERROR(E462*'01 Prod Physique Boites'!H461,"-")</f>
        <v>0</v>
      </c>
      <c r="G462" s="407">
        <f>IFERROR(E462*'01 Prod Physique Boites'!L461,"-")</f>
        <v>0</v>
      </c>
      <c r="H462" s="391"/>
      <c r="I462" s="406">
        <f t="shared" ref="I462:J462" si="256">SUM(I460:I461)</f>
        <v>0</v>
      </c>
      <c r="J462" s="425">
        <f t="shared" si="256"/>
        <v>0</v>
      </c>
    </row>
    <row r="463" spans="1:10" ht="24" thickBot="1" x14ac:dyDescent="0.35">
      <c r="A463" s="274" t="s">
        <v>102</v>
      </c>
      <c r="B463" s="1028" t="s">
        <v>25</v>
      </c>
      <c r="C463" s="1029"/>
      <c r="D463" s="1030"/>
      <c r="E463" s="393"/>
      <c r="F463" s="410">
        <f>+F442+F447+F450+F455+F459+F462</f>
        <v>1309644.5471999999</v>
      </c>
      <c r="G463" s="411">
        <f>+G442+G447+G450+G455+G459+G462</f>
        <v>4783981.6182000004</v>
      </c>
      <c r="H463" s="394"/>
      <c r="I463" s="410">
        <f>+I442+I447+I450+I455+I459+I462</f>
        <v>2456186.6399999997</v>
      </c>
      <c r="J463" s="428">
        <f>+J442+J447+J450+J455+J459+J462</f>
        <v>8955112.1400000006</v>
      </c>
    </row>
    <row r="464" spans="1:10" ht="24" thickBot="1" x14ac:dyDescent="0.35">
      <c r="A464" s="318" t="s">
        <v>102</v>
      </c>
      <c r="B464" s="1020" t="s">
        <v>173</v>
      </c>
      <c r="C464" s="1020"/>
      <c r="D464" s="1021"/>
      <c r="E464" s="395"/>
      <c r="F464" s="412">
        <f t="shared" ref="F464:G464" si="257">+F463</f>
        <v>1309644.5471999999</v>
      </c>
      <c r="G464" s="413">
        <f t="shared" si="257"/>
        <v>4783981.6182000004</v>
      </c>
      <c r="H464" s="396"/>
      <c r="I464" s="412">
        <f t="shared" ref="I464" si="258">+I463</f>
        <v>2456186.6399999997</v>
      </c>
      <c r="J464" s="429">
        <f>+J463</f>
        <v>8955112.1400000006</v>
      </c>
    </row>
    <row r="465" spans="1:15" ht="24.6" thickBot="1" x14ac:dyDescent="0.35">
      <c r="A465" s="319"/>
      <c r="B465" s="1031" t="s">
        <v>174</v>
      </c>
      <c r="C465" s="1032"/>
      <c r="D465" s="1033"/>
      <c r="E465" s="401"/>
      <c r="F465" s="418">
        <f>+F403+F438+F464</f>
        <v>7201738.2051999997</v>
      </c>
      <c r="G465" s="418">
        <f>+G403+G438+G464</f>
        <v>23870290.701000001</v>
      </c>
      <c r="H465" s="401"/>
      <c r="I465" s="418">
        <f>+I403+I438+I464</f>
        <v>10741169.52</v>
      </c>
      <c r="J465" s="432">
        <f>+J403+J438+J464</f>
        <v>33728292.300000004</v>
      </c>
    </row>
    <row r="466" spans="1:15" ht="24.6" customHeight="1" thickBot="1" x14ac:dyDescent="0.35">
      <c r="A466" s="230"/>
      <c r="B466" s="230"/>
      <c r="C466" s="230"/>
      <c r="D466" s="230"/>
      <c r="E466" s="378"/>
      <c r="F466" s="378"/>
      <c r="G466" s="378"/>
      <c r="H466" s="378"/>
      <c r="I466" s="378"/>
      <c r="J466" s="378"/>
    </row>
    <row r="467" spans="1:15" ht="23.4" x14ac:dyDescent="0.3">
      <c r="A467" s="1057" t="s">
        <v>1</v>
      </c>
      <c r="B467" s="1060" t="s">
        <v>2</v>
      </c>
      <c r="C467" s="1063" t="s">
        <v>396</v>
      </c>
      <c r="D467" s="1063" t="s">
        <v>397</v>
      </c>
      <c r="E467" s="1092" t="s">
        <v>405</v>
      </c>
      <c r="F467" s="1093"/>
      <c r="G467" s="1093"/>
      <c r="H467" s="442"/>
      <c r="I467" s="442"/>
      <c r="J467" s="443"/>
    </row>
    <row r="468" spans="1:15" ht="23.4" x14ac:dyDescent="0.3">
      <c r="A468" s="1058"/>
      <c r="B468" s="1061"/>
      <c r="C468" s="1064"/>
      <c r="D468" s="1064"/>
      <c r="E468" s="1094" t="s">
        <v>408</v>
      </c>
      <c r="F468" s="1095"/>
      <c r="G468" s="1096"/>
      <c r="H468" s="1094" t="s">
        <v>168</v>
      </c>
      <c r="I468" s="1095"/>
      <c r="J468" s="1096"/>
    </row>
    <row r="469" spans="1:15" ht="46.8" x14ac:dyDescent="0.3">
      <c r="A469" s="1059"/>
      <c r="B469" s="1090"/>
      <c r="C469" s="1091"/>
      <c r="D469" s="1091"/>
      <c r="E469" s="379" t="s">
        <v>170</v>
      </c>
      <c r="F469" s="792" t="s">
        <v>407</v>
      </c>
      <c r="G469" s="793" t="s">
        <v>406</v>
      </c>
      <c r="H469" s="1097" t="s">
        <v>170</v>
      </c>
      <c r="I469" s="1099" t="s">
        <v>137</v>
      </c>
      <c r="J469" s="1101" t="s">
        <v>406</v>
      </c>
    </row>
    <row r="470" spans="1:15" ht="24" thickBot="1" x14ac:dyDescent="0.35">
      <c r="A470" s="1059"/>
      <c r="B470" s="1062"/>
      <c r="C470" s="1065"/>
      <c r="D470" s="1065"/>
      <c r="E470" s="1103" t="s">
        <v>506</v>
      </c>
      <c r="F470" s="1104"/>
      <c r="G470" s="1105"/>
      <c r="H470" s="1098"/>
      <c r="I470" s="1100"/>
      <c r="J470" s="1102"/>
    </row>
    <row r="471" spans="1:15" ht="23.4" x14ac:dyDescent="0.3">
      <c r="A471" s="268" t="s">
        <v>103</v>
      </c>
      <c r="B471" s="1043" t="s">
        <v>16</v>
      </c>
      <c r="C471" s="269" t="s">
        <v>368</v>
      </c>
      <c r="D471" s="269" t="s">
        <v>369</v>
      </c>
      <c r="E471" s="705">
        <v>81.360699999999994</v>
      </c>
      <c r="F471" s="402">
        <f>IFERROR(E471*'01 Prod Physique Boites'!H465,"-")</f>
        <v>0</v>
      </c>
      <c r="G471" s="402">
        <f>IFERROR(E471*'01 Prod Physique Boites'!L465,"-")</f>
        <v>0</v>
      </c>
      <c r="H471" s="706">
        <v>143.28</v>
      </c>
      <c r="I471" s="419">
        <f>IFERROR(H471*(F471/E471),"-")</f>
        <v>0</v>
      </c>
      <c r="J471" s="420">
        <f t="shared" ref="J471:J473" si="259">IFERROR(H471*(G471/E471),"-")</f>
        <v>0</v>
      </c>
    </row>
    <row r="472" spans="1:15" ht="23.4" x14ac:dyDescent="0.3">
      <c r="A472" s="713"/>
      <c r="B472" s="1044"/>
      <c r="C472" s="275" t="s">
        <v>470</v>
      </c>
      <c r="D472" s="275" t="s">
        <v>375</v>
      </c>
      <c r="E472" s="505">
        <v>81.360699999999994</v>
      </c>
      <c r="F472" s="402">
        <f>IFERROR(E472*'01 Prod Physique Boites'!H466,"-")</f>
        <v>0</v>
      </c>
      <c r="G472" s="402">
        <f>IFERROR(E472*'01 Prod Physique Boites'!L466,"-")</f>
        <v>0</v>
      </c>
      <c r="H472" s="708">
        <v>143.28</v>
      </c>
      <c r="I472" s="419">
        <f>IFERROR(H472*(F472/E472),"-")</f>
        <v>0</v>
      </c>
      <c r="J472" s="420">
        <f t="shared" si="259"/>
        <v>0</v>
      </c>
    </row>
    <row r="473" spans="1:15" ht="23.4" x14ac:dyDescent="0.3">
      <c r="A473" s="274" t="s">
        <v>103</v>
      </c>
      <c r="B473" s="1044"/>
      <c r="C473" s="275" t="s">
        <v>430</v>
      </c>
      <c r="D473" s="275" t="s">
        <v>384</v>
      </c>
      <c r="E473" s="684">
        <v>77.170400000000001</v>
      </c>
      <c r="F473" s="402">
        <f>IFERROR(E473*'01 Prod Physique Boites'!H467,"-")</f>
        <v>0</v>
      </c>
      <c r="G473" s="402">
        <f>IFERROR(E473*'01 Prod Physique Boites'!L467,"-")</f>
        <v>271639.80800000002</v>
      </c>
      <c r="H473" s="385">
        <v>0</v>
      </c>
      <c r="I473" s="419">
        <f>IFERROR(H473*(F473/E473),"-")</f>
        <v>0</v>
      </c>
      <c r="J473" s="420">
        <f t="shared" si="259"/>
        <v>0</v>
      </c>
    </row>
    <row r="474" spans="1:15" ht="24" thickBot="1" x14ac:dyDescent="0.35">
      <c r="A474" s="274" t="s">
        <v>103</v>
      </c>
      <c r="B474" s="1045"/>
      <c r="C474" s="279" t="s">
        <v>262</v>
      </c>
      <c r="D474" s="279" t="s">
        <v>231</v>
      </c>
      <c r="E474" s="501">
        <v>60.703499999999998</v>
      </c>
      <c r="F474" s="402">
        <f>IFERROR(E474*'01 Prod Physique Boites'!H468,"-")</f>
        <v>0</v>
      </c>
      <c r="G474" s="402">
        <f>IFERROR(E474*'01 Prod Physique Boites'!L468,"-")</f>
        <v>0</v>
      </c>
      <c r="H474" s="387">
        <v>111.09</v>
      </c>
      <c r="I474" s="419">
        <f>IFERROR(H474*(F474/E474),"-")</f>
        <v>0</v>
      </c>
      <c r="J474" s="420">
        <f>IFERROR(H474*(G474/E474),"-")</f>
        <v>0</v>
      </c>
    </row>
    <row r="475" spans="1:15" ht="24" thickBot="1" x14ac:dyDescent="0.35">
      <c r="A475" s="274" t="s">
        <v>103</v>
      </c>
      <c r="B475" s="1025" t="s">
        <v>44</v>
      </c>
      <c r="C475" s="1026"/>
      <c r="D475" s="1027"/>
      <c r="E475" s="390"/>
      <c r="F475" s="406">
        <f t="shared" ref="F475" si="260">SUM(F471:F474)</f>
        <v>0</v>
      </c>
      <c r="G475" s="407">
        <f>SUM(G471:G474)</f>
        <v>271639.80800000002</v>
      </c>
      <c r="H475" s="391"/>
      <c r="I475" s="406">
        <f t="shared" ref="I475:J475" si="261">SUM(I471:I474)</f>
        <v>0</v>
      </c>
      <c r="J475" s="425">
        <f t="shared" si="261"/>
        <v>0</v>
      </c>
      <c r="K475" s="704"/>
      <c r="L475" s="704"/>
      <c r="M475" s="704"/>
      <c r="N475" s="704"/>
      <c r="O475" s="704"/>
    </row>
    <row r="476" spans="1:15" ht="23.4" x14ac:dyDescent="0.3">
      <c r="A476" s="274" t="s">
        <v>103</v>
      </c>
      <c r="B476" s="1043" t="s">
        <v>17</v>
      </c>
      <c r="C476" s="269" t="s">
        <v>294</v>
      </c>
      <c r="D476" s="269"/>
      <c r="E476" s="504">
        <v>12.5275</v>
      </c>
      <c r="F476" s="402">
        <f>IFERROR(E476*'01 Prod Physique Boites'!H470,"-")</f>
        <v>0</v>
      </c>
      <c r="G476" s="402">
        <f>IFERROR(E476*'01 Prod Physique Boites'!L470,"-")</f>
        <v>0</v>
      </c>
      <c r="H476" s="681">
        <v>18.836400000000001</v>
      </c>
      <c r="I476" s="419">
        <f t="shared" ref="I476:I482" si="262">IFERROR(H476*(F476/E476),"-")</f>
        <v>0</v>
      </c>
      <c r="J476" s="420">
        <f t="shared" ref="J476:J481" si="263">IFERROR(H476*(G476/E476),"-")</f>
        <v>0</v>
      </c>
    </row>
    <row r="477" spans="1:15" ht="23.4" x14ac:dyDescent="0.3">
      <c r="A477" s="274" t="s">
        <v>103</v>
      </c>
      <c r="B477" s="1044"/>
      <c r="C477" s="275" t="s">
        <v>344</v>
      </c>
      <c r="D477" s="275" t="s">
        <v>232</v>
      </c>
      <c r="E477" s="677">
        <v>13.002700000000001</v>
      </c>
      <c r="F477" s="402">
        <f>IFERROR(E477*'01 Prod Physique Boites'!H471,"-")</f>
        <v>0</v>
      </c>
      <c r="G477" s="402">
        <f>IFERROR(E477*'01 Prod Physique Boites'!L471,"-")</f>
        <v>77756.146000000008</v>
      </c>
      <c r="H477" s="385">
        <v>21.18</v>
      </c>
      <c r="I477" s="421">
        <f t="shared" si="262"/>
        <v>0</v>
      </c>
      <c r="J477" s="422">
        <f t="shared" si="263"/>
        <v>126656.4</v>
      </c>
    </row>
    <row r="478" spans="1:15" ht="23.4" x14ac:dyDescent="0.3">
      <c r="A478" s="274" t="s">
        <v>103</v>
      </c>
      <c r="B478" s="1044"/>
      <c r="C478" s="275" t="s">
        <v>351</v>
      </c>
      <c r="D478" s="275" t="s">
        <v>187</v>
      </c>
      <c r="E478" s="677">
        <v>12.9049</v>
      </c>
      <c r="F478" s="402">
        <f>IFERROR(E478*'01 Prod Physique Boites'!H472,"-")</f>
        <v>1263647.808</v>
      </c>
      <c r="G478" s="402">
        <f>IFERROR(E478*'01 Prod Physique Boites'!L472,"-")</f>
        <v>4501745.3159999996</v>
      </c>
      <c r="H478" s="385">
        <v>20.5</v>
      </c>
      <c r="I478" s="421">
        <f t="shared" si="262"/>
        <v>2007360</v>
      </c>
      <c r="J478" s="422">
        <f t="shared" si="263"/>
        <v>7151220</v>
      </c>
    </row>
    <row r="479" spans="1:15" ht="23.4" x14ac:dyDescent="0.3">
      <c r="A479" s="274" t="s">
        <v>103</v>
      </c>
      <c r="B479" s="1044"/>
      <c r="C479" s="275" t="s">
        <v>293</v>
      </c>
      <c r="D479" s="275" t="s">
        <v>188</v>
      </c>
      <c r="E479" s="505">
        <v>13.078200000000001</v>
      </c>
      <c r="F479" s="402">
        <f>IFERROR(E479*'01 Prod Physique Boites'!H473,"-")</f>
        <v>0</v>
      </c>
      <c r="G479" s="402">
        <f>IFERROR(E479*'01 Prod Physique Boites'!L473,"-")</f>
        <v>0</v>
      </c>
      <c r="H479" s="385">
        <v>20.6</v>
      </c>
      <c r="I479" s="421">
        <f t="shared" si="262"/>
        <v>0</v>
      </c>
      <c r="J479" s="422">
        <f t="shared" si="263"/>
        <v>0</v>
      </c>
    </row>
    <row r="480" spans="1:15" ht="23.4" x14ac:dyDescent="0.3">
      <c r="A480" s="274" t="s">
        <v>103</v>
      </c>
      <c r="B480" s="1044"/>
      <c r="C480" s="275" t="s">
        <v>323</v>
      </c>
      <c r="D480" s="275" t="s">
        <v>318</v>
      </c>
      <c r="E480" s="505">
        <v>13.1958</v>
      </c>
      <c r="F480" s="402">
        <f>IFERROR(E480*'01 Prod Physique Boites'!H474,"-")</f>
        <v>0</v>
      </c>
      <c r="G480" s="402">
        <f>IFERROR(E480*'01 Prod Physique Boites'!L474,"-")</f>
        <v>0</v>
      </c>
      <c r="H480" s="385">
        <v>21.28</v>
      </c>
      <c r="I480" s="421">
        <f t="shared" si="262"/>
        <v>0</v>
      </c>
      <c r="J480" s="422">
        <f t="shared" si="263"/>
        <v>0</v>
      </c>
    </row>
    <row r="481" spans="1:15" ht="23.4" x14ac:dyDescent="0.3">
      <c r="A481" s="274">
        <v>1</v>
      </c>
      <c r="B481" s="1044"/>
      <c r="C481" s="275" t="s">
        <v>352</v>
      </c>
      <c r="D481" s="275" t="s">
        <v>189</v>
      </c>
      <c r="E481" s="677">
        <v>12.9049</v>
      </c>
      <c r="F481" s="402">
        <f>IFERROR(E481*'01 Prod Physique Boites'!H475,"-")</f>
        <v>0</v>
      </c>
      <c r="G481" s="402">
        <f>IFERROR(E481*'01 Prod Physique Boites'!L475,"-")</f>
        <v>0</v>
      </c>
      <c r="H481" s="664">
        <v>20.5</v>
      </c>
      <c r="I481" s="421">
        <f t="shared" si="262"/>
        <v>0</v>
      </c>
      <c r="J481" s="422">
        <f t="shared" si="263"/>
        <v>0</v>
      </c>
    </row>
    <row r="482" spans="1:15" ht="24" thickBot="1" x14ac:dyDescent="0.35">
      <c r="A482" s="274" t="s">
        <v>103</v>
      </c>
      <c r="B482" s="1045"/>
      <c r="C482" s="279" t="s">
        <v>341</v>
      </c>
      <c r="D482" s="279" t="s">
        <v>175</v>
      </c>
      <c r="E482" s="501">
        <v>13.6509</v>
      </c>
      <c r="F482" s="402">
        <f>IFERROR(E482*'01 Prod Physique Boites'!H476,"-")</f>
        <v>0</v>
      </c>
      <c r="G482" s="402">
        <f>IFERROR(E482*'01 Prod Physique Boites'!L476,"-")</f>
        <v>0</v>
      </c>
      <c r="H482" s="387">
        <v>21.18</v>
      </c>
      <c r="I482" s="423">
        <f t="shared" si="262"/>
        <v>0</v>
      </c>
      <c r="J482" s="424">
        <f>IFERROR(H482*(G482/E482),"-")</f>
        <v>0</v>
      </c>
    </row>
    <row r="483" spans="1:15" ht="24" thickBot="1" x14ac:dyDescent="0.35">
      <c r="A483" s="274" t="s">
        <v>103</v>
      </c>
      <c r="B483" s="1025" t="s">
        <v>45</v>
      </c>
      <c r="C483" s="1026"/>
      <c r="D483" s="1027"/>
      <c r="E483" s="390"/>
      <c r="F483" s="406">
        <f t="shared" ref="F483" si="264">SUM(F476:F482)</f>
        <v>1263647.808</v>
      </c>
      <c r="G483" s="407">
        <f>SUM(G476:G482)</f>
        <v>4579501.4619999994</v>
      </c>
      <c r="H483" s="391"/>
      <c r="I483" s="406">
        <f t="shared" ref="I483" si="265">SUM(I476:I482)</f>
        <v>2007360</v>
      </c>
      <c r="J483" s="425">
        <f>SUM(J476:J482)</f>
        <v>7277876.4000000004</v>
      </c>
      <c r="K483" s="704"/>
      <c r="L483" s="704"/>
      <c r="M483" s="704"/>
      <c r="N483" s="704"/>
      <c r="O483" s="704"/>
    </row>
    <row r="484" spans="1:15" ht="23.4" x14ac:dyDescent="0.3">
      <c r="A484" s="274" t="s">
        <v>103</v>
      </c>
      <c r="B484" s="1043" t="s">
        <v>18</v>
      </c>
      <c r="C484" s="269" t="s">
        <v>312</v>
      </c>
      <c r="D484" s="269" t="s">
        <v>92</v>
      </c>
      <c r="E484" s="504">
        <v>17.8202</v>
      </c>
      <c r="F484" s="402">
        <f>IFERROR(E484*'01 Prod Physique Boites'!H478,"-")</f>
        <v>0</v>
      </c>
      <c r="G484" s="403">
        <f>IFERROR(E484*'01 Prod Physique Boites'!L478,"-")</f>
        <v>0</v>
      </c>
      <c r="H484" s="381">
        <v>24.93</v>
      </c>
      <c r="I484" s="419">
        <f t="shared" ref="I484:I490" si="266">IFERROR(H484*(F484/E484),"-")</f>
        <v>0</v>
      </c>
      <c r="J484" s="420">
        <f t="shared" ref="J484:J486" si="267">IFERROR(H484*(G484/E484),"-")</f>
        <v>0</v>
      </c>
    </row>
    <row r="485" spans="1:15" ht="23.4" x14ac:dyDescent="0.3">
      <c r="A485" s="274" t="s">
        <v>103</v>
      </c>
      <c r="B485" s="1044"/>
      <c r="C485" s="275" t="s">
        <v>130</v>
      </c>
      <c r="D485" s="275"/>
      <c r="E485" s="505">
        <v>17.8202</v>
      </c>
      <c r="F485" s="402">
        <f>IFERROR(E485*'01 Prod Physique Boites'!H479,"-")</f>
        <v>0</v>
      </c>
      <c r="G485" s="403">
        <f>IFERROR(E485*'01 Prod Physique Boites'!L479,"-")</f>
        <v>0</v>
      </c>
      <c r="H485" s="385">
        <v>0</v>
      </c>
      <c r="I485" s="421">
        <f t="shared" si="266"/>
        <v>0</v>
      </c>
      <c r="J485" s="422">
        <f t="shared" si="267"/>
        <v>0</v>
      </c>
    </row>
    <row r="486" spans="1:15" ht="23.4" x14ac:dyDescent="0.3">
      <c r="A486" s="274" t="s">
        <v>103</v>
      </c>
      <c r="B486" s="1044"/>
      <c r="C486" s="275" t="s">
        <v>115</v>
      </c>
      <c r="D486" s="275"/>
      <c r="E486" s="505">
        <v>16.4071</v>
      </c>
      <c r="F486" s="402">
        <f>IFERROR(E486*'01 Prod Physique Boites'!H480,"-")</f>
        <v>0</v>
      </c>
      <c r="G486" s="403">
        <f>IFERROR(E486*'01 Prod Physique Boites'!L480,"-")</f>
        <v>0</v>
      </c>
      <c r="H486" s="385">
        <v>0</v>
      </c>
      <c r="I486" s="421">
        <f t="shared" si="266"/>
        <v>0</v>
      </c>
      <c r="J486" s="422">
        <f t="shared" si="267"/>
        <v>0</v>
      </c>
    </row>
    <row r="487" spans="1:15" ht="23.4" x14ac:dyDescent="0.3">
      <c r="A487" s="274" t="s">
        <v>103</v>
      </c>
      <c r="B487" s="1044"/>
      <c r="C487" s="275" t="s">
        <v>122</v>
      </c>
      <c r="D487" s="275"/>
      <c r="E487" s="505">
        <v>17.8202</v>
      </c>
      <c r="F487" s="402">
        <f>IFERROR(E487*'01 Prod Physique Boites'!H481,"-")</f>
        <v>0</v>
      </c>
      <c r="G487" s="403">
        <f>IFERROR(E487*'01 Prod Physique Boites'!L481,"-")</f>
        <v>0</v>
      </c>
      <c r="H487" s="385">
        <v>0</v>
      </c>
      <c r="I487" s="421">
        <f t="shared" si="266"/>
        <v>0</v>
      </c>
      <c r="J487" s="422">
        <f>IFERROR(H487*(G487/E487),"-")</f>
        <v>0</v>
      </c>
    </row>
    <row r="488" spans="1:15" ht="23.4" x14ac:dyDescent="0.3">
      <c r="A488" s="274" t="s">
        <v>103</v>
      </c>
      <c r="B488" s="1044"/>
      <c r="C488" s="275" t="s">
        <v>176</v>
      </c>
      <c r="D488" s="275" t="s">
        <v>177</v>
      </c>
      <c r="E488" s="505">
        <v>17.8202</v>
      </c>
      <c r="F488" s="402">
        <f>IFERROR(E488*'01 Prod Physique Boites'!H482,"-")</f>
        <v>0</v>
      </c>
      <c r="G488" s="403">
        <f>IFERROR(E488*'01 Prod Physique Boites'!L482,"-")</f>
        <v>0</v>
      </c>
      <c r="H488" s="385">
        <v>0</v>
      </c>
      <c r="I488" s="421">
        <f t="shared" si="266"/>
        <v>0</v>
      </c>
      <c r="J488" s="422">
        <f t="shared" ref="J488:J490" si="268">IFERROR(H488*(G488/E488),"-")</f>
        <v>0</v>
      </c>
    </row>
    <row r="489" spans="1:15" ht="23.4" x14ac:dyDescent="0.3">
      <c r="A489" s="274" t="s">
        <v>103</v>
      </c>
      <c r="B489" s="1044"/>
      <c r="C489" s="275" t="s">
        <v>179</v>
      </c>
      <c r="D489" s="275" t="s">
        <v>178</v>
      </c>
      <c r="E489" s="505">
        <v>16.7288</v>
      </c>
      <c r="F489" s="402">
        <f>IFERROR(E489*'01 Prod Physique Boites'!H483,"-")</f>
        <v>0</v>
      </c>
      <c r="G489" s="403">
        <f>IFERROR(E489*'01 Prod Physique Boites'!L483,"-")</f>
        <v>0</v>
      </c>
      <c r="H489" s="385">
        <v>0</v>
      </c>
      <c r="I489" s="421">
        <f t="shared" si="266"/>
        <v>0</v>
      </c>
      <c r="J489" s="422">
        <f t="shared" si="268"/>
        <v>0</v>
      </c>
    </row>
    <row r="490" spans="1:15" ht="24" thickBot="1" x14ac:dyDescent="0.35">
      <c r="A490" s="274" t="s">
        <v>103</v>
      </c>
      <c r="B490" s="1045"/>
      <c r="C490" s="286" t="s">
        <v>180</v>
      </c>
      <c r="D490" s="286" t="s">
        <v>107</v>
      </c>
      <c r="E490" s="501">
        <v>17.8202</v>
      </c>
      <c r="F490" s="402">
        <f>IFERROR(E490*'01 Prod Physique Boites'!H484,"-")</f>
        <v>0</v>
      </c>
      <c r="G490" s="403">
        <f>IFERROR(E490*'01 Prod Physique Boites'!L484,"-")</f>
        <v>0</v>
      </c>
      <c r="H490" s="385">
        <v>0</v>
      </c>
      <c r="I490" s="423">
        <f t="shared" si="266"/>
        <v>0</v>
      </c>
      <c r="J490" s="424">
        <f t="shared" si="268"/>
        <v>0</v>
      </c>
    </row>
    <row r="491" spans="1:15" ht="24" thickBot="1" x14ac:dyDescent="0.35">
      <c r="A491" s="274" t="s">
        <v>103</v>
      </c>
      <c r="B491" s="1025" t="s">
        <v>29</v>
      </c>
      <c r="C491" s="1026"/>
      <c r="D491" s="1027"/>
      <c r="E491" s="648"/>
      <c r="F491" s="649">
        <f t="shared" ref="F491:G491" si="269">SUM(F484:F490)</f>
        <v>0</v>
      </c>
      <c r="G491" s="407">
        <f t="shared" si="269"/>
        <v>0</v>
      </c>
      <c r="H491" s="391"/>
      <c r="I491" s="406">
        <f t="shared" ref="I491:J491" si="270">SUM(I484:I490)</f>
        <v>0</v>
      </c>
      <c r="J491" s="425">
        <f t="shared" si="270"/>
        <v>0</v>
      </c>
    </row>
    <row r="492" spans="1:15" ht="24" thickBot="1" x14ac:dyDescent="0.35">
      <c r="A492" s="274"/>
      <c r="B492" s="1085" t="s">
        <v>19</v>
      </c>
      <c r="C492" s="650" t="s">
        <v>235</v>
      </c>
      <c r="D492" s="656" t="s">
        <v>177</v>
      </c>
      <c r="E492" s="657">
        <v>12.2659</v>
      </c>
      <c r="F492" s="658">
        <f>IFERROR(E492*'01 Prod Physique Boites'!H486,"-")</f>
        <v>0</v>
      </c>
      <c r="G492" s="659">
        <f>IFERROR(E492*'01 Prod Physique Boites'!L486,"-")</f>
        <v>0</v>
      </c>
      <c r="H492" s="653">
        <v>14.79</v>
      </c>
      <c r="I492" s="638">
        <f t="shared" ref="I492:I494" si="271">IFERROR(H492*(F492/E492),"-")</f>
        <v>0</v>
      </c>
      <c r="J492" s="638">
        <f>IFERROR(H492*(G492/E492),"-")</f>
        <v>0</v>
      </c>
    </row>
    <row r="493" spans="1:15" ht="24" thickBot="1" x14ac:dyDescent="0.35">
      <c r="A493" s="274"/>
      <c r="B493" s="1086"/>
      <c r="C493" s="651" t="s">
        <v>359</v>
      </c>
      <c r="D493" s="660" t="s">
        <v>423</v>
      </c>
      <c r="E493" s="642">
        <v>12.2659</v>
      </c>
      <c r="F493" s="658">
        <f>IFERROR(E493*'01 Prod Physique Boites'!H487,"-")</f>
        <v>0</v>
      </c>
      <c r="G493" s="659">
        <f>IFERROR(E493*'01 Prod Physique Boites'!L487,"-")</f>
        <v>7046317.9775999999</v>
      </c>
      <c r="H493" s="654">
        <v>14.55</v>
      </c>
      <c r="I493" s="643">
        <f t="shared" si="271"/>
        <v>0</v>
      </c>
      <c r="J493" s="643">
        <f>IFERROR(H493*(G493/E493),"-")</f>
        <v>8358451.2000000002</v>
      </c>
    </row>
    <row r="494" spans="1:15" ht="24" thickBot="1" x14ac:dyDescent="0.35">
      <c r="A494" s="794" t="s">
        <v>103</v>
      </c>
      <c r="B494" s="1087"/>
      <c r="C494" s="652" t="s">
        <v>342</v>
      </c>
      <c r="D494" s="661"/>
      <c r="E494" s="662">
        <v>0</v>
      </c>
      <c r="F494" s="658">
        <f>IFERROR(E494*'01 Prod Physique Boites'!H488,"-")</f>
        <v>0</v>
      </c>
      <c r="G494" s="659">
        <f>IFERROR(E494*'01 Prod Physique Boites'!L488,"-")</f>
        <v>0</v>
      </c>
      <c r="H494" s="655">
        <v>0</v>
      </c>
      <c r="I494" s="426" t="str">
        <f t="shared" si="271"/>
        <v>-</v>
      </c>
      <c r="J494" s="427" t="str">
        <f t="shared" ref="J494" si="272">IFERROR(I494*(G494/F494),"-")</f>
        <v>-</v>
      </c>
    </row>
    <row r="495" spans="1:15" ht="24" thickBot="1" x14ac:dyDescent="0.35">
      <c r="A495" s="274" t="s">
        <v>103</v>
      </c>
      <c r="B495" s="1025" t="s">
        <v>46</v>
      </c>
      <c r="C495" s="1026"/>
      <c r="D495" s="1027"/>
      <c r="E495" s="390"/>
      <c r="F495" s="406">
        <f>SUM(F492:F494)</f>
        <v>0</v>
      </c>
      <c r="G495" s="406">
        <f>SUM(G492:G494)</f>
        <v>7046317.9775999999</v>
      </c>
      <c r="H495" s="391"/>
      <c r="I495" s="406">
        <f>SUM(I492:I494)</f>
        <v>0</v>
      </c>
      <c r="J495" s="425">
        <f>SUM(J492:J494)</f>
        <v>8358451.2000000002</v>
      </c>
    </row>
    <row r="496" spans="1:15" ht="23.4" x14ac:dyDescent="0.3">
      <c r="A496" s="274" t="s">
        <v>103</v>
      </c>
      <c r="B496" s="1043" t="s">
        <v>20</v>
      </c>
      <c r="C496" s="291" t="s">
        <v>317</v>
      </c>
      <c r="D496" s="291" t="s">
        <v>289</v>
      </c>
      <c r="E496" s="504">
        <v>26.032900000000001</v>
      </c>
      <c r="F496" s="402">
        <f>IFERROR(E496*'01 Prod Physique Boites'!H490,"-")</f>
        <v>0</v>
      </c>
      <c r="G496" s="403">
        <f>IFERROR(E496*'01 Prod Physique Boites'!L490,"-")</f>
        <v>0</v>
      </c>
      <c r="H496" s="381">
        <v>36.44</v>
      </c>
      <c r="I496" s="419">
        <f>IFERROR(H496*(F496/E496),"-")</f>
        <v>0</v>
      </c>
      <c r="J496" s="420">
        <f t="shared" ref="J496:J498" si="273">IFERROR(H496*(G496/E496),"-")</f>
        <v>0</v>
      </c>
    </row>
    <row r="497" spans="1:10" ht="23.4" x14ac:dyDescent="0.3">
      <c r="A497" s="274" t="s">
        <v>103</v>
      </c>
      <c r="B497" s="1044"/>
      <c r="C497" s="292" t="s">
        <v>114</v>
      </c>
      <c r="D497" s="292"/>
      <c r="E497" s="384">
        <v>24.2607</v>
      </c>
      <c r="F497" s="402">
        <f>IFERROR(E497*'01 Prod Physique Boites'!H491,"-")</f>
        <v>0</v>
      </c>
      <c r="G497" s="403">
        <f>IFERROR(E497*'01 Prod Physique Boites'!L491,"-")</f>
        <v>0</v>
      </c>
      <c r="H497" s="385">
        <v>37.369999999999997</v>
      </c>
      <c r="I497" s="421">
        <f>IFERROR(H497*(F497/E497),"-")</f>
        <v>0</v>
      </c>
      <c r="J497" s="422">
        <f t="shared" si="273"/>
        <v>0</v>
      </c>
    </row>
    <row r="498" spans="1:10" ht="24" thickBot="1" x14ac:dyDescent="0.35">
      <c r="A498" s="274" t="s">
        <v>103</v>
      </c>
      <c r="B498" s="1045"/>
      <c r="C498" s="293" t="s">
        <v>120</v>
      </c>
      <c r="D498" s="293"/>
      <c r="E498" s="386">
        <v>26.035799999999998</v>
      </c>
      <c r="F498" s="402">
        <f>IFERROR(E498*'01 Prod Physique Boites'!H492,"-")</f>
        <v>0</v>
      </c>
      <c r="G498" s="403">
        <f>IFERROR(E498*'01 Prod Physique Boites'!L492,"-")</f>
        <v>0</v>
      </c>
      <c r="H498" s="387">
        <v>37.11</v>
      </c>
      <c r="I498" s="423">
        <f>IFERROR(H498*(F498/E498),"-")</f>
        <v>0</v>
      </c>
      <c r="J498" s="424">
        <f t="shared" si="273"/>
        <v>0</v>
      </c>
    </row>
    <row r="499" spans="1:10" ht="24" thickBot="1" x14ac:dyDescent="0.35">
      <c r="A499" s="274" t="s">
        <v>103</v>
      </c>
      <c r="B499" s="1026" t="s">
        <v>47</v>
      </c>
      <c r="C499" s="1026"/>
      <c r="D499" s="1046"/>
      <c r="E499" s="390"/>
      <c r="F499" s="406">
        <f t="shared" ref="F499:G499" si="274">SUM(F496:F498)</f>
        <v>0</v>
      </c>
      <c r="G499" s="407">
        <f t="shared" si="274"/>
        <v>0</v>
      </c>
      <c r="H499" s="391"/>
      <c r="I499" s="406">
        <f t="shared" ref="I499:J499" si="275">SUM(I496:I498)</f>
        <v>0</v>
      </c>
      <c r="J499" s="425">
        <f t="shared" si="275"/>
        <v>0</v>
      </c>
    </row>
    <row r="500" spans="1:10" ht="24" thickBot="1" x14ac:dyDescent="0.35">
      <c r="A500" s="274" t="s">
        <v>103</v>
      </c>
      <c r="B500" s="1047" t="s">
        <v>21</v>
      </c>
      <c r="C500" s="1048"/>
      <c r="D500" s="1049"/>
      <c r="E500" s="393"/>
      <c r="F500" s="410">
        <f>+F475+F483+F491+F495+F499</f>
        <v>1263647.808</v>
      </c>
      <c r="G500" s="411">
        <f>+G475+G483+G491+G495+G499</f>
        <v>11897459.2476</v>
      </c>
      <c r="H500" s="394"/>
      <c r="I500" s="410">
        <f>+I475+I483+I491+I495+I499</f>
        <v>2007360</v>
      </c>
      <c r="J500" s="428">
        <f>+J475+J483+J491+J495+J499</f>
        <v>15636327.600000001</v>
      </c>
    </row>
    <row r="501" spans="1:10" ht="23.4" x14ac:dyDescent="0.3">
      <c r="A501" s="274" t="s">
        <v>103</v>
      </c>
      <c r="B501" s="1043" t="s">
        <v>400</v>
      </c>
      <c r="C501" s="269" t="s">
        <v>125</v>
      </c>
      <c r="D501" s="269"/>
      <c r="E501" s="380">
        <v>22.820599999999999</v>
      </c>
      <c r="F501" s="402">
        <f>IFERROR(E501*'01 Prod Physique Boites'!H495,"-")</f>
        <v>0</v>
      </c>
      <c r="G501" s="403">
        <f>IFERROR(E501*'01 Prod Physique Boites'!L495,"-")</f>
        <v>0</v>
      </c>
      <c r="H501" s="381">
        <v>27.5</v>
      </c>
      <c r="I501" s="419">
        <f>IFERROR(H501*(F501/E501),"-")</f>
        <v>0</v>
      </c>
      <c r="J501" s="420">
        <f t="shared" ref="J501:J504" si="276">IFERROR(H501*(G501/E501),"-")</f>
        <v>0</v>
      </c>
    </row>
    <row r="502" spans="1:10" ht="23.4" x14ac:dyDescent="0.3">
      <c r="A502" s="274" t="s">
        <v>103</v>
      </c>
      <c r="B502" s="1044"/>
      <c r="C502" s="295" t="s">
        <v>263</v>
      </c>
      <c r="D502" s="295" t="s">
        <v>181</v>
      </c>
      <c r="E502" s="384">
        <v>23.570699999999999</v>
      </c>
      <c r="F502" s="402">
        <f>IFERROR(E502*'01 Prod Physique Boites'!H496,"-")</f>
        <v>0</v>
      </c>
      <c r="G502" s="403">
        <f>IFERROR(E502*'01 Prod Physique Boites'!L496,"-")</f>
        <v>0</v>
      </c>
      <c r="H502" s="385">
        <v>27.5</v>
      </c>
      <c r="I502" s="421">
        <f>IFERROR(H502*(F502/E502),"-")</f>
        <v>0</v>
      </c>
      <c r="J502" s="422">
        <f t="shared" si="276"/>
        <v>0</v>
      </c>
    </row>
    <row r="503" spans="1:10" ht="23.4" x14ac:dyDescent="0.3">
      <c r="A503" s="274" t="s">
        <v>103</v>
      </c>
      <c r="B503" s="1044"/>
      <c r="C503" s="295" t="s">
        <v>362</v>
      </c>
      <c r="D503" s="295" t="s">
        <v>181</v>
      </c>
      <c r="E503" s="384">
        <v>22.820599999999999</v>
      </c>
      <c r="F503" s="402">
        <f>IFERROR(E503*'01 Prod Physique Boites'!H497,"-")</f>
        <v>0</v>
      </c>
      <c r="G503" s="403">
        <f>IFERROR(E503*'01 Prod Physique Boites'!L497,"-")</f>
        <v>0</v>
      </c>
      <c r="H503" s="385">
        <v>27.5</v>
      </c>
      <c r="I503" s="421">
        <f>IFERROR(H503*(F503/E503),"-")</f>
        <v>0</v>
      </c>
      <c r="J503" s="422">
        <f t="shared" si="276"/>
        <v>0</v>
      </c>
    </row>
    <row r="504" spans="1:10" ht="24" thickBot="1" x14ac:dyDescent="0.35">
      <c r="A504" s="274" t="s">
        <v>103</v>
      </c>
      <c r="B504" s="1045"/>
      <c r="C504" s="279" t="s">
        <v>182</v>
      </c>
      <c r="D504" s="279" t="s">
        <v>93</v>
      </c>
      <c r="E504" s="386">
        <v>23.5685</v>
      </c>
      <c r="F504" s="402">
        <f>IFERROR(E504*'01 Prod Physique Boites'!H498,"-")</f>
        <v>0</v>
      </c>
      <c r="G504" s="403">
        <f>IFERROR(E504*'01 Prod Physique Boites'!L498,"-")</f>
        <v>0</v>
      </c>
      <c r="H504" s="387">
        <v>24</v>
      </c>
      <c r="I504" s="423">
        <f>IFERROR(H504*(F504/E504),"-")</f>
        <v>0</v>
      </c>
      <c r="J504" s="424">
        <f t="shared" si="276"/>
        <v>0</v>
      </c>
    </row>
    <row r="505" spans="1:10" ht="24" thickBot="1" x14ac:dyDescent="0.35">
      <c r="A505" s="274" t="s">
        <v>103</v>
      </c>
      <c r="B505" s="1025" t="s">
        <v>48</v>
      </c>
      <c r="C505" s="1026"/>
      <c r="D505" s="1027"/>
      <c r="E505" s="390"/>
      <c r="F505" s="406">
        <f t="shared" ref="F505:G505" si="277">SUM(F501:F504)</f>
        <v>0</v>
      </c>
      <c r="G505" s="407">
        <f t="shared" si="277"/>
        <v>0</v>
      </c>
      <c r="H505" s="391"/>
      <c r="I505" s="406">
        <f t="shared" ref="I505:J505" si="278">SUM(I501:I504)</f>
        <v>0</v>
      </c>
      <c r="J505" s="425">
        <f t="shared" si="278"/>
        <v>0</v>
      </c>
    </row>
    <row r="506" spans="1:10" ht="23.4" x14ac:dyDescent="0.3">
      <c r="A506" s="274" t="s">
        <v>103</v>
      </c>
      <c r="B506" s="1043" t="s">
        <v>23</v>
      </c>
      <c r="C506" s="296" t="s">
        <v>308</v>
      </c>
      <c r="D506" s="296" t="s">
        <v>238</v>
      </c>
      <c r="E506" s="380">
        <v>101.4935</v>
      </c>
      <c r="F506" s="402">
        <f>IFERROR(E506*'01 Prod Physique Boites'!H500,"-")</f>
        <v>0</v>
      </c>
      <c r="G506" s="403">
        <f>IFERROR(E506*'01 Prod Physique Boites'!L500,"-")</f>
        <v>0</v>
      </c>
      <c r="H506" s="385">
        <v>160.44999999999999</v>
      </c>
      <c r="I506" s="419">
        <f t="shared" ref="I506:I514" si="279">IFERROR(H506*(F506/E506),"-")</f>
        <v>0</v>
      </c>
      <c r="J506" s="420">
        <f t="shared" ref="J506:J514" si="280">IFERROR(H506*(G506/E506),"-")</f>
        <v>0</v>
      </c>
    </row>
    <row r="507" spans="1:10" ht="23.4" x14ac:dyDescent="0.3">
      <c r="A507" s="274" t="s">
        <v>103</v>
      </c>
      <c r="B507" s="1044"/>
      <c r="C507" s="275" t="s">
        <v>24</v>
      </c>
      <c r="D507" s="275" t="s">
        <v>238</v>
      </c>
      <c r="E507" s="384">
        <v>101.4935</v>
      </c>
      <c r="F507" s="402">
        <f>IFERROR(E507*'01 Prod Physique Boites'!H501,"-")</f>
        <v>0</v>
      </c>
      <c r="G507" s="403">
        <f>IFERROR(E507*'01 Prod Physique Boites'!L501,"-")</f>
        <v>0</v>
      </c>
      <c r="H507" s="385">
        <v>160.44999999999999</v>
      </c>
      <c r="I507" s="421">
        <f t="shared" si="279"/>
        <v>0</v>
      </c>
      <c r="J507" s="422">
        <f t="shared" si="280"/>
        <v>0</v>
      </c>
    </row>
    <row r="508" spans="1:10" ht="23.4" x14ac:dyDescent="0.3">
      <c r="A508" s="274" t="s">
        <v>103</v>
      </c>
      <c r="B508" s="1044"/>
      <c r="C508" s="275" t="s">
        <v>236</v>
      </c>
      <c r="D508" s="275" t="s">
        <v>238</v>
      </c>
      <c r="E508" s="384">
        <v>101.4935</v>
      </c>
      <c r="F508" s="402">
        <f>IFERROR(E508*'01 Prod Physique Boites'!H502,"-")</f>
        <v>0</v>
      </c>
      <c r="G508" s="403">
        <f>IFERROR(E508*'01 Prod Physique Boites'!L502,"-")</f>
        <v>0</v>
      </c>
      <c r="H508" s="385">
        <v>160.44999999999999</v>
      </c>
      <c r="I508" s="421">
        <f t="shared" si="279"/>
        <v>0</v>
      </c>
      <c r="J508" s="422">
        <f t="shared" si="280"/>
        <v>0</v>
      </c>
    </row>
    <row r="509" spans="1:10" ht="23.4" x14ac:dyDescent="0.3">
      <c r="A509" s="274" t="s">
        <v>103</v>
      </c>
      <c r="B509" s="1044"/>
      <c r="C509" s="275" t="s">
        <v>237</v>
      </c>
      <c r="D509" s="275" t="s">
        <v>238</v>
      </c>
      <c r="E509" s="384">
        <v>101.4935</v>
      </c>
      <c r="F509" s="402">
        <f>IFERROR(E509*'01 Prod Physique Boites'!H503,"-")</f>
        <v>0</v>
      </c>
      <c r="G509" s="403">
        <f>IFERROR(E509*'01 Prod Physique Boites'!L503,"-")</f>
        <v>0</v>
      </c>
      <c r="H509" s="385">
        <v>160.44999999999999</v>
      </c>
      <c r="I509" s="421">
        <f t="shared" si="279"/>
        <v>0</v>
      </c>
      <c r="J509" s="422">
        <f t="shared" si="280"/>
        <v>0</v>
      </c>
    </row>
    <row r="510" spans="1:10" ht="23.4" x14ac:dyDescent="0.3">
      <c r="A510" s="274" t="s">
        <v>103</v>
      </c>
      <c r="B510" s="1044"/>
      <c r="C510" s="295" t="s">
        <v>239</v>
      </c>
      <c r="D510" s="275" t="s">
        <v>238</v>
      </c>
      <c r="E510" s="384">
        <v>101.4935</v>
      </c>
      <c r="F510" s="402">
        <f>IFERROR(E510*'01 Prod Physique Boites'!H504,"-")</f>
        <v>0</v>
      </c>
      <c r="G510" s="403">
        <f>IFERROR(E510*'01 Prod Physique Boites'!L504,"-")</f>
        <v>0</v>
      </c>
      <c r="H510" s="385">
        <v>160.44999999999999</v>
      </c>
      <c r="I510" s="421">
        <f t="shared" si="279"/>
        <v>0</v>
      </c>
      <c r="J510" s="422">
        <f t="shared" si="280"/>
        <v>0</v>
      </c>
    </row>
    <row r="511" spans="1:10" ht="23.4" x14ac:dyDescent="0.3">
      <c r="A511" s="274" t="s">
        <v>103</v>
      </c>
      <c r="B511" s="1044"/>
      <c r="C511" s="295" t="s">
        <v>240</v>
      </c>
      <c r="D511" s="275" t="s">
        <v>238</v>
      </c>
      <c r="E511" s="384">
        <v>101.4935</v>
      </c>
      <c r="F511" s="402">
        <f>IFERROR(E511*'01 Prod Physique Boites'!H505,"-")</f>
        <v>0</v>
      </c>
      <c r="G511" s="403">
        <f>IFERROR(E511*'01 Prod Physique Boites'!L505,"-")</f>
        <v>0</v>
      </c>
      <c r="H511" s="385">
        <v>160.44999999999999</v>
      </c>
      <c r="I511" s="421">
        <f t="shared" si="279"/>
        <v>0</v>
      </c>
      <c r="J511" s="422">
        <f t="shared" si="280"/>
        <v>0</v>
      </c>
    </row>
    <row r="512" spans="1:10" ht="23.4" x14ac:dyDescent="0.3">
      <c r="A512" s="274" t="s">
        <v>103</v>
      </c>
      <c r="B512" s="1044"/>
      <c r="C512" s="295" t="s">
        <v>241</v>
      </c>
      <c r="D512" s="275" t="s">
        <v>243</v>
      </c>
      <c r="E512" s="384">
        <v>101.4935</v>
      </c>
      <c r="F512" s="402">
        <f>IFERROR(E512*'01 Prod Physique Boites'!H506,"-")</f>
        <v>0</v>
      </c>
      <c r="G512" s="403">
        <f>IFERROR(E512*'01 Prod Physique Boites'!L506,"-")</f>
        <v>0</v>
      </c>
      <c r="H512" s="385">
        <v>160.44999999999999</v>
      </c>
      <c r="I512" s="421">
        <f t="shared" si="279"/>
        <v>0</v>
      </c>
      <c r="J512" s="422">
        <f t="shared" si="280"/>
        <v>0</v>
      </c>
    </row>
    <row r="513" spans="1:10" ht="23.4" x14ac:dyDescent="0.3">
      <c r="A513" s="274"/>
      <c r="B513" s="1045"/>
      <c r="C513" s="295" t="s">
        <v>457</v>
      </c>
      <c r="D513" s="275" t="s">
        <v>238</v>
      </c>
      <c r="E513" s="386">
        <v>101.49</v>
      </c>
      <c r="F513" s="402">
        <f>IFERROR(E513*'01 Prod Physique Boites'!H507,"-")</f>
        <v>0</v>
      </c>
      <c r="G513" s="403">
        <f>IFERROR(E513*'01 Prod Physique Boites'!L507,"-")</f>
        <v>0</v>
      </c>
      <c r="H513" s="385">
        <v>160.44999999999999</v>
      </c>
      <c r="I513" s="421">
        <f t="shared" si="279"/>
        <v>0</v>
      </c>
      <c r="J513" s="422">
        <f t="shared" si="280"/>
        <v>0</v>
      </c>
    </row>
    <row r="514" spans="1:10" ht="24" thickBot="1" x14ac:dyDescent="0.35">
      <c r="A514" s="274" t="s">
        <v>103</v>
      </c>
      <c r="B514" s="1045"/>
      <c r="C514" s="295" t="s">
        <v>242</v>
      </c>
      <c r="D514" s="275" t="s">
        <v>238</v>
      </c>
      <c r="E514" s="386">
        <v>101.4935</v>
      </c>
      <c r="F514" s="402">
        <f>IFERROR(E514*'01 Prod Physique Boites'!H508,"-")</f>
        <v>0</v>
      </c>
      <c r="G514" s="403">
        <f>IFERROR(E514*'01 Prod Physique Boites'!L508,"-")</f>
        <v>0</v>
      </c>
      <c r="H514" s="385">
        <v>160.44999999999999</v>
      </c>
      <c r="I514" s="421">
        <f t="shared" si="279"/>
        <v>0</v>
      </c>
      <c r="J514" s="424">
        <f t="shared" si="280"/>
        <v>0</v>
      </c>
    </row>
    <row r="515" spans="1:10" ht="24" thickBot="1" x14ac:dyDescent="0.35">
      <c r="A515" s="274" t="s">
        <v>103</v>
      </c>
      <c r="B515" s="1025" t="s">
        <v>49</v>
      </c>
      <c r="C515" s="1026"/>
      <c r="D515" s="1027"/>
      <c r="E515" s="390"/>
      <c r="F515" s="406">
        <f t="shared" ref="F515" si="281">SUM(F506:F514)</f>
        <v>0</v>
      </c>
      <c r="G515" s="407">
        <f>SUM(G506:G514)</f>
        <v>0</v>
      </c>
      <c r="H515" s="391"/>
      <c r="I515" s="406">
        <f t="shared" ref="I515" si="282">SUM(I506:I514)</f>
        <v>0</v>
      </c>
      <c r="J515" s="425">
        <f>SUM(J506:J514)</f>
        <v>0</v>
      </c>
    </row>
    <row r="516" spans="1:10" ht="24" thickBot="1" x14ac:dyDescent="0.35">
      <c r="A516" s="274" t="s">
        <v>103</v>
      </c>
      <c r="B516" s="1047" t="s">
        <v>25</v>
      </c>
      <c r="C516" s="1048"/>
      <c r="D516" s="1049"/>
      <c r="E516" s="393"/>
      <c r="F516" s="410">
        <f t="shared" ref="F516" si="283">+F505+F515</f>
        <v>0</v>
      </c>
      <c r="G516" s="411">
        <f>+G505+G515</f>
        <v>0</v>
      </c>
      <c r="H516" s="394"/>
      <c r="I516" s="410">
        <f t="shared" ref="I516:J516" si="284">+I505+I515</f>
        <v>0</v>
      </c>
      <c r="J516" s="428">
        <f t="shared" si="284"/>
        <v>0</v>
      </c>
    </row>
    <row r="517" spans="1:10" ht="24" thickBot="1" x14ac:dyDescent="0.35">
      <c r="A517" s="274" t="s">
        <v>103</v>
      </c>
      <c r="B517" s="1019" t="s">
        <v>172</v>
      </c>
      <c r="C517" s="1020"/>
      <c r="D517" s="1021"/>
      <c r="E517" s="395"/>
      <c r="F517" s="412">
        <f t="shared" ref="F517" si="285">+F500+F516</f>
        <v>1263647.808</v>
      </c>
      <c r="G517" s="413">
        <f>+G500+G516</f>
        <v>11897459.2476</v>
      </c>
      <c r="H517" s="396"/>
      <c r="I517" s="412">
        <f t="shared" ref="I517:J517" si="286">+I500+I516</f>
        <v>2007360</v>
      </c>
      <c r="J517" s="429">
        <f t="shared" si="286"/>
        <v>15636327.600000001</v>
      </c>
    </row>
    <row r="518" spans="1:10" ht="23.4" x14ac:dyDescent="0.3">
      <c r="A518" s="268" t="s">
        <v>101</v>
      </c>
      <c r="B518" s="1051" t="s">
        <v>26</v>
      </c>
      <c r="C518" s="297" t="s">
        <v>297</v>
      </c>
      <c r="D518" s="299" t="s">
        <v>177</v>
      </c>
      <c r="E518" s="504">
        <v>13.1272</v>
      </c>
      <c r="F518" s="402">
        <f>IFERROR(E518*'01 Prod Physique Boites'!H512,"-")</f>
        <v>0</v>
      </c>
      <c r="G518" s="403">
        <f>IFERROR(E518*'01 Prod Physique Boites'!L512,"-")</f>
        <v>0</v>
      </c>
      <c r="H518" s="381">
        <v>20.76</v>
      </c>
      <c r="I518" s="419">
        <f t="shared" ref="I518:I527" si="287">IFERROR(H518*(F518/E518),"-")</f>
        <v>0</v>
      </c>
      <c r="J518" s="632">
        <f t="shared" ref="J518:J527" si="288">IFERROR(H518*(G518/E518),"-")</f>
        <v>0</v>
      </c>
    </row>
    <row r="519" spans="1:10" ht="23.4" x14ac:dyDescent="0.3">
      <c r="A519" s="274" t="s">
        <v>101</v>
      </c>
      <c r="B519" s="1051"/>
      <c r="C519" s="298" t="s">
        <v>424</v>
      </c>
      <c r="D519" s="298" t="s">
        <v>423</v>
      </c>
      <c r="E519" s="505">
        <v>16.7288</v>
      </c>
      <c r="F519" s="402">
        <f>IFERROR(E519*'01 Prod Physique Boites'!H513,"-")</f>
        <v>66547.166400000002</v>
      </c>
      <c r="G519" s="403">
        <f>IFERROR(E519*'01 Prod Physique Boites'!L513,"-")</f>
        <v>4192471.4832000001</v>
      </c>
      <c r="H519" s="385">
        <v>20.76</v>
      </c>
      <c r="I519" s="421">
        <f t="shared" si="287"/>
        <v>82583.280000000013</v>
      </c>
      <c r="J519" s="633">
        <f t="shared" si="288"/>
        <v>5202746.6400000006</v>
      </c>
    </row>
    <row r="520" spans="1:10" ht="23.4" x14ac:dyDescent="0.3">
      <c r="A520" s="274" t="s">
        <v>101</v>
      </c>
      <c r="B520" s="1051"/>
      <c r="C520" s="299" t="s">
        <v>27</v>
      </c>
      <c r="D520" s="299" t="s">
        <v>334</v>
      </c>
      <c r="E520" s="501">
        <v>17.8202</v>
      </c>
      <c r="F520" s="402">
        <f>IFERROR(E520*'01 Prod Physique Boites'!H514,"-")</f>
        <v>0</v>
      </c>
      <c r="G520" s="403">
        <f>IFERROR(E520*'01 Prod Physique Boites'!L514,"-")</f>
        <v>0</v>
      </c>
      <c r="H520" s="385">
        <v>21.22</v>
      </c>
      <c r="I520" s="643">
        <f t="shared" si="287"/>
        <v>0</v>
      </c>
      <c r="J520" s="633">
        <f t="shared" si="288"/>
        <v>0</v>
      </c>
    </row>
    <row r="521" spans="1:10" ht="23.4" x14ac:dyDescent="0.3">
      <c r="A521" s="274" t="s">
        <v>101</v>
      </c>
      <c r="B521" s="1051"/>
      <c r="C521" s="299" t="s">
        <v>27</v>
      </c>
      <c r="D521" s="297" t="s">
        <v>492</v>
      </c>
      <c r="E521" s="501">
        <v>17.8202</v>
      </c>
      <c r="F521" s="402">
        <f>IFERROR(E521*'01 Prod Physique Boites'!H515,"-")</f>
        <v>3544437.78</v>
      </c>
      <c r="G521" s="403">
        <f>IFERROR(E521*'01 Prod Physique Boites'!L515,"-")</f>
        <v>4749546.6251999997</v>
      </c>
      <c r="H521" s="385">
        <v>26.75</v>
      </c>
      <c r="I521" s="643">
        <f t="shared" si="287"/>
        <v>5320575</v>
      </c>
      <c r="J521" s="633">
        <f t="shared" si="288"/>
        <v>7129570.5</v>
      </c>
    </row>
    <row r="522" spans="1:10" ht="23.4" x14ac:dyDescent="0.3">
      <c r="A522" s="274" t="s">
        <v>101</v>
      </c>
      <c r="B522" s="1051"/>
      <c r="C522" s="299" t="s">
        <v>27</v>
      </c>
      <c r="D522" s="299" t="s">
        <v>279</v>
      </c>
      <c r="E522" s="501">
        <v>17.8202</v>
      </c>
      <c r="F522" s="402">
        <f>IFERROR(E522*'01 Prod Physique Boites'!H516,"-")</f>
        <v>0</v>
      </c>
      <c r="G522" s="403">
        <f>IFERROR(E522*'01 Prod Physique Boites'!L516,"-")</f>
        <v>0</v>
      </c>
      <c r="H522" s="385">
        <v>24.93</v>
      </c>
      <c r="I522" s="643">
        <f t="shared" si="287"/>
        <v>0</v>
      </c>
      <c r="J522" s="633">
        <f t="shared" si="288"/>
        <v>0</v>
      </c>
    </row>
    <row r="523" spans="1:10" ht="23.4" x14ac:dyDescent="0.3">
      <c r="A523" s="274"/>
      <c r="B523" s="1051"/>
      <c r="C523" s="299" t="s">
        <v>437</v>
      </c>
      <c r="D523" s="299" t="s">
        <v>178</v>
      </c>
      <c r="E523" s="501">
        <v>14.608000000000001</v>
      </c>
      <c r="F523" s="402">
        <f>IFERROR(E523*'01 Prod Physique Boites'!H517,"-")</f>
        <v>0</v>
      </c>
      <c r="G523" s="403">
        <f>IFERROR(E523*'01 Prod Physique Boites'!L517,"-")</f>
        <v>0</v>
      </c>
      <c r="H523" s="387">
        <v>24.93</v>
      </c>
      <c r="I523" s="643">
        <f t="shared" si="287"/>
        <v>0</v>
      </c>
      <c r="J523" s="634">
        <f t="shared" si="288"/>
        <v>0</v>
      </c>
    </row>
    <row r="524" spans="1:10" ht="23.4" x14ac:dyDescent="0.3">
      <c r="A524" s="274"/>
      <c r="B524" s="1051"/>
      <c r="C524" s="299" t="s">
        <v>436</v>
      </c>
      <c r="D524" s="299" t="s">
        <v>94</v>
      </c>
      <c r="E524" s="501">
        <v>17.8202</v>
      </c>
      <c r="F524" s="724">
        <f>IFERROR(E524*'01 Prod Physique Boites'!H518,"-")</f>
        <v>0</v>
      </c>
      <c r="G524" s="403">
        <f>IFERROR(E524*'01 Prod Physique Boites'!L518,"-")</f>
        <v>0</v>
      </c>
      <c r="H524" s="387">
        <v>24.93</v>
      </c>
      <c r="I524" s="730">
        <f t="shared" si="287"/>
        <v>0</v>
      </c>
      <c r="J524" s="634">
        <f t="shared" si="288"/>
        <v>0</v>
      </c>
    </row>
    <row r="525" spans="1:10" s="731" customFormat="1" ht="23.4" x14ac:dyDescent="0.3">
      <c r="A525" s="725"/>
      <c r="B525" s="1051"/>
      <c r="C525" s="726" t="s">
        <v>383</v>
      </c>
      <c r="D525" s="726" t="s">
        <v>384</v>
      </c>
      <c r="E525" s="727">
        <v>16.345199999999998</v>
      </c>
      <c r="F525" s="724">
        <f>IFERROR(E525*'01 Prod Physique Boites'!H519,"-")</f>
        <v>0</v>
      </c>
      <c r="G525" s="728">
        <f>IFERROR(E525*'01 Prod Physique Boites'!L519,"-")</f>
        <v>0</v>
      </c>
      <c r="H525" s="729">
        <v>23.78</v>
      </c>
      <c r="I525" s="730">
        <f t="shared" si="287"/>
        <v>0</v>
      </c>
      <c r="J525" s="634">
        <f t="shared" si="288"/>
        <v>0</v>
      </c>
    </row>
    <row r="526" spans="1:10" s="731" customFormat="1" ht="23.4" x14ac:dyDescent="0.3">
      <c r="A526" s="725"/>
      <c r="B526" s="1051"/>
      <c r="C526" s="299" t="s">
        <v>433</v>
      </c>
      <c r="D526" s="299" t="s">
        <v>178</v>
      </c>
      <c r="E526" s="727">
        <v>16.7288</v>
      </c>
      <c r="F526" s="724">
        <f>IFERROR(E526*'01 Prod Physique Boites'!H520,"-")</f>
        <v>0</v>
      </c>
      <c r="G526" s="728">
        <f>IFERROR(E526*'01 Prod Physique Boites'!L520,"-")</f>
        <v>0</v>
      </c>
      <c r="H526" s="729">
        <v>25.49</v>
      </c>
      <c r="I526" s="730">
        <f t="shared" si="287"/>
        <v>0</v>
      </c>
      <c r="J526" s="634">
        <f t="shared" si="288"/>
        <v>0</v>
      </c>
    </row>
    <row r="527" spans="1:10" ht="24" thickBot="1" x14ac:dyDescent="0.35">
      <c r="A527" s="274" t="s">
        <v>101</v>
      </c>
      <c r="B527" s="1051"/>
      <c r="C527" s="300" t="s">
        <v>290</v>
      </c>
      <c r="D527" s="299" t="s">
        <v>289</v>
      </c>
      <c r="E527" s="501">
        <v>12.6997</v>
      </c>
      <c r="F527" s="402">
        <f>IFERROR(E527*'01 Prod Physique Boites'!H521,"-")</f>
        <v>0</v>
      </c>
      <c r="G527" s="728">
        <f>IFERROR(E527*'01 Prod Physique Boites'!L521,"-")</f>
        <v>0</v>
      </c>
      <c r="H527" s="387">
        <v>13.25</v>
      </c>
      <c r="I527" s="730">
        <f t="shared" si="287"/>
        <v>0</v>
      </c>
      <c r="J527" s="634">
        <f t="shared" si="288"/>
        <v>0</v>
      </c>
    </row>
    <row r="528" spans="1:10" ht="24" thickBot="1" x14ac:dyDescent="0.35">
      <c r="A528" s="274" t="s">
        <v>101</v>
      </c>
      <c r="B528" s="1052"/>
      <c r="C528" s="301"/>
      <c r="D528" s="302" t="s">
        <v>52</v>
      </c>
      <c r="E528" s="390"/>
      <c r="F528" s="406">
        <f>SUM(F518:F527)</f>
        <v>3610984.9463999998</v>
      </c>
      <c r="G528" s="407">
        <f>SUM(G518:G527)</f>
        <v>8942018.1084000003</v>
      </c>
      <c r="H528" s="391"/>
      <c r="I528" s="406">
        <f>SUM(I518:I527)</f>
        <v>5403158.2800000003</v>
      </c>
      <c r="J528" s="425">
        <f>SUM(J518:J527)</f>
        <v>12332317.140000001</v>
      </c>
    </row>
    <row r="529" spans="1:10" ht="23.4" x14ac:dyDescent="0.3">
      <c r="A529" s="274" t="s">
        <v>101</v>
      </c>
      <c r="B529" s="1053" t="s">
        <v>28</v>
      </c>
      <c r="C529" s="299" t="s">
        <v>27</v>
      </c>
      <c r="D529" s="297" t="s">
        <v>492</v>
      </c>
      <c r="E529" s="504">
        <v>17.8202</v>
      </c>
      <c r="F529" s="402">
        <f>IFERROR(E529*'01 Prod Physique Boites'!H523,"-")</f>
        <v>0</v>
      </c>
      <c r="G529" s="403">
        <f>IFERROR(E529*'01 Prod Physique Boites'!L523,"-")</f>
        <v>1346886.3563999999</v>
      </c>
      <c r="H529" s="381">
        <v>26.75</v>
      </c>
      <c r="I529" s="419">
        <f t="shared" ref="I529:I535" si="289">IFERROR(H529*(F529/E529),"-")</f>
        <v>0</v>
      </c>
      <c r="J529" s="632">
        <f t="shared" ref="J529:J530" si="290">IFERROR(H529*(G529/E529),"-")</f>
        <v>2021818.5</v>
      </c>
    </row>
    <row r="530" spans="1:10" ht="23.4" x14ac:dyDescent="0.3">
      <c r="A530" s="274" t="s">
        <v>101</v>
      </c>
      <c r="B530" s="1051"/>
      <c r="C530" s="299" t="s">
        <v>386</v>
      </c>
      <c r="D530" s="299" t="s">
        <v>334</v>
      </c>
      <c r="E530" s="711">
        <v>16.7288</v>
      </c>
      <c r="F530" s="402">
        <f>IFERROR(E530*'01 Prod Physique Boites'!H524,"-")</f>
        <v>0</v>
      </c>
      <c r="G530" s="728">
        <f>IFERROR(E530*'01 Prod Physique Boites'!L524,"-")</f>
        <v>1597131.9935999999</v>
      </c>
      <c r="H530" s="708">
        <v>20.76</v>
      </c>
      <c r="I530" s="421">
        <f t="shared" si="289"/>
        <v>0</v>
      </c>
      <c r="J530" s="633">
        <f t="shared" si="290"/>
        <v>1981998.7200000002</v>
      </c>
    </row>
    <row r="531" spans="1:10" ht="23.4" x14ac:dyDescent="0.3">
      <c r="A531" s="274" t="s">
        <v>101</v>
      </c>
      <c r="B531" s="1051"/>
      <c r="C531" s="299" t="s">
        <v>385</v>
      </c>
      <c r="D531" s="299" t="s">
        <v>334</v>
      </c>
      <c r="E531" s="501">
        <v>17.8202</v>
      </c>
      <c r="F531" s="402">
        <f>IFERROR(E531*'01 Prod Physique Boites'!H525,"-")</f>
        <v>0</v>
      </c>
      <c r="G531" s="403">
        <f>IFERROR(E531*'01 Prod Physique Boites'!L525,"-")</f>
        <v>0</v>
      </c>
      <c r="H531" s="385">
        <v>21.22</v>
      </c>
      <c r="I531" s="421">
        <f t="shared" si="289"/>
        <v>0</v>
      </c>
      <c r="J531" s="633">
        <f>IFERROR(H531*(G531/E531),"-")</f>
        <v>0</v>
      </c>
    </row>
    <row r="532" spans="1:10" ht="23.4" x14ac:dyDescent="0.3">
      <c r="A532" s="274"/>
      <c r="B532" s="1051"/>
      <c r="C532" s="299" t="s">
        <v>460</v>
      </c>
      <c r="D532" s="299" t="s">
        <v>334</v>
      </c>
      <c r="E532" s="501">
        <v>14.608000000000001</v>
      </c>
      <c r="F532" s="402">
        <f>IFERROR(E532*'01 Prod Physique Boites'!H526,"-")</f>
        <v>0</v>
      </c>
      <c r="G532" s="403">
        <f>IFERROR(E532*'01 Prod Physique Boites'!L526,"-")</f>
        <v>0</v>
      </c>
      <c r="H532" s="385">
        <v>21.22</v>
      </c>
      <c r="I532" s="421">
        <f t="shared" si="289"/>
        <v>0</v>
      </c>
      <c r="J532" s="633">
        <f>IFERROR(H532*(G532/E532),"-")</f>
        <v>0</v>
      </c>
    </row>
    <row r="533" spans="1:10" ht="23.4" x14ac:dyDescent="0.3">
      <c r="A533" s="274"/>
      <c r="B533" s="1051"/>
      <c r="C533" s="299" t="s">
        <v>383</v>
      </c>
      <c r="D533" s="299" t="s">
        <v>384</v>
      </c>
      <c r="E533" s="711">
        <v>16.345199999999998</v>
      </c>
      <c r="F533" s="402">
        <f>IFERROR(E533*'01 Prod Physique Boites'!H527,"-")</f>
        <v>0</v>
      </c>
      <c r="G533" s="403">
        <f>IFERROR(E533*'01 Prod Physique Boites'!L527,"-")</f>
        <v>0</v>
      </c>
      <c r="H533" s="385">
        <v>23.78</v>
      </c>
      <c r="I533" s="423">
        <f t="shared" si="289"/>
        <v>0</v>
      </c>
      <c r="J533" s="634">
        <f t="shared" ref="J533:J535" si="291">IFERROR(H533*(G533/E533),"-")</f>
        <v>0</v>
      </c>
    </row>
    <row r="534" spans="1:10" ht="23.4" x14ac:dyDescent="0.3">
      <c r="A534" s="274"/>
      <c r="B534" s="1051"/>
      <c r="C534" s="299" t="s">
        <v>458</v>
      </c>
      <c r="D534" s="300" t="s">
        <v>280</v>
      </c>
      <c r="E534" s="711">
        <v>17.8202</v>
      </c>
      <c r="F534" s="402">
        <f>IFERROR(E534*'01 Prod Physique Boites'!H528,"-")</f>
        <v>0</v>
      </c>
      <c r="G534" s="403">
        <f>IFERROR(E534*'01 Prod Physique Boites'!L528,"-")</f>
        <v>0</v>
      </c>
      <c r="H534" s="385">
        <v>24.93</v>
      </c>
      <c r="I534" s="730">
        <f t="shared" si="289"/>
        <v>0</v>
      </c>
      <c r="J534" s="634">
        <f t="shared" si="291"/>
        <v>0</v>
      </c>
    </row>
    <row r="535" spans="1:10" ht="24" thickBot="1" x14ac:dyDescent="0.35">
      <c r="A535" s="274" t="s">
        <v>101</v>
      </c>
      <c r="B535" s="1051"/>
      <c r="C535" s="299" t="s">
        <v>27</v>
      </c>
      <c r="D535" s="300" t="s">
        <v>234</v>
      </c>
      <c r="E535" s="501">
        <v>17.8202</v>
      </c>
      <c r="F535" s="402">
        <f>IFERROR(E535*'01 Prod Physique Boites'!H529,"-")</f>
        <v>0</v>
      </c>
      <c r="G535" s="403">
        <f>IFERROR(E535*'01 Prod Physique Boites'!L529,"-")</f>
        <v>0</v>
      </c>
      <c r="H535" s="385">
        <v>24.93</v>
      </c>
      <c r="I535" s="423">
        <f t="shared" si="289"/>
        <v>0</v>
      </c>
      <c r="J535" s="634">
        <f t="shared" si="291"/>
        <v>0</v>
      </c>
    </row>
    <row r="536" spans="1:10" ht="24" thickBot="1" x14ac:dyDescent="0.35">
      <c r="A536" s="274" t="s">
        <v>101</v>
      </c>
      <c r="B536" s="1051"/>
      <c r="C536" s="304"/>
      <c r="D536" s="305" t="s">
        <v>52</v>
      </c>
      <c r="E536" s="397"/>
      <c r="F536" s="414">
        <f t="shared" ref="F536:G536" si="292">SUM(F529:F535)</f>
        <v>0</v>
      </c>
      <c r="G536" s="415">
        <f t="shared" si="292"/>
        <v>2944018.3499999996</v>
      </c>
      <c r="H536" s="398"/>
      <c r="I536" s="414">
        <f t="shared" ref="I536:J536" si="293">SUM(I529:I535)</f>
        <v>0</v>
      </c>
      <c r="J536" s="430">
        <f t="shared" si="293"/>
        <v>4003817.22</v>
      </c>
    </row>
    <row r="537" spans="1:10" ht="24" thickBot="1" x14ac:dyDescent="0.35">
      <c r="A537" s="794" t="s">
        <v>101</v>
      </c>
      <c r="B537" s="1054" t="s">
        <v>162</v>
      </c>
      <c r="C537" s="1055"/>
      <c r="D537" s="1056"/>
      <c r="E537" s="399"/>
      <c r="F537" s="416">
        <f t="shared" ref="F537:G537" si="294">+F528+F536</f>
        <v>3610984.9463999998</v>
      </c>
      <c r="G537" s="417">
        <f t="shared" si="294"/>
        <v>11886036.4584</v>
      </c>
      <c r="H537" s="400"/>
      <c r="I537" s="416">
        <f t="shared" ref="I537:J537" si="295">+I528+I536</f>
        <v>5403158.2800000003</v>
      </c>
      <c r="J537" s="431">
        <f t="shared" si="295"/>
        <v>16336134.360000001</v>
      </c>
    </row>
    <row r="538" spans="1:10" ht="23.4" x14ac:dyDescent="0.3">
      <c r="A538" s="274" t="s">
        <v>101</v>
      </c>
      <c r="B538" s="1051" t="s">
        <v>30</v>
      </c>
      <c r="C538" s="303" t="s">
        <v>450</v>
      </c>
      <c r="D538" s="299" t="s">
        <v>334</v>
      </c>
      <c r="E538" s="736">
        <v>27.917000000000002</v>
      </c>
      <c r="F538" s="402">
        <f>IFERROR(E538*'01 Prod Physique Boites'!H532,"-")</f>
        <v>0</v>
      </c>
      <c r="G538" s="728">
        <f>IFERROR(E538*'01 Prod Physique Boites'!L532,"-")</f>
        <v>0</v>
      </c>
      <c r="H538" s="734">
        <v>33.299999999999997</v>
      </c>
      <c r="I538" s="419">
        <f>IFERROR(H538*(F538/E538),"-")</f>
        <v>0</v>
      </c>
      <c r="J538" s="420">
        <f t="shared" ref="J538:J540" si="296">IFERROR(H538*(G538/E538),"-")</f>
        <v>0</v>
      </c>
    </row>
    <row r="539" spans="1:10" ht="23.4" x14ac:dyDescent="0.3">
      <c r="A539" s="274" t="s">
        <v>101</v>
      </c>
      <c r="B539" s="1051"/>
      <c r="C539" s="300" t="s">
        <v>448</v>
      </c>
      <c r="D539" s="303" t="s">
        <v>384</v>
      </c>
      <c r="E539" s="733">
        <v>28.526700000000002</v>
      </c>
      <c r="F539" s="402">
        <f>IFERROR(E539*'01 Prod Physique Boites'!H533,"-")</f>
        <v>0</v>
      </c>
      <c r="G539" s="728">
        <f>IFERROR(E539*'01 Prod Physique Boites'!L533,"-")</f>
        <v>0</v>
      </c>
      <c r="H539" s="735">
        <v>37.89</v>
      </c>
      <c r="I539" s="421">
        <f>IFERROR(H539*(F539/E539),"-")</f>
        <v>0</v>
      </c>
      <c r="J539" s="422">
        <f t="shared" si="296"/>
        <v>0</v>
      </c>
    </row>
    <row r="540" spans="1:10" ht="24" thickBot="1" x14ac:dyDescent="0.35">
      <c r="A540" s="274" t="s">
        <v>101</v>
      </c>
      <c r="B540" s="1051"/>
      <c r="C540" s="300" t="s">
        <v>291</v>
      </c>
      <c r="D540" s="300" t="s">
        <v>384</v>
      </c>
      <c r="E540" s="501">
        <v>25.751300000000001</v>
      </c>
      <c r="F540" s="724">
        <f>IFERROR(E540*'01 Prod Physique Boites'!H534,"-")</f>
        <v>0</v>
      </c>
      <c r="G540" s="728">
        <f>IFERROR(E540*'01 Prod Physique Boites'!L534,"-")</f>
        <v>0</v>
      </c>
      <c r="H540" s="387">
        <v>37.89</v>
      </c>
      <c r="I540" s="423">
        <f>IFERROR(H540*(F540/E540),"-")</f>
        <v>0</v>
      </c>
      <c r="J540" s="424">
        <f t="shared" si="296"/>
        <v>0</v>
      </c>
    </row>
    <row r="541" spans="1:10" ht="24" thickBot="1" x14ac:dyDescent="0.35">
      <c r="A541" s="274" t="s">
        <v>101</v>
      </c>
      <c r="B541" s="1051"/>
      <c r="C541" s="301"/>
      <c r="D541" s="302" t="s">
        <v>50</v>
      </c>
      <c r="E541" s="390"/>
      <c r="F541" s="406">
        <f t="shared" ref="F541:G541" si="297">SUM(F538:F540)</f>
        <v>0</v>
      </c>
      <c r="G541" s="407">
        <f t="shared" si="297"/>
        <v>0</v>
      </c>
      <c r="H541" s="391"/>
      <c r="I541" s="406">
        <f t="shared" ref="I541" si="298">SUM(I538:I540)</f>
        <v>0</v>
      </c>
      <c r="J541" s="425">
        <f>SUM(J538:J540)</f>
        <v>0</v>
      </c>
    </row>
    <row r="542" spans="1:10" ht="23.4" x14ac:dyDescent="0.3">
      <c r="A542" s="274" t="s">
        <v>101</v>
      </c>
      <c r="B542" s="1051"/>
      <c r="C542" s="297" t="s">
        <v>439</v>
      </c>
      <c r="D542" s="297" t="s">
        <v>92</v>
      </c>
      <c r="E542" s="504">
        <v>24.2607</v>
      </c>
      <c r="F542" s="402">
        <f>IFERROR(E542*'01 Prod Physique Boites'!H536,"-")</f>
        <v>0</v>
      </c>
      <c r="G542" s="728">
        <f>IFERROR(E542*'01 Prod Physique Boites'!L536,"-")</f>
        <v>0</v>
      </c>
      <c r="H542" s="381">
        <v>28.31</v>
      </c>
      <c r="I542" s="638">
        <f>IFERROR(H542*(F542/E542),"-")</f>
        <v>0</v>
      </c>
      <c r="J542" s="420">
        <f t="shared" ref="J542:J547" si="299">IFERROR(H542*(G542/E542),"-")</f>
        <v>0</v>
      </c>
    </row>
    <row r="543" spans="1:10" ht="23.4" x14ac:dyDescent="0.3">
      <c r="A543" s="274"/>
      <c r="B543" s="1051"/>
      <c r="C543" s="303" t="s">
        <v>449</v>
      </c>
      <c r="D543" s="299" t="s">
        <v>334</v>
      </c>
      <c r="E543" s="504">
        <v>24.2607</v>
      </c>
      <c r="F543" s="402">
        <f>IFERROR(E543*'01 Prod Physique Boites'!H537,"-")</f>
        <v>0</v>
      </c>
      <c r="G543" s="728">
        <f>IFERROR(E543*'01 Prod Physique Boites'!L537,"-")</f>
        <v>0</v>
      </c>
      <c r="H543" s="381">
        <v>28.88</v>
      </c>
      <c r="I543" s="638">
        <f t="shared" ref="I543:I547" si="300">IFERROR(H543*(F543/E543),"-")</f>
        <v>0</v>
      </c>
      <c r="J543" s="420">
        <f t="shared" si="299"/>
        <v>0</v>
      </c>
    </row>
    <row r="544" spans="1:10" ht="23.4" x14ac:dyDescent="0.3">
      <c r="A544" s="274"/>
      <c r="B544" s="1051"/>
      <c r="C544" s="303" t="s">
        <v>452</v>
      </c>
      <c r="D544" s="299" t="s">
        <v>334</v>
      </c>
      <c r="E544" s="504">
        <v>25.4041</v>
      </c>
      <c r="F544" s="402">
        <f>IFERROR(E544*'01 Prod Physique Boites'!H538,"-")</f>
        <v>0</v>
      </c>
      <c r="G544" s="728">
        <f>IFERROR(E544*'01 Prod Physique Boites'!L538,"-")</f>
        <v>0</v>
      </c>
      <c r="H544" s="381">
        <v>28.21</v>
      </c>
      <c r="I544" s="638">
        <f t="shared" si="300"/>
        <v>0</v>
      </c>
      <c r="J544" s="420">
        <f t="shared" si="299"/>
        <v>0</v>
      </c>
    </row>
    <row r="545" spans="1:10" ht="23.4" x14ac:dyDescent="0.3">
      <c r="A545" s="274" t="s">
        <v>101</v>
      </c>
      <c r="B545" s="1051"/>
      <c r="C545" s="303" t="s">
        <v>501</v>
      </c>
      <c r="D545" s="300" t="s">
        <v>423</v>
      </c>
      <c r="E545" s="505">
        <v>23.697399999999998</v>
      </c>
      <c r="F545" s="724">
        <f>IFERROR(E545*'01 Prod Physique Boites'!H539,"-")</f>
        <v>0</v>
      </c>
      <c r="G545" s="728">
        <f>IFERROR(E545*'01 Prod Physique Boites'!L539,"-")</f>
        <v>177446.13119999997</v>
      </c>
      <c r="H545" s="385">
        <v>28.21</v>
      </c>
      <c r="I545" s="638">
        <f t="shared" si="300"/>
        <v>0</v>
      </c>
      <c r="J545" s="420">
        <f t="shared" si="299"/>
        <v>211236.47999999998</v>
      </c>
    </row>
    <row r="546" spans="1:10" ht="23.4" x14ac:dyDescent="0.3">
      <c r="A546" s="274"/>
      <c r="B546" s="1051"/>
      <c r="C546" s="300" t="s">
        <v>459</v>
      </c>
      <c r="D546" s="300" t="s">
        <v>366</v>
      </c>
      <c r="E546" s="501">
        <v>22.094999999999999</v>
      </c>
      <c r="F546" s="724">
        <f>IFERROR(E546*'01 Prod Physique Boites'!H540,"-")</f>
        <v>0</v>
      </c>
      <c r="G546" s="728">
        <f>IFERROR(E546*'01 Prod Physique Boites'!L540,"-")</f>
        <v>0</v>
      </c>
      <c r="H546" s="745">
        <v>37.11</v>
      </c>
      <c r="I546" s="638">
        <f t="shared" si="300"/>
        <v>0</v>
      </c>
      <c r="J546" s="420">
        <f t="shared" si="299"/>
        <v>0</v>
      </c>
    </row>
    <row r="547" spans="1:10" ht="24" thickBot="1" x14ac:dyDescent="0.35">
      <c r="A547" s="274" t="s">
        <v>101</v>
      </c>
      <c r="B547" s="1051"/>
      <c r="C547" s="300" t="s">
        <v>438</v>
      </c>
      <c r="D547" s="300" t="s">
        <v>423</v>
      </c>
      <c r="E547" s="501">
        <v>23.697399999999998</v>
      </c>
      <c r="F547" s="402">
        <f>IFERROR(E547*'01 Prod Physique Boites'!H541,"-")</f>
        <v>0</v>
      </c>
      <c r="G547" s="403">
        <f>IFERROR(E547*'01 Prod Physique Boites'!L541,"-")</f>
        <v>0</v>
      </c>
      <c r="H547" s="387">
        <v>28.21</v>
      </c>
      <c r="I547" s="638">
        <f t="shared" si="300"/>
        <v>0</v>
      </c>
      <c r="J547" s="420">
        <f t="shared" si="299"/>
        <v>0</v>
      </c>
    </row>
    <row r="548" spans="1:10" ht="24" thickBot="1" x14ac:dyDescent="0.35">
      <c r="A548" s="274" t="s">
        <v>101</v>
      </c>
      <c r="B548" s="1051"/>
      <c r="C548" s="304"/>
      <c r="D548" s="305" t="s">
        <v>51</v>
      </c>
      <c r="E548" s="397"/>
      <c r="F548" s="414">
        <f t="shared" ref="F548:G548" si="301">SUM(F542:F547)</f>
        <v>0</v>
      </c>
      <c r="G548" s="415">
        <f t="shared" si="301"/>
        <v>177446.13119999997</v>
      </c>
      <c r="H548" s="398"/>
      <c r="I548" s="414">
        <f t="shared" ref="I548" si="302">SUM(I542:I547)</f>
        <v>0</v>
      </c>
      <c r="J548" s="430">
        <f>SUM(J542:J547)</f>
        <v>211236.47999999998</v>
      </c>
    </row>
    <row r="549" spans="1:10" ht="24" thickBot="1" x14ac:dyDescent="0.35">
      <c r="A549" s="274" t="s">
        <v>101</v>
      </c>
      <c r="B549" s="1054" t="s">
        <v>163</v>
      </c>
      <c r="C549" s="1055"/>
      <c r="D549" s="1056"/>
      <c r="E549" s="399"/>
      <c r="F549" s="416">
        <f t="shared" ref="F549:G549" si="303">+F541+F548</f>
        <v>0</v>
      </c>
      <c r="G549" s="417">
        <f t="shared" si="303"/>
        <v>177446.13119999997</v>
      </c>
      <c r="H549" s="400"/>
      <c r="I549" s="416">
        <f t="shared" ref="I549:J549" si="304">+I541+I548</f>
        <v>0</v>
      </c>
      <c r="J549" s="431">
        <f t="shared" si="304"/>
        <v>211236.47999999998</v>
      </c>
    </row>
    <row r="550" spans="1:10" ht="24" thickBot="1" x14ac:dyDescent="0.35">
      <c r="A550" s="274" t="s">
        <v>101</v>
      </c>
      <c r="B550" s="599" t="s">
        <v>32</v>
      </c>
      <c r="C550" s="790"/>
      <c r="D550" s="310"/>
      <c r="E550" s="506">
        <v>12.2659</v>
      </c>
      <c r="F550" s="408">
        <f>IFERROR(E550*'01 Prod Physique Boites'!H544,"-")</f>
        <v>0</v>
      </c>
      <c r="G550" s="409">
        <f>IFERROR(F550*'01 Prod Physique Boites'!I544,"-")</f>
        <v>0</v>
      </c>
      <c r="H550" s="392"/>
      <c r="I550" s="426">
        <f>IFERROR(H550*(F550/E550),"-")</f>
        <v>0</v>
      </c>
      <c r="J550" s="427">
        <f>IFERROR(H550*(G550/E550),"-")</f>
        <v>0</v>
      </c>
    </row>
    <row r="551" spans="1:10" ht="24" thickBot="1" x14ac:dyDescent="0.35">
      <c r="A551" s="274" t="s">
        <v>101</v>
      </c>
      <c r="B551" s="1047" t="s">
        <v>21</v>
      </c>
      <c r="C551" s="1048"/>
      <c r="D551" s="1049"/>
      <c r="E551" s="393"/>
      <c r="F551" s="410">
        <f t="shared" ref="F551" si="305">+F537+F549+F550</f>
        <v>3610984.9463999998</v>
      </c>
      <c r="G551" s="411">
        <f>+G537+G549+G550</f>
        <v>12063482.589600001</v>
      </c>
      <c r="H551" s="394"/>
      <c r="I551" s="410">
        <f t="shared" ref="I551:J551" si="306">+I537+I549+I550</f>
        <v>5403158.2800000003</v>
      </c>
      <c r="J551" s="428">
        <f t="shared" si="306"/>
        <v>16547370.840000002</v>
      </c>
    </row>
    <row r="552" spans="1:10" ht="24" thickBot="1" x14ac:dyDescent="0.35">
      <c r="A552" s="274" t="s">
        <v>101</v>
      </c>
      <c r="B552" s="1019" t="s">
        <v>171</v>
      </c>
      <c r="C552" s="1020"/>
      <c r="D552" s="1021"/>
      <c r="E552" s="395"/>
      <c r="F552" s="412">
        <f t="shared" ref="F552:G552" si="307">+F551</f>
        <v>3610984.9463999998</v>
      </c>
      <c r="G552" s="413">
        <f t="shared" si="307"/>
        <v>12063482.589600001</v>
      </c>
      <c r="H552" s="396"/>
      <c r="I552" s="412">
        <f t="shared" ref="I552:J552" si="308">+I551</f>
        <v>5403158.2800000003</v>
      </c>
      <c r="J552" s="429">
        <f t="shared" si="308"/>
        <v>16547370.840000002</v>
      </c>
    </row>
    <row r="553" spans="1:10" ht="23.4" x14ac:dyDescent="0.3">
      <c r="A553" s="268" t="s">
        <v>102</v>
      </c>
      <c r="B553" s="1022" t="s">
        <v>401</v>
      </c>
      <c r="C553" s="311" t="s">
        <v>113</v>
      </c>
      <c r="D553" s="311"/>
      <c r="E553" s="709">
        <v>254.89750000000001</v>
      </c>
      <c r="F553" s="402">
        <f>IFERROR(E553*'01 Prod Physique Boites'!H547,"-")</f>
        <v>0</v>
      </c>
      <c r="G553" s="403">
        <f>IFERROR(E553*'01 Prod Physique Boites'!L547,"-")</f>
        <v>0</v>
      </c>
      <c r="H553" s="381">
        <v>445.38</v>
      </c>
      <c r="I553" s="419">
        <f>IFERROR(H553*(F553/E553),"-")</f>
        <v>0</v>
      </c>
      <c r="J553" s="420">
        <f t="shared" ref="J553:J555" si="309">IFERROR(H553*(G553/E553),"-")</f>
        <v>0</v>
      </c>
    </row>
    <row r="554" spans="1:10" ht="23.4" x14ac:dyDescent="0.3">
      <c r="A554" s="274" t="s">
        <v>102</v>
      </c>
      <c r="B554" s="1023"/>
      <c r="C554" s="312" t="s">
        <v>247</v>
      </c>
      <c r="D554" s="312"/>
      <c r="E554" s="503">
        <v>246.51390000000001</v>
      </c>
      <c r="F554" s="402">
        <f>IFERROR(E554*'01 Prod Physique Boites'!H548,"-")</f>
        <v>640936.14</v>
      </c>
      <c r="G554" s="403">
        <f>IFERROR(E554*'01 Prod Physique Boites'!L548,"-")</f>
        <v>1429780.62</v>
      </c>
      <c r="H554" s="385">
        <v>430.02</v>
      </c>
      <c r="I554" s="421">
        <f>IFERROR(H554*(F554/E554),"-")</f>
        <v>1118052</v>
      </c>
      <c r="J554" s="422">
        <f t="shared" si="309"/>
        <v>2494116</v>
      </c>
    </row>
    <row r="555" spans="1:10" ht="24" thickBot="1" x14ac:dyDescent="0.35">
      <c r="A555" s="274" t="s">
        <v>102</v>
      </c>
      <c r="B555" s="1024"/>
      <c r="C555" s="313" t="s">
        <v>33</v>
      </c>
      <c r="D555" s="313"/>
      <c r="E555" s="500">
        <v>225.7713</v>
      </c>
      <c r="F555" s="402">
        <f>IFERROR(E555*'01 Prod Physique Boites'!H549,"-")</f>
        <v>0</v>
      </c>
      <c r="G555" s="403">
        <f>IFERROR(E555*'01 Prod Physique Boites'!L549,"-")</f>
        <v>0</v>
      </c>
      <c r="H555" s="387"/>
      <c r="I555" s="423">
        <f>IFERROR(H555*(F555/E555),"-")</f>
        <v>0</v>
      </c>
      <c r="J555" s="424">
        <f t="shared" si="309"/>
        <v>0</v>
      </c>
    </row>
    <row r="556" spans="1:10" ht="24" thickBot="1" x14ac:dyDescent="0.35">
      <c r="A556" s="274" t="s">
        <v>102</v>
      </c>
      <c r="B556" s="1025" t="s">
        <v>34</v>
      </c>
      <c r="C556" s="1026"/>
      <c r="D556" s="1027"/>
      <c r="E556" s="390"/>
      <c r="F556" s="406">
        <f t="shared" ref="F556:G556" si="310">SUM(F553:F555)</f>
        <v>640936.14</v>
      </c>
      <c r="G556" s="407">
        <f t="shared" si="310"/>
        <v>1429780.62</v>
      </c>
      <c r="H556" s="391"/>
      <c r="I556" s="406">
        <f t="shared" ref="I556:J556" si="311">SUM(I553:I555)</f>
        <v>1118052</v>
      </c>
      <c r="J556" s="425">
        <f t="shared" si="311"/>
        <v>2494116</v>
      </c>
    </row>
    <row r="557" spans="1:10" ht="23.4" x14ac:dyDescent="0.3">
      <c r="A557" s="274" t="s">
        <v>102</v>
      </c>
      <c r="B557" s="1022" t="s">
        <v>35</v>
      </c>
      <c r="C557" s="311" t="s">
        <v>113</v>
      </c>
      <c r="D557" s="311"/>
      <c r="E557" s="502">
        <v>254.89750000000001</v>
      </c>
      <c r="F557" s="402">
        <f>IFERROR(E557*'01 Prod Physique Boites'!H551,"-")</f>
        <v>0</v>
      </c>
      <c r="G557" s="403">
        <f>IFERROR(E557*'01 Prod Physique Boites'!L551,"-")</f>
        <v>0</v>
      </c>
      <c r="H557" s="381">
        <v>445.38</v>
      </c>
      <c r="I557" s="419">
        <f>IFERROR(H557*(F557/E557),"-")</f>
        <v>0</v>
      </c>
      <c r="J557" s="420">
        <f t="shared" ref="J557:J560" si="312">IFERROR(H557*(G557/E557),"-")</f>
        <v>0</v>
      </c>
    </row>
    <row r="558" spans="1:10" ht="23.4" x14ac:dyDescent="0.3">
      <c r="A558" s="274" t="s">
        <v>102</v>
      </c>
      <c r="B558" s="1023"/>
      <c r="C558" s="312" t="s">
        <v>247</v>
      </c>
      <c r="D558" s="312"/>
      <c r="E558" s="503">
        <v>246.51390000000001</v>
      </c>
      <c r="F558" s="402">
        <f>IFERROR(E558*'01 Prod Physique Boites'!H552,"-")</f>
        <v>0</v>
      </c>
      <c r="G558" s="403">
        <f>IFERROR(E558*'01 Prod Physique Boites'!L552,"-")</f>
        <v>0</v>
      </c>
      <c r="H558" s="385">
        <v>430.02</v>
      </c>
      <c r="I558" s="421">
        <f>IFERROR(H558*(F558/E558),"-")</f>
        <v>0</v>
      </c>
      <c r="J558" s="422">
        <f t="shared" si="312"/>
        <v>0</v>
      </c>
    </row>
    <row r="559" spans="1:10" ht="23.4" x14ac:dyDescent="0.3">
      <c r="A559" s="274" t="s">
        <v>102</v>
      </c>
      <c r="B559" s="1023"/>
      <c r="C559" s="312" t="s">
        <v>184</v>
      </c>
      <c r="D559" s="312" t="s">
        <v>183</v>
      </c>
      <c r="E559" s="503">
        <v>254.89750000000001</v>
      </c>
      <c r="F559" s="402">
        <f>IFERROR(E559*'01 Prod Physique Boites'!H553,"-")</f>
        <v>0</v>
      </c>
      <c r="G559" s="403">
        <f>IFERROR(E559*'01 Prod Physique Boites'!L553,"-")</f>
        <v>0</v>
      </c>
      <c r="H559" s="385"/>
      <c r="I559" s="421">
        <f>IFERROR(H559*(F559/E559),"-")</f>
        <v>0</v>
      </c>
      <c r="J559" s="422">
        <f t="shared" si="312"/>
        <v>0</v>
      </c>
    </row>
    <row r="560" spans="1:10" ht="24" thickBot="1" x14ac:dyDescent="0.35">
      <c r="A560" s="274" t="s">
        <v>102</v>
      </c>
      <c r="B560" s="1024"/>
      <c r="C560" s="313" t="s">
        <v>36</v>
      </c>
      <c r="D560" s="313"/>
      <c r="E560" s="500">
        <v>229.99359999999999</v>
      </c>
      <c r="F560" s="402">
        <f>IFERROR(E560*'01 Prod Physique Boites'!H554,"-")</f>
        <v>0</v>
      </c>
      <c r="G560" s="403">
        <f>IFERROR(E560*'01 Prod Physique Boites'!L554,"-")</f>
        <v>0</v>
      </c>
      <c r="H560" s="387"/>
      <c r="I560" s="423">
        <f>IFERROR(H560*(F560/E560),"-")</f>
        <v>0</v>
      </c>
      <c r="J560" s="424">
        <f t="shared" si="312"/>
        <v>0</v>
      </c>
    </row>
    <row r="561" spans="1:10" ht="24" thickBot="1" x14ac:dyDescent="0.35">
      <c r="A561" s="274" t="s">
        <v>102</v>
      </c>
      <c r="B561" s="1025" t="s">
        <v>37</v>
      </c>
      <c r="C561" s="1026"/>
      <c r="D561" s="1027"/>
      <c r="E561" s="390"/>
      <c r="F561" s="406">
        <f t="shared" ref="F561:G561" si="313">SUM(F557:F560)</f>
        <v>0</v>
      </c>
      <c r="G561" s="407">
        <f t="shared" si="313"/>
        <v>0</v>
      </c>
      <c r="H561" s="391"/>
      <c r="I561" s="406">
        <f>SUM(I557:I560)</f>
        <v>0</v>
      </c>
      <c r="J561" s="425">
        <f>SUM(J557:J560)</f>
        <v>0</v>
      </c>
    </row>
    <row r="562" spans="1:10" ht="23.4" x14ac:dyDescent="0.3">
      <c r="A562" s="274" t="s">
        <v>102</v>
      </c>
      <c r="B562" s="1022" t="s">
        <v>402</v>
      </c>
      <c r="C562" s="314" t="s">
        <v>116</v>
      </c>
      <c r="D562" s="314"/>
      <c r="E562" s="502">
        <v>195.2808</v>
      </c>
      <c r="F562" s="402">
        <f>IFERROR(E562*'01 Prod Physique Boites'!H556,"-")</f>
        <v>0</v>
      </c>
      <c r="G562" s="403">
        <f>IFERROR(E562*'01 Prod Physique Boites'!L556,"-")</f>
        <v>0</v>
      </c>
      <c r="H562" s="681">
        <v>256.7</v>
      </c>
      <c r="I562" s="419">
        <f>IFERROR(H562*(F562/E562),"-")</f>
        <v>0</v>
      </c>
      <c r="J562" s="420">
        <f t="shared" ref="J562:J563" si="314">IFERROR(H562*(G562/E562),"-")</f>
        <v>0</v>
      </c>
    </row>
    <row r="563" spans="1:10" ht="24" thickBot="1" x14ac:dyDescent="0.35">
      <c r="A563" s="274" t="s">
        <v>102</v>
      </c>
      <c r="B563" s="1024"/>
      <c r="C563" s="286" t="s">
        <v>132</v>
      </c>
      <c r="D563" s="286"/>
      <c r="E563" s="500">
        <v>189.91890000000001</v>
      </c>
      <c r="F563" s="402">
        <f>IFERROR(E563*'01 Prod Physique Boites'!H557,"-")</f>
        <v>987578.28</v>
      </c>
      <c r="G563" s="403">
        <f>IFERROR(E563*'01 Prod Physique Boites'!L557,"-")</f>
        <v>1460476.341</v>
      </c>
      <c r="H563" s="387">
        <v>320.35000000000002</v>
      </c>
      <c r="I563" s="423">
        <f>IFERROR(H563*(F563/E563),"-")</f>
        <v>1665820.0000000002</v>
      </c>
      <c r="J563" s="424">
        <f t="shared" si="314"/>
        <v>2463491.5</v>
      </c>
    </row>
    <row r="564" spans="1:10" ht="24" thickBot="1" x14ac:dyDescent="0.35">
      <c r="A564" s="794" t="s">
        <v>102</v>
      </c>
      <c r="B564" s="1025" t="s">
        <v>38</v>
      </c>
      <c r="C564" s="1026"/>
      <c r="D564" s="1027"/>
      <c r="E564" s="390"/>
      <c r="F564" s="406">
        <f>SUM(F562:F563)</f>
        <v>987578.28</v>
      </c>
      <c r="G564" s="407">
        <f t="shared" ref="G564" si="315">SUM(G562:G563)</f>
        <v>1460476.341</v>
      </c>
      <c r="H564" s="391"/>
      <c r="I564" s="406">
        <f t="shared" ref="I564:J564" si="316">SUM(I562:I563)</f>
        <v>1665820.0000000002</v>
      </c>
      <c r="J564" s="425">
        <f t="shared" si="316"/>
        <v>2463491.5</v>
      </c>
    </row>
    <row r="565" spans="1:10" ht="23.4" x14ac:dyDescent="0.3">
      <c r="A565" s="274" t="s">
        <v>102</v>
      </c>
      <c r="B565" s="1022" t="s">
        <v>403</v>
      </c>
      <c r="C565" s="269" t="s">
        <v>306</v>
      </c>
      <c r="D565" s="269" t="s">
        <v>238</v>
      </c>
      <c r="E565" s="504">
        <v>37.248699999999999</v>
      </c>
      <c r="F565" s="402">
        <f>IFERROR(E565*'01 Prod Physique Boites'!H559,"-")</f>
        <v>0</v>
      </c>
      <c r="G565" s="403">
        <f>IFERROR(E565*'01 Prod Physique Boites'!L559,"-")</f>
        <v>2911209.3972</v>
      </c>
      <c r="H565" s="381">
        <v>71.44</v>
      </c>
      <c r="I565" s="419">
        <f>IFERROR(H565*(F565/E565),"-")</f>
        <v>0</v>
      </c>
      <c r="J565" s="420">
        <f>IFERROR(H565*(G565/E565),"-")</f>
        <v>5583464.6399999997</v>
      </c>
    </row>
    <row r="566" spans="1:10" ht="23.4" x14ac:dyDescent="0.3">
      <c r="A566" s="274" t="s">
        <v>102</v>
      </c>
      <c r="B566" s="1023"/>
      <c r="C566" s="269" t="s">
        <v>156</v>
      </c>
      <c r="D566" s="275"/>
      <c r="E566" s="504">
        <v>37.248699999999999</v>
      </c>
      <c r="F566" s="402">
        <f>IFERROR(E566*'01 Prod Physique Boites'!H560,"-")</f>
        <v>0</v>
      </c>
      <c r="G566" s="403">
        <f>IFERROR(E566*'01 Prod Physique Boites'!L560,"-")</f>
        <v>0</v>
      </c>
      <c r="H566" s="385"/>
      <c r="I566" s="421">
        <f>IFERROR(H566*(F566/E566),"-")</f>
        <v>0</v>
      </c>
      <c r="J566" s="422">
        <f t="shared" ref="J566:J568" si="317">IFERROR(H566*(G566/E566),"-")</f>
        <v>0</v>
      </c>
    </row>
    <row r="567" spans="1:10" ht="23.4" x14ac:dyDescent="0.3">
      <c r="A567" s="274" t="s">
        <v>102</v>
      </c>
      <c r="B567" s="1023"/>
      <c r="C567" s="275" t="s">
        <v>345</v>
      </c>
      <c r="D567" s="269" t="s">
        <v>238</v>
      </c>
      <c r="E567" s="504">
        <v>37.248699999999999</v>
      </c>
      <c r="F567" s="402">
        <f>IFERROR(E567*'01 Prod Physique Boites'!H561,"-")</f>
        <v>804571.92</v>
      </c>
      <c r="G567" s="403">
        <f>IFERROR(E567*'01 Prod Physique Boites'!L561,"-")</f>
        <v>1072762.56</v>
      </c>
      <c r="H567" s="385">
        <v>71.44</v>
      </c>
      <c r="I567" s="421">
        <f>IFERROR(H567*(F567/E567),"-")</f>
        <v>1543104</v>
      </c>
      <c r="J567" s="422">
        <f t="shared" si="317"/>
        <v>2057472.0000000002</v>
      </c>
    </row>
    <row r="568" spans="1:10" ht="24" thickBot="1" x14ac:dyDescent="0.35">
      <c r="A568" s="274" t="s">
        <v>102</v>
      </c>
      <c r="B568" s="1023"/>
      <c r="C568" s="275" t="s">
        <v>157</v>
      </c>
      <c r="D568" s="275"/>
      <c r="E568" s="505">
        <v>38.466099999999997</v>
      </c>
      <c r="F568" s="402">
        <f>IFERROR(E568*'01 Prod Physique Boites'!H562,"-")</f>
        <v>0</v>
      </c>
      <c r="G568" s="403">
        <f>IFERROR(E568*'01 Prod Physique Boites'!L562,"-")</f>
        <v>0</v>
      </c>
      <c r="H568" s="385"/>
      <c r="I568" s="421">
        <f>IFERROR(H568*(F568/E568),"-")</f>
        <v>0</v>
      </c>
      <c r="J568" s="422">
        <f t="shared" si="317"/>
        <v>0</v>
      </c>
    </row>
    <row r="569" spans="1:10" ht="24" thickBot="1" x14ac:dyDescent="0.35">
      <c r="A569" s="274" t="s">
        <v>102</v>
      </c>
      <c r="B569" s="1025" t="s">
        <v>39</v>
      </c>
      <c r="C569" s="1026"/>
      <c r="D569" s="1027"/>
      <c r="E569" s="390"/>
      <c r="F569" s="406">
        <f>SUM(F565:F568)</f>
        <v>804571.92</v>
      </c>
      <c r="G569" s="407">
        <f>SUM(G565:G568)</f>
        <v>3983971.9572000001</v>
      </c>
      <c r="H569" s="391"/>
      <c r="I569" s="406">
        <f>SUM(I565:I568)</f>
        <v>1543104</v>
      </c>
      <c r="J569" s="406">
        <f>SUM(J565:J568)</f>
        <v>7640936.6399999997</v>
      </c>
    </row>
    <row r="570" spans="1:10" ht="23.4" x14ac:dyDescent="0.3">
      <c r="A570" s="274" t="s">
        <v>102</v>
      </c>
      <c r="B570" s="1022" t="s">
        <v>40</v>
      </c>
      <c r="C570" s="269" t="s">
        <v>186</v>
      </c>
      <c r="D570" s="269" t="s">
        <v>183</v>
      </c>
      <c r="E570" s="504">
        <v>30.7499</v>
      </c>
      <c r="F570" s="402">
        <f>IFERROR(E570*'01 Prod Physique Boites'!H565,"-")</f>
        <v>0</v>
      </c>
      <c r="G570" s="402">
        <f>IFERROR(E570*'01 Prod Physique Boites'!L565,"-")</f>
        <v>0</v>
      </c>
      <c r="H570" s="381"/>
      <c r="I570" s="419">
        <f>IFERROR(H570*(F570/E570),"-")</f>
        <v>0</v>
      </c>
      <c r="J570" s="420">
        <f>IFERROR(H570*(G570/E570),"-")</f>
        <v>0</v>
      </c>
    </row>
    <row r="571" spans="1:10" ht="23.4" x14ac:dyDescent="0.3">
      <c r="A571" s="274" t="s">
        <v>102</v>
      </c>
      <c r="B571" s="1023"/>
      <c r="C571" s="275" t="s">
        <v>159</v>
      </c>
      <c r="D571" s="275"/>
      <c r="E571" s="684">
        <v>30.073599999999999</v>
      </c>
      <c r="F571" s="402">
        <f>IFERROR(E571*'01 Prod Physique Boites'!H566,"-")</f>
        <v>0</v>
      </c>
      <c r="G571" s="403">
        <f>IFERROR(E571*'01 Prod Physique Boites'!L566,"-")</f>
        <v>342839.03999999998</v>
      </c>
      <c r="H571" s="385">
        <v>59.96</v>
      </c>
      <c r="I571" s="421">
        <f>IFERROR(H571*(F571/E571),"-")</f>
        <v>0</v>
      </c>
      <c r="J571" s="422">
        <f t="shared" ref="J571:J572" si="318">IFERROR(H571*(G571/E571),"-")</f>
        <v>683544</v>
      </c>
    </row>
    <row r="572" spans="1:10" ht="24" thickBot="1" x14ac:dyDescent="0.35">
      <c r="A572" s="274" t="s">
        <v>102</v>
      </c>
      <c r="B572" s="1024"/>
      <c r="C572" s="279" t="s">
        <v>186</v>
      </c>
      <c r="D572" s="279" t="s">
        <v>185</v>
      </c>
      <c r="E572" s="501">
        <v>30.073599999999999</v>
      </c>
      <c r="F572" s="402">
        <f>IFERROR(E572*'01 Prod Physique Boites'!H567,"-")</f>
        <v>0</v>
      </c>
      <c r="G572" s="403">
        <f>IFERROR(E572*'01 Prod Physique Boites'!L567,"-")</f>
        <v>0</v>
      </c>
      <c r="H572" s="387"/>
      <c r="I572" s="423">
        <f>IFERROR(H572*(F572/E572),"-")</f>
        <v>0</v>
      </c>
      <c r="J572" s="424">
        <f t="shared" si="318"/>
        <v>0</v>
      </c>
    </row>
    <row r="573" spans="1:10" ht="24" thickBot="1" x14ac:dyDescent="0.35">
      <c r="A573" s="274" t="s">
        <v>102</v>
      </c>
      <c r="B573" s="1034" t="s">
        <v>41</v>
      </c>
      <c r="C573" s="1035"/>
      <c r="D573" s="1036"/>
      <c r="E573" s="390"/>
      <c r="F573" s="406">
        <f t="shared" ref="F573:G573" si="319">SUM(F570:F572)</f>
        <v>0</v>
      </c>
      <c r="G573" s="407">
        <f t="shared" si="319"/>
        <v>342839.03999999998</v>
      </c>
      <c r="H573" s="391"/>
      <c r="I573" s="406">
        <f t="shared" ref="I573:J573" si="320">SUM(I570:I572)</f>
        <v>0</v>
      </c>
      <c r="J573" s="425">
        <f t="shared" si="320"/>
        <v>683544</v>
      </c>
    </row>
    <row r="574" spans="1:10" ht="23.4" x14ac:dyDescent="0.3">
      <c r="A574" s="274" t="s">
        <v>102</v>
      </c>
      <c r="B574" s="1022" t="s">
        <v>42</v>
      </c>
      <c r="C574" s="269" t="s">
        <v>160</v>
      </c>
      <c r="D574" s="269"/>
      <c r="E574" s="504">
        <v>36.684899999999999</v>
      </c>
      <c r="F574" s="402">
        <f>IFERROR(E574*'01 Prod Physique Boites'!H569,"-")</f>
        <v>0</v>
      </c>
      <c r="G574" s="402">
        <f>IFERROR(E574*'01 Prod Physique Boites'!L569,"-")</f>
        <v>0</v>
      </c>
      <c r="H574" s="381"/>
      <c r="I574" s="382" t="s">
        <v>190</v>
      </c>
      <c r="J574" s="383" t="s">
        <v>190</v>
      </c>
    </row>
    <row r="575" spans="1:10" ht="24" thickBot="1" x14ac:dyDescent="0.35">
      <c r="A575" s="274" t="s">
        <v>102</v>
      </c>
      <c r="B575" s="1024"/>
      <c r="C575" s="279" t="s">
        <v>161</v>
      </c>
      <c r="D575" s="279"/>
      <c r="E575" s="501">
        <v>37.002800000000001</v>
      </c>
      <c r="F575" s="402">
        <f>IFERROR(E575*'01 Prod Physique Boites'!H570,"-")</f>
        <v>0</v>
      </c>
      <c r="G575" s="402">
        <f>IFERROR(E575*'01 Prod Physique Boites'!L570,"-")</f>
        <v>0</v>
      </c>
      <c r="H575" s="387"/>
      <c r="I575" s="388" t="s">
        <v>190</v>
      </c>
      <c r="J575" s="389" t="s">
        <v>190</v>
      </c>
    </row>
    <row r="576" spans="1:10" ht="24" thickBot="1" x14ac:dyDescent="0.35">
      <c r="A576" s="274" t="s">
        <v>102</v>
      </c>
      <c r="B576" s="1034" t="s">
        <v>43</v>
      </c>
      <c r="C576" s="1035"/>
      <c r="D576" s="1036"/>
      <c r="E576" s="390"/>
      <c r="F576" s="402">
        <f>IFERROR(E576*'01 Prod Physique Boites'!H575,"-")</f>
        <v>0</v>
      </c>
      <c r="G576" s="407">
        <f>IFERROR(E576*'01 Prod Physique Boites'!L575,"-")</f>
        <v>0</v>
      </c>
      <c r="H576" s="391"/>
      <c r="I576" s="406">
        <f t="shared" ref="I576:J576" si="321">SUM(I574:I575)</f>
        <v>0</v>
      </c>
      <c r="J576" s="425">
        <f t="shared" si="321"/>
        <v>0</v>
      </c>
    </row>
    <row r="577" spans="1:15" ht="24" thickBot="1" x14ac:dyDescent="0.35">
      <c r="A577" s="274" t="s">
        <v>102</v>
      </c>
      <c r="B577" s="1028" t="s">
        <v>25</v>
      </c>
      <c r="C577" s="1029"/>
      <c r="D577" s="1030"/>
      <c r="E577" s="393"/>
      <c r="F577" s="410">
        <f>+F556+F561+F564+F569+F573+F576</f>
        <v>2433086.34</v>
      </c>
      <c r="G577" s="411">
        <f>+G556+G561+G564+G569+G573+G576</f>
        <v>7217067.9582000002</v>
      </c>
      <c r="H577" s="394"/>
      <c r="I577" s="410">
        <f>+I556+I561+I564+I569+I573+I576</f>
        <v>4326976</v>
      </c>
      <c r="J577" s="428">
        <f>+J556+J561+J564+J569+J573+J576</f>
        <v>13282088.140000001</v>
      </c>
    </row>
    <row r="578" spans="1:15" ht="24" thickBot="1" x14ac:dyDescent="0.35">
      <c r="A578" s="318" t="s">
        <v>102</v>
      </c>
      <c r="B578" s="1020" t="s">
        <v>173</v>
      </c>
      <c r="C578" s="1020"/>
      <c r="D578" s="1021"/>
      <c r="E578" s="395"/>
      <c r="F578" s="412">
        <f t="shared" ref="F578:G578" si="322">+F577</f>
        <v>2433086.34</v>
      </c>
      <c r="G578" s="413">
        <f t="shared" si="322"/>
        <v>7217067.9582000002</v>
      </c>
      <c r="H578" s="396"/>
      <c r="I578" s="412">
        <f t="shared" ref="I578" si="323">+I577</f>
        <v>4326976</v>
      </c>
      <c r="J578" s="429">
        <f>+J577</f>
        <v>13282088.140000001</v>
      </c>
    </row>
    <row r="579" spans="1:15" ht="24.6" thickBot="1" x14ac:dyDescent="0.35">
      <c r="A579" s="319"/>
      <c r="B579" s="1031" t="s">
        <v>174</v>
      </c>
      <c r="C579" s="1032"/>
      <c r="D579" s="1033"/>
      <c r="E579" s="401"/>
      <c r="F579" s="418">
        <f>+F517+F552+F578</f>
        <v>7307719.0943999998</v>
      </c>
      <c r="G579" s="418">
        <f>+G517+G552+G578</f>
        <v>31178009.795400001</v>
      </c>
      <c r="H579" s="401"/>
      <c r="I579" s="418">
        <f>+I517+I552+I578</f>
        <v>11737494.280000001</v>
      </c>
      <c r="J579" s="432">
        <f>+J517+J552+J578</f>
        <v>45465786.580000006</v>
      </c>
    </row>
    <row r="580" spans="1:15" ht="23.4" x14ac:dyDescent="0.3">
      <c r="A580" s="1057" t="s">
        <v>1</v>
      </c>
      <c r="B580" s="1060" t="s">
        <v>2</v>
      </c>
      <c r="C580" s="1063" t="s">
        <v>396</v>
      </c>
      <c r="D580" s="1063" t="s">
        <v>397</v>
      </c>
      <c r="E580" s="1092" t="s">
        <v>405</v>
      </c>
      <c r="F580" s="1093"/>
      <c r="G580" s="1093"/>
      <c r="H580" s="442"/>
      <c r="I580" s="442"/>
      <c r="J580" s="443"/>
    </row>
    <row r="581" spans="1:15" ht="23.4" x14ac:dyDescent="0.3">
      <c r="A581" s="1058"/>
      <c r="B581" s="1061"/>
      <c r="C581" s="1064"/>
      <c r="D581" s="1064"/>
      <c r="E581" s="1094" t="s">
        <v>408</v>
      </c>
      <c r="F581" s="1095"/>
      <c r="G581" s="1096"/>
      <c r="H581" s="1094" t="s">
        <v>168</v>
      </c>
      <c r="I581" s="1095"/>
      <c r="J581" s="1096"/>
    </row>
    <row r="582" spans="1:15" ht="46.8" x14ac:dyDescent="0.3">
      <c r="A582" s="1059"/>
      <c r="B582" s="1090"/>
      <c r="C582" s="1091"/>
      <c r="D582" s="1091"/>
      <c r="E582" s="379" t="s">
        <v>170</v>
      </c>
      <c r="F582" s="800" t="s">
        <v>407</v>
      </c>
      <c r="G582" s="801" t="s">
        <v>406</v>
      </c>
      <c r="H582" s="1097" t="s">
        <v>170</v>
      </c>
      <c r="I582" s="1099" t="s">
        <v>137</v>
      </c>
      <c r="J582" s="1101" t="s">
        <v>406</v>
      </c>
    </row>
    <row r="583" spans="1:15" ht="24" thickBot="1" x14ac:dyDescent="0.35">
      <c r="A583" s="1059"/>
      <c r="B583" s="1062"/>
      <c r="C583" s="1065"/>
      <c r="D583" s="1065"/>
      <c r="E583" s="1103" t="s">
        <v>511</v>
      </c>
      <c r="F583" s="1104"/>
      <c r="G583" s="1105"/>
      <c r="H583" s="1098"/>
      <c r="I583" s="1100"/>
      <c r="J583" s="1102"/>
    </row>
    <row r="584" spans="1:15" ht="23.4" x14ac:dyDescent="0.3">
      <c r="A584" s="268" t="s">
        <v>103</v>
      </c>
      <c r="B584" s="1043" t="s">
        <v>16</v>
      </c>
      <c r="C584" s="269" t="s">
        <v>368</v>
      </c>
      <c r="D584" s="269" t="s">
        <v>369</v>
      </c>
      <c r="E584" s="705">
        <v>81.360699999999994</v>
      </c>
      <c r="F584" s="402">
        <f>IFERROR(E584*'01 Prod Physique Boites'!H578,"-")</f>
        <v>0</v>
      </c>
      <c r="G584" s="402">
        <f>IFERROR(E584*'01 Prod Physique Boites'!L578,"-")</f>
        <v>0</v>
      </c>
      <c r="H584" s="706">
        <v>143.28</v>
      </c>
      <c r="I584" s="419">
        <f>IFERROR(H584*(F584/E584),"-")</f>
        <v>0</v>
      </c>
      <c r="J584" s="420">
        <f t="shared" ref="J584:J586" si="324">IFERROR(H584*(G584/E584),"-")</f>
        <v>0</v>
      </c>
    </row>
    <row r="585" spans="1:15" ht="23.4" x14ac:dyDescent="0.3">
      <c r="A585" s="713"/>
      <c r="B585" s="1044"/>
      <c r="C585" s="275" t="s">
        <v>470</v>
      </c>
      <c r="D585" s="275" t="s">
        <v>375</v>
      </c>
      <c r="E585" s="505">
        <v>81.360699999999994</v>
      </c>
      <c r="F585" s="402">
        <f>IFERROR(E585*'01 Prod Physique Boites'!H579,"-")</f>
        <v>0</v>
      </c>
      <c r="G585" s="402">
        <f>IFERROR(E585*'01 Prod Physique Boites'!L579,"-")</f>
        <v>0</v>
      </c>
      <c r="H585" s="708">
        <v>143.28</v>
      </c>
      <c r="I585" s="419">
        <f>IFERROR(H585*(F585/E585),"-")</f>
        <v>0</v>
      </c>
      <c r="J585" s="420">
        <f t="shared" si="324"/>
        <v>0</v>
      </c>
    </row>
    <row r="586" spans="1:15" ht="23.4" x14ac:dyDescent="0.3">
      <c r="A586" s="274" t="s">
        <v>103</v>
      </c>
      <c r="B586" s="1044"/>
      <c r="C586" s="275" t="s">
        <v>430</v>
      </c>
      <c r="D586" s="275" t="s">
        <v>384</v>
      </c>
      <c r="E586" s="684">
        <v>77.170400000000001</v>
      </c>
      <c r="F586" s="402">
        <f>IFERROR(E586*'01 Prod Physique Boites'!H580,"-")</f>
        <v>172861.696</v>
      </c>
      <c r="G586" s="402">
        <f>IFERROR(E586*'01 Prod Physique Boites'!L580,"-")</f>
        <v>444501.50400000002</v>
      </c>
      <c r="H586" s="385">
        <v>0</v>
      </c>
      <c r="I586" s="419">
        <f>IFERROR(H586*(F586/E586),"-")</f>
        <v>0</v>
      </c>
      <c r="J586" s="420">
        <f t="shared" si="324"/>
        <v>0</v>
      </c>
    </row>
    <row r="587" spans="1:15" ht="24" thickBot="1" x14ac:dyDescent="0.35">
      <c r="A587" s="274" t="s">
        <v>103</v>
      </c>
      <c r="B587" s="1045"/>
      <c r="C587" s="279" t="s">
        <v>262</v>
      </c>
      <c r="D587" s="279" t="s">
        <v>231</v>
      </c>
      <c r="E587" s="501">
        <v>60.703499999999998</v>
      </c>
      <c r="F587" s="402">
        <f>IFERROR(E587*'01 Prod Physique Boites'!H581,"-")</f>
        <v>0</v>
      </c>
      <c r="G587" s="402">
        <f>IFERROR(E587*'01 Prod Physique Boites'!L581,"-")</f>
        <v>0</v>
      </c>
      <c r="H587" s="387">
        <v>111.09</v>
      </c>
      <c r="I587" s="419">
        <f>IFERROR(H587*(F587/E587),"-")</f>
        <v>0</v>
      </c>
      <c r="J587" s="420">
        <f>IFERROR(H587*(G587/E587),"-")</f>
        <v>0</v>
      </c>
    </row>
    <row r="588" spans="1:15" ht="24" thickBot="1" x14ac:dyDescent="0.35">
      <c r="A588" s="274" t="s">
        <v>103</v>
      </c>
      <c r="B588" s="1025" t="s">
        <v>44</v>
      </c>
      <c r="C588" s="1026"/>
      <c r="D588" s="1027"/>
      <c r="E588" s="390"/>
      <c r="F588" s="406">
        <f t="shared" ref="F588" si="325">SUM(F584:F587)</f>
        <v>172861.696</v>
      </c>
      <c r="G588" s="407">
        <f>SUM(G584:G587)</f>
        <v>444501.50400000002</v>
      </c>
      <c r="H588" s="391"/>
      <c r="I588" s="406">
        <f t="shared" ref="I588:J588" si="326">SUM(I584:I587)</f>
        <v>0</v>
      </c>
      <c r="J588" s="425">
        <f t="shared" si="326"/>
        <v>0</v>
      </c>
      <c r="K588" s="704"/>
      <c r="L588" s="704"/>
      <c r="M588" s="704"/>
      <c r="N588" s="704"/>
      <c r="O588" s="704"/>
    </row>
    <row r="589" spans="1:15" ht="23.4" x14ac:dyDescent="0.3">
      <c r="A589" s="274" t="s">
        <v>103</v>
      </c>
      <c r="B589" s="1043" t="s">
        <v>17</v>
      </c>
      <c r="C589" s="269" t="s">
        <v>294</v>
      </c>
      <c r="D589" s="269"/>
      <c r="E589" s="504">
        <v>12.5275</v>
      </c>
      <c r="F589" s="402">
        <f>IFERROR(E589*'01 Prod Physique Boites'!H583,"-")</f>
        <v>0</v>
      </c>
      <c r="G589" s="402">
        <f>IFERROR(E589*'01 Prod Physique Boites'!L583,"-")</f>
        <v>0</v>
      </c>
      <c r="H589" s="681">
        <v>18.836400000000001</v>
      </c>
      <c r="I589" s="419">
        <f t="shared" ref="I589:I595" si="327">IFERROR(H589*(F589/E589),"-")</f>
        <v>0</v>
      </c>
      <c r="J589" s="420">
        <f t="shared" ref="J589:J594" si="328">IFERROR(H589*(G589/E589),"-")</f>
        <v>0</v>
      </c>
    </row>
    <row r="590" spans="1:15" ht="23.4" x14ac:dyDescent="0.3">
      <c r="A590" s="274" t="s">
        <v>103</v>
      </c>
      <c r="B590" s="1044"/>
      <c r="C590" s="275" t="s">
        <v>344</v>
      </c>
      <c r="D590" s="275" t="s">
        <v>232</v>
      </c>
      <c r="E590" s="677">
        <v>13.002700000000001</v>
      </c>
      <c r="F590" s="402">
        <f>IFERROR(E590*'01 Prod Physique Boites'!H584,"-")</f>
        <v>0</v>
      </c>
      <c r="G590" s="402">
        <f>IFERROR(E590*'01 Prod Physique Boites'!L584,"-")</f>
        <v>77756.146000000008</v>
      </c>
      <c r="H590" s="385">
        <v>21.18</v>
      </c>
      <c r="I590" s="421">
        <f t="shared" si="327"/>
        <v>0</v>
      </c>
      <c r="J590" s="422">
        <f t="shared" si="328"/>
        <v>126656.4</v>
      </c>
    </row>
    <row r="591" spans="1:15" ht="23.4" x14ac:dyDescent="0.3">
      <c r="A591" s="274" t="s">
        <v>103</v>
      </c>
      <c r="B591" s="1044"/>
      <c r="C591" s="275" t="s">
        <v>351</v>
      </c>
      <c r="D591" s="275" t="s">
        <v>187</v>
      </c>
      <c r="E591" s="677">
        <v>12.9049</v>
      </c>
      <c r="F591" s="402">
        <f>IFERROR(E591*'01 Prod Physique Boites'!H585,"-")</f>
        <v>1263647.808</v>
      </c>
      <c r="G591" s="402">
        <f>IFERROR(E591*'01 Prod Physique Boites'!L585,"-")</f>
        <v>5765393.1239999998</v>
      </c>
      <c r="H591" s="385">
        <v>20.5</v>
      </c>
      <c r="I591" s="421">
        <f t="shared" si="327"/>
        <v>2007360</v>
      </c>
      <c r="J591" s="422">
        <f t="shared" si="328"/>
        <v>9158580</v>
      </c>
    </row>
    <row r="592" spans="1:15" ht="23.4" x14ac:dyDescent="0.3">
      <c r="A592" s="274" t="s">
        <v>103</v>
      </c>
      <c r="B592" s="1044"/>
      <c r="C592" s="275" t="s">
        <v>293</v>
      </c>
      <c r="D592" s="275" t="s">
        <v>188</v>
      </c>
      <c r="E592" s="505">
        <v>13.078200000000001</v>
      </c>
      <c r="F592" s="402">
        <f>IFERROR(E592*'01 Prod Physique Boites'!H586,"-")</f>
        <v>0</v>
      </c>
      <c r="G592" s="402">
        <f>IFERROR(E592*'01 Prod Physique Boites'!L586,"-")</f>
        <v>0</v>
      </c>
      <c r="H592" s="385">
        <v>20.6</v>
      </c>
      <c r="I592" s="421">
        <f t="shared" si="327"/>
        <v>0</v>
      </c>
      <c r="J592" s="422">
        <f t="shared" si="328"/>
        <v>0</v>
      </c>
    </row>
    <row r="593" spans="1:15" ht="23.4" x14ac:dyDescent="0.3">
      <c r="A593" s="274" t="s">
        <v>103</v>
      </c>
      <c r="B593" s="1044"/>
      <c r="C593" s="275" t="s">
        <v>323</v>
      </c>
      <c r="D593" s="275" t="s">
        <v>318</v>
      </c>
      <c r="E593" s="505">
        <v>13.1958</v>
      </c>
      <c r="F593" s="402">
        <f>IFERROR(E593*'01 Prod Physique Boites'!H587,"-")</f>
        <v>0</v>
      </c>
      <c r="G593" s="402">
        <f>IFERROR(E593*'01 Prod Physique Boites'!L587,"-")</f>
        <v>0</v>
      </c>
      <c r="H593" s="385">
        <v>21.28</v>
      </c>
      <c r="I593" s="421">
        <f t="shared" si="327"/>
        <v>0</v>
      </c>
      <c r="J593" s="422">
        <f t="shared" si="328"/>
        <v>0</v>
      </c>
    </row>
    <row r="594" spans="1:15" ht="23.4" x14ac:dyDescent="0.3">
      <c r="A594" s="274">
        <v>1</v>
      </c>
      <c r="B594" s="1044"/>
      <c r="C594" s="275" t="s">
        <v>352</v>
      </c>
      <c r="D594" s="275" t="s">
        <v>189</v>
      </c>
      <c r="E594" s="677">
        <v>12.9049</v>
      </c>
      <c r="F594" s="402">
        <f>IFERROR(E594*'01 Prod Physique Boites'!H588,"-")</f>
        <v>0</v>
      </c>
      <c r="G594" s="402">
        <f>IFERROR(E594*'01 Prod Physique Boites'!L588,"-")</f>
        <v>0</v>
      </c>
      <c r="H594" s="664">
        <v>20.5</v>
      </c>
      <c r="I594" s="421">
        <f t="shared" si="327"/>
        <v>0</v>
      </c>
      <c r="J594" s="422">
        <f t="shared" si="328"/>
        <v>0</v>
      </c>
    </row>
    <row r="595" spans="1:15" ht="24" thickBot="1" x14ac:dyDescent="0.35">
      <c r="A595" s="274" t="s">
        <v>103</v>
      </c>
      <c r="B595" s="1045"/>
      <c r="C595" s="279" t="s">
        <v>341</v>
      </c>
      <c r="D595" s="279" t="s">
        <v>175</v>
      </c>
      <c r="E595" s="501">
        <v>13.6509</v>
      </c>
      <c r="F595" s="402">
        <f>IFERROR(E595*'01 Prod Physique Boites'!H589,"-")</f>
        <v>0</v>
      </c>
      <c r="G595" s="402">
        <f>IFERROR(E595*'01 Prod Physique Boites'!L589,"-")</f>
        <v>0</v>
      </c>
      <c r="H595" s="387">
        <v>21.18</v>
      </c>
      <c r="I595" s="423">
        <f t="shared" si="327"/>
        <v>0</v>
      </c>
      <c r="J595" s="424">
        <f>IFERROR(H595*(G595/E595),"-")</f>
        <v>0</v>
      </c>
    </row>
    <row r="596" spans="1:15" ht="24" thickBot="1" x14ac:dyDescent="0.35">
      <c r="A596" s="274" t="s">
        <v>103</v>
      </c>
      <c r="B596" s="1025" t="s">
        <v>45</v>
      </c>
      <c r="C596" s="1026"/>
      <c r="D596" s="1027"/>
      <c r="E596" s="390"/>
      <c r="F596" s="406">
        <f t="shared" ref="F596" si="329">SUM(F589:F595)</f>
        <v>1263647.808</v>
      </c>
      <c r="G596" s="407">
        <f>SUM(G589:G595)</f>
        <v>5843149.2699999996</v>
      </c>
      <c r="H596" s="391"/>
      <c r="I596" s="406">
        <f t="shared" ref="I596" si="330">SUM(I589:I595)</f>
        <v>2007360</v>
      </c>
      <c r="J596" s="425">
        <f>SUM(J589:J595)</f>
        <v>9285236.4000000004</v>
      </c>
      <c r="K596" s="704"/>
      <c r="L596" s="704"/>
      <c r="M596" s="704"/>
      <c r="N596" s="704"/>
      <c r="O596" s="704"/>
    </row>
    <row r="597" spans="1:15" ht="23.4" x14ac:dyDescent="0.3">
      <c r="A597" s="274" t="s">
        <v>103</v>
      </c>
      <c r="B597" s="1043" t="s">
        <v>18</v>
      </c>
      <c r="C597" s="269" t="s">
        <v>312</v>
      </c>
      <c r="D597" s="269" t="s">
        <v>92</v>
      </c>
      <c r="E597" s="504">
        <v>17.8202</v>
      </c>
      <c r="F597" s="402">
        <f>IFERROR(E597*'01 Prod Physique Boites'!H591,"-")</f>
        <v>0</v>
      </c>
      <c r="G597" s="403">
        <f>IFERROR(E597*'01 Prod Physique Boites'!L591,"-")</f>
        <v>0</v>
      </c>
      <c r="H597" s="381">
        <v>24.93</v>
      </c>
      <c r="I597" s="419">
        <f t="shared" ref="I597:I603" si="331">IFERROR(H597*(F597/E597),"-")</f>
        <v>0</v>
      </c>
      <c r="J597" s="420">
        <f t="shared" ref="J597:J599" si="332">IFERROR(H597*(G597/E597),"-")</f>
        <v>0</v>
      </c>
    </row>
    <row r="598" spans="1:15" ht="23.4" x14ac:dyDescent="0.3">
      <c r="A598" s="274" t="s">
        <v>103</v>
      </c>
      <c r="B598" s="1044"/>
      <c r="C598" s="275" t="s">
        <v>130</v>
      </c>
      <c r="D598" s="275"/>
      <c r="E598" s="505">
        <v>17.8202</v>
      </c>
      <c r="F598" s="402">
        <f>IFERROR(E598*'01 Prod Physique Boites'!H592,"-")</f>
        <v>0</v>
      </c>
      <c r="G598" s="403">
        <f>IFERROR(E598*'01 Prod Physique Boites'!L592,"-")</f>
        <v>0</v>
      </c>
      <c r="H598" s="385">
        <v>0</v>
      </c>
      <c r="I598" s="421">
        <f t="shared" si="331"/>
        <v>0</v>
      </c>
      <c r="J598" s="422">
        <f t="shared" si="332"/>
        <v>0</v>
      </c>
    </row>
    <row r="599" spans="1:15" ht="23.4" x14ac:dyDescent="0.3">
      <c r="A599" s="274" t="s">
        <v>103</v>
      </c>
      <c r="B599" s="1044"/>
      <c r="C599" s="275" t="s">
        <v>115</v>
      </c>
      <c r="D599" s="275"/>
      <c r="E599" s="505">
        <v>16.4071</v>
      </c>
      <c r="F599" s="402">
        <f>IFERROR(E599*'01 Prod Physique Boites'!H593,"-")</f>
        <v>0</v>
      </c>
      <c r="G599" s="403">
        <f>IFERROR(E599*'01 Prod Physique Boites'!L593,"-")</f>
        <v>0</v>
      </c>
      <c r="H599" s="385">
        <v>0</v>
      </c>
      <c r="I599" s="421">
        <f t="shared" si="331"/>
        <v>0</v>
      </c>
      <c r="J599" s="422">
        <f t="shared" si="332"/>
        <v>0</v>
      </c>
    </row>
    <row r="600" spans="1:15" ht="23.4" x14ac:dyDescent="0.3">
      <c r="A600" s="274" t="s">
        <v>103</v>
      </c>
      <c r="B600" s="1044"/>
      <c r="C600" s="275" t="s">
        <v>122</v>
      </c>
      <c r="D600" s="275"/>
      <c r="E600" s="505">
        <v>17.8202</v>
      </c>
      <c r="F600" s="402">
        <f>IFERROR(E600*'01 Prod Physique Boites'!H594,"-")</f>
        <v>0</v>
      </c>
      <c r="G600" s="403">
        <f>IFERROR(E600*'01 Prod Physique Boites'!L594,"-")</f>
        <v>0</v>
      </c>
      <c r="H600" s="385">
        <v>0</v>
      </c>
      <c r="I600" s="421">
        <f t="shared" si="331"/>
        <v>0</v>
      </c>
      <c r="J600" s="422">
        <f>IFERROR(H600*(G600/E600),"-")</f>
        <v>0</v>
      </c>
    </row>
    <row r="601" spans="1:15" ht="23.4" x14ac:dyDescent="0.3">
      <c r="A601" s="274" t="s">
        <v>103</v>
      </c>
      <c r="B601" s="1044"/>
      <c r="C601" s="275" t="s">
        <v>176</v>
      </c>
      <c r="D601" s="275" t="s">
        <v>177</v>
      </c>
      <c r="E601" s="505">
        <v>17.8202</v>
      </c>
      <c r="F601" s="402">
        <f>IFERROR(E601*'01 Prod Physique Boites'!H595,"-")</f>
        <v>0</v>
      </c>
      <c r="G601" s="403">
        <f>IFERROR(E601*'01 Prod Physique Boites'!L595,"-")</f>
        <v>0</v>
      </c>
      <c r="H601" s="385">
        <v>0</v>
      </c>
      <c r="I601" s="421">
        <f t="shared" si="331"/>
        <v>0</v>
      </c>
      <c r="J601" s="422">
        <f t="shared" ref="J601:J603" si="333">IFERROR(H601*(G601/E601),"-")</f>
        <v>0</v>
      </c>
    </row>
    <row r="602" spans="1:15" ht="23.4" x14ac:dyDescent="0.3">
      <c r="A602" s="274" t="s">
        <v>103</v>
      </c>
      <c r="B602" s="1044"/>
      <c r="C602" s="275" t="s">
        <v>179</v>
      </c>
      <c r="D602" s="275" t="s">
        <v>178</v>
      </c>
      <c r="E602" s="505">
        <v>16.7288</v>
      </c>
      <c r="F602" s="402">
        <f>IFERROR(E602*'01 Prod Physique Boites'!H596,"-")</f>
        <v>0</v>
      </c>
      <c r="G602" s="403">
        <f>IFERROR(E602*'01 Prod Physique Boites'!L596,"-")</f>
        <v>0</v>
      </c>
      <c r="H602" s="385">
        <v>0</v>
      </c>
      <c r="I602" s="421">
        <f t="shared" si="331"/>
        <v>0</v>
      </c>
      <c r="J602" s="422">
        <f t="shared" si="333"/>
        <v>0</v>
      </c>
    </row>
    <row r="603" spans="1:15" ht="24" thickBot="1" x14ac:dyDescent="0.35">
      <c r="A603" s="274" t="s">
        <v>103</v>
      </c>
      <c r="B603" s="1045"/>
      <c r="C603" s="286" t="s">
        <v>180</v>
      </c>
      <c r="D603" s="286" t="s">
        <v>107</v>
      </c>
      <c r="E603" s="501">
        <v>17.8202</v>
      </c>
      <c r="F603" s="402">
        <f>IFERROR(E603*'01 Prod Physique Boites'!H597,"-")</f>
        <v>0</v>
      </c>
      <c r="G603" s="403">
        <f>IFERROR(E603*'01 Prod Physique Boites'!L597,"-")</f>
        <v>0</v>
      </c>
      <c r="H603" s="385">
        <v>0</v>
      </c>
      <c r="I603" s="423">
        <f t="shared" si="331"/>
        <v>0</v>
      </c>
      <c r="J603" s="424">
        <f t="shared" si="333"/>
        <v>0</v>
      </c>
    </row>
    <row r="604" spans="1:15" ht="24" thickBot="1" x14ac:dyDescent="0.35">
      <c r="A604" s="274" t="s">
        <v>103</v>
      </c>
      <c r="B604" s="1025" t="s">
        <v>29</v>
      </c>
      <c r="C604" s="1083"/>
      <c r="D604" s="1084"/>
      <c r="E604" s="841"/>
      <c r="F604" s="856">
        <f t="shared" ref="F604:G604" si="334">SUM(F597:F603)</f>
        <v>0</v>
      </c>
      <c r="G604" s="415">
        <f t="shared" si="334"/>
        <v>0</v>
      </c>
      <c r="H604" s="398"/>
      <c r="I604" s="414">
        <f t="shared" ref="I604:J604" si="335">SUM(I597:I603)</f>
        <v>0</v>
      </c>
      <c r="J604" s="430">
        <f t="shared" si="335"/>
        <v>0</v>
      </c>
    </row>
    <row r="605" spans="1:15" ht="23.4" x14ac:dyDescent="0.3">
      <c r="A605" s="274"/>
      <c r="B605" s="1037" t="s">
        <v>19</v>
      </c>
      <c r="C605" s="669" t="s">
        <v>235</v>
      </c>
      <c r="D605" s="669" t="s">
        <v>177</v>
      </c>
      <c r="E605" s="850">
        <v>12.2659</v>
      </c>
      <c r="F605" s="845">
        <f>IFERROR(E605*'01 Prod Physique Boites'!H599,"-")</f>
        <v>0</v>
      </c>
      <c r="G605" s="659">
        <f>IFERROR(E605*'01 Prod Physique Boites'!L599,"-")</f>
        <v>0</v>
      </c>
      <c r="H605" s="853">
        <v>14.79</v>
      </c>
      <c r="I605" s="843">
        <f t="shared" ref="I605:I609" si="336">IFERROR(H605*(F605/E605),"-")</f>
        <v>0</v>
      </c>
      <c r="J605" s="659">
        <f>IFERROR(H605*(G605/E605),"-")</f>
        <v>0</v>
      </c>
    </row>
    <row r="606" spans="1:15" ht="24" thickBot="1" x14ac:dyDescent="0.35">
      <c r="A606" s="274"/>
      <c r="B606" s="1038"/>
      <c r="C606" s="840" t="s">
        <v>359</v>
      </c>
      <c r="D606" s="840" t="s">
        <v>423</v>
      </c>
      <c r="E606" s="851">
        <v>12.2659</v>
      </c>
      <c r="F606" s="846">
        <f>IFERROR(E606*'01 Prod Physique Boites'!H600,"-")</f>
        <v>0</v>
      </c>
      <c r="G606" s="633">
        <f>IFERROR(E606*'01 Prod Physique Boites'!L600,"-")</f>
        <v>7046317.9775999999</v>
      </c>
      <c r="H606" s="854">
        <v>14.55</v>
      </c>
      <c r="I606" s="848">
        <f t="shared" si="336"/>
        <v>0</v>
      </c>
      <c r="J606" s="633">
        <f>IFERROR(H606*(G606/E606),"-")</f>
        <v>8358451.2000000002</v>
      </c>
    </row>
    <row r="607" spans="1:15" ht="23.4" x14ac:dyDescent="0.3">
      <c r="A607" s="274"/>
      <c r="B607" s="1038"/>
      <c r="C607" s="669" t="s">
        <v>235</v>
      </c>
      <c r="D607" s="840" t="s">
        <v>522</v>
      </c>
      <c r="E607" s="851">
        <v>12.2659</v>
      </c>
      <c r="F607" s="846">
        <f>IFERROR(E607*'01 Prod Physique Boites'!H601,"-")</f>
        <v>2143686.8111999999</v>
      </c>
      <c r="G607" s="633">
        <f>IFERROR(E607*'01 Prod Physique Boites'!L601,"-")</f>
        <v>2143686.8111999999</v>
      </c>
      <c r="H607" s="854">
        <v>14.55</v>
      </c>
      <c r="I607" s="848">
        <f t="shared" si="336"/>
        <v>2542874.4</v>
      </c>
      <c r="J607" s="633">
        <f t="shared" ref="J607:J608" si="337">IFERROR(H607*(G607/E607),"-")</f>
        <v>2542874.4</v>
      </c>
    </row>
    <row r="608" spans="1:15" ht="23.4" x14ac:dyDescent="0.3">
      <c r="A608" s="274"/>
      <c r="B608" s="1038"/>
      <c r="C608" s="840" t="s">
        <v>377</v>
      </c>
      <c r="D608" s="840" t="s">
        <v>522</v>
      </c>
      <c r="E608" s="851">
        <v>12.2659</v>
      </c>
      <c r="F608" s="846">
        <f>IFERROR(E608*'01 Prod Physique Boites'!H602,"-")</f>
        <v>310866.96960000001</v>
      </c>
      <c r="G608" s="633">
        <f>IFERROR(E608*'01 Prod Physique Boites'!L602,"-")</f>
        <v>310866.96960000001</v>
      </c>
      <c r="H608" s="854">
        <v>14.55</v>
      </c>
      <c r="I608" s="848">
        <f t="shared" si="336"/>
        <v>368755.20000000001</v>
      </c>
      <c r="J608" s="633">
        <f t="shared" si="337"/>
        <v>368755.20000000001</v>
      </c>
    </row>
    <row r="609" spans="1:10" ht="24" thickBot="1" x14ac:dyDescent="0.35">
      <c r="A609" s="802" t="s">
        <v>103</v>
      </c>
      <c r="B609" s="1039"/>
      <c r="C609" s="670" t="s">
        <v>342</v>
      </c>
      <c r="D609" s="670"/>
      <c r="E609" s="852">
        <v>0</v>
      </c>
      <c r="F609" s="857">
        <f>IFERROR(E609*'01 Prod Physique Boites'!H603,"-")</f>
        <v>0</v>
      </c>
      <c r="G609" s="858">
        <f>IFERROR(E609*'01 Prod Physique Boites'!L603,"-")</f>
        <v>0</v>
      </c>
      <c r="H609" s="855">
        <v>0</v>
      </c>
      <c r="I609" s="849" t="str">
        <f t="shared" si="336"/>
        <v>-</v>
      </c>
      <c r="J609" s="847" t="str">
        <f t="shared" ref="J609" si="338">IFERROR(I609*(G609/F609),"-")</f>
        <v>-</v>
      </c>
    </row>
    <row r="610" spans="1:10" ht="24" thickBot="1" x14ac:dyDescent="0.35">
      <c r="A610" s="274" t="s">
        <v>103</v>
      </c>
      <c r="B610" s="1025" t="s">
        <v>46</v>
      </c>
      <c r="C610" s="1041"/>
      <c r="D610" s="1042"/>
      <c r="E610" s="842"/>
      <c r="F610" s="523">
        <f>SUM(F605:F609)</f>
        <v>2454553.7807999998</v>
      </c>
      <c r="G610" s="523">
        <f>SUM(G605:G609)</f>
        <v>9500871.7583999988</v>
      </c>
      <c r="H610" s="522"/>
      <c r="I610" s="523">
        <f>SUM(I605:I609)</f>
        <v>2911629.6</v>
      </c>
      <c r="J610" s="844">
        <f>SUM(J605:J609)</f>
        <v>11270080.799999999</v>
      </c>
    </row>
    <row r="611" spans="1:10" ht="23.4" x14ac:dyDescent="0.3">
      <c r="A611" s="274" t="s">
        <v>103</v>
      </c>
      <c r="B611" s="1043" t="s">
        <v>20</v>
      </c>
      <c r="C611" s="291" t="s">
        <v>317</v>
      </c>
      <c r="D611" s="291" t="s">
        <v>289</v>
      </c>
      <c r="E611" s="504">
        <v>26.032900000000001</v>
      </c>
      <c r="F611" s="402">
        <f>IFERROR(E611*'01 Prod Physique Boites'!H605,"-")</f>
        <v>0</v>
      </c>
      <c r="G611" s="403">
        <f>IFERROR(E611*'01 Prod Physique Boites'!L605,"-")</f>
        <v>0</v>
      </c>
      <c r="H611" s="381">
        <v>36.44</v>
      </c>
      <c r="I611" s="419">
        <f>IFERROR(H611*(F611/E611),"-")</f>
        <v>0</v>
      </c>
      <c r="J611" s="420">
        <f t="shared" ref="J611:J613" si="339">IFERROR(H611*(G611/E611),"-")</f>
        <v>0</v>
      </c>
    </row>
    <row r="612" spans="1:10" ht="23.4" x14ac:dyDescent="0.3">
      <c r="A612" s="274" t="s">
        <v>103</v>
      </c>
      <c r="B612" s="1044"/>
      <c r="C612" s="292" t="s">
        <v>114</v>
      </c>
      <c r="D612" s="292"/>
      <c r="E612" s="384">
        <v>24.2607</v>
      </c>
      <c r="F612" s="402">
        <f>IFERROR(E612*'01 Prod Physique Boites'!H606,"-")</f>
        <v>0</v>
      </c>
      <c r="G612" s="403">
        <f>IFERROR(E612*'01 Prod Physique Boites'!L606,"-")</f>
        <v>0</v>
      </c>
      <c r="H612" s="385">
        <v>37.369999999999997</v>
      </c>
      <c r="I612" s="421">
        <f>IFERROR(H612*(F612/E612),"-")</f>
        <v>0</v>
      </c>
      <c r="J612" s="422">
        <f t="shared" si="339"/>
        <v>0</v>
      </c>
    </row>
    <row r="613" spans="1:10" ht="24" thickBot="1" x14ac:dyDescent="0.35">
      <c r="A613" s="274" t="s">
        <v>103</v>
      </c>
      <c r="B613" s="1045"/>
      <c r="C613" s="293" t="s">
        <v>120</v>
      </c>
      <c r="D613" s="293"/>
      <c r="E613" s="386">
        <v>26.035799999999998</v>
      </c>
      <c r="F613" s="402">
        <f>IFERROR(E613*'01 Prod Physique Boites'!H607,"-")</f>
        <v>0</v>
      </c>
      <c r="G613" s="403">
        <f>IFERROR(E613*'01 Prod Physique Boites'!L607,"-")</f>
        <v>0</v>
      </c>
      <c r="H613" s="387">
        <v>37.11</v>
      </c>
      <c r="I613" s="423">
        <f>IFERROR(H613*(F613/E613),"-")</f>
        <v>0</v>
      </c>
      <c r="J613" s="424">
        <f t="shared" si="339"/>
        <v>0</v>
      </c>
    </row>
    <row r="614" spans="1:10" ht="24" thickBot="1" x14ac:dyDescent="0.35">
      <c r="A614" s="274" t="s">
        <v>103</v>
      </c>
      <c r="B614" s="1026" t="s">
        <v>47</v>
      </c>
      <c r="C614" s="1026"/>
      <c r="D614" s="1046"/>
      <c r="E614" s="390"/>
      <c r="F614" s="406">
        <f t="shared" ref="F614:G614" si="340">SUM(F611:F613)</f>
        <v>0</v>
      </c>
      <c r="G614" s="407">
        <f t="shared" si="340"/>
        <v>0</v>
      </c>
      <c r="H614" s="391"/>
      <c r="I614" s="406">
        <f t="shared" ref="I614:J614" si="341">SUM(I611:I613)</f>
        <v>0</v>
      </c>
      <c r="J614" s="425">
        <f t="shared" si="341"/>
        <v>0</v>
      </c>
    </row>
    <row r="615" spans="1:10" ht="24" thickBot="1" x14ac:dyDescent="0.35">
      <c r="A615" s="274" t="s">
        <v>103</v>
      </c>
      <c r="B615" s="1047" t="s">
        <v>21</v>
      </c>
      <c r="C615" s="1048"/>
      <c r="D615" s="1049"/>
      <c r="E615" s="393"/>
      <c r="F615" s="410">
        <f>+F588+F596+F604+F610+F614</f>
        <v>3891063.2847999996</v>
      </c>
      <c r="G615" s="411">
        <f>+G588+G596+G604+G610+G614</f>
        <v>15788522.532399997</v>
      </c>
      <c r="H615" s="394"/>
      <c r="I615" s="410">
        <f>+I588+I596+I604+I610+I614</f>
        <v>4918989.5999999996</v>
      </c>
      <c r="J615" s="428">
        <f>+J588+J596+J604+J610+J614</f>
        <v>20555317.199999999</v>
      </c>
    </row>
    <row r="616" spans="1:10" ht="23.4" x14ac:dyDescent="0.3">
      <c r="A616" s="274" t="s">
        <v>103</v>
      </c>
      <c r="B616" s="1043" t="s">
        <v>400</v>
      </c>
      <c r="C616" s="269" t="s">
        <v>125</v>
      </c>
      <c r="D616" s="269"/>
      <c r="E616" s="380">
        <v>22.820599999999999</v>
      </c>
      <c r="F616" s="402">
        <f>IFERROR(E616*'01 Prod Physique Boites'!H610,"-")</f>
        <v>0</v>
      </c>
      <c r="G616" s="403">
        <f>IFERROR(E616*'01 Prod Physique Boites'!L610,"-")</f>
        <v>0</v>
      </c>
      <c r="H616" s="381">
        <v>27.5</v>
      </c>
      <c r="I616" s="419">
        <f>IFERROR(H616*(F616/E616),"-")</f>
        <v>0</v>
      </c>
      <c r="J616" s="420">
        <f t="shared" ref="J616:J619" si="342">IFERROR(H616*(G616/E616),"-")</f>
        <v>0</v>
      </c>
    </row>
    <row r="617" spans="1:10" ht="23.4" x14ac:dyDescent="0.3">
      <c r="A617" s="274" t="s">
        <v>103</v>
      </c>
      <c r="B617" s="1044"/>
      <c r="C617" s="295" t="s">
        <v>263</v>
      </c>
      <c r="D617" s="295" t="s">
        <v>181</v>
      </c>
      <c r="E617" s="384">
        <v>23.570699999999999</v>
      </c>
      <c r="F617" s="402">
        <f>IFERROR(E617*'01 Prod Physique Boites'!H611,"-")</f>
        <v>0</v>
      </c>
      <c r="G617" s="403">
        <f>IFERROR(E617*'01 Prod Physique Boites'!L611,"-")</f>
        <v>0</v>
      </c>
      <c r="H617" s="385">
        <v>27.5</v>
      </c>
      <c r="I617" s="421">
        <f>IFERROR(H617*(F617/E617),"-")</f>
        <v>0</v>
      </c>
      <c r="J617" s="422">
        <f t="shared" si="342"/>
        <v>0</v>
      </c>
    </row>
    <row r="618" spans="1:10" ht="23.4" x14ac:dyDescent="0.3">
      <c r="A618" s="274" t="s">
        <v>103</v>
      </c>
      <c r="B618" s="1044"/>
      <c r="C618" s="295" t="s">
        <v>362</v>
      </c>
      <c r="D618" s="295" t="s">
        <v>181</v>
      </c>
      <c r="E618" s="384">
        <v>22.820599999999999</v>
      </c>
      <c r="F618" s="402">
        <f>IFERROR(E618*'01 Prod Physique Boites'!H612,"-")</f>
        <v>0</v>
      </c>
      <c r="G618" s="403">
        <f>IFERROR(E618*'01 Prod Physique Boites'!L612,"-")</f>
        <v>0</v>
      </c>
      <c r="H618" s="385">
        <v>27.5</v>
      </c>
      <c r="I618" s="421">
        <f>IFERROR(H618*(F618/E618),"-")</f>
        <v>0</v>
      </c>
      <c r="J618" s="422">
        <f t="shared" si="342"/>
        <v>0</v>
      </c>
    </row>
    <row r="619" spans="1:10" ht="24" thickBot="1" x14ac:dyDescent="0.35">
      <c r="A619" s="274" t="s">
        <v>103</v>
      </c>
      <c r="B619" s="1045"/>
      <c r="C619" s="279" t="s">
        <v>182</v>
      </c>
      <c r="D619" s="279" t="s">
        <v>93</v>
      </c>
      <c r="E619" s="386">
        <v>23.5685</v>
      </c>
      <c r="F619" s="402">
        <f>IFERROR(E619*'01 Prod Physique Boites'!H613,"-")</f>
        <v>0</v>
      </c>
      <c r="G619" s="403">
        <f>IFERROR(E619*'01 Prod Physique Boites'!L613,"-")</f>
        <v>0</v>
      </c>
      <c r="H619" s="387">
        <v>24</v>
      </c>
      <c r="I619" s="423">
        <f>IFERROR(H619*(F619/E619),"-")</f>
        <v>0</v>
      </c>
      <c r="J619" s="424">
        <f t="shared" si="342"/>
        <v>0</v>
      </c>
    </row>
    <row r="620" spans="1:10" ht="24" thickBot="1" x14ac:dyDescent="0.35">
      <c r="A620" s="274" t="s">
        <v>103</v>
      </c>
      <c r="B620" s="1025" t="s">
        <v>48</v>
      </c>
      <c r="C620" s="1026"/>
      <c r="D620" s="1027"/>
      <c r="E620" s="390"/>
      <c r="F620" s="406">
        <f t="shared" ref="F620:G620" si="343">SUM(F616:F619)</f>
        <v>0</v>
      </c>
      <c r="G620" s="407">
        <f t="shared" si="343"/>
        <v>0</v>
      </c>
      <c r="H620" s="391"/>
      <c r="I620" s="406">
        <f t="shared" ref="I620:J620" si="344">SUM(I616:I619)</f>
        <v>0</v>
      </c>
      <c r="J620" s="425">
        <f t="shared" si="344"/>
        <v>0</v>
      </c>
    </row>
    <row r="621" spans="1:10" ht="23.4" x14ac:dyDescent="0.3">
      <c r="A621" s="274" t="s">
        <v>103</v>
      </c>
      <c r="B621" s="1043" t="s">
        <v>23</v>
      </c>
      <c r="C621" s="296" t="s">
        <v>308</v>
      </c>
      <c r="D621" s="296" t="s">
        <v>238</v>
      </c>
      <c r="E621" s="380">
        <v>101.4935</v>
      </c>
      <c r="F621" s="402">
        <f>IFERROR(E621*'01 Prod Physique Boites'!H615,"-")</f>
        <v>0</v>
      </c>
      <c r="G621" s="403">
        <f>IFERROR(E621*'01 Prod Physique Boites'!L615,"-")</f>
        <v>0</v>
      </c>
      <c r="H621" s="385">
        <v>160.44999999999999</v>
      </c>
      <c r="I621" s="419">
        <f t="shared" ref="I621:I629" si="345">IFERROR(H621*(F621/E621),"-")</f>
        <v>0</v>
      </c>
      <c r="J621" s="420">
        <f t="shared" ref="J621:J629" si="346">IFERROR(H621*(G621/E621),"-")</f>
        <v>0</v>
      </c>
    </row>
    <row r="622" spans="1:10" ht="23.4" x14ac:dyDescent="0.3">
      <c r="A622" s="274" t="s">
        <v>103</v>
      </c>
      <c r="B622" s="1044"/>
      <c r="C622" s="275" t="s">
        <v>24</v>
      </c>
      <c r="D622" s="275" t="s">
        <v>238</v>
      </c>
      <c r="E622" s="384">
        <v>101.4935</v>
      </c>
      <c r="F622" s="402">
        <f>IFERROR(E622*'01 Prod Physique Boites'!H616,"-")</f>
        <v>0</v>
      </c>
      <c r="G622" s="403">
        <f>IFERROR(E622*'01 Prod Physique Boites'!L616,"-")</f>
        <v>0</v>
      </c>
      <c r="H622" s="385">
        <v>160.44999999999999</v>
      </c>
      <c r="I622" s="421">
        <f t="shared" si="345"/>
        <v>0</v>
      </c>
      <c r="J622" s="422">
        <f t="shared" si="346"/>
        <v>0</v>
      </c>
    </row>
    <row r="623" spans="1:10" ht="23.4" x14ac:dyDescent="0.3">
      <c r="A623" s="274" t="s">
        <v>103</v>
      </c>
      <c r="B623" s="1044"/>
      <c r="C623" s="275" t="s">
        <v>236</v>
      </c>
      <c r="D623" s="275" t="s">
        <v>238</v>
      </c>
      <c r="E623" s="384">
        <v>101.4935</v>
      </c>
      <c r="F623" s="402">
        <f>IFERROR(E623*'01 Prod Physique Boites'!H617,"-")</f>
        <v>0</v>
      </c>
      <c r="G623" s="403">
        <f>IFERROR(E623*'01 Prod Physique Boites'!L617,"-")</f>
        <v>0</v>
      </c>
      <c r="H623" s="385">
        <v>160.44999999999999</v>
      </c>
      <c r="I623" s="421">
        <f t="shared" si="345"/>
        <v>0</v>
      </c>
      <c r="J623" s="422">
        <f t="shared" si="346"/>
        <v>0</v>
      </c>
    </row>
    <row r="624" spans="1:10" ht="23.4" x14ac:dyDescent="0.3">
      <c r="A624" s="274" t="s">
        <v>103</v>
      </c>
      <c r="B624" s="1044"/>
      <c r="C624" s="275" t="s">
        <v>237</v>
      </c>
      <c r="D624" s="275" t="s">
        <v>238</v>
      </c>
      <c r="E624" s="384">
        <v>101.4935</v>
      </c>
      <c r="F624" s="402">
        <f>IFERROR(E624*'01 Prod Physique Boites'!H618,"-")</f>
        <v>0</v>
      </c>
      <c r="G624" s="403">
        <f>IFERROR(E624*'01 Prod Physique Boites'!L618,"-")</f>
        <v>0</v>
      </c>
      <c r="H624" s="385">
        <v>160.44999999999999</v>
      </c>
      <c r="I624" s="421">
        <f t="shared" si="345"/>
        <v>0</v>
      </c>
      <c r="J624" s="422">
        <f t="shared" si="346"/>
        <v>0</v>
      </c>
    </row>
    <row r="625" spans="1:10" ht="23.4" x14ac:dyDescent="0.3">
      <c r="A625" s="274" t="s">
        <v>103</v>
      </c>
      <c r="B625" s="1044"/>
      <c r="C625" s="295" t="s">
        <v>239</v>
      </c>
      <c r="D625" s="275" t="s">
        <v>238</v>
      </c>
      <c r="E625" s="384">
        <v>101.4935</v>
      </c>
      <c r="F625" s="402">
        <f>IFERROR(E625*'01 Prod Physique Boites'!H619,"-")</f>
        <v>0</v>
      </c>
      <c r="G625" s="403">
        <f>IFERROR(E625*'01 Prod Physique Boites'!L619,"-")</f>
        <v>0</v>
      </c>
      <c r="H625" s="385">
        <v>160.44999999999999</v>
      </c>
      <c r="I625" s="421">
        <f t="shared" si="345"/>
        <v>0</v>
      </c>
      <c r="J625" s="422">
        <f t="shared" si="346"/>
        <v>0</v>
      </c>
    </row>
    <row r="626" spans="1:10" ht="23.4" x14ac:dyDescent="0.3">
      <c r="A626" s="274" t="s">
        <v>103</v>
      </c>
      <c r="B626" s="1044"/>
      <c r="C626" s="295" t="s">
        <v>240</v>
      </c>
      <c r="D626" s="275" t="s">
        <v>238</v>
      </c>
      <c r="E626" s="384">
        <v>101.4935</v>
      </c>
      <c r="F626" s="402">
        <f>IFERROR(E626*'01 Prod Physique Boites'!H620,"-")</f>
        <v>0</v>
      </c>
      <c r="G626" s="403">
        <f>IFERROR(E626*'01 Prod Physique Boites'!L620,"-")</f>
        <v>0</v>
      </c>
      <c r="H626" s="385">
        <v>160.44999999999999</v>
      </c>
      <c r="I626" s="421">
        <f t="shared" si="345"/>
        <v>0</v>
      </c>
      <c r="J626" s="422">
        <f t="shared" si="346"/>
        <v>0</v>
      </c>
    </row>
    <row r="627" spans="1:10" ht="23.4" x14ac:dyDescent="0.3">
      <c r="A627" s="274" t="s">
        <v>103</v>
      </c>
      <c r="B627" s="1044"/>
      <c r="C627" s="295" t="s">
        <v>241</v>
      </c>
      <c r="D627" s="275" t="s">
        <v>243</v>
      </c>
      <c r="E627" s="384">
        <v>101.4935</v>
      </c>
      <c r="F627" s="402">
        <f>IFERROR(E627*'01 Prod Physique Boites'!H621,"-")</f>
        <v>0</v>
      </c>
      <c r="G627" s="403">
        <f>IFERROR(E627*'01 Prod Physique Boites'!L621,"-")</f>
        <v>0</v>
      </c>
      <c r="H627" s="385">
        <v>160.44999999999999</v>
      </c>
      <c r="I627" s="421">
        <f t="shared" si="345"/>
        <v>0</v>
      </c>
      <c r="J627" s="422">
        <f t="shared" si="346"/>
        <v>0</v>
      </c>
    </row>
    <row r="628" spans="1:10" ht="23.4" x14ac:dyDescent="0.3">
      <c r="A628" s="274"/>
      <c r="B628" s="1045"/>
      <c r="C628" s="295" t="s">
        <v>457</v>
      </c>
      <c r="D628" s="275" t="s">
        <v>238</v>
      </c>
      <c r="E628" s="386">
        <v>101.49</v>
      </c>
      <c r="F628" s="402">
        <f>IFERROR(E628*'01 Prod Physique Boites'!H622,"-")</f>
        <v>0</v>
      </c>
      <c r="G628" s="403">
        <f>IFERROR(E628*'01 Prod Physique Boites'!L622,"-")</f>
        <v>0</v>
      </c>
      <c r="H628" s="385">
        <v>160.44999999999999</v>
      </c>
      <c r="I628" s="421">
        <f t="shared" si="345"/>
        <v>0</v>
      </c>
      <c r="J628" s="422">
        <f t="shared" si="346"/>
        <v>0</v>
      </c>
    </row>
    <row r="629" spans="1:10" ht="24" thickBot="1" x14ac:dyDescent="0.35">
      <c r="A629" s="274" t="s">
        <v>103</v>
      </c>
      <c r="B629" s="1045"/>
      <c r="C629" s="295" t="s">
        <v>242</v>
      </c>
      <c r="D629" s="275" t="s">
        <v>238</v>
      </c>
      <c r="E629" s="386">
        <v>101.4935</v>
      </c>
      <c r="F629" s="402">
        <f>IFERROR(E629*'01 Prod Physique Boites'!H623,"-")</f>
        <v>0</v>
      </c>
      <c r="G629" s="403">
        <f>IFERROR(E629*'01 Prod Physique Boites'!L623,"-")</f>
        <v>0</v>
      </c>
      <c r="H629" s="385">
        <v>160.44999999999999</v>
      </c>
      <c r="I629" s="421">
        <f t="shared" si="345"/>
        <v>0</v>
      </c>
      <c r="J629" s="424">
        <f t="shared" si="346"/>
        <v>0</v>
      </c>
    </row>
    <row r="630" spans="1:10" ht="24" thickBot="1" x14ac:dyDescent="0.35">
      <c r="A630" s="274" t="s">
        <v>103</v>
      </c>
      <c r="B630" s="1025" t="s">
        <v>49</v>
      </c>
      <c r="C630" s="1026"/>
      <c r="D630" s="1027"/>
      <c r="E630" s="390"/>
      <c r="F630" s="406">
        <f t="shared" ref="F630" si="347">SUM(F621:F629)</f>
        <v>0</v>
      </c>
      <c r="G630" s="407">
        <f>SUM(G621:G629)</f>
        <v>0</v>
      </c>
      <c r="H630" s="391"/>
      <c r="I630" s="406">
        <f t="shared" ref="I630" si="348">SUM(I621:I629)</f>
        <v>0</v>
      </c>
      <c r="J630" s="425">
        <f>SUM(J621:J629)</f>
        <v>0</v>
      </c>
    </row>
    <row r="631" spans="1:10" ht="24" thickBot="1" x14ac:dyDescent="0.35">
      <c r="A631" s="274" t="s">
        <v>103</v>
      </c>
      <c r="B631" s="1047" t="s">
        <v>25</v>
      </c>
      <c r="C631" s="1048"/>
      <c r="D631" s="1049"/>
      <c r="E631" s="393"/>
      <c r="F631" s="410">
        <f t="shared" ref="F631" si="349">+F620+F630</f>
        <v>0</v>
      </c>
      <c r="G631" s="411">
        <f>+G620+G630</f>
        <v>0</v>
      </c>
      <c r="H631" s="394"/>
      <c r="I631" s="410">
        <f t="shared" ref="I631:J631" si="350">+I620+I630</f>
        <v>0</v>
      </c>
      <c r="J631" s="428">
        <f t="shared" si="350"/>
        <v>0</v>
      </c>
    </row>
    <row r="632" spans="1:10" ht="24" thickBot="1" x14ac:dyDescent="0.35">
      <c r="A632" s="274" t="s">
        <v>103</v>
      </c>
      <c r="B632" s="1019" t="s">
        <v>172</v>
      </c>
      <c r="C632" s="1020"/>
      <c r="D632" s="1021"/>
      <c r="E632" s="395"/>
      <c r="F632" s="412">
        <f t="shared" ref="F632" si="351">+F615+F631</f>
        <v>3891063.2847999996</v>
      </c>
      <c r="G632" s="413">
        <f>+G615+G631</f>
        <v>15788522.532399997</v>
      </c>
      <c r="H632" s="396"/>
      <c r="I632" s="412">
        <f t="shared" ref="I632:J632" si="352">+I615+I631</f>
        <v>4918989.5999999996</v>
      </c>
      <c r="J632" s="429">
        <f t="shared" si="352"/>
        <v>20555317.199999999</v>
      </c>
    </row>
    <row r="633" spans="1:10" ht="23.4" x14ac:dyDescent="0.3">
      <c r="A633" s="268" t="s">
        <v>101</v>
      </c>
      <c r="B633" s="1051" t="s">
        <v>26</v>
      </c>
      <c r="C633" s="297" t="s">
        <v>297</v>
      </c>
      <c r="D633" s="299" t="s">
        <v>177</v>
      </c>
      <c r="E633" s="504">
        <v>13.1272</v>
      </c>
      <c r="F633" s="402">
        <f>IFERROR(E633*'01 Prod Physique Boites'!H627,"-")</f>
        <v>0</v>
      </c>
      <c r="G633" s="403">
        <f>IFERROR(E633*'01 Prod Physique Boites'!L627,"-")</f>
        <v>0</v>
      </c>
      <c r="H633" s="381">
        <v>20.76</v>
      </c>
      <c r="I633" s="419">
        <f t="shared" ref="I633:I642" si="353">IFERROR(H633*(F633/E633),"-")</f>
        <v>0</v>
      </c>
      <c r="J633" s="632">
        <f t="shared" ref="J633:J642" si="354">IFERROR(H633*(G633/E633),"-")</f>
        <v>0</v>
      </c>
    </row>
    <row r="634" spans="1:10" ht="23.4" x14ac:dyDescent="0.3">
      <c r="A634" s="274" t="s">
        <v>101</v>
      </c>
      <c r="B634" s="1051"/>
      <c r="C634" s="298" t="s">
        <v>424</v>
      </c>
      <c r="D634" s="298" t="s">
        <v>423</v>
      </c>
      <c r="E634" s="505">
        <v>16.7288</v>
      </c>
      <c r="F634" s="402">
        <f>IFERROR(E634*'01 Prod Physique Boites'!H628,"-")</f>
        <v>199641.49919999999</v>
      </c>
      <c r="G634" s="403">
        <f>IFERROR(E634*'01 Prod Physique Boites'!L628,"-")</f>
        <v>4392112.9824000001</v>
      </c>
      <c r="H634" s="385">
        <v>20.76</v>
      </c>
      <c r="I634" s="421">
        <f t="shared" si="353"/>
        <v>247749.84000000003</v>
      </c>
      <c r="J634" s="633">
        <f t="shared" si="354"/>
        <v>5450496.4800000004</v>
      </c>
    </row>
    <row r="635" spans="1:10" ht="23.4" x14ac:dyDescent="0.3">
      <c r="A635" s="274" t="s">
        <v>101</v>
      </c>
      <c r="B635" s="1051"/>
      <c r="C635" s="813" t="s">
        <v>460</v>
      </c>
      <c r="D635" s="814" t="s">
        <v>334</v>
      </c>
      <c r="E635" s="501">
        <v>14.608000000000001</v>
      </c>
      <c r="F635" s="402">
        <f>IFERROR(E635*'01 Prod Physique Boites'!H629,"-")</f>
        <v>116221.24800000001</v>
      </c>
      <c r="G635" s="403">
        <f>IFERROR(E635*'01 Prod Physique Boites'!L629,"-")</f>
        <v>116221.24800000001</v>
      </c>
      <c r="H635" s="385">
        <v>21.22</v>
      </c>
      <c r="I635" s="643">
        <f t="shared" si="353"/>
        <v>168826.31999999998</v>
      </c>
      <c r="J635" s="633">
        <f t="shared" si="354"/>
        <v>168826.31999999998</v>
      </c>
    </row>
    <row r="636" spans="1:10" ht="23.4" x14ac:dyDescent="0.3">
      <c r="A636" s="274" t="s">
        <v>101</v>
      </c>
      <c r="B636" s="1051"/>
      <c r="C636" s="299" t="s">
        <v>27</v>
      </c>
      <c r="D636" s="297" t="s">
        <v>492</v>
      </c>
      <c r="E636" s="501">
        <v>17.8202</v>
      </c>
      <c r="F636" s="402">
        <f>IFERROR(E636*'01 Prod Physique Boites'!H630,"-")</f>
        <v>0</v>
      </c>
      <c r="G636" s="403">
        <f>IFERROR(E636*'01 Prod Physique Boites'!L630,"-")</f>
        <v>4749546.6251999997</v>
      </c>
      <c r="H636" s="385">
        <v>26.75</v>
      </c>
      <c r="I636" s="643">
        <f t="shared" si="353"/>
        <v>0</v>
      </c>
      <c r="J636" s="633">
        <f t="shared" si="354"/>
        <v>7129570.5</v>
      </c>
    </row>
    <row r="637" spans="1:10" ht="23.4" x14ac:dyDescent="0.3">
      <c r="A637" s="274" t="s">
        <v>101</v>
      </c>
      <c r="B637" s="1051"/>
      <c r="C637" s="299" t="s">
        <v>27</v>
      </c>
      <c r="D637" s="299" t="s">
        <v>279</v>
      </c>
      <c r="E637" s="501">
        <v>17.8202</v>
      </c>
      <c r="F637" s="402">
        <f>IFERROR(E637*'01 Prod Physique Boites'!H631,"-")</f>
        <v>0</v>
      </c>
      <c r="G637" s="403">
        <f>IFERROR(E637*'01 Prod Physique Boites'!L631,"-")</f>
        <v>0</v>
      </c>
      <c r="H637" s="385">
        <v>24.93</v>
      </c>
      <c r="I637" s="643">
        <f t="shared" si="353"/>
        <v>0</v>
      </c>
      <c r="J637" s="633">
        <f t="shared" si="354"/>
        <v>0</v>
      </c>
    </row>
    <row r="638" spans="1:10" ht="23.4" x14ac:dyDescent="0.3">
      <c r="A638" s="274"/>
      <c r="B638" s="1051"/>
      <c r="C638" s="299" t="s">
        <v>437</v>
      </c>
      <c r="D638" s="299" t="s">
        <v>178</v>
      </c>
      <c r="E638" s="501">
        <v>14.608000000000001</v>
      </c>
      <c r="F638" s="402">
        <f>IFERROR(E638*'01 Prod Physique Boites'!H632,"-")</f>
        <v>0</v>
      </c>
      <c r="G638" s="403">
        <f>IFERROR(E638*'01 Prod Physique Boites'!L632,"-")</f>
        <v>0</v>
      </c>
      <c r="H638" s="387">
        <v>24.93</v>
      </c>
      <c r="I638" s="643">
        <f t="shared" si="353"/>
        <v>0</v>
      </c>
      <c r="J638" s="634">
        <f t="shared" si="354"/>
        <v>0</v>
      </c>
    </row>
    <row r="639" spans="1:10" ht="23.4" x14ac:dyDescent="0.3">
      <c r="A639" s="274"/>
      <c r="B639" s="1051"/>
      <c r="C639" s="299" t="s">
        <v>436</v>
      </c>
      <c r="D639" s="299" t="s">
        <v>94</v>
      </c>
      <c r="E639" s="501">
        <v>17.8202</v>
      </c>
      <c r="F639" s="724">
        <f>IFERROR(E639*'01 Prod Physique Boites'!H633,"-")</f>
        <v>0</v>
      </c>
      <c r="G639" s="403">
        <f>IFERROR(E639*'01 Prod Physique Boites'!L633,"-")</f>
        <v>0</v>
      </c>
      <c r="H639" s="387">
        <v>24.93</v>
      </c>
      <c r="I639" s="730">
        <f t="shared" si="353"/>
        <v>0</v>
      </c>
      <c r="J639" s="634">
        <f t="shared" si="354"/>
        <v>0</v>
      </c>
    </row>
    <row r="640" spans="1:10" s="731" customFormat="1" ht="23.4" x14ac:dyDescent="0.3">
      <c r="A640" s="725"/>
      <c r="B640" s="1051"/>
      <c r="C640" s="726" t="s">
        <v>383</v>
      </c>
      <c r="D640" s="726" t="s">
        <v>384</v>
      </c>
      <c r="E640" s="727">
        <v>16.345199999999998</v>
      </c>
      <c r="F640" s="724">
        <f>IFERROR(E640*'01 Prod Physique Boites'!H634,"-")</f>
        <v>0</v>
      </c>
      <c r="G640" s="728">
        <f>IFERROR(E640*'01 Prod Physique Boites'!L634,"-")</f>
        <v>0</v>
      </c>
      <c r="H640" s="729">
        <v>23.78</v>
      </c>
      <c r="I640" s="730">
        <f t="shared" si="353"/>
        <v>0</v>
      </c>
      <c r="J640" s="634">
        <f t="shared" si="354"/>
        <v>0</v>
      </c>
    </row>
    <row r="641" spans="1:10" s="731" customFormat="1" ht="23.4" x14ac:dyDescent="0.3">
      <c r="A641" s="725"/>
      <c r="B641" s="1051"/>
      <c r="C641" s="299" t="s">
        <v>433</v>
      </c>
      <c r="D641" s="299" t="s">
        <v>178</v>
      </c>
      <c r="E641" s="727">
        <v>16.7288</v>
      </c>
      <c r="F641" s="724">
        <f>IFERROR(E641*'01 Prod Physique Boites'!H635,"-")</f>
        <v>0</v>
      </c>
      <c r="G641" s="728">
        <f>IFERROR(E641*'01 Prod Physique Boites'!L635,"-")</f>
        <v>0</v>
      </c>
      <c r="H641" s="729">
        <v>25.49</v>
      </c>
      <c r="I641" s="730">
        <f t="shared" si="353"/>
        <v>0</v>
      </c>
      <c r="J641" s="634">
        <f t="shared" si="354"/>
        <v>0</v>
      </c>
    </row>
    <row r="642" spans="1:10" ht="24" thickBot="1" x14ac:dyDescent="0.35">
      <c r="A642" s="274" t="s">
        <v>101</v>
      </c>
      <c r="B642" s="1051"/>
      <c r="C642" s="300" t="s">
        <v>290</v>
      </c>
      <c r="D642" s="299" t="s">
        <v>289</v>
      </c>
      <c r="E642" s="501">
        <v>12.6997</v>
      </c>
      <c r="F642" s="402">
        <f>IFERROR(E642*'01 Prod Physique Boites'!H636,"-")</f>
        <v>0</v>
      </c>
      <c r="G642" s="728">
        <f>IFERROR(E642*'01 Prod Physique Boites'!L636,"-")</f>
        <v>0</v>
      </c>
      <c r="H642" s="387">
        <v>13.25</v>
      </c>
      <c r="I642" s="730">
        <f t="shared" si="353"/>
        <v>0</v>
      </c>
      <c r="J642" s="634">
        <f t="shared" si="354"/>
        <v>0</v>
      </c>
    </row>
    <row r="643" spans="1:10" ht="24" thickBot="1" x14ac:dyDescent="0.35">
      <c r="A643" s="274" t="s">
        <v>101</v>
      </c>
      <c r="B643" s="1052"/>
      <c r="C643" s="301"/>
      <c r="D643" s="302" t="s">
        <v>52</v>
      </c>
      <c r="E643" s="390"/>
      <c r="F643" s="406">
        <f>SUM(F633:F642)</f>
        <v>315862.74719999998</v>
      </c>
      <c r="G643" s="407">
        <f>SUM(G633:G642)</f>
        <v>9257880.8555999994</v>
      </c>
      <c r="H643" s="391"/>
      <c r="I643" s="406">
        <f>SUM(I633:I642)</f>
        <v>416576.16000000003</v>
      </c>
      <c r="J643" s="425">
        <f>SUM(J633:J642)</f>
        <v>12748893.300000001</v>
      </c>
    </row>
    <row r="644" spans="1:10" ht="23.4" x14ac:dyDescent="0.3">
      <c r="A644" s="274" t="s">
        <v>101</v>
      </c>
      <c r="B644" s="1053" t="s">
        <v>28</v>
      </c>
      <c r="C644" s="299" t="s">
        <v>27</v>
      </c>
      <c r="D644" s="297" t="s">
        <v>492</v>
      </c>
      <c r="E644" s="504">
        <v>17.8202</v>
      </c>
      <c r="F644" s="402">
        <f>IFERROR(E644*'01 Prod Physique Boites'!H638,"-")</f>
        <v>921553.82279999997</v>
      </c>
      <c r="G644" s="403">
        <f>IFERROR(E644*'01 Prod Physique Boites'!L638,"-")</f>
        <v>2268440.1792000001</v>
      </c>
      <c r="H644" s="381">
        <v>26.75</v>
      </c>
      <c r="I644" s="419">
        <f t="shared" ref="I644:I650" si="355">IFERROR(H644*(F644/E644),"-")</f>
        <v>1383349.5</v>
      </c>
      <c r="J644" s="632">
        <f t="shared" ref="J644:J645" si="356">IFERROR(H644*(G644/E644),"-")</f>
        <v>3405168.0000000005</v>
      </c>
    </row>
    <row r="645" spans="1:10" ht="23.4" x14ac:dyDescent="0.3">
      <c r="A645" s="274" t="s">
        <v>101</v>
      </c>
      <c r="B645" s="1051"/>
      <c r="C645" s="299" t="s">
        <v>386</v>
      </c>
      <c r="D645" s="299" t="s">
        <v>334</v>
      </c>
      <c r="E645" s="711">
        <v>16.7288</v>
      </c>
      <c r="F645" s="402">
        <f>IFERROR(E645*'01 Prod Physique Boites'!H639,"-")</f>
        <v>0</v>
      </c>
      <c r="G645" s="728">
        <f>IFERROR(E645*'01 Prod Physique Boites'!L639,"-")</f>
        <v>1597131.9935999999</v>
      </c>
      <c r="H645" s="708">
        <v>20.76</v>
      </c>
      <c r="I645" s="421">
        <f t="shared" si="355"/>
        <v>0</v>
      </c>
      <c r="J645" s="633">
        <f t="shared" si="356"/>
        <v>1981998.7200000002</v>
      </c>
    </row>
    <row r="646" spans="1:10" ht="23.4" x14ac:dyDescent="0.3">
      <c r="A646" s="274" t="s">
        <v>101</v>
      </c>
      <c r="B646" s="1051"/>
      <c r="C646" s="299" t="s">
        <v>385</v>
      </c>
      <c r="D646" s="299" t="s">
        <v>334</v>
      </c>
      <c r="E646" s="501">
        <v>17.8202</v>
      </c>
      <c r="F646" s="402">
        <f>IFERROR(E646*'01 Prod Physique Boites'!H640,"-")</f>
        <v>0</v>
      </c>
      <c r="G646" s="403">
        <f>IFERROR(E646*'01 Prod Physique Boites'!L640,"-")</f>
        <v>0</v>
      </c>
      <c r="H646" s="385">
        <v>21.22</v>
      </c>
      <c r="I646" s="421">
        <f t="shared" si="355"/>
        <v>0</v>
      </c>
      <c r="J646" s="633">
        <f>IFERROR(H646*(G646/E646),"-")</f>
        <v>0</v>
      </c>
    </row>
    <row r="647" spans="1:10" ht="23.4" x14ac:dyDescent="0.3">
      <c r="A647" s="274"/>
      <c r="B647" s="1051"/>
      <c r="C647" s="299" t="s">
        <v>460</v>
      </c>
      <c r="D647" s="299" t="s">
        <v>334</v>
      </c>
      <c r="E647" s="501">
        <v>14.608000000000001</v>
      </c>
      <c r="F647" s="402">
        <f>IFERROR(E647*'01 Prod Physique Boites'!H641,"-")</f>
        <v>0</v>
      </c>
      <c r="G647" s="403">
        <f>IFERROR(E647*'01 Prod Physique Boites'!L641,"-")</f>
        <v>0</v>
      </c>
      <c r="H647" s="385">
        <v>21.22</v>
      </c>
      <c r="I647" s="421">
        <f t="shared" si="355"/>
        <v>0</v>
      </c>
      <c r="J647" s="633">
        <f>IFERROR(H647*(G647/E647),"-")</f>
        <v>0</v>
      </c>
    </row>
    <row r="648" spans="1:10" ht="23.4" x14ac:dyDescent="0.3">
      <c r="A648" s="274"/>
      <c r="B648" s="1051"/>
      <c r="C648" s="299" t="s">
        <v>383</v>
      </c>
      <c r="D648" s="299" t="s">
        <v>384</v>
      </c>
      <c r="E648" s="711">
        <v>16.345199999999998</v>
      </c>
      <c r="F648" s="402">
        <f>IFERROR(E648*'01 Prod Physique Boites'!H642,"-")</f>
        <v>0</v>
      </c>
      <c r="G648" s="403">
        <f>IFERROR(E648*'01 Prod Physique Boites'!L642,"-")</f>
        <v>0</v>
      </c>
      <c r="H648" s="385">
        <v>23.78</v>
      </c>
      <c r="I648" s="423">
        <f t="shared" si="355"/>
        <v>0</v>
      </c>
      <c r="J648" s="634">
        <f t="shared" ref="J648:J650" si="357">IFERROR(H648*(G648/E648),"-")</f>
        <v>0</v>
      </c>
    </row>
    <row r="649" spans="1:10" ht="23.4" x14ac:dyDescent="0.3">
      <c r="A649" s="274"/>
      <c r="B649" s="1051"/>
      <c r="C649" s="299" t="s">
        <v>458</v>
      </c>
      <c r="D649" s="300" t="s">
        <v>280</v>
      </c>
      <c r="E649" s="711">
        <v>17.8202</v>
      </c>
      <c r="F649" s="402">
        <f>IFERROR(E649*'01 Prod Physique Boites'!H643,"-")</f>
        <v>0</v>
      </c>
      <c r="G649" s="403">
        <f>IFERROR(E649*'01 Prod Physique Boites'!L643,"-")</f>
        <v>0</v>
      </c>
      <c r="H649" s="385">
        <v>24.93</v>
      </c>
      <c r="I649" s="730">
        <f t="shared" si="355"/>
        <v>0</v>
      </c>
      <c r="J649" s="634">
        <f t="shared" si="357"/>
        <v>0</v>
      </c>
    </row>
    <row r="650" spans="1:10" ht="24" thickBot="1" x14ac:dyDescent="0.35">
      <c r="A650" s="274" t="s">
        <v>101</v>
      </c>
      <c r="B650" s="1051"/>
      <c r="C650" s="299" t="s">
        <v>27</v>
      </c>
      <c r="D650" s="300" t="s">
        <v>234</v>
      </c>
      <c r="E650" s="501">
        <v>17.8202</v>
      </c>
      <c r="F650" s="402">
        <f>IFERROR(E650*'01 Prod Physique Boites'!H644,"-")</f>
        <v>0</v>
      </c>
      <c r="G650" s="403">
        <f>IFERROR(E650*'01 Prod Physique Boites'!L644,"-")</f>
        <v>0</v>
      </c>
      <c r="H650" s="385">
        <v>24.93</v>
      </c>
      <c r="I650" s="423">
        <f t="shared" si="355"/>
        <v>0</v>
      </c>
      <c r="J650" s="634">
        <f t="shared" si="357"/>
        <v>0</v>
      </c>
    </row>
    <row r="651" spans="1:10" ht="24" thickBot="1" x14ac:dyDescent="0.35">
      <c r="A651" s="274" t="s">
        <v>101</v>
      </c>
      <c r="B651" s="1051"/>
      <c r="C651" s="304"/>
      <c r="D651" s="305" t="s">
        <v>52</v>
      </c>
      <c r="E651" s="397"/>
      <c r="F651" s="414">
        <f t="shared" ref="F651:G651" si="358">SUM(F644:F650)</f>
        <v>921553.82279999997</v>
      </c>
      <c r="G651" s="415">
        <f t="shared" si="358"/>
        <v>3865572.1727999998</v>
      </c>
      <c r="H651" s="398"/>
      <c r="I651" s="414">
        <f t="shared" ref="I651:J651" si="359">SUM(I644:I650)</f>
        <v>1383349.5</v>
      </c>
      <c r="J651" s="430">
        <f t="shared" si="359"/>
        <v>5387166.7200000007</v>
      </c>
    </row>
    <row r="652" spans="1:10" ht="24" thickBot="1" x14ac:dyDescent="0.35">
      <c r="A652" s="802" t="s">
        <v>101</v>
      </c>
      <c r="B652" s="1054" t="s">
        <v>162</v>
      </c>
      <c r="C652" s="1055"/>
      <c r="D652" s="1056"/>
      <c r="E652" s="399"/>
      <c r="F652" s="416">
        <f t="shared" ref="F652:G652" si="360">+F643+F651</f>
        <v>1237416.5699999998</v>
      </c>
      <c r="G652" s="417">
        <f t="shared" si="360"/>
        <v>13123453.0284</v>
      </c>
      <c r="H652" s="400"/>
      <c r="I652" s="416">
        <f t="shared" ref="I652:J652" si="361">+I643+I651</f>
        <v>1799925.6600000001</v>
      </c>
      <c r="J652" s="431">
        <f t="shared" si="361"/>
        <v>18136060.020000003</v>
      </c>
    </row>
    <row r="653" spans="1:10" ht="23.4" x14ac:dyDescent="0.3">
      <c r="A653" s="274" t="s">
        <v>101</v>
      </c>
      <c r="B653" s="1051" t="s">
        <v>30</v>
      </c>
      <c r="C653" s="303" t="s">
        <v>450</v>
      </c>
      <c r="D653" s="299" t="s">
        <v>334</v>
      </c>
      <c r="E653" s="736">
        <v>27.917000000000002</v>
      </c>
      <c r="F653" s="402">
        <f>IFERROR(E653*'01 Prod Physique Boites'!H647,"-")</f>
        <v>0</v>
      </c>
      <c r="G653" s="728">
        <f>IFERROR(E653*'01 Prod Physique Boites'!L647,"-")</f>
        <v>0</v>
      </c>
      <c r="H653" s="734">
        <v>33.299999999999997</v>
      </c>
      <c r="I653" s="419">
        <f>IFERROR(H653*(F653/E653),"-")</f>
        <v>0</v>
      </c>
      <c r="J653" s="420">
        <f t="shared" ref="J653:J655" si="362">IFERROR(H653*(G653/E653),"-")</f>
        <v>0</v>
      </c>
    </row>
    <row r="654" spans="1:10" ht="23.4" x14ac:dyDescent="0.3">
      <c r="A654" s="274" t="s">
        <v>101</v>
      </c>
      <c r="B654" s="1051"/>
      <c r="C654" s="300" t="s">
        <v>448</v>
      </c>
      <c r="D654" s="303" t="s">
        <v>384</v>
      </c>
      <c r="E654" s="733">
        <v>28.526700000000002</v>
      </c>
      <c r="F654" s="402">
        <f>IFERROR(E654*'01 Prod Physique Boites'!H648,"-")</f>
        <v>0</v>
      </c>
      <c r="G654" s="728">
        <f>IFERROR(E654*'01 Prod Physique Boites'!L648,"-")</f>
        <v>0</v>
      </c>
      <c r="H654" s="735">
        <v>37.89</v>
      </c>
      <c r="I654" s="421">
        <f>IFERROR(H654*(F654/E654),"-")</f>
        <v>0</v>
      </c>
      <c r="J654" s="422">
        <f t="shared" si="362"/>
        <v>0</v>
      </c>
    </row>
    <row r="655" spans="1:10" ht="24" thickBot="1" x14ac:dyDescent="0.35">
      <c r="A655" s="274" t="s">
        <v>101</v>
      </c>
      <c r="B655" s="1051"/>
      <c r="C655" s="300" t="s">
        <v>291</v>
      </c>
      <c r="D655" s="300" t="s">
        <v>384</v>
      </c>
      <c r="E655" s="501">
        <v>25.751300000000001</v>
      </c>
      <c r="F655" s="724">
        <f>IFERROR(E655*'01 Prod Physique Boites'!H649,"-")</f>
        <v>0</v>
      </c>
      <c r="G655" s="728">
        <f>IFERROR(E655*'01 Prod Physique Boites'!L649,"-")</f>
        <v>0</v>
      </c>
      <c r="H655" s="387">
        <v>37.89</v>
      </c>
      <c r="I655" s="423">
        <f>IFERROR(H655*(F655/E655),"-")</f>
        <v>0</v>
      </c>
      <c r="J655" s="424">
        <f t="shared" si="362"/>
        <v>0</v>
      </c>
    </row>
    <row r="656" spans="1:10" ht="24" thickBot="1" x14ac:dyDescent="0.35">
      <c r="A656" s="274" t="s">
        <v>101</v>
      </c>
      <c r="B656" s="1051"/>
      <c r="C656" s="301"/>
      <c r="D656" s="302" t="s">
        <v>50</v>
      </c>
      <c r="E656" s="390"/>
      <c r="F656" s="406">
        <f t="shared" ref="F656:G656" si="363">SUM(F653:F655)</f>
        <v>0</v>
      </c>
      <c r="G656" s="407">
        <f t="shared" si="363"/>
        <v>0</v>
      </c>
      <c r="H656" s="391"/>
      <c r="I656" s="406">
        <f t="shared" ref="I656" si="364">SUM(I653:I655)</f>
        <v>0</v>
      </c>
      <c r="J656" s="425">
        <f>SUM(J653:J655)</f>
        <v>0</v>
      </c>
    </row>
    <row r="657" spans="1:10" ht="23.4" x14ac:dyDescent="0.3">
      <c r="A657" s="274" t="s">
        <v>101</v>
      </c>
      <c r="B657" s="1051"/>
      <c r="C657" s="297" t="s">
        <v>439</v>
      </c>
      <c r="D657" s="297" t="s">
        <v>92</v>
      </c>
      <c r="E657" s="504">
        <v>24.2607</v>
      </c>
      <c r="F657" s="402">
        <f>IFERROR(E657*'01 Prod Physique Boites'!H651,"-")</f>
        <v>0</v>
      </c>
      <c r="G657" s="728">
        <f>IFERROR(E657*'01 Prod Physique Boites'!L651,"-")</f>
        <v>0</v>
      </c>
      <c r="H657" s="381">
        <v>28.31</v>
      </c>
      <c r="I657" s="638">
        <f>IFERROR(H657*(F657/E657),"-")</f>
        <v>0</v>
      </c>
      <c r="J657" s="420">
        <f t="shared" ref="J657:J662" si="365">IFERROR(H657*(G657/E657),"-")</f>
        <v>0</v>
      </c>
    </row>
    <row r="658" spans="1:10" ht="23.4" x14ac:dyDescent="0.3">
      <c r="A658" s="274"/>
      <c r="B658" s="1051"/>
      <c r="C658" s="303" t="s">
        <v>449</v>
      </c>
      <c r="D658" s="299" t="s">
        <v>334</v>
      </c>
      <c r="E658" s="504">
        <v>24.2607</v>
      </c>
      <c r="F658" s="402">
        <f>IFERROR(E658*'01 Prod Physique Boites'!H652,"-")</f>
        <v>0</v>
      </c>
      <c r="G658" s="728">
        <f>IFERROR(E658*'01 Prod Physique Boites'!L652,"-")</f>
        <v>0</v>
      </c>
      <c r="H658" s="381">
        <v>28.88</v>
      </c>
      <c r="I658" s="638">
        <f t="shared" ref="I658:I662" si="366">IFERROR(H658*(F658/E658),"-")</f>
        <v>0</v>
      </c>
      <c r="J658" s="420">
        <f t="shared" si="365"/>
        <v>0</v>
      </c>
    </row>
    <row r="659" spans="1:10" ht="23.4" x14ac:dyDescent="0.3">
      <c r="A659" s="274"/>
      <c r="B659" s="1051"/>
      <c r="C659" s="303" t="s">
        <v>452</v>
      </c>
      <c r="D659" s="299" t="s">
        <v>334</v>
      </c>
      <c r="E659" s="504">
        <v>25.4041</v>
      </c>
      <c r="F659" s="402">
        <f>IFERROR(E659*'01 Prod Physique Boites'!H653,"-")</f>
        <v>0</v>
      </c>
      <c r="G659" s="728">
        <f>IFERROR(E659*'01 Prod Physique Boites'!L653,"-")</f>
        <v>0</v>
      </c>
      <c r="H659" s="381">
        <v>28.21</v>
      </c>
      <c r="I659" s="638">
        <f t="shared" si="366"/>
        <v>0</v>
      </c>
      <c r="J659" s="420">
        <f t="shared" si="365"/>
        <v>0</v>
      </c>
    </row>
    <row r="660" spans="1:10" ht="23.4" x14ac:dyDescent="0.3">
      <c r="A660" s="274" t="s">
        <v>101</v>
      </c>
      <c r="B660" s="1051"/>
      <c r="C660" s="303" t="s">
        <v>501</v>
      </c>
      <c r="D660" s="300" t="s">
        <v>423</v>
      </c>
      <c r="E660" s="505">
        <v>23.697399999999998</v>
      </c>
      <c r="F660" s="724">
        <f>IFERROR(E660*'01 Prod Physique Boites'!H654,"-")</f>
        <v>0</v>
      </c>
      <c r="G660" s="728">
        <f>IFERROR(E660*'01 Prod Physique Boites'!L654,"-")</f>
        <v>177446.13119999997</v>
      </c>
      <c r="H660" s="385">
        <v>28.21</v>
      </c>
      <c r="I660" s="638">
        <f t="shared" si="366"/>
        <v>0</v>
      </c>
      <c r="J660" s="420">
        <f t="shared" si="365"/>
        <v>211236.47999999998</v>
      </c>
    </row>
    <row r="661" spans="1:10" ht="23.4" x14ac:dyDescent="0.3">
      <c r="A661" s="274"/>
      <c r="B661" s="1051"/>
      <c r="C661" s="300" t="s">
        <v>459</v>
      </c>
      <c r="D661" s="300" t="s">
        <v>366</v>
      </c>
      <c r="E661" s="501">
        <v>22.094999999999999</v>
      </c>
      <c r="F661" s="724">
        <f>IFERROR(E661*'01 Prod Physique Boites'!H655,"-")</f>
        <v>0</v>
      </c>
      <c r="G661" s="728">
        <f>IFERROR(E661*'01 Prod Physique Boites'!L655,"-")</f>
        <v>0</v>
      </c>
      <c r="H661" s="745">
        <v>37.11</v>
      </c>
      <c r="I661" s="638">
        <f t="shared" si="366"/>
        <v>0</v>
      </c>
      <c r="J661" s="420">
        <f t="shared" si="365"/>
        <v>0</v>
      </c>
    </row>
    <row r="662" spans="1:10" ht="24" thickBot="1" x14ac:dyDescent="0.35">
      <c r="A662" s="274" t="s">
        <v>101</v>
      </c>
      <c r="B662" s="1051"/>
      <c r="C662" s="300" t="s">
        <v>438</v>
      </c>
      <c r="D662" s="300" t="s">
        <v>423</v>
      </c>
      <c r="E662" s="501">
        <v>23.697399999999998</v>
      </c>
      <c r="F662" s="402">
        <f>IFERROR(E662*'01 Prod Physique Boites'!H656,"-")</f>
        <v>0</v>
      </c>
      <c r="G662" s="403">
        <f>IFERROR(E662*'01 Prod Physique Boites'!L656,"-")</f>
        <v>0</v>
      </c>
      <c r="H662" s="387">
        <v>28.21</v>
      </c>
      <c r="I662" s="638">
        <f t="shared" si="366"/>
        <v>0</v>
      </c>
      <c r="J662" s="420">
        <f t="shared" si="365"/>
        <v>0</v>
      </c>
    </row>
    <row r="663" spans="1:10" ht="24" thickBot="1" x14ac:dyDescent="0.35">
      <c r="A663" s="274" t="s">
        <v>101</v>
      </c>
      <c r="B663" s="1051"/>
      <c r="C663" s="304"/>
      <c r="D663" s="305" t="s">
        <v>51</v>
      </c>
      <c r="E663" s="397"/>
      <c r="F663" s="414">
        <f t="shared" ref="F663:G663" si="367">SUM(F657:F662)</f>
        <v>0</v>
      </c>
      <c r="G663" s="415">
        <f t="shared" si="367"/>
        <v>177446.13119999997</v>
      </c>
      <c r="H663" s="398"/>
      <c r="I663" s="414">
        <f t="shared" ref="I663" si="368">SUM(I657:I662)</f>
        <v>0</v>
      </c>
      <c r="J663" s="430">
        <f>SUM(J657:J662)</f>
        <v>211236.47999999998</v>
      </c>
    </row>
    <row r="664" spans="1:10" ht="24" thickBot="1" x14ac:dyDescent="0.35">
      <c r="A664" s="274" t="s">
        <v>101</v>
      </c>
      <c r="B664" s="1054" t="s">
        <v>163</v>
      </c>
      <c r="C664" s="1055"/>
      <c r="D664" s="1056"/>
      <c r="E664" s="399"/>
      <c r="F664" s="416">
        <f t="shared" ref="F664:G664" si="369">+F656+F663</f>
        <v>0</v>
      </c>
      <c r="G664" s="417">
        <f t="shared" si="369"/>
        <v>177446.13119999997</v>
      </c>
      <c r="H664" s="400"/>
      <c r="I664" s="416">
        <f t="shared" ref="I664:J664" si="370">+I656+I663</f>
        <v>0</v>
      </c>
      <c r="J664" s="431">
        <f t="shared" si="370"/>
        <v>211236.47999999998</v>
      </c>
    </row>
    <row r="665" spans="1:10" ht="24" thickBot="1" x14ac:dyDescent="0.35">
      <c r="A665" s="274" t="s">
        <v>101</v>
      </c>
      <c r="B665" s="599" t="s">
        <v>32</v>
      </c>
      <c r="C665" s="798"/>
      <c r="D665" s="310"/>
      <c r="E665" s="506">
        <v>12.2659</v>
      </c>
      <c r="F665" s="408">
        <f>IFERROR(E665*'01 Prod Physique Boites'!H659,"-")</f>
        <v>0</v>
      </c>
      <c r="G665" s="409">
        <f>IFERROR(E665*'01 Prod Physique Boites'!L659,"-")</f>
        <v>0</v>
      </c>
      <c r="H665" s="392"/>
      <c r="I665" s="426">
        <f>IFERROR(H665*(F665/E665),"-")</f>
        <v>0</v>
      </c>
      <c r="J665" s="427">
        <f>IFERROR(H665*(G665/E665),"-")</f>
        <v>0</v>
      </c>
    </row>
    <row r="666" spans="1:10" ht="24" thickBot="1" x14ac:dyDescent="0.35">
      <c r="A666" s="274" t="s">
        <v>101</v>
      </c>
      <c r="B666" s="1047" t="s">
        <v>21</v>
      </c>
      <c r="C666" s="1048"/>
      <c r="D666" s="1049"/>
      <c r="E666" s="393"/>
      <c r="F666" s="410">
        <f t="shared" ref="F666" si="371">+F652+F664+F665</f>
        <v>1237416.5699999998</v>
      </c>
      <c r="G666" s="411">
        <f>+G652+G664+G665</f>
        <v>13300899.159600001</v>
      </c>
      <c r="H666" s="394"/>
      <c r="I666" s="410">
        <f t="shared" ref="I666:J666" si="372">+I652+I664+I665</f>
        <v>1799925.6600000001</v>
      </c>
      <c r="J666" s="428">
        <f t="shared" si="372"/>
        <v>18347296.500000004</v>
      </c>
    </row>
    <row r="667" spans="1:10" ht="24" thickBot="1" x14ac:dyDescent="0.35">
      <c r="A667" s="274" t="s">
        <v>101</v>
      </c>
      <c r="B667" s="1019" t="s">
        <v>171</v>
      </c>
      <c r="C667" s="1020"/>
      <c r="D667" s="1021"/>
      <c r="E667" s="395"/>
      <c r="F667" s="412">
        <f t="shared" ref="F667:G667" si="373">+F666</f>
        <v>1237416.5699999998</v>
      </c>
      <c r="G667" s="413">
        <f t="shared" si="373"/>
        <v>13300899.159600001</v>
      </c>
      <c r="H667" s="396"/>
      <c r="I667" s="412">
        <f t="shared" ref="I667:J667" si="374">+I666</f>
        <v>1799925.6600000001</v>
      </c>
      <c r="J667" s="429">
        <f t="shared" si="374"/>
        <v>18347296.500000004</v>
      </c>
    </row>
    <row r="668" spans="1:10" ht="23.4" x14ac:dyDescent="0.3">
      <c r="A668" s="268" t="s">
        <v>102</v>
      </c>
      <c r="B668" s="1022" t="s">
        <v>401</v>
      </c>
      <c r="C668" s="311" t="s">
        <v>113</v>
      </c>
      <c r="D668" s="311"/>
      <c r="E668" s="709">
        <v>254.89750000000001</v>
      </c>
      <c r="F668" s="402">
        <f>IFERROR(E668*'01 Prod Physique Boites'!H662,"-")</f>
        <v>0</v>
      </c>
      <c r="G668" s="403">
        <f>IFERROR(E668*'01 Prod Physique Boites'!L662,"-")</f>
        <v>0</v>
      </c>
      <c r="H668" s="381">
        <v>445.38</v>
      </c>
      <c r="I668" s="419">
        <f>IFERROR(H668*(F668/E668),"-")</f>
        <v>0</v>
      </c>
      <c r="J668" s="420">
        <f t="shared" ref="J668:J670" si="375">IFERROR(H668*(G668/E668),"-")</f>
        <v>0</v>
      </c>
    </row>
    <row r="669" spans="1:10" ht="23.4" x14ac:dyDescent="0.3">
      <c r="A669" s="274" t="s">
        <v>102</v>
      </c>
      <c r="B669" s="1023"/>
      <c r="C669" s="312" t="s">
        <v>247</v>
      </c>
      <c r="D669" s="312"/>
      <c r="E669" s="503">
        <v>246.51390000000001</v>
      </c>
      <c r="F669" s="402">
        <f>IFERROR(E669*'01 Prod Physique Boites'!H663,"-")</f>
        <v>468376.41000000003</v>
      </c>
      <c r="G669" s="403">
        <f>IFERROR(E669*'01 Prod Physique Boites'!L663,"-")</f>
        <v>1898157.03</v>
      </c>
      <c r="H669" s="385">
        <v>430.02</v>
      </c>
      <c r="I669" s="421">
        <f>IFERROR(H669*(F669/E669),"-")</f>
        <v>817038</v>
      </c>
      <c r="J669" s="422">
        <f t="shared" si="375"/>
        <v>3311154</v>
      </c>
    </row>
    <row r="670" spans="1:10" ht="24" thickBot="1" x14ac:dyDescent="0.35">
      <c r="A670" s="274" t="s">
        <v>102</v>
      </c>
      <c r="B670" s="1024"/>
      <c r="C670" s="313" t="s">
        <v>33</v>
      </c>
      <c r="D670" s="313"/>
      <c r="E670" s="500">
        <v>225.7713</v>
      </c>
      <c r="F670" s="402">
        <f>IFERROR(E670*'01 Prod Physique Boites'!H664,"-")</f>
        <v>0</v>
      </c>
      <c r="G670" s="403">
        <f>IFERROR(E670*'01 Prod Physique Boites'!L664,"-")</f>
        <v>0</v>
      </c>
      <c r="H670" s="387"/>
      <c r="I670" s="423">
        <f>IFERROR(H670*(F670/E670),"-")</f>
        <v>0</v>
      </c>
      <c r="J670" s="424">
        <f t="shared" si="375"/>
        <v>0</v>
      </c>
    </row>
    <row r="671" spans="1:10" ht="24" thickBot="1" x14ac:dyDescent="0.35">
      <c r="A671" s="274" t="s">
        <v>102</v>
      </c>
      <c r="B671" s="1025" t="s">
        <v>34</v>
      </c>
      <c r="C671" s="1026"/>
      <c r="D671" s="1027"/>
      <c r="E671" s="390"/>
      <c r="F671" s="406">
        <f t="shared" ref="F671:G671" si="376">SUM(F668:F670)</f>
        <v>468376.41000000003</v>
      </c>
      <c r="G671" s="407">
        <f t="shared" si="376"/>
        <v>1898157.03</v>
      </c>
      <c r="H671" s="391"/>
      <c r="I671" s="406">
        <f t="shared" ref="I671:J671" si="377">SUM(I668:I670)</f>
        <v>817038</v>
      </c>
      <c r="J671" s="425">
        <f t="shared" si="377"/>
        <v>3311154</v>
      </c>
    </row>
    <row r="672" spans="1:10" ht="23.4" x14ac:dyDescent="0.3">
      <c r="A672" s="274" t="s">
        <v>102</v>
      </c>
      <c r="B672" s="1022" t="s">
        <v>35</v>
      </c>
      <c r="C672" s="311" t="s">
        <v>113</v>
      </c>
      <c r="D672" s="311"/>
      <c r="E672" s="502">
        <v>254.89750000000001</v>
      </c>
      <c r="F672" s="402">
        <f>IFERROR(E672*'01 Prod Physique Boites'!H666,"-")</f>
        <v>0</v>
      </c>
      <c r="G672" s="403">
        <f>IFERROR(E672*'01 Prod Physique Boites'!L666,"-")</f>
        <v>0</v>
      </c>
      <c r="H672" s="381">
        <v>445.38</v>
      </c>
      <c r="I672" s="419">
        <f>IFERROR(H672*(F672/E672),"-")</f>
        <v>0</v>
      </c>
      <c r="J672" s="420">
        <f t="shared" ref="J672:J675" si="378">IFERROR(H672*(G672/E672),"-")</f>
        <v>0</v>
      </c>
    </row>
    <row r="673" spans="1:10" ht="23.4" x14ac:dyDescent="0.3">
      <c r="A673" s="274" t="s">
        <v>102</v>
      </c>
      <c r="B673" s="1023"/>
      <c r="C673" s="312" t="s">
        <v>247</v>
      </c>
      <c r="D673" s="312"/>
      <c r="E673" s="503">
        <v>246.51390000000001</v>
      </c>
      <c r="F673" s="402">
        <f>IFERROR(E673*'01 Prod Physique Boites'!H667,"-")</f>
        <v>0</v>
      </c>
      <c r="G673" s="403">
        <f>IFERROR(E673*'01 Prod Physique Boites'!L667,"-")</f>
        <v>0</v>
      </c>
      <c r="H673" s="385">
        <v>430.02</v>
      </c>
      <c r="I673" s="421">
        <f>IFERROR(H673*(F673/E673),"-")</f>
        <v>0</v>
      </c>
      <c r="J673" s="422">
        <f t="shared" si="378"/>
        <v>0</v>
      </c>
    </row>
    <row r="674" spans="1:10" ht="23.4" x14ac:dyDescent="0.3">
      <c r="A674" s="274" t="s">
        <v>102</v>
      </c>
      <c r="B674" s="1023"/>
      <c r="C674" s="312" t="s">
        <v>184</v>
      </c>
      <c r="D674" s="312" t="s">
        <v>183</v>
      </c>
      <c r="E674" s="503">
        <v>254.89750000000001</v>
      </c>
      <c r="F674" s="402">
        <f>IFERROR(E674*'01 Prod Physique Boites'!H668,"-")</f>
        <v>0</v>
      </c>
      <c r="G674" s="403">
        <f>IFERROR(E674*'01 Prod Physique Boites'!L668,"-")</f>
        <v>0</v>
      </c>
      <c r="H674" s="385"/>
      <c r="I674" s="421">
        <f>IFERROR(H674*(F674/E674),"-")</f>
        <v>0</v>
      </c>
      <c r="J674" s="422">
        <f t="shared" si="378"/>
        <v>0</v>
      </c>
    </row>
    <row r="675" spans="1:10" ht="24" thickBot="1" x14ac:dyDescent="0.35">
      <c r="A675" s="274" t="s">
        <v>102</v>
      </c>
      <c r="B675" s="1024"/>
      <c r="C675" s="313" t="s">
        <v>36</v>
      </c>
      <c r="D675" s="313"/>
      <c r="E675" s="500">
        <v>229.99359999999999</v>
      </c>
      <c r="F675" s="402">
        <f>IFERROR(E675*'01 Prod Physique Boites'!H669,"-")</f>
        <v>0</v>
      </c>
      <c r="G675" s="403">
        <f>IFERROR(E675*'01 Prod Physique Boites'!L669,"-")</f>
        <v>0</v>
      </c>
      <c r="H675" s="387"/>
      <c r="I675" s="423">
        <f>IFERROR(H675*(F675/E675),"-")</f>
        <v>0</v>
      </c>
      <c r="J675" s="424">
        <f t="shared" si="378"/>
        <v>0</v>
      </c>
    </row>
    <row r="676" spans="1:10" ht="24" thickBot="1" x14ac:dyDescent="0.35">
      <c r="A676" s="274" t="s">
        <v>102</v>
      </c>
      <c r="B676" s="1025" t="s">
        <v>37</v>
      </c>
      <c r="C676" s="1026"/>
      <c r="D676" s="1027"/>
      <c r="E676" s="390"/>
      <c r="F676" s="406">
        <f t="shared" ref="F676:G676" si="379">SUM(F672:F675)</f>
        <v>0</v>
      </c>
      <c r="G676" s="407">
        <f t="shared" si="379"/>
        <v>0</v>
      </c>
      <c r="H676" s="391"/>
      <c r="I676" s="406">
        <f>SUM(I672:I675)</f>
        <v>0</v>
      </c>
      <c r="J676" s="425">
        <f>SUM(J672:J675)</f>
        <v>0</v>
      </c>
    </row>
    <row r="677" spans="1:10" ht="23.4" x14ac:dyDescent="0.3">
      <c r="A677" s="274" t="s">
        <v>102</v>
      </c>
      <c r="B677" s="1022" t="s">
        <v>402</v>
      </c>
      <c r="C677" s="314" t="s">
        <v>116</v>
      </c>
      <c r="D677" s="314"/>
      <c r="E677" s="502">
        <v>195.2808</v>
      </c>
      <c r="F677" s="402">
        <f>IFERROR(E677*'01 Prod Physique Boites'!H671,"-")</f>
        <v>0</v>
      </c>
      <c r="G677" s="403">
        <f>IFERROR(E677*'01 Prod Physique Boites'!L671,"-")</f>
        <v>0</v>
      </c>
      <c r="H677" s="681">
        <v>256.7</v>
      </c>
      <c r="I677" s="419">
        <f>IFERROR(H677*(F677/E677),"-")</f>
        <v>0</v>
      </c>
      <c r="J677" s="420">
        <f t="shared" ref="J677:J678" si="380">IFERROR(H677*(G677/E677),"-")</f>
        <v>0</v>
      </c>
    </row>
    <row r="678" spans="1:10" ht="24" thickBot="1" x14ac:dyDescent="0.35">
      <c r="A678" s="274" t="s">
        <v>102</v>
      </c>
      <c r="B678" s="1024"/>
      <c r="C678" s="286" t="s">
        <v>132</v>
      </c>
      <c r="D678" s="286"/>
      <c r="E678" s="500">
        <v>189.91890000000001</v>
      </c>
      <c r="F678" s="402">
        <f>IFERROR(E678*'01 Prod Physique Boites'!H672,"-")</f>
        <v>151935.12</v>
      </c>
      <c r="G678" s="403">
        <f>IFERROR(E678*'01 Prod Physique Boites'!L672,"-")</f>
        <v>1612411.4610000001</v>
      </c>
      <c r="H678" s="387">
        <v>320.35000000000002</v>
      </c>
      <c r="I678" s="423">
        <f>IFERROR(H678*(F678/E678),"-")</f>
        <v>256279.99999999997</v>
      </c>
      <c r="J678" s="424">
        <f t="shared" si="380"/>
        <v>2719771.5</v>
      </c>
    </row>
    <row r="679" spans="1:10" ht="24" thickBot="1" x14ac:dyDescent="0.35">
      <c r="A679" s="802" t="s">
        <v>102</v>
      </c>
      <c r="B679" s="1025" t="s">
        <v>38</v>
      </c>
      <c r="C679" s="1026"/>
      <c r="D679" s="1027"/>
      <c r="E679" s="390"/>
      <c r="F679" s="406">
        <f>SUM(F677:F678)</f>
        <v>151935.12</v>
      </c>
      <c r="G679" s="407">
        <f t="shared" ref="G679" si="381">SUM(G677:G678)</f>
        <v>1612411.4610000001</v>
      </c>
      <c r="H679" s="391"/>
      <c r="I679" s="406">
        <f t="shared" ref="I679:J679" si="382">SUM(I677:I678)</f>
        <v>256279.99999999997</v>
      </c>
      <c r="J679" s="425">
        <f t="shared" si="382"/>
        <v>2719771.5</v>
      </c>
    </row>
    <row r="680" spans="1:10" ht="23.4" x14ac:dyDescent="0.3">
      <c r="A680" s="274" t="s">
        <v>102</v>
      </c>
      <c r="B680" s="1022" t="s">
        <v>403</v>
      </c>
      <c r="C680" s="269" t="s">
        <v>306</v>
      </c>
      <c r="D680" s="269" t="s">
        <v>238</v>
      </c>
      <c r="E680" s="504">
        <v>37.248699999999999</v>
      </c>
      <c r="F680" s="402">
        <f>IFERROR(E680*'01 Prod Physique Boites'!H674,"-")</f>
        <v>813511.60800000001</v>
      </c>
      <c r="G680" s="403">
        <f>IFERROR(E680*'01 Prod Physique Boites'!L674,"-")</f>
        <v>3724721.0052</v>
      </c>
      <c r="H680" s="381">
        <v>71.44</v>
      </c>
      <c r="I680" s="419">
        <f>IFERROR(H680*(F680/E680),"-")</f>
        <v>1560249.5999999999</v>
      </c>
      <c r="J680" s="420">
        <f>IFERROR(H680*(G680/E680),"-")</f>
        <v>7143714.2400000002</v>
      </c>
    </row>
    <row r="681" spans="1:10" ht="23.4" x14ac:dyDescent="0.3">
      <c r="A681" s="274" t="s">
        <v>102</v>
      </c>
      <c r="B681" s="1023"/>
      <c r="C681" s="269" t="s">
        <v>156</v>
      </c>
      <c r="D681" s="275"/>
      <c r="E681" s="504">
        <v>37.248699999999999</v>
      </c>
      <c r="F681" s="402">
        <f>IFERROR(E681*'01 Prod Physique Boites'!H675,"-")</f>
        <v>0</v>
      </c>
      <c r="G681" s="403">
        <f>IFERROR(E681*'01 Prod Physique Boites'!L675,"-")</f>
        <v>0</v>
      </c>
      <c r="H681" s="385"/>
      <c r="I681" s="421">
        <f>IFERROR(H681*(F681/E681),"-")</f>
        <v>0</v>
      </c>
      <c r="J681" s="422">
        <f t="shared" ref="J681:J683" si="383">IFERROR(H681*(G681/E681),"-")</f>
        <v>0</v>
      </c>
    </row>
    <row r="682" spans="1:10" ht="23.4" x14ac:dyDescent="0.3">
      <c r="A682" s="274" t="s">
        <v>102</v>
      </c>
      <c r="B682" s="1023"/>
      <c r="C682" s="275" t="s">
        <v>345</v>
      </c>
      <c r="D682" s="269" t="s">
        <v>238</v>
      </c>
      <c r="E682" s="504">
        <v>37.248699999999999</v>
      </c>
      <c r="F682" s="402">
        <f>IFERROR(E682*'01 Prod Physique Boites'!H676,"-")</f>
        <v>136330.242</v>
      </c>
      <c r="G682" s="403">
        <f>IFERROR(E682*'01 Prod Physique Boites'!L676,"-")</f>
        <v>1209092.8019999999</v>
      </c>
      <c r="H682" s="385">
        <v>71.44</v>
      </c>
      <c r="I682" s="421">
        <f>IFERROR(H682*(F682/E682),"-")</f>
        <v>261470.4</v>
      </c>
      <c r="J682" s="422">
        <f t="shared" si="383"/>
        <v>2318942.3999999994</v>
      </c>
    </row>
    <row r="683" spans="1:10" ht="24" thickBot="1" x14ac:dyDescent="0.35">
      <c r="A683" s="274" t="s">
        <v>102</v>
      </c>
      <c r="B683" s="1023"/>
      <c r="C683" s="275" t="s">
        <v>157</v>
      </c>
      <c r="D683" s="275"/>
      <c r="E683" s="505">
        <v>38.466099999999997</v>
      </c>
      <c r="F683" s="402">
        <f>IFERROR(E683*'01 Prod Physique Boites'!H677,"-")</f>
        <v>0</v>
      </c>
      <c r="G683" s="403">
        <f>IFERROR(E683*'01 Prod Physique Boites'!L677,"-")</f>
        <v>0</v>
      </c>
      <c r="H683" s="385"/>
      <c r="I683" s="421">
        <f>IFERROR(H683*(F683/E683),"-")</f>
        <v>0</v>
      </c>
      <c r="J683" s="422">
        <f t="shared" si="383"/>
        <v>0</v>
      </c>
    </row>
    <row r="684" spans="1:10" ht="24" thickBot="1" x14ac:dyDescent="0.35">
      <c r="A684" s="274" t="s">
        <v>102</v>
      </c>
      <c r="B684" s="1025" t="s">
        <v>39</v>
      </c>
      <c r="C684" s="1026"/>
      <c r="D684" s="1027"/>
      <c r="E684" s="390"/>
      <c r="F684" s="406">
        <f>SUM(F680:F683)</f>
        <v>949841.85</v>
      </c>
      <c r="G684" s="407">
        <f>SUM(G680:G683)</f>
        <v>4933813.8071999997</v>
      </c>
      <c r="H684" s="391"/>
      <c r="I684" s="406">
        <f>SUM(I680:I683)</f>
        <v>1821719.9999999998</v>
      </c>
      <c r="J684" s="406">
        <f>SUM(J680:J683)</f>
        <v>9462656.6400000006</v>
      </c>
    </row>
    <row r="685" spans="1:10" ht="23.4" x14ac:dyDescent="0.3">
      <c r="A685" s="274" t="s">
        <v>102</v>
      </c>
      <c r="B685" s="1022" t="s">
        <v>40</v>
      </c>
      <c r="C685" s="269" t="s">
        <v>186</v>
      </c>
      <c r="D685" s="269" t="s">
        <v>183</v>
      </c>
      <c r="E685" s="504">
        <v>30.7499</v>
      </c>
      <c r="F685" s="402">
        <f>IFERROR(E685*'01 Prod Physique Boites'!H680,"-")</f>
        <v>0</v>
      </c>
      <c r="G685" s="402">
        <f>IFERROR(E685*'01 Prod Physique Boites'!L680,"-")</f>
        <v>0</v>
      </c>
      <c r="H685" s="381"/>
      <c r="I685" s="419">
        <f>IFERROR(H685*(F685/E685),"-")</f>
        <v>0</v>
      </c>
      <c r="J685" s="420">
        <f>IFERROR(H685*(G685/E685),"-")</f>
        <v>0</v>
      </c>
    </row>
    <row r="686" spans="1:10" ht="23.4" x14ac:dyDescent="0.3">
      <c r="A686" s="274" t="s">
        <v>102</v>
      </c>
      <c r="B686" s="1023"/>
      <c r="C686" s="275" t="s">
        <v>159</v>
      </c>
      <c r="D686" s="275"/>
      <c r="E686" s="684">
        <v>30.073599999999999</v>
      </c>
      <c r="F686" s="402">
        <f>IFERROR(E686*'01 Prod Physique Boites'!H681,"-")</f>
        <v>0</v>
      </c>
      <c r="G686" s="403">
        <f>IFERROR(E686*'01 Prod Physique Boites'!L681,"-")</f>
        <v>342839.03999999998</v>
      </c>
      <c r="H686" s="385">
        <v>59.96</v>
      </c>
      <c r="I686" s="421">
        <f>IFERROR(H686*(F686/E686),"-")</f>
        <v>0</v>
      </c>
      <c r="J686" s="422">
        <f t="shared" ref="J686:J687" si="384">IFERROR(H686*(G686/E686),"-")</f>
        <v>683544</v>
      </c>
    </row>
    <row r="687" spans="1:10" ht="24" thickBot="1" x14ac:dyDescent="0.35">
      <c r="A687" s="274" t="s">
        <v>102</v>
      </c>
      <c r="B687" s="1024"/>
      <c r="C687" s="279" t="s">
        <v>186</v>
      </c>
      <c r="D687" s="279" t="s">
        <v>185</v>
      </c>
      <c r="E687" s="501">
        <v>30.073599999999999</v>
      </c>
      <c r="F687" s="402">
        <f>IFERROR(E687*'01 Prod Physique Boites'!H682,"-")</f>
        <v>0</v>
      </c>
      <c r="G687" s="403">
        <f>IFERROR(E687*'01 Prod Physique Boites'!L682,"-")</f>
        <v>0</v>
      </c>
      <c r="H687" s="387"/>
      <c r="I687" s="423">
        <f>IFERROR(H687*(F687/E687),"-")</f>
        <v>0</v>
      </c>
      <c r="J687" s="424">
        <f t="shared" si="384"/>
        <v>0</v>
      </c>
    </row>
    <row r="688" spans="1:10" ht="24" thickBot="1" x14ac:dyDescent="0.35">
      <c r="A688" s="274" t="s">
        <v>102</v>
      </c>
      <c r="B688" s="1034" t="s">
        <v>41</v>
      </c>
      <c r="C688" s="1035"/>
      <c r="D688" s="1036"/>
      <c r="E688" s="390"/>
      <c r="F688" s="406">
        <f t="shared" ref="F688:G688" si="385">SUM(F685:F687)</f>
        <v>0</v>
      </c>
      <c r="G688" s="407">
        <f t="shared" si="385"/>
        <v>342839.03999999998</v>
      </c>
      <c r="H688" s="391"/>
      <c r="I688" s="406">
        <f t="shared" ref="I688:J688" si="386">SUM(I685:I687)</f>
        <v>0</v>
      </c>
      <c r="J688" s="425">
        <f t="shared" si="386"/>
        <v>683544</v>
      </c>
    </row>
    <row r="689" spans="1:15" ht="23.4" x14ac:dyDescent="0.3">
      <c r="A689" s="274" t="s">
        <v>102</v>
      </c>
      <c r="B689" s="1022" t="s">
        <v>42</v>
      </c>
      <c r="C689" s="269" t="s">
        <v>160</v>
      </c>
      <c r="D689" s="269"/>
      <c r="E689" s="504">
        <v>36.684899999999999</v>
      </c>
      <c r="F689" s="402">
        <f>IFERROR(E689*'01 Prod Physique Boites'!H684,"-")</f>
        <v>0</v>
      </c>
      <c r="G689" s="402">
        <f>IFERROR(E689*'01 Prod Physique Boites'!L684,"-")</f>
        <v>0</v>
      </c>
      <c r="H689" s="381"/>
      <c r="I689" s="382" t="s">
        <v>190</v>
      </c>
      <c r="J689" s="383" t="s">
        <v>190</v>
      </c>
    </row>
    <row r="690" spans="1:15" ht="24" thickBot="1" x14ac:dyDescent="0.35">
      <c r="A690" s="274" t="s">
        <v>102</v>
      </c>
      <c r="B690" s="1024"/>
      <c r="C690" s="279" t="s">
        <v>161</v>
      </c>
      <c r="D690" s="279"/>
      <c r="E690" s="501">
        <v>37.002800000000001</v>
      </c>
      <c r="F690" s="402">
        <f>IFERROR(E690*'01 Prod Physique Boites'!H685,"-")</f>
        <v>0</v>
      </c>
      <c r="G690" s="402">
        <f>IFERROR(E690*'01 Prod Physique Boites'!L685,"-")</f>
        <v>0</v>
      </c>
      <c r="H690" s="387"/>
      <c r="I690" s="388" t="s">
        <v>190</v>
      </c>
      <c r="J690" s="389" t="s">
        <v>190</v>
      </c>
    </row>
    <row r="691" spans="1:15" ht="24" thickBot="1" x14ac:dyDescent="0.35">
      <c r="A691" s="274" t="s">
        <v>102</v>
      </c>
      <c r="B691" s="1034" t="s">
        <v>43</v>
      </c>
      <c r="C691" s="1035"/>
      <c r="D691" s="1036"/>
      <c r="E691" s="390"/>
      <c r="F691" s="402">
        <f>IFERROR(E691*'01 Prod Physique Boites'!H685,"-")</f>
        <v>0</v>
      </c>
      <c r="G691" s="407">
        <f>IFERROR(E691*'01 Prod Physique Boites'!L685,"-")</f>
        <v>0</v>
      </c>
      <c r="H691" s="391"/>
      <c r="I691" s="406">
        <f t="shared" ref="I691:J691" si="387">SUM(I689:I690)</f>
        <v>0</v>
      </c>
      <c r="J691" s="425">
        <f t="shared" si="387"/>
        <v>0</v>
      </c>
    </row>
    <row r="692" spans="1:15" ht="24" thickBot="1" x14ac:dyDescent="0.35">
      <c r="A692" s="274" t="s">
        <v>102</v>
      </c>
      <c r="B692" s="1028" t="s">
        <v>25</v>
      </c>
      <c r="C692" s="1029"/>
      <c r="D692" s="1030"/>
      <c r="E692" s="393"/>
      <c r="F692" s="410">
        <f>+F671+F676+F679+F684+F688+F691</f>
        <v>1570153.38</v>
      </c>
      <c r="G692" s="411">
        <f>+G671+G676+G679+G684+G688+G691</f>
        <v>8787221.3381999992</v>
      </c>
      <c r="H692" s="394"/>
      <c r="I692" s="410">
        <f>+I671+I676+I679+I684+I688+I691</f>
        <v>2895038</v>
      </c>
      <c r="J692" s="428">
        <f>+J671+J676+J679+J684+J688+J691</f>
        <v>16177126.140000001</v>
      </c>
    </row>
    <row r="693" spans="1:15" ht="24" thickBot="1" x14ac:dyDescent="0.35">
      <c r="A693" s="318" t="s">
        <v>102</v>
      </c>
      <c r="B693" s="1020" t="s">
        <v>173</v>
      </c>
      <c r="C693" s="1020"/>
      <c r="D693" s="1021"/>
      <c r="E693" s="395"/>
      <c r="F693" s="412">
        <f t="shared" ref="F693:G693" si="388">+F692</f>
        <v>1570153.38</v>
      </c>
      <c r="G693" s="413">
        <f t="shared" si="388"/>
        <v>8787221.3381999992</v>
      </c>
      <c r="H693" s="396"/>
      <c r="I693" s="412">
        <f t="shared" ref="I693" si="389">+I692</f>
        <v>2895038</v>
      </c>
      <c r="J693" s="429">
        <f>+J692</f>
        <v>16177126.140000001</v>
      </c>
    </row>
    <row r="694" spans="1:15" ht="24.6" thickBot="1" x14ac:dyDescent="0.35">
      <c r="A694" s="319"/>
      <c r="B694" s="1031" t="s">
        <v>174</v>
      </c>
      <c r="C694" s="1032"/>
      <c r="D694" s="1033"/>
      <c r="E694" s="401"/>
      <c r="F694" s="418">
        <f>+F632+F667+F693</f>
        <v>6698633.2347999988</v>
      </c>
      <c r="G694" s="418">
        <f>+G632+G667+G693</f>
        <v>37876643.030199997</v>
      </c>
      <c r="H694" s="401"/>
      <c r="I694" s="418">
        <f>+I632+I667+I693</f>
        <v>9613953.2599999998</v>
      </c>
      <c r="J694" s="432">
        <f>+J632+J667+J693</f>
        <v>55079739.840000004</v>
      </c>
    </row>
    <row r="695" spans="1:15" ht="23.4" x14ac:dyDescent="0.3">
      <c r="A695" s="1057" t="s">
        <v>1</v>
      </c>
      <c r="B695" s="1060" t="s">
        <v>2</v>
      </c>
      <c r="C695" s="1063" t="s">
        <v>396</v>
      </c>
      <c r="D695" s="1063" t="s">
        <v>397</v>
      </c>
      <c r="E695" s="1092" t="s">
        <v>405</v>
      </c>
      <c r="F695" s="1093"/>
      <c r="G695" s="1093"/>
      <c r="H695" s="442"/>
      <c r="I695" s="442"/>
      <c r="J695" s="443"/>
    </row>
    <row r="696" spans="1:15" ht="23.4" x14ac:dyDescent="0.3">
      <c r="A696" s="1058"/>
      <c r="B696" s="1061"/>
      <c r="C696" s="1064"/>
      <c r="D696" s="1064"/>
      <c r="E696" s="1094" t="s">
        <v>408</v>
      </c>
      <c r="F696" s="1095"/>
      <c r="G696" s="1096"/>
      <c r="H696" s="1094" t="s">
        <v>168</v>
      </c>
      <c r="I696" s="1095"/>
      <c r="J696" s="1096"/>
    </row>
    <row r="697" spans="1:15" ht="46.8" x14ac:dyDescent="0.3">
      <c r="A697" s="1059"/>
      <c r="B697" s="1090"/>
      <c r="C697" s="1091"/>
      <c r="D697" s="1091"/>
      <c r="E697" s="379" t="s">
        <v>170</v>
      </c>
      <c r="F697" s="810" t="s">
        <v>407</v>
      </c>
      <c r="G697" s="811" t="s">
        <v>406</v>
      </c>
      <c r="H697" s="1097" t="s">
        <v>170</v>
      </c>
      <c r="I697" s="1099" t="s">
        <v>137</v>
      </c>
      <c r="J697" s="1101" t="s">
        <v>406</v>
      </c>
    </row>
    <row r="698" spans="1:15" ht="24" thickBot="1" x14ac:dyDescent="0.35">
      <c r="A698" s="1059"/>
      <c r="B698" s="1062"/>
      <c r="C698" s="1065"/>
      <c r="D698" s="1065"/>
      <c r="E698" s="1103" t="s">
        <v>515</v>
      </c>
      <c r="F698" s="1104"/>
      <c r="G698" s="1105"/>
      <c r="H698" s="1098"/>
      <c r="I698" s="1100"/>
      <c r="J698" s="1102"/>
    </row>
    <row r="699" spans="1:15" ht="23.4" x14ac:dyDescent="0.3">
      <c r="A699" s="268" t="s">
        <v>103</v>
      </c>
      <c r="B699" s="1043" t="s">
        <v>16</v>
      </c>
      <c r="C699" s="269" t="s">
        <v>368</v>
      </c>
      <c r="D699" s="269" t="s">
        <v>369</v>
      </c>
      <c r="E699" s="705">
        <v>81.360699999999994</v>
      </c>
      <c r="F699" s="402">
        <f>IFERROR(E699*'01 Prod Physique Boites'!H693,"-")</f>
        <v>0</v>
      </c>
      <c r="G699" s="402">
        <f>IFERROR(E699*'01 Prod Physique Boites'!L693,"-")</f>
        <v>0</v>
      </c>
      <c r="H699" s="706">
        <v>143.28</v>
      </c>
      <c r="I699" s="419">
        <f>IFERROR(H699*(F699/E699),"-")</f>
        <v>0</v>
      </c>
      <c r="J699" s="420">
        <f t="shared" ref="J699:J701" si="390">IFERROR(H699*(G699/E699),"-")</f>
        <v>0</v>
      </c>
    </row>
    <row r="700" spans="1:15" ht="23.4" x14ac:dyDescent="0.3">
      <c r="A700" s="713"/>
      <c r="B700" s="1044"/>
      <c r="C700" s="275" t="s">
        <v>470</v>
      </c>
      <c r="D700" s="275" t="s">
        <v>375</v>
      </c>
      <c r="E700" s="505">
        <v>81.360699999999994</v>
      </c>
      <c r="F700" s="402">
        <f>IFERROR(E700*'01 Prod Physique Boites'!H694,"-")</f>
        <v>0</v>
      </c>
      <c r="G700" s="402">
        <f>IFERROR(E700*'01 Prod Physique Boites'!L694,"-")</f>
        <v>0</v>
      </c>
      <c r="H700" s="708">
        <v>143.28</v>
      </c>
      <c r="I700" s="419">
        <f>IFERROR(H700*(F700/E700),"-")</f>
        <v>0</v>
      </c>
      <c r="J700" s="420">
        <f t="shared" si="390"/>
        <v>0</v>
      </c>
    </row>
    <row r="701" spans="1:15" ht="23.4" x14ac:dyDescent="0.3">
      <c r="A701" s="274" t="s">
        <v>103</v>
      </c>
      <c r="B701" s="1044"/>
      <c r="C701" s="275" t="s">
        <v>430</v>
      </c>
      <c r="D701" s="275" t="s">
        <v>384</v>
      </c>
      <c r="E701" s="684">
        <v>77.170400000000001</v>
      </c>
      <c r="F701" s="402">
        <f>IFERROR(E701*'01 Prod Physique Boites'!H695,"-")</f>
        <v>172861.696</v>
      </c>
      <c r="G701" s="402">
        <f>IFERROR(E701*'01 Prod Physique Boites'!L695,"-")</f>
        <v>617363.19999999995</v>
      </c>
      <c r="H701" s="385">
        <v>0</v>
      </c>
      <c r="I701" s="419">
        <f>IFERROR(H701*(F701/E701),"-")</f>
        <v>0</v>
      </c>
      <c r="J701" s="420">
        <f t="shared" si="390"/>
        <v>0</v>
      </c>
    </row>
    <row r="702" spans="1:15" ht="24" thickBot="1" x14ac:dyDescent="0.35">
      <c r="A702" s="274" t="s">
        <v>103</v>
      </c>
      <c r="B702" s="1045"/>
      <c r="C702" s="279" t="s">
        <v>262</v>
      </c>
      <c r="D702" s="279" t="s">
        <v>231</v>
      </c>
      <c r="E702" s="501">
        <v>60.703499999999998</v>
      </c>
      <c r="F702" s="402">
        <f>IFERROR(E702*'01 Prod Physique Boites'!H696,"-")</f>
        <v>0</v>
      </c>
      <c r="G702" s="402">
        <f>IFERROR(E702*'01 Prod Physique Boites'!L696,"-")</f>
        <v>0</v>
      </c>
      <c r="H702" s="387">
        <v>111.09</v>
      </c>
      <c r="I702" s="419">
        <f>IFERROR(H702*(F702/E702),"-")</f>
        <v>0</v>
      </c>
      <c r="J702" s="420">
        <f>IFERROR(H702*(G702/E702),"-")</f>
        <v>0</v>
      </c>
    </row>
    <row r="703" spans="1:15" ht="24" thickBot="1" x14ac:dyDescent="0.35">
      <c r="A703" s="274" t="s">
        <v>103</v>
      </c>
      <c r="B703" s="1025" t="s">
        <v>44</v>
      </c>
      <c r="C703" s="1026"/>
      <c r="D703" s="1027"/>
      <c r="E703" s="390"/>
      <c r="F703" s="406">
        <f t="shared" ref="F703" si="391">SUM(F699:F702)</f>
        <v>172861.696</v>
      </c>
      <c r="G703" s="407">
        <f>SUM(G699:G702)</f>
        <v>617363.19999999995</v>
      </c>
      <c r="H703" s="391"/>
      <c r="I703" s="406">
        <f t="shared" ref="I703:J703" si="392">SUM(I699:I702)</f>
        <v>0</v>
      </c>
      <c r="J703" s="425">
        <f t="shared" si="392"/>
        <v>0</v>
      </c>
      <c r="K703" s="704"/>
      <c r="L703" s="704"/>
      <c r="M703" s="704"/>
      <c r="N703" s="704"/>
      <c r="O703" s="704"/>
    </row>
    <row r="704" spans="1:15" ht="23.4" x14ac:dyDescent="0.3">
      <c r="A704" s="274" t="s">
        <v>103</v>
      </c>
      <c r="B704" s="1043" t="s">
        <v>17</v>
      </c>
      <c r="C704" s="269" t="s">
        <v>294</v>
      </c>
      <c r="D704" s="269"/>
      <c r="E704" s="504">
        <v>12.5275</v>
      </c>
      <c r="F704" s="402">
        <f>IFERROR(E704*'01 Prod Physique Boites'!H698,"-")</f>
        <v>0</v>
      </c>
      <c r="G704" s="402">
        <f>IFERROR(E704*'01 Prod Physique Boites'!L698,"-")</f>
        <v>0</v>
      </c>
      <c r="H704" s="681">
        <v>18.836400000000001</v>
      </c>
      <c r="I704" s="419">
        <f t="shared" ref="I704:I710" si="393">IFERROR(H704*(F704/E704),"-")</f>
        <v>0</v>
      </c>
      <c r="J704" s="420">
        <f t="shared" ref="J704:J709" si="394">IFERROR(H704*(G704/E704),"-")</f>
        <v>0</v>
      </c>
    </row>
    <row r="705" spans="1:15" ht="23.4" x14ac:dyDescent="0.3">
      <c r="A705" s="274" t="s">
        <v>103</v>
      </c>
      <c r="B705" s="1044"/>
      <c r="C705" s="275" t="s">
        <v>344</v>
      </c>
      <c r="D705" s="275" t="s">
        <v>232</v>
      </c>
      <c r="E705" s="677">
        <v>13.002700000000001</v>
      </c>
      <c r="F705" s="402">
        <f>IFERROR(E705*'01 Prod Physique Boites'!H699,"-")</f>
        <v>0</v>
      </c>
      <c r="G705" s="402">
        <f>IFERROR(E705*'01 Prod Physique Boites'!L699,"-")</f>
        <v>77756.146000000008</v>
      </c>
      <c r="H705" s="385">
        <v>21.18</v>
      </c>
      <c r="I705" s="421">
        <f t="shared" si="393"/>
        <v>0</v>
      </c>
      <c r="J705" s="422">
        <f t="shared" si="394"/>
        <v>126656.4</v>
      </c>
    </row>
    <row r="706" spans="1:15" ht="23.4" x14ac:dyDescent="0.3">
      <c r="A706" s="274" t="s">
        <v>103</v>
      </c>
      <c r="B706" s="1044"/>
      <c r="C706" s="275" t="s">
        <v>351</v>
      </c>
      <c r="D706" s="275" t="s">
        <v>187</v>
      </c>
      <c r="E706" s="677">
        <v>12.9049</v>
      </c>
      <c r="F706" s="402">
        <f>IFERROR(E706*'01 Prod Physique Boites'!H700,"-")</f>
        <v>1184669.82</v>
      </c>
      <c r="G706" s="402">
        <f>IFERROR(E706*'01 Prod Physique Boites'!L700,"-")</f>
        <v>6950062.9440000001</v>
      </c>
      <c r="H706" s="385">
        <v>20.5</v>
      </c>
      <c r="I706" s="421">
        <f t="shared" si="393"/>
        <v>1881900.0000000002</v>
      </c>
      <c r="J706" s="422">
        <f t="shared" si="394"/>
        <v>11040480</v>
      </c>
    </row>
    <row r="707" spans="1:15" ht="23.4" x14ac:dyDescent="0.3">
      <c r="A707" s="274" t="s">
        <v>103</v>
      </c>
      <c r="B707" s="1044"/>
      <c r="C707" s="275" t="s">
        <v>293</v>
      </c>
      <c r="D707" s="275" t="s">
        <v>188</v>
      </c>
      <c r="E707" s="505">
        <v>13.078200000000001</v>
      </c>
      <c r="F707" s="402">
        <f>IFERROR(E707*'01 Prod Physique Boites'!H701,"-")</f>
        <v>0</v>
      </c>
      <c r="G707" s="402">
        <f>IFERROR(E707*'01 Prod Physique Boites'!L701,"-")</f>
        <v>0</v>
      </c>
      <c r="H707" s="385">
        <v>20.6</v>
      </c>
      <c r="I707" s="421">
        <f t="shared" si="393"/>
        <v>0</v>
      </c>
      <c r="J707" s="422">
        <f t="shared" si="394"/>
        <v>0</v>
      </c>
    </row>
    <row r="708" spans="1:15" ht="23.4" x14ac:dyDescent="0.3">
      <c r="A708" s="274" t="s">
        <v>103</v>
      </c>
      <c r="B708" s="1044"/>
      <c r="C708" s="275" t="s">
        <v>323</v>
      </c>
      <c r="D708" s="275" t="s">
        <v>318</v>
      </c>
      <c r="E708" s="505">
        <v>13.1958</v>
      </c>
      <c r="F708" s="402">
        <f>IFERROR(E708*'01 Prod Physique Boites'!H702,"-")</f>
        <v>0</v>
      </c>
      <c r="G708" s="402">
        <f>IFERROR(E708*'01 Prod Physique Boites'!L702,"-")</f>
        <v>0</v>
      </c>
      <c r="H708" s="385">
        <v>21.28</v>
      </c>
      <c r="I708" s="421">
        <f t="shared" si="393"/>
        <v>0</v>
      </c>
      <c r="J708" s="422">
        <f t="shared" si="394"/>
        <v>0</v>
      </c>
    </row>
    <row r="709" spans="1:15" ht="23.4" x14ac:dyDescent="0.3">
      <c r="A709" s="274">
        <v>1</v>
      </c>
      <c r="B709" s="1044"/>
      <c r="C709" s="275" t="s">
        <v>352</v>
      </c>
      <c r="D709" s="275" t="s">
        <v>189</v>
      </c>
      <c r="E709" s="677">
        <v>12.9049</v>
      </c>
      <c r="F709" s="402">
        <f>IFERROR(E709*'01 Prod Physique Boites'!H703,"-")</f>
        <v>0</v>
      </c>
      <c r="G709" s="402">
        <f>IFERROR(E709*'01 Prod Physique Boites'!L703,"-")</f>
        <v>0</v>
      </c>
      <c r="H709" s="664">
        <v>20.5</v>
      </c>
      <c r="I709" s="421">
        <f t="shared" si="393"/>
        <v>0</v>
      </c>
      <c r="J709" s="422">
        <f t="shared" si="394"/>
        <v>0</v>
      </c>
    </row>
    <row r="710" spans="1:15" ht="24" thickBot="1" x14ac:dyDescent="0.35">
      <c r="A710" s="274" t="s">
        <v>103</v>
      </c>
      <c r="B710" s="1045"/>
      <c r="C710" s="279" t="s">
        <v>341</v>
      </c>
      <c r="D710" s="279" t="s">
        <v>175</v>
      </c>
      <c r="E710" s="501">
        <v>13.6509</v>
      </c>
      <c r="F710" s="402">
        <f>IFERROR(E710*'01 Prod Physique Boites'!H704,"-")</f>
        <v>0</v>
      </c>
      <c r="G710" s="402">
        <f>IFERROR(E710*'01 Prod Physique Boites'!L704,"-")</f>
        <v>0</v>
      </c>
      <c r="H710" s="387">
        <v>21.18</v>
      </c>
      <c r="I710" s="423">
        <f t="shared" si="393"/>
        <v>0</v>
      </c>
      <c r="J710" s="424">
        <f>IFERROR(H710*(G710/E710),"-")</f>
        <v>0</v>
      </c>
    </row>
    <row r="711" spans="1:15" ht="24" thickBot="1" x14ac:dyDescent="0.35">
      <c r="A711" s="274" t="s">
        <v>103</v>
      </c>
      <c r="B711" s="1025" t="s">
        <v>45</v>
      </c>
      <c r="C711" s="1026"/>
      <c r="D711" s="1027"/>
      <c r="E711" s="390"/>
      <c r="F711" s="406">
        <f t="shared" ref="F711" si="395">SUM(F704:F710)</f>
        <v>1184669.82</v>
      </c>
      <c r="G711" s="407">
        <f>SUM(G704:G710)</f>
        <v>7027819.0899999999</v>
      </c>
      <c r="H711" s="391"/>
      <c r="I711" s="406">
        <f t="shared" ref="I711" si="396">SUM(I704:I710)</f>
        <v>1881900.0000000002</v>
      </c>
      <c r="J711" s="425">
        <f>SUM(J704:J710)</f>
        <v>11167136.4</v>
      </c>
      <c r="K711" s="704"/>
      <c r="L711" s="704"/>
      <c r="M711" s="704"/>
      <c r="N711" s="704"/>
      <c r="O711" s="704"/>
    </row>
    <row r="712" spans="1:15" ht="23.4" x14ac:dyDescent="0.3">
      <c r="A712" s="274" t="s">
        <v>103</v>
      </c>
      <c r="B712" s="1043" t="s">
        <v>18</v>
      </c>
      <c r="C712" s="269" t="s">
        <v>312</v>
      </c>
      <c r="D712" s="269" t="s">
        <v>92</v>
      </c>
      <c r="E712" s="504">
        <v>17.8202</v>
      </c>
      <c r="F712" s="402">
        <f>IFERROR(E712*'01 Prod Physique Boites'!H706,"-")</f>
        <v>0</v>
      </c>
      <c r="G712" s="403">
        <f>IFERROR(E712*'01 Prod Physique Boites'!L706,"-")</f>
        <v>0</v>
      </c>
      <c r="H712" s="381">
        <v>24.93</v>
      </c>
      <c r="I712" s="419">
        <f t="shared" ref="I712:I718" si="397">IFERROR(H712*(F712/E712),"-")</f>
        <v>0</v>
      </c>
      <c r="J712" s="420">
        <f t="shared" ref="J712:J714" si="398">IFERROR(H712*(G712/E712),"-")</f>
        <v>0</v>
      </c>
    </row>
    <row r="713" spans="1:15" ht="23.4" x14ac:dyDescent="0.3">
      <c r="A713" s="274" t="s">
        <v>103</v>
      </c>
      <c r="B713" s="1044"/>
      <c r="C713" s="275" t="s">
        <v>130</v>
      </c>
      <c r="D713" s="275"/>
      <c r="E713" s="505">
        <v>17.8202</v>
      </c>
      <c r="F713" s="402">
        <f>IFERROR(E713*'01 Prod Physique Boites'!H707,"-")</f>
        <v>0</v>
      </c>
      <c r="G713" s="403">
        <f>IFERROR(E713*'01 Prod Physique Boites'!L707,"-")</f>
        <v>0</v>
      </c>
      <c r="H713" s="385">
        <v>0</v>
      </c>
      <c r="I713" s="421">
        <f t="shared" si="397"/>
        <v>0</v>
      </c>
      <c r="J713" s="422">
        <f t="shared" si="398"/>
        <v>0</v>
      </c>
    </row>
    <row r="714" spans="1:15" ht="23.4" x14ac:dyDescent="0.3">
      <c r="A714" s="274" t="s">
        <v>103</v>
      </c>
      <c r="B714" s="1044"/>
      <c r="C714" s="275" t="s">
        <v>115</v>
      </c>
      <c r="D714" s="275"/>
      <c r="E714" s="505">
        <v>16.4071</v>
      </c>
      <c r="F714" s="402">
        <f>IFERROR(E714*'01 Prod Physique Boites'!H708,"-")</f>
        <v>0</v>
      </c>
      <c r="G714" s="403">
        <f>IFERROR(E714*'01 Prod Physique Boites'!L708,"-")</f>
        <v>0</v>
      </c>
      <c r="H714" s="385">
        <v>0</v>
      </c>
      <c r="I714" s="421">
        <f t="shared" si="397"/>
        <v>0</v>
      </c>
      <c r="J714" s="422">
        <f t="shared" si="398"/>
        <v>0</v>
      </c>
    </row>
    <row r="715" spans="1:15" ht="23.4" x14ac:dyDescent="0.3">
      <c r="A715" s="274" t="s">
        <v>103</v>
      </c>
      <c r="B715" s="1044"/>
      <c r="C715" s="275" t="s">
        <v>122</v>
      </c>
      <c r="D715" s="275"/>
      <c r="E715" s="505">
        <v>17.8202</v>
      </c>
      <c r="F715" s="402">
        <f>IFERROR(E715*'01 Prod Physique Boites'!H709,"-")</f>
        <v>0</v>
      </c>
      <c r="G715" s="403">
        <f>IFERROR(E715*'01 Prod Physique Boites'!L709,"-")</f>
        <v>0</v>
      </c>
      <c r="H715" s="385">
        <v>0</v>
      </c>
      <c r="I715" s="421">
        <f t="shared" si="397"/>
        <v>0</v>
      </c>
      <c r="J715" s="422">
        <f>IFERROR(H715*(G715/E715),"-")</f>
        <v>0</v>
      </c>
    </row>
    <row r="716" spans="1:15" ht="23.4" x14ac:dyDescent="0.3">
      <c r="A716" s="274" t="s">
        <v>103</v>
      </c>
      <c r="B716" s="1044"/>
      <c r="C716" s="275" t="s">
        <v>176</v>
      </c>
      <c r="D716" s="275" t="s">
        <v>177</v>
      </c>
      <c r="E716" s="505">
        <v>17.8202</v>
      </c>
      <c r="F716" s="402">
        <f>IFERROR(E716*'01 Prod Physique Boites'!H710,"-")</f>
        <v>0</v>
      </c>
      <c r="G716" s="403">
        <f>IFERROR(E716*'01 Prod Physique Boites'!L710,"-")</f>
        <v>0</v>
      </c>
      <c r="H716" s="385">
        <v>0</v>
      </c>
      <c r="I716" s="421">
        <f t="shared" si="397"/>
        <v>0</v>
      </c>
      <c r="J716" s="422">
        <f t="shared" ref="J716:J718" si="399">IFERROR(H716*(G716/E716),"-")</f>
        <v>0</v>
      </c>
    </row>
    <row r="717" spans="1:15" ht="23.4" x14ac:dyDescent="0.3">
      <c r="A717" s="274" t="s">
        <v>103</v>
      </c>
      <c r="B717" s="1044"/>
      <c r="C717" s="275" t="s">
        <v>179</v>
      </c>
      <c r="D717" s="275" t="s">
        <v>178</v>
      </c>
      <c r="E717" s="505">
        <v>16.7288</v>
      </c>
      <c r="F717" s="402">
        <f>IFERROR(E717*'01 Prod Physique Boites'!H711,"-")</f>
        <v>0</v>
      </c>
      <c r="G717" s="403">
        <f>IFERROR(E717*'01 Prod Physique Boites'!L711,"-")</f>
        <v>0</v>
      </c>
      <c r="H717" s="385">
        <v>0</v>
      </c>
      <c r="I717" s="421">
        <f t="shared" si="397"/>
        <v>0</v>
      </c>
      <c r="J717" s="422">
        <f t="shared" si="399"/>
        <v>0</v>
      </c>
    </row>
    <row r="718" spans="1:15" ht="24" thickBot="1" x14ac:dyDescent="0.35">
      <c r="A718" s="274" t="s">
        <v>103</v>
      </c>
      <c r="B718" s="1045"/>
      <c r="C718" s="286" t="s">
        <v>180</v>
      </c>
      <c r="D718" s="286" t="s">
        <v>107</v>
      </c>
      <c r="E718" s="501">
        <v>17.8202</v>
      </c>
      <c r="F718" s="402">
        <f>IFERROR(E718*'01 Prod Physique Boites'!H712,"-")</f>
        <v>0</v>
      </c>
      <c r="G718" s="403">
        <f>IFERROR(E718*'01 Prod Physique Boites'!L712,"-")</f>
        <v>0</v>
      </c>
      <c r="H718" s="385">
        <v>0</v>
      </c>
      <c r="I718" s="423">
        <f t="shared" si="397"/>
        <v>0</v>
      </c>
      <c r="J718" s="424">
        <f t="shared" si="399"/>
        <v>0</v>
      </c>
    </row>
    <row r="719" spans="1:15" ht="24" thickBot="1" x14ac:dyDescent="0.35">
      <c r="A719" s="274" t="s">
        <v>103</v>
      </c>
      <c r="B719" s="1025" t="s">
        <v>29</v>
      </c>
      <c r="C719" s="1026"/>
      <c r="D719" s="1027"/>
      <c r="E719" s="648"/>
      <c r="F719" s="649">
        <f t="shared" ref="F719:G719" si="400">SUM(F712:F718)</f>
        <v>0</v>
      </c>
      <c r="G719" s="407">
        <f t="shared" si="400"/>
        <v>0</v>
      </c>
      <c r="H719" s="391"/>
      <c r="I719" s="406">
        <f t="shared" ref="I719:J719" si="401">SUM(I712:I718)</f>
        <v>0</v>
      </c>
      <c r="J719" s="425">
        <f t="shared" si="401"/>
        <v>0</v>
      </c>
    </row>
    <row r="720" spans="1:15" ht="24" thickBot="1" x14ac:dyDescent="0.35">
      <c r="A720" s="274"/>
      <c r="B720" s="1085" t="s">
        <v>19</v>
      </c>
      <c r="C720" s="650" t="s">
        <v>235</v>
      </c>
      <c r="D720" s="656" t="s">
        <v>177</v>
      </c>
      <c r="E720" s="657">
        <v>12.2659</v>
      </c>
      <c r="F720" s="658">
        <f>IFERROR(E720*'01 Prod Physique Boites'!H714,"-")</f>
        <v>0</v>
      </c>
      <c r="G720" s="659">
        <f>IFERROR(E720*'01 Prod Physique Boites'!L714,"-")</f>
        <v>0</v>
      </c>
      <c r="H720" s="653">
        <v>14.79</v>
      </c>
      <c r="I720" s="638">
        <f t="shared" ref="I720:I724" si="402">IFERROR(H720*(F720/E720),"-")</f>
        <v>0</v>
      </c>
      <c r="J720" s="638">
        <f>IFERROR(H720*(G720/E720),"-")</f>
        <v>0</v>
      </c>
    </row>
    <row r="721" spans="1:10" ht="24" thickBot="1" x14ac:dyDescent="0.35">
      <c r="A721" s="274"/>
      <c r="B721" s="1086"/>
      <c r="C721" s="651" t="s">
        <v>359</v>
      </c>
      <c r="D721" s="660" t="s">
        <v>423</v>
      </c>
      <c r="E721" s="642">
        <v>12.2659</v>
      </c>
      <c r="F721" s="658">
        <f>IFERROR(E721*'01 Prod Physique Boites'!H715,"-")</f>
        <v>0</v>
      </c>
      <c r="G721" s="659">
        <f>IFERROR(E721*'01 Prod Physique Boites'!L715,"-")</f>
        <v>7046317.9775999999</v>
      </c>
      <c r="H721" s="654">
        <v>14.55</v>
      </c>
      <c r="I721" s="643">
        <f t="shared" si="402"/>
        <v>0</v>
      </c>
      <c r="J721" s="643">
        <f>IFERROR(H721*(G721/E721),"-")</f>
        <v>8358451.2000000002</v>
      </c>
    </row>
    <row r="722" spans="1:10" ht="24" thickBot="1" x14ac:dyDescent="0.35">
      <c r="A722" s="274"/>
      <c r="B722" s="1086"/>
      <c r="C722" s="669" t="s">
        <v>235</v>
      </c>
      <c r="D722" s="840" t="s">
        <v>522</v>
      </c>
      <c r="E722" s="851">
        <v>12.2659</v>
      </c>
      <c r="F722" s="658">
        <f>IFERROR(E722*'01 Prod Physique Boites'!H716,"-")</f>
        <v>0</v>
      </c>
      <c r="G722" s="659">
        <f>IFERROR(E722*'01 Prod Physique Boites'!L716,"-")</f>
        <v>2143686.8111999999</v>
      </c>
      <c r="H722" s="860">
        <v>0</v>
      </c>
      <c r="I722" s="643">
        <f t="shared" si="402"/>
        <v>0</v>
      </c>
      <c r="J722" s="643">
        <f t="shared" ref="J722:J723" si="403">IFERROR(H722*(G722/E722),"-")</f>
        <v>0</v>
      </c>
    </row>
    <row r="723" spans="1:10" ht="24" thickBot="1" x14ac:dyDescent="0.35">
      <c r="A723" s="274"/>
      <c r="B723" s="1086"/>
      <c r="C723" s="840" t="s">
        <v>377</v>
      </c>
      <c r="D723" s="840" t="s">
        <v>522</v>
      </c>
      <c r="E723" s="851">
        <v>12.2659</v>
      </c>
      <c r="F723" s="658">
        <f>IFERROR(E723*'01 Prod Physique Boites'!H717,"-")</f>
        <v>932600.90879999998</v>
      </c>
      <c r="G723" s="659">
        <f>IFERROR(E723*'01 Prod Physique Boites'!L717,"-")</f>
        <v>1243467.8784</v>
      </c>
      <c r="H723" s="860">
        <v>0</v>
      </c>
      <c r="I723" s="643">
        <f t="shared" si="402"/>
        <v>0</v>
      </c>
      <c r="J723" s="643">
        <f t="shared" si="403"/>
        <v>0</v>
      </c>
    </row>
    <row r="724" spans="1:10" ht="24" thickBot="1" x14ac:dyDescent="0.35">
      <c r="A724" s="812" t="s">
        <v>103</v>
      </c>
      <c r="B724" s="1087"/>
      <c r="C724" s="652" t="s">
        <v>342</v>
      </c>
      <c r="D724" s="661"/>
      <c r="E724" s="662">
        <v>0</v>
      </c>
      <c r="F724" s="658">
        <f>IFERROR(E724*'01 Prod Physique Boites'!H718,"-")</f>
        <v>0</v>
      </c>
      <c r="G724" s="659">
        <f>IFERROR(E724*'01 Prod Physique Boites'!L718,"-")</f>
        <v>0</v>
      </c>
      <c r="H724" s="655">
        <v>0</v>
      </c>
      <c r="I724" s="643" t="str">
        <f t="shared" si="402"/>
        <v>-</v>
      </c>
      <c r="J724" s="427" t="str">
        <f t="shared" ref="J724" si="404">IFERROR(I724*(G724/F724),"-")</f>
        <v>-</v>
      </c>
    </row>
    <row r="725" spans="1:10" ht="24" thickBot="1" x14ac:dyDescent="0.35">
      <c r="A725" s="274" t="s">
        <v>103</v>
      </c>
      <c r="B725" s="1025" t="s">
        <v>46</v>
      </c>
      <c r="C725" s="1026"/>
      <c r="D725" s="1027"/>
      <c r="E725" s="390"/>
      <c r="F725" s="406">
        <f>SUM(F720:F724)</f>
        <v>932600.90879999998</v>
      </c>
      <c r="G725" s="406">
        <f>SUM(G720:G724)</f>
        <v>10433472.667199999</v>
      </c>
      <c r="H725" s="391"/>
      <c r="I725" s="406">
        <f>SUM(I720:I724)</f>
        <v>0</v>
      </c>
      <c r="J725" s="425">
        <f>SUM(J720:J724)</f>
        <v>8358451.2000000002</v>
      </c>
    </row>
    <row r="726" spans="1:10" ht="23.4" x14ac:dyDescent="0.3">
      <c r="A726" s="274" t="s">
        <v>103</v>
      </c>
      <c r="B726" s="1043" t="s">
        <v>20</v>
      </c>
      <c r="C726" s="291" t="s">
        <v>317</v>
      </c>
      <c r="D726" s="291" t="s">
        <v>289</v>
      </c>
      <c r="E726" s="504">
        <v>26.032900000000001</v>
      </c>
      <c r="F726" s="402">
        <f>IFERROR(E726*'01 Prod Physique Boites'!H720,"-")</f>
        <v>0</v>
      </c>
      <c r="G726" s="403">
        <f>IFERROR(E726*'01 Prod Physique Boites'!L720,"-")</f>
        <v>0</v>
      </c>
      <c r="H726" s="381">
        <v>36.44</v>
      </c>
      <c r="I726" s="419">
        <f>IFERROR(H726*(F726/E726),"-")</f>
        <v>0</v>
      </c>
      <c r="J726" s="420">
        <f t="shared" ref="J726:J728" si="405">IFERROR(H726*(G726/E726),"-")</f>
        <v>0</v>
      </c>
    </row>
    <row r="727" spans="1:10" ht="23.4" x14ac:dyDescent="0.3">
      <c r="A727" s="274" t="s">
        <v>103</v>
      </c>
      <c r="B727" s="1044"/>
      <c r="C727" s="292" t="s">
        <v>114</v>
      </c>
      <c r="D727" s="292"/>
      <c r="E727" s="384">
        <v>24.2607</v>
      </c>
      <c r="F727" s="402">
        <f>IFERROR(E727*'01 Prod Physique Boites'!H721,"-")</f>
        <v>0</v>
      </c>
      <c r="G727" s="403">
        <f>IFERROR(E727*'01 Prod Physique Boites'!L721,"-")</f>
        <v>0</v>
      </c>
      <c r="H727" s="385">
        <v>37.369999999999997</v>
      </c>
      <c r="I727" s="421">
        <f>IFERROR(H727*(F727/E727),"-")</f>
        <v>0</v>
      </c>
      <c r="J727" s="422">
        <f t="shared" si="405"/>
        <v>0</v>
      </c>
    </row>
    <row r="728" spans="1:10" ht="24" thickBot="1" x14ac:dyDescent="0.35">
      <c r="A728" s="274" t="s">
        <v>103</v>
      </c>
      <c r="B728" s="1045"/>
      <c r="C728" s="293" t="s">
        <v>120</v>
      </c>
      <c r="D728" s="293"/>
      <c r="E728" s="386">
        <v>26.035799999999998</v>
      </c>
      <c r="F728" s="402">
        <f>IFERROR(E728*'01 Prod Physique Boites'!H722,"-")</f>
        <v>0</v>
      </c>
      <c r="G728" s="403">
        <f>IFERROR(E728*'01 Prod Physique Boites'!L722,"-")</f>
        <v>0</v>
      </c>
      <c r="H728" s="387">
        <v>37.11</v>
      </c>
      <c r="I728" s="423">
        <f>IFERROR(H728*(F728/E728),"-")</f>
        <v>0</v>
      </c>
      <c r="J728" s="424">
        <f t="shared" si="405"/>
        <v>0</v>
      </c>
    </row>
    <row r="729" spans="1:10" ht="24" thickBot="1" x14ac:dyDescent="0.35">
      <c r="A729" s="274" t="s">
        <v>103</v>
      </c>
      <c r="B729" s="1026" t="s">
        <v>47</v>
      </c>
      <c r="C729" s="1026"/>
      <c r="D729" s="1046"/>
      <c r="E729" s="390"/>
      <c r="F729" s="406">
        <f t="shared" ref="F729:G729" si="406">SUM(F726:F728)</f>
        <v>0</v>
      </c>
      <c r="G729" s="407">
        <f t="shared" si="406"/>
        <v>0</v>
      </c>
      <c r="H729" s="391"/>
      <c r="I729" s="406">
        <f t="shared" ref="I729:J729" si="407">SUM(I726:I728)</f>
        <v>0</v>
      </c>
      <c r="J729" s="425">
        <f t="shared" si="407"/>
        <v>0</v>
      </c>
    </row>
    <row r="730" spans="1:10" ht="24" thickBot="1" x14ac:dyDescent="0.35">
      <c r="A730" s="274" t="s">
        <v>103</v>
      </c>
      <c r="B730" s="1047" t="s">
        <v>21</v>
      </c>
      <c r="C730" s="1048"/>
      <c r="D730" s="1049"/>
      <c r="E730" s="393"/>
      <c r="F730" s="410">
        <f>+F703+F711+F719+F725+F729</f>
        <v>2290132.4248000002</v>
      </c>
      <c r="G730" s="411">
        <f>+G703+G711+G719+G725+G729</f>
        <v>18078654.957199998</v>
      </c>
      <c r="H730" s="394"/>
      <c r="I730" s="410">
        <f>+I703+I711+I719+I725+I729</f>
        <v>1881900.0000000002</v>
      </c>
      <c r="J730" s="428">
        <f>+J703+J711+J719+J725+J729</f>
        <v>19525587.600000001</v>
      </c>
    </row>
    <row r="731" spans="1:10" ht="23.4" x14ac:dyDescent="0.3">
      <c r="A731" s="274" t="s">
        <v>103</v>
      </c>
      <c r="B731" s="1043" t="s">
        <v>400</v>
      </c>
      <c r="C731" s="269" t="s">
        <v>125</v>
      </c>
      <c r="D731" s="269"/>
      <c r="E731" s="380">
        <v>22.820599999999999</v>
      </c>
      <c r="F731" s="402">
        <f>IFERROR(E731*'01 Prod Physique Boites'!H725,"-")</f>
        <v>0</v>
      </c>
      <c r="G731" s="403">
        <f>IFERROR(E731*'01 Prod Physique Boites'!L725,"-")</f>
        <v>0</v>
      </c>
      <c r="H731" s="381">
        <v>27.5</v>
      </c>
      <c r="I731" s="419">
        <f>IFERROR(H731*(F731/E731),"-")</f>
        <v>0</v>
      </c>
      <c r="J731" s="420">
        <f t="shared" ref="J731:J734" si="408">IFERROR(H731*(G731/E731),"-")</f>
        <v>0</v>
      </c>
    </row>
    <row r="732" spans="1:10" ht="23.4" x14ac:dyDescent="0.3">
      <c r="A732" s="274" t="s">
        <v>103</v>
      </c>
      <c r="B732" s="1044"/>
      <c r="C732" s="295" t="s">
        <v>263</v>
      </c>
      <c r="D732" s="295" t="s">
        <v>181</v>
      </c>
      <c r="E732" s="384">
        <v>23.570699999999999</v>
      </c>
      <c r="F732" s="402">
        <f>IFERROR(E732*'01 Prod Physique Boites'!H726,"-")</f>
        <v>0</v>
      </c>
      <c r="G732" s="403">
        <f>IFERROR(E732*'01 Prod Physique Boites'!L726,"-")</f>
        <v>0</v>
      </c>
      <c r="H732" s="385">
        <v>27.5</v>
      </c>
      <c r="I732" s="421">
        <f>IFERROR(H732*(F732/E732),"-")</f>
        <v>0</v>
      </c>
      <c r="J732" s="422">
        <f t="shared" si="408"/>
        <v>0</v>
      </c>
    </row>
    <row r="733" spans="1:10" ht="23.4" x14ac:dyDescent="0.3">
      <c r="A733" s="274" t="s">
        <v>103</v>
      </c>
      <c r="B733" s="1044"/>
      <c r="C733" s="295" t="s">
        <v>362</v>
      </c>
      <c r="D733" s="295" t="s">
        <v>181</v>
      </c>
      <c r="E733" s="384">
        <v>22.820599999999999</v>
      </c>
      <c r="F733" s="402">
        <f>IFERROR(E733*'01 Prod Physique Boites'!H727,"-")</f>
        <v>0</v>
      </c>
      <c r="G733" s="403">
        <f>IFERROR(E733*'01 Prod Physique Boites'!L727,"-")</f>
        <v>0</v>
      </c>
      <c r="H733" s="385">
        <v>27.5</v>
      </c>
      <c r="I733" s="421">
        <f>IFERROR(H733*(F733/E733),"-")</f>
        <v>0</v>
      </c>
      <c r="J733" s="422">
        <f t="shared" si="408"/>
        <v>0</v>
      </c>
    </row>
    <row r="734" spans="1:10" ht="24" thickBot="1" x14ac:dyDescent="0.35">
      <c r="A734" s="274" t="s">
        <v>103</v>
      </c>
      <c r="B734" s="1045"/>
      <c r="C734" s="279" t="s">
        <v>182</v>
      </c>
      <c r="D734" s="279" t="s">
        <v>93</v>
      </c>
      <c r="E734" s="386">
        <v>23.5685</v>
      </c>
      <c r="F734" s="402">
        <f>IFERROR(E734*'01 Prod Physique Boites'!H728,"-")</f>
        <v>0</v>
      </c>
      <c r="G734" s="403">
        <f>IFERROR(E734*'01 Prod Physique Boites'!L728,"-")</f>
        <v>0</v>
      </c>
      <c r="H734" s="387">
        <v>24</v>
      </c>
      <c r="I734" s="423">
        <f>IFERROR(H734*(F734/E734),"-")</f>
        <v>0</v>
      </c>
      <c r="J734" s="424">
        <f t="shared" si="408"/>
        <v>0</v>
      </c>
    </row>
    <row r="735" spans="1:10" ht="24" thickBot="1" x14ac:dyDescent="0.35">
      <c r="A735" s="274" t="s">
        <v>103</v>
      </c>
      <c r="B735" s="1025" t="s">
        <v>48</v>
      </c>
      <c r="C735" s="1026"/>
      <c r="D735" s="1027"/>
      <c r="E735" s="390"/>
      <c r="F735" s="406">
        <f t="shared" ref="F735:G735" si="409">SUM(F731:F734)</f>
        <v>0</v>
      </c>
      <c r="G735" s="407">
        <f t="shared" si="409"/>
        <v>0</v>
      </c>
      <c r="H735" s="391"/>
      <c r="I735" s="406">
        <f t="shared" ref="I735:J735" si="410">SUM(I731:I734)</f>
        <v>0</v>
      </c>
      <c r="J735" s="425">
        <f t="shared" si="410"/>
        <v>0</v>
      </c>
    </row>
    <row r="736" spans="1:10" ht="23.4" x14ac:dyDescent="0.3">
      <c r="A736" s="274" t="s">
        <v>103</v>
      </c>
      <c r="B736" s="1043" t="s">
        <v>23</v>
      </c>
      <c r="C736" s="296" t="s">
        <v>308</v>
      </c>
      <c r="D736" s="296" t="s">
        <v>238</v>
      </c>
      <c r="E736" s="380">
        <v>101.4935</v>
      </c>
      <c r="F736" s="402">
        <f>IFERROR(E736*'01 Prod Physique Boites'!H730,"-")</f>
        <v>0</v>
      </c>
      <c r="G736" s="403">
        <f>IFERROR(E736*'01 Prod Physique Boites'!L730,"-")</f>
        <v>0</v>
      </c>
      <c r="H736" s="385">
        <v>160.44999999999999</v>
      </c>
      <c r="I736" s="419">
        <f t="shared" ref="I736:I744" si="411">IFERROR(H736*(F736/E736),"-")</f>
        <v>0</v>
      </c>
      <c r="J736" s="420">
        <f t="shared" ref="J736:J744" si="412">IFERROR(H736*(G736/E736),"-")</f>
        <v>0</v>
      </c>
    </row>
    <row r="737" spans="1:10" ht="23.4" x14ac:dyDescent="0.3">
      <c r="A737" s="274" t="s">
        <v>103</v>
      </c>
      <c r="B737" s="1044"/>
      <c r="C737" s="275" t="s">
        <v>24</v>
      </c>
      <c r="D737" s="275" t="s">
        <v>238</v>
      </c>
      <c r="E737" s="384">
        <v>101.4935</v>
      </c>
      <c r="F737" s="402">
        <f>IFERROR(E737*'01 Prod Physique Boites'!H731,"-")</f>
        <v>0</v>
      </c>
      <c r="G737" s="403">
        <f>IFERROR(E737*'01 Prod Physique Boites'!L731,"-")</f>
        <v>0</v>
      </c>
      <c r="H737" s="385">
        <v>160.44999999999999</v>
      </c>
      <c r="I737" s="421">
        <f t="shared" si="411"/>
        <v>0</v>
      </c>
      <c r="J737" s="422">
        <f t="shared" si="412"/>
        <v>0</v>
      </c>
    </row>
    <row r="738" spans="1:10" ht="23.4" x14ac:dyDescent="0.3">
      <c r="A738" s="274" t="s">
        <v>103</v>
      </c>
      <c r="B738" s="1044"/>
      <c r="C738" s="275" t="s">
        <v>236</v>
      </c>
      <c r="D738" s="275" t="s">
        <v>238</v>
      </c>
      <c r="E738" s="384">
        <v>101.4935</v>
      </c>
      <c r="F738" s="402">
        <f>IFERROR(E738*'01 Prod Physique Boites'!H732,"-")</f>
        <v>0</v>
      </c>
      <c r="G738" s="403">
        <f>IFERROR(E738*'01 Prod Physique Boites'!L732,"-")</f>
        <v>0</v>
      </c>
      <c r="H738" s="385">
        <v>160.44999999999999</v>
      </c>
      <c r="I738" s="421">
        <f t="shared" si="411"/>
        <v>0</v>
      </c>
      <c r="J738" s="422">
        <f t="shared" si="412"/>
        <v>0</v>
      </c>
    </row>
    <row r="739" spans="1:10" ht="23.4" x14ac:dyDescent="0.3">
      <c r="A739" s="274" t="s">
        <v>103</v>
      </c>
      <c r="B739" s="1044"/>
      <c r="C739" s="275" t="s">
        <v>237</v>
      </c>
      <c r="D739" s="275" t="s">
        <v>238</v>
      </c>
      <c r="E739" s="384">
        <v>101.4935</v>
      </c>
      <c r="F739" s="402">
        <f>IFERROR(E739*'01 Prod Physique Boites'!H733,"-")</f>
        <v>0</v>
      </c>
      <c r="G739" s="403">
        <f>IFERROR(E739*'01 Prod Physique Boites'!L733,"-")</f>
        <v>0</v>
      </c>
      <c r="H739" s="385">
        <v>160.44999999999999</v>
      </c>
      <c r="I739" s="421">
        <f t="shared" si="411"/>
        <v>0</v>
      </c>
      <c r="J739" s="422">
        <f t="shared" si="412"/>
        <v>0</v>
      </c>
    </row>
    <row r="740" spans="1:10" ht="23.4" x14ac:dyDescent="0.3">
      <c r="A740" s="274" t="s">
        <v>103</v>
      </c>
      <c r="B740" s="1044"/>
      <c r="C740" s="295" t="s">
        <v>239</v>
      </c>
      <c r="D740" s="275" t="s">
        <v>238</v>
      </c>
      <c r="E740" s="384">
        <v>101.4935</v>
      </c>
      <c r="F740" s="402">
        <f>IFERROR(E740*'01 Prod Physique Boites'!H734,"-")</f>
        <v>0</v>
      </c>
      <c r="G740" s="403">
        <f>IFERROR(E740*'01 Prod Physique Boites'!L734,"-")</f>
        <v>0</v>
      </c>
      <c r="H740" s="385">
        <v>160.44999999999999</v>
      </c>
      <c r="I740" s="421">
        <f t="shared" si="411"/>
        <v>0</v>
      </c>
      <c r="J740" s="422">
        <f t="shared" si="412"/>
        <v>0</v>
      </c>
    </row>
    <row r="741" spans="1:10" ht="23.4" x14ac:dyDescent="0.3">
      <c r="A741" s="274" t="s">
        <v>103</v>
      </c>
      <c r="B741" s="1044"/>
      <c r="C741" s="295" t="s">
        <v>240</v>
      </c>
      <c r="D741" s="275" t="s">
        <v>238</v>
      </c>
      <c r="E741" s="384">
        <v>101.4935</v>
      </c>
      <c r="F741" s="402">
        <f>IFERROR(E741*'01 Prod Physique Boites'!H735,"-")</f>
        <v>0</v>
      </c>
      <c r="G741" s="403">
        <f>IFERROR(E741*'01 Prod Physique Boites'!L735,"-")</f>
        <v>0</v>
      </c>
      <c r="H741" s="385">
        <v>160.44999999999999</v>
      </c>
      <c r="I741" s="421">
        <f t="shared" si="411"/>
        <v>0</v>
      </c>
      <c r="J741" s="422">
        <f t="shared" si="412"/>
        <v>0</v>
      </c>
    </row>
    <row r="742" spans="1:10" ht="23.4" x14ac:dyDescent="0.3">
      <c r="A742" s="274" t="s">
        <v>103</v>
      </c>
      <c r="B742" s="1044"/>
      <c r="C742" s="295" t="s">
        <v>241</v>
      </c>
      <c r="D742" s="275" t="s">
        <v>243</v>
      </c>
      <c r="E742" s="384">
        <v>101.4935</v>
      </c>
      <c r="F742" s="402">
        <f>IFERROR(E742*'01 Prod Physique Boites'!H736,"-")</f>
        <v>0</v>
      </c>
      <c r="G742" s="403">
        <f>IFERROR(E742*'01 Prod Physique Boites'!L736,"-")</f>
        <v>0</v>
      </c>
      <c r="H742" s="385">
        <v>160.44999999999999</v>
      </c>
      <c r="I742" s="421">
        <f t="shared" si="411"/>
        <v>0</v>
      </c>
      <c r="J742" s="422">
        <f t="shared" si="412"/>
        <v>0</v>
      </c>
    </row>
    <row r="743" spans="1:10" ht="23.4" x14ac:dyDescent="0.3">
      <c r="A743" s="274"/>
      <c r="B743" s="1045"/>
      <c r="C743" s="295" t="s">
        <v>457</v>
      </c>
      <c r="D743" s="275" t="s">
        <v>238</v>
      </c>
      <c r="E743" s="386">
        <v>101.49</v>
      </c>
      <c r="F743" s="402">
        <f>IFERROR(E743*'01 Prod Physique Boites'!H737,"-")</f>
        <v>0</v>
      </c>
      <c r="G743" s="403">
        <f>IFERROR(E743*'01 Prod Physique Boites'!L737,"-")</f>
        <v>0</v>
      </c>
      <c r="H743" s="385">
        <v>160.44999999999999</v>
      </c>
      <c r="I743" s="421">
        <f t="shared" si="411"/>
        <v>0</v>
      </c>
      <c r="J743" s="422">
        <f t="shared" si="412"/>
        <v>0</v>
      </c>
    </row>
    <row r="744" spans="1:10" ht="24" thickBot="1" x14ac:dyDescent="0.35">
      <c r="A744" s="274" t="s">
        <v>103</v>
      </c>
      <c r="B744" s="1045"/>
      <c r="C744" s="295" t="s">
        <v>242</v>
      </c>
      <c r="D744" s="275" t="s">
        <v>238</v>
      </c>
      <c r="E744" s="386">
        <v>101.4935</v>
      </c>
      <c r="F744" s="402">
        <f>IFERROR(E744*'01 Prod Physique Boites'!H738,"-")</f>
        <v>0</v>
      </c>
      <c r="G744" s="403">
        <f>IFERROR(E744*'01 Prod Physique Boites'!L738,"-")</f>
        <v>0</v>
      </c>
      <c r="H744" s="385">
        <v>160.44999999999999</v>
      </c>
      <c r="I744" s="421">
        <f t="shared" si="411"/>
        <v>0</v>
      </c>
      <c r="J744" s="424">
        <f t="shared" si="412"/>
        <v>0</v>
      </c>
    </row>
    <row r="745" spans="1:10" ht="24" thickBot="1" x14ac:dyDescent="0.35">
      <c r="A745" s="274" t="s">
        <v>103</v>
      </c>
      <c r="B745" s="1025" t="s">
        <v>49</v>
      </c>
      <c r="C745" s="1026"/>
      <c r="D745" s="1027"/>
      <c r="E745" s="390"/>
      <c r="F745" s="406">
        <f t="shared" ref="F745" si="413">SUM(F736:F744)</f>
        <v>0</v>
      </c>
      <c r="G745" s="407">
        <f>SUM(G736:G744)</f>
        <v>0</v>
      </c>
      <c r="H745" s="391"/>
      <c r="I745" s="406">
        <f t="shared" ref="I745" si="414">SUM(I736:I744)</f>
        <v>0</v>
      </c>
      <c r="J745" s="425">
        <f>SUM(J736:J744)</f>
        <v>0</v>
      </c>
    </row>
    <row r="746" spans="1:10" ht="24" thickBot="1" x14ac:dyDescent="0.35">
      <c r="A746" s="274" t="s">
        <v>103</v>
      </c>
      <c r="B746" s="1047" t="s">
        <v>25</v>
      </c>
      <c r="C746" s="1048"/>
      <c r="D746" s="1049"/>
      <c r="E746" s="393"/>
      <c r="F746" s="410">
        <f t="shared" ref="F746" si="415">+F735+F745</f>
        <v>0</v>
      </c>
      <c r="G746" s="411">
        <f>+G735+G745</f>
        <v>0</v>
      </c>
      <c r="H746" s="394"/>
      <c r="I746" s="410">
        <f t="shared" ref="I746:J746" si="416">+I735+I745</f>
        <v>0</v>
      </c>
      <c r="J746" s="428">
        <f t="shared" si="416"/>
        <v>0</v>
      </c>
    </row>
    <row r="747" spans="1:10" ht="24" thickBot="1" x14ac:dyDescent="0.35">
      <c r="A747" s="274" t="s">
        <v>103</v>
      </c>
      <c r="B747" s="1019" t="s">
        <v>172</v>
      </c>
      <c r="C747" s="1020"/>
      <c r="D747" s="1021"/>
      <c r="E747" s="395"/>
      <c r="F747" s="412">
        <f t="shared" ref="F747" si="417">+F730+F746</f>
        <v>2290132.4248000002</v>
      </c>
      <c r="G747" s="413">
        <f>+G730+G746</f>
        <v>18078654.957199998</v>
      </c>
      <c r="H747" s="396"/>
      <c r="I747" s="412">
        <f t="shared" ref="I747:J747" si="418">+I730+I746</f>
        <v>1881900.0000000002</v>
      </c>
      <c r="J747" s="429">
        <f t="shared" si="418"/>
        <v>19525587.600000001</v>
      </c>
    </row>
    <row r="748" spans="1:10" ht="23.4" x14ac:dyDescent="0.3">
      <c r="A748" s="268" t="s">
        <v>101</v>
      </c>
      <c r="B748" s="1051" t="s">
        <v>26</v>
      </c>
      <c r="C748" s="297" t="s">
        <v>297</v>
      </c>
      <c r="D748" s="299" t="s">
        <v>177</v>
      </c>
      <c r="E748" s="504">
        <v>13.1272</v>
      </c>
      <c r="F748" s="402">
        <f>IFERROR(E748*'01 Prod Physique Boites'!H742,"-")</f>
        <v>0</v>
      </c>
      <c r="G748" s="403">
        <f>IFERROR(E748*'01 Prod Physique Boites'!L742,"-")</f>
        <v>0</v>
      </c>
      <c r="H748" s="381">
        <v>20.76</v>
      </c>
      <c r="I748" s="419">
        <f t="shared" ref="I748:I757" si="419">IFERROR(H748*(F748/E748),"-")</f>
        <v>0</v>
      </c>
      <c r="J748" s="632">
        <f t="shared" ref="J748:J757" si="420">IFERROR(H748*(G748/E748),"-")</f>
        <v>0</v>
      </c>
    </row>
    <row r="749" spans="1:10" ht="23.4" x14ac:dyDescent="0.3">
      <c r="A749" s="274" t="s">
        <v>101</v>
      </c>
      <c r="B749" s="1051"/>
      <c r="C749" s="298" t="s">
        <v>424</v>
      </c>
      <c r="D749" s="298" t="s">
        <v>423</v>
      </c>
      <c r="E749" s="505">
        <v>16.7288</v>
      </c>
      <c r="F749" s="402">
        <f>IFERROR(E749*'01 Prod Physique Boites'!H743,"-")</f>
        <v>0</v>
      </c>
      <c r="G749" s="403">
        <f>IFERROR(E749*'01 Prod Physique Boites'!L743,"-")</f>
        <v>4392112.9824000001</v>
      </c>
      <c r="H749" s="385">
        <v>20.76</v>
      </c>
      <c r="I749" s="421">
        <f t="shared" si="419"/>
        <v>0</v>
      </c>
      <c r="J749" s="633">
        <f t="shared" si="420"/>
        <v>5450496.4800000004</v>
      </c>
    </row>
    <row r="750" spans="1:10" ht="23.4" x14ac:dyDescent="0.3">
      <c r="A750" s="274" t="s">
        <v>101</v>
      </c>
      <c r="B750" s="1051"/>
      <c r="C750" s="813" t="s">
        <v>460</v>
      </c>
      <c r="D750" s="814" t="s">
        <v>334</v>
      </c>
      <c r="E750" s="501">
        <v>14.608000000000001</v>
      </c>
      <c r="F750" s="402">
        <f>IFERROR(E750*'01 Prod Physique Boites'!H744,"-")</f>
        <v>290553.12</v>
      </c>
      <c r="G750" s="403">
        <f>IFERROR(E750*'01 Prod Physique Boites'!L744,"-")</f>
        <v>406774.36800000002</v>
      </c>
      <c r="H750" s="385">
        <v>21.22</v>
      </c>
      <c r="I750" s="643">
        <f t="shared" si="419"/>
        <v>422065.8</v>
      </c>
      <c r="J750" s="633">
        <f t="shared" si="420"/>
        <v>590892.12</v>
      </c>
    </row>
    <row r="751" spans="1:10" ht="23.4" x14ac:dyDescent="0.3">
      <c r="A751" s="274" t="s">
        <v>101</v>
      </c>
      <c r="B751" s="1051"/>
      <c r="C751" s="299" t="s">
        <v>27</v>
      </c>
      <c r="D751" s="297" t="s">
        <v>492</v>
      </c>
      <c r="E751" s="501">
        <v>17.8202</v>
      </c>
      <c r="F751" s="402">
        <f>IFERROR(E751*'01 Prod Physique Boites'!H745,"-")</f>
        <v>70888.755600000004</v>
      </c>
      <c r="G751" s="403">
        <f>IFERROR(E751*'01 Prod Physique Boites'!L745,"-")</f>
        <v>4820435.3808000004</v>
      </c>
      <c r="H751" s="385">
        <v>26.75</v>
      </c>
      <c r="I751" s="643">
        <f t="shared" si="419"/>
        <v>106411.50000000001</v>
      </c>
      <c r="J751" s="633">
        <f t="shared" si="420"/>
        <v>7235982</v>
      </c>
    </row>
    <row r="752" spans="1:10" ht="23.4" x14ac:dyDescent="0.3">
      <c r="A752" s="274" t="s">
        <v>101</v>
      </c>
      <c r="B752" s="1051"/>
      <c r="C752" s="297" t="s">
        <v>521</v>
      </c>
      <c r="D752" s="299" t="s">
        <v>234</v>
      </c>
      <c r="E752" s="501">
        <v>14.608000000000001</v>
      </c>
      <c r="F752" s="402">
        <f>IFERROR(E752*'01 Prod Physique Boites'!H746,"-")</f>
        <v>290553.12</v>
      </c>
      <c r="G752" s="403">
        <f>IFERROR(E752*'01 Prod Physique Boites'!L746,"-")</f>
        <v>290553.12</v>
      </c>
      <c r="H752" s="385">
        <v>24.93</v>
      </c>
      <c r="I752" s="643">
        <f t="shared" si="419"/>
        <v>495857.7</v>
      </c>
      <c r="J752" s="633">
        <f t="shared" si="420"/>
        <v>495857.7</v>
      </c>
    </row>
    <row r="753" spans="1:10" ht="23.4" x14ac:dyDescent="0.3">
      <c r="A753" s="274"/>
      <c r="B753" s="1051"/>
      <c r="C753" s="299" t="s">
        <v>437</v>
      </c>
      <c r="D753" s="299" t="s">
        <v>178</v>
      </c>
      <c r="E753" s="501">
        <v>14.608000000000001</v>
      </c>
      <c r="F753" s="402">
        <f>IFERROR(E753*'01 Prod Physique Boites'!H747,"-")</f>
        <v>0</v>
      </c>
      <c r="G753" s="403">
        <f>IFERROR(E753*'01 Prod Physique Boites'!L747,"-")</f>
        <v>0</v>
      </c>
      <c r="H753" s="387">
        <v>24.93</v>
      </c>
      <c r="I753" s="643">
        <f t="shared" si="419"/>
        <v>0</v>
      </c>
      <c r="J753" s="634">
        <f t="shared" si="420"/>
        <v>0</v>
      </c>
    </row>
    <row r="754" spans="1:10" ht="23.4" x14ac:dyDescent="0.3">
      <c r="A754" s="274"/>
      <c r="B754" s="1051"/>
      <c r="C754" s="299" t="s">
        <v>436</v>
      </c>
      <c r="D754" s="299" t="s">
        <v>94</v>
      </c>
      <c r="E754" s="501">
        <v>17.8202</v>
      </c>
      <c r="F754" s="724">
        <f>IFERROR(E754*'01 Prod Physique Boites'!H748,"-")</f>
        <v>0</v>
      </c>
      <c r="G754" s="403">
        <f>IFERROR(E754*'01 Prod Physique Boites'!L748,"-")</f>
        <v>0</v>
      </c>
      <c r="H754" s="387">
        <v>24.93</v>
      </c>
      <c r="I754" s="730">
        <f t="shared" si="419"/>
        <v>0</v>
      </c>
      <c r="J754" s="634">
        <f t="shared" si="420"/>
        <v>0</v>
      </c>
    </row>
    <row r="755" spans="1:10" s="731" customFormat="1" ht="23.4" x14ac:dyDescent="0.3">
      <c r="A755" s="725"/>
      <c r="B755" s="1051"/>
      <c r="C755" s="726" t="s">
        <v>383</v>
      </c>
      <c r="D755" s="726" t="s">
        <v>384</v>
      </c>
      <c r="E755" s="727">
        <v>16.345199999999998</v>
      </c>
      <c r="F755" s="724">
        <f>IFERROR(E755*'01 Prod Physique Boites'!H749,"-")</f>
        <v>0</v>
      </c>
      <c r="G755" s="728">
        <f>IFERROR(E755*'01 Prod Physique Boites'!L749,"-")</f>
        <v>0</v>
      </c>
      <c r="H755" s="729">
        <v>23.78</v>
      </c>
      <c r="I755" s="730">
        <f t="shared" si="419"/>
        <v>0</v>
      </c>
      <c r="J755" s="634">
        <f t="shared" si="420"/>
        <v>0</v>
      </c>
    </row>
    <row r="756" spans="1:10" s="731" customFormat="1" ht="23.4" x14ac:dyDescent="0.3">
      <c r="A756" s="725"/>
      <c r="B756" s="1051"/>
      <c r="C756" s="299" t="s">
        <v>433</v>
      </c>
      <c r="D756" s="299" t="s">
        <v>178</v>
      </c>
      <c r="E756" s="727">
        <v>16.7288</v>
      </c>
      <c r="F756" s="724">
        <f>IFERROR(E756*'01 Prod Physique Boites'!H750,"-")</f>
        <v>0</v>
      </c>
      <c r="G756" s="728">
        <f>IFERROR(E756*'01 Prod Physique Boites'!L750,"-")</f>
        <v>0</v>
      </c>
      <c r="H756" s="729">
        <v>25.49</v>
      </c>
      <c r="I756" s="730">
        <f t="shared" si="419"/>
        <v>0</v>
      </c>
      <c r="J756" s="634">
        <f t="shared" si="420"/>
        <v>0</v>
      </c>
    </row>
    <row r="757" spans="1:10" ht="24" thickBot="1" x14ac:dyDescent="0.35">
      <c r="A757" s="274" t="s">
        <v>101</v>
      </c>
      <c r="B757" s="1051"/>
      <c r="C757" s="300" t="s">
        <v>290</v>
      </c>
      <c r="D757" s="299" t="s">
        <v>289</v>
      </c>
      <c r="E757" s="501">
        <v>12.6997</v>
      </c>
      <c r="F757" s="402">
        <f>IFERROR(E757*'01 Prod Physique Boites'!H751,"-")</f>
        <v>0</v>
      </c>
      <c r="G757" s="728">
        <f>IFERROR(E757*'01 Prod Physique Boites'!L751,"-")</f>
        <v>0</v>
      </c>
      <c r="H757" s="387">
        <v>13.25</v>
      </c>
      <c r="I757" s="730">
        <f t="shared" si="419"/>
        <v>0</v>
      </c>
      <c r="J757" s="634">
        <f t="shared" si="420"/>
        <v>0</v>
      </c>
    </row>
    <row r="758" spans="1:10" ht="24" thickBot="1" x14ac:dyDescent="0.35">
      <c r="A758" s="274" t="s">
        <v>101</v>
      </c>
      <c r="B758" s="1052"/>
      <c r="C758" s="301"/>
      <c r="D758" s="302" t="s">
        <v>52</v>
      </c>
      <c r="E758" s="390"/>
      <c r="F758" s="406">
        <f>SUM(F748:F757)</f>
        <v>651994.99560000002</v>
      </c>
      <c r="G758" s="407">
        <f>SUM(G748:G757)</f>
        <v>9909875.8511999995</v>
      </c>
      <c r="H758" s="391"/>
      <c r="I758" s="406">
        <f>SUM(I748:I757)</f>
        <v>1024335</v>
      </c>
      <c r="J758" s="425">
        <f>SUM(J748:J757)</f>
        <v>13773228.300000001</v>
      </c>
    </row>
    <row r="759" spans="1:10" ht="23.4" x14ac:dyDescent="0.3">
      <c r="A759" s="274" t="s">
        <v>101</v>
      </c>
      <c r="B759" s="1053" t="s">
        <v>28</v>
      </c>
      <c r="C759" s="299" t="s">
        <v>27</v>
      </c>
      <c r="D759" s="297" t="s">
        <v>492</v>
      </c>
      <c r="E759" s="504">
        <v>17.8202</v>
      </c>
      <c r="F759" s="402">
        <f>IFERROR(E759*'01 Prod Physique Boites'!H753,"-")</f>
        <v>567110.04480000003</v>
      </c>
      <c r="G759" s="403">
        <f>IFERROR(E759*'01 Prod Physique Boites'!L753,"-")</f>
        <v>2835550.2239999999</v>
      </c>
      <c r="H759" s="381">
        <v>26.75</v>
      </c>
      <c r="I759" s="419">
        <f t="shared" ref="I759:I765" si="421">IFERROR(H759*(F759/E759),"-")</f>
        <v>851292.00000000012</v>
      </c>
      <c r="J759" s="632">
        <f t="shared" ref="J759:J760" si="422">IFERROR(H759*(G759/E759),"-")</f>
        <v>4256460</v>
      </c>
    </row>
    <row r="760" spans="1:10" ht="23.4" x14ac:dyDescent="0.3">
      <c r="A760" s="274" t="s">
        <v>101</v>
      </c>
      <c r="B760" s="1051"/>
      <c r="C760" s="299" t="s">
        <v>386</v>
      </c>
      <c r="D760" s="299" t="s">
        <v>334</v>
      </c>
      <c r="E760" s="711">
        <v>16.7288</v>
      </c>
      <c r="F760" s="402">
        <f>IFERROR(E760*'01 Prod Physique Boites'!H754,"-")</f>
        <v>0</v>
      </c>
      <c r="G760" s="728">
        <f>IFERROR(E760*'01 Prod Physique Boites'!L754,"-")</f>
        <v>1597131.9935999999</v>
      </c>
      <c r="H760" s="708">
        <v>20.76</v>
      </c>
      <c r="I760" s="421">
        <f t="shared" si="421"/>
        <v>0</v>
      </c>
      <c r="J760" s="633">
        <f t="shared" si="422"/>
        <v>1981998.7200000002</v>
      </c>
    </row>
    <row r="761" spans="1:10" ht="23.4" x14ac:dyDescent="0.3">
      <c r="A761" s="274" t="s">
        <v>101</v>
      </c>
      <c r="B761" s="1051"/>
      <c r="C761" s="299" t="s">
        <v>385</v>
      </c>
      <c r="D761" s="299" t="s">
        <v>334</v>
      </c>
      <c r="E761" s="501">
        <v>17.8202</v>
      </c>
      <c r="F761" s="402">
        <f>IFERROR(E761*'01 Prod Physique Boites'!H755,"-")</f>
        <v>0</v>
      </c>
      <c r="G761" s="403">
        <f>IFERROR(E761*'01 Prod Physique Boites'!L755,"-")</f>
        <v>0</v>
      </c>
      <c r="H761" s="385">
        <v>21.22</v>
      </c>
      <c r="I761" s="421">
        <f t="shared" si="421"/>
        <v>0</v>
      </c>
      <c r="J761" s="633">
        <f>IFERROR(H761*(G761/E761),"-")</f>
        <v>0</v>
      </c>
    </row>
    <row r="762" spans="1:10" ht="23.4" x14ac:dyDescent="0.3">
      <c r="A762" s="274"/>
      <c r="B762" s="1051"/>
      <c r="C762" s="299" t="s">
        <v>460</v>
      </c>
      <c r="D762" s="299" t="s">
        <v>334</v>
      </c>
      <c r="E762" s="501">
        <v>14.608000000000001</v>
      </c>
      <c r="F762" s="402">
        <f>IFERROR(E762*'01 Prod Physique Boites'!H756,"-")</f>
        <v>0</v>
      </c>
      <c r="G762" s="403">
        <f>IFERROR(E762*'01 Prod Physique Boites'!L756,"-")</f>
        <v>0</v>
      </c>
      <c r="H762" s="385">
        <v>21.22</v>
      </c>
      <c r="I762" s="421">
        <f t="shared" si="421"/>
        <v>0</v>
      </c>
      <c r="J762" s="633">
        <f>IFERROR(H762*(G762/E762),"-")</f>
        <v>0</v>
      </c>
    </row>
    <row r="763" spans="1:10" ht="23.4" x14ac:dyDescent="0.3">
      <c r="A763" s="274"/>
      <c r="B763" s="1051"/>
      <c r="C763" s="299" t="s">
        <v>383</v>
      </c>
      <c r="D763" s="299" t="s">
        <v>384</v>
      </c>
      <c r="E763" s="711">
        <v>16.345199999999998</v>
      </c>
      <c r="F763" s="402">
        <f>IFERROR(E763*'01 Prod Physique Boites'!H757,"-")</f>
        <v>0</v>
      </c>
      <c r="G763" s="403">
        <f>IFERROR(E763*'01 Prod Physique Boites'!L757,"-")</f>
        <v>0</v>
      </c>
      <c r="H763" s="385">
        <v>23.78</v>
      </c>
      <c r="I763" s="423">
        <f t="shared" si="421"/>
        <v>0</v>
      </c>
      <c r="J763" s="634">
        <f t="shared" ref="J763:J765" si="423">IFERROR(H763*(G763/E763),"-")</f>
        <v>0</v>
      </c>
    </row>
    <row r="764" spans="1:10" ht="23.4" x14ac:dyDescent="0.3">
      <c r="A764" s="274"/>
      <c r="B764" s="1051"/>
      <c r="C764" s="299" t="s">
        <v>458</v>
      </c>
      <c r="D764" s="300" t="s">
        <v>280</v>
      </c>
      <c r="E764" s="711">
        <v>17.8202</v>
      </c>
      <c r="F764" s="402">
        <f>IFERROR(E764*'01 Prod Physique Boites'!H758,"-")</f>
        <v>0</v>
      </c>
      <c r="G764" s="403">
        <f>IFERROR(E764*'01 Prod Physique Boites'!L758,"-")</f>
        <v>0</v>
      </c>
      <c r="H764" s="385">
        <v>24.93</v>
      </c>
      <c r="I764" s="730">
        <f t="shared" si="421"/>
        <v>0</v>
      </c>
      <c r="J764" s="634">
        <f t="shared" si="423"/>
        <v>0</v>
      </c>
    </row>
    <row r="765" spans="1:10" ht="24" thickBot="1" x14ac:dyDescent="0.35">
      <c r="A765" s="274" t="s">
        <v>101</v>
      </c>
      <c r="B765" s="1051"/>
      <c r="C765" s="299" t="s">
        <v>27</v>
      </c>
      <c r="D765" s="300" t="s">
        <v>234</v>
      </c>
      <c r="E765" s="501">
        <v>17.8202</v>
      </c>
      <c r="F765" s="402">
        <f>IFERROR(E765*'01 Prod Physique Boites'!H759,"-")</f>
        <v>0</v>
      </c>
      <c r="G765" s="403">
        <f>IFERROR(E765*'01 Prod Physique Boites'!L759,"-")</f>
        <v>0</v>
      </c>
      <c r="H765" s="385">
        <v>24.93</v>
      </c>
      <c r="I765" s="423">
        <f t="shared" si="421"/>
        <v>0</v>
      </c>
      <c r="J765" s="634">
        <f t="shared" si="423"/>
        <v>0</v>
      </c>
    </row>
    <row r="766" spans="1:10" ht="24" thickBot="1" x14ac:dyDescent="0.35">
      <c r="A766" s="274" t="s">
        <v>101</v>
      </c>
      <c r="B766" s="1051"/>
      <c r="C766" s="304"/>
      <c r="D766" s="305" t="s">
        <v>52</v>
      </c>
      <c r="E766" s="397"/>
      <c r="F766" s="414">
        <f t="shared" ref="F766:G766" si="424">SUM(F759:F765)</f>
        <v>567110.04480000003</v>
      </c>
      <c r="G766" s="415">
        <f t="shared" si="424"/>
        <v>4432682.2176000001</v>
      </c>
      <c r="H766" s="398"/>
      <c r="I766" s="414">
        <f t="shared" ref="I766:J766" si="425">SUM(I759:I765)</f>
        <v>851292.00000000012</v>
      </c>
      <c r="J766" s="430">
        <f t="shared" si="425"/>
        <v>6238458.7200000007</v>
      </c>
    </row>
    <row r="767" spans="1:10" ht="24" thickBot="1" x14ac:dyDescent="0.35">
      <c r="A767" s="812" t="s">
        <v>101</v>
      </c>
      <c r="B767" s="1054" t="s">
        <v>162</v>
      </c>
      <c r="C767" s="1055"/>
      <c r="D767" s="1056"/>
      <c r="E767" s="399"/>
      <c r="F767" s="416">
        <f t="shared" ref="F767:G767" si="426">+F758+F766</f>
        <v>1219105.0404000001</v>
      </c>
      <c r="G767" s="417">
        <f t="shared" si="426"/>
        <v>14342558.068799999</v>
      </c>
      <c r="H767" s="400"/>
      <c r="I767" s="416">
        <f t="shared" ref="I767:J767" si="427">+I758+I766</f>
        <v>1875627</v>
      </c>
      <c r="J767" s="431">
        <f t="shared" si="427"/>
        <v>20011687.020000003</v>
      </c>
    </row>
    <row r="768" spans="1:10" ht="23.4" x14ac:dyDescent="0.3">
      <c r="A768" s="274" t="s">
        <v>101</v>
      </c>
      <c r="B768" s="1051" t="s">
        <v>30</v>
      </c>
      <c r="C768" s="303" t="s">
        <v>450</v>
      </c>
      <c r="D768" s="299" t="s">
        <v>334</v>
      </c>
      <c r="E768" s="736">
        <v>27.917000000000002</v>
      </c>
      <c r="F768" s="402">
        <f>IFERROR(E768*'01 Prod Physique Boites'!H762,"-")</f>
        <v>0</v>
      </c>
      <c r="G768" s="728">
        <f>IFERROR(E768*'01 Prod Physique Boites'!L762,"-")</f>
        <v>0</v>
      </c>
      <c r="H768" s="734">
        <v>33.299999999999997</v>
      </c>
      <c r="I768" s="419">
        <f>IFERROR(H768*(F768/E768),"-")</f>
        <v>0</v>
      </c>
      <c r="J768" s="420">
        <f t="shared" ref="J768:J770" si="428">IFERROR(H768*(G768/E768),"-")</f>
        <v>0</v>
      </c>
    </row>
    <row r="769" spans="1:10" ht="23.4" x14ac:dyDescent="0.3">
      <c r="A769" s="274" t="s">
        <v>101</v>
      </c>
      <c r="B769" s="1051"/>
      <c r="C769" s="300" t="s">
        <v>448</v>
      </c>
      <c r="D769" s="303" t="s">
        <v>384</v>
      </c>
      <c r="E769" s="733">
        <v>28.526700000000002</v>
      </c>
      <c r="F769" s="402">
        <f>IFERROR(E769*'01 Prod Physique Boites'!H763,"-")</f>
        <v>0</v>
      </c>
      <c r="G769" s="728">
        <f>IFERROR(E769*'01 Prod Physique Boites'!L763,"-")</f>
        <v>0</v>
      </c>
      <c r="H769" s="735">
        <v>37.89</v>
      </c>
      <c r="I769" s="421">
        <f>IFERROR(H769*(F769/E769),"-")</f>
        <v>0</v>
      </c>
      <c r="J769" s="422">
        <f t="shared" si="428"/>
        <v>0</v>
      </c>
    </row>
    <row r="770" spans="1:10" ht="24" thickBot="1" x14ac:dyDescent="0.35">
      <c r="A770" s="274" t="s">
        <v>101</v>
      </c>
      <c r="B770" s="1051"/>
      <c r="C770" s="300" t="s">
        <v>291</v>
      </c>
      <c r="D770" s="300" t="s">
        <v>384</v>
      </c>
      <c r="E770" s="501">
        <v>25.751300000000001</v>
      </c>
      <c r="F770" s="724">
        <f>IFERROR(E770*'01 Prod Physique Boites'!H764,"-")</f>
        <v>0</v>
      </c>
      <c r="G770" s="728">
        <f>IFERROR(E770*'01 Prod Physique Boites'!L764,"-")</f>
        <v>0</v>
      </c>
      <c r="H770" s="387">
        <v>37.89</v>
      </c>
      <c r="I770" s="423">
        <f>IFERROR(H770*(F770/E770),"-")</f>
        <v>0</v>
      </c>
      <c r="J770" s="424">
        <f t="shared" si="428"/>
        <v>0</v>
      </c>
    </row>
    <row r="771" spans="1:10" ht="24" thickBot="1" x14ac:dyDescent="0.35">
      <c r="A771" s="274" t="s">
        <v>101</v>
      </c>
      <c r="B771" s="1051"/>
      <c r="C771" s="301"/>
      <c r="D771" s="302" t="s">
        <v>50</v>
      </c>
      <c r="E771" s="390"/>
      <c r="F771" s="406">
        <f t="shared" ref="F771:G771" si="429">SUM(F768:F770)</f>
        <v>0</v>
      </c>
      <c r="G771" s="407">
        <f t="shared" si="429"/>
        <v>0</v>
      </c>
      <c r="H771" s="391"/>
      <c r="I771" s="406">
        <f t="shared" ref="I771" si="430">SUM(I768:I770)</f>
        <v>0</v>
      </c>
      <c r="J771" s="425">
        <f>SUM(J768:J770)</f>
        <v>0</v>
      </c>
    </row>
    <row r="772" spans="1:10" ht="23.4" x14ac:dyDescent="0.3">
      <c r="A772" s="274" t="s">
        <v>101</v>
      </c>
      <c r="B772" s="1051"/>
      <c r="C772" s="297" t="s">
        <v>439</v>
      </c>
      <c r="D772" s="297" t="s">
        <v>92</v>
      </c>
      <c r="E772" s="504">
        <v>24.2607</v>
      </c>
      <c r="F772" s="402">
        <f>IFERROR(E772*'01 Prod Physique Boites'!H766,"-")</f>
        <v>0</v>
      </c>
      <c r="G772" s="728">
        <f>IFERROR(E772*'01 Prod Physique Boites'!L766,"-")</f>
        <v>0</v>
      </c>
      <c r="H772" s="381">
        <v>28.31</v>
      </c>
      <c r="I772" s="638">
        <f>IFERROR(H772*(F772/E772),"-")</f>
        <v>0</v>
      </c>
      <c r="J772" s="420">
        <f t="shared" ref="J772:J777" si="431">IFERROR(H772*(G772/E772),"-")</f>
        <v>0</v>
      </c>
    </row>
    <row r="773" spans="1:10" ht="23.4" x14ac:dyDescent="0.3">
      <c r="A773" s="274"/>
      <c r="B773" s="1051"/>
      <c r="C773" s="303" t="s">
        <v>449</v>
      </c>
      <c r="D773" s="299" t="s">
        <v>334</v>
      </c>
      <c r="E773" s="504">
        <v>24.2607</v>
      </c>
      <c r="F773" s="402">
        <f>IFERROR(E773*'01 Prod Physique Boites'!H767,"-")</f>
        <v>0</v>
      </c>
      <c r="G773" s="728">
        <f>IFERROR(E773*'01 Prod Physique Boites'!L767,"-")</f>
        <v>0</v>
      </c>
      <c r="H773" s="381">
        <v>28.88</v>
      </c>
      <c r="I773" s="638">
        <f t="shared" ref="I773:I777" si="432">IFERROR(H773*(F773/E773),"-")</f>
        <v>0</v>
      </c>
      <c r="J773" s="420">
        <f t="shared" si="431"/>
        <v>0</v>
      </c>
    </row>
    <row r="774" spans="1:10" ht="23.4" x14ac:dyDescent="0.3">
      <c r="A774" s="274"/>
      <c r="B774" s="1051"/>
      <c r="C774" s="303" t="s">
        <v>452</v>
      </c>
      <c r="D774" s="299" t="s">
        <v>334</v>
      </c>
      <c r="E774" s="504">
        <v>25.4041</v>
      </c>
      <c r="F774" s="402">
        <f>IFERROR(E774*'01 Prod Physique Boites'!H768,"-")</f>
        <v>0</v>
      </c>
      <c r="G774" s="728">
        <f>IFERROR(E774*'01 Prod Physique Boites'!L768,"-")</f>
        <v>0</v>
      </c>
      <c r="H774" s="381">
        <v>28.21</v>
      </c>
      <c r="I774" s="638">
        <f t="shared" si="432"/>
        <v>0</v>
      </c>
      <c r="J774" s="420">
        <f t="shared" si="431"/>
        <v>0</v>
      </c>
    </row>
    <row r="775" spans="1:10" ht="23.4" x14ac:dyDescent="0.3">
      <c r="A775" s="274" t="s">
        <v>101</v>
      </c>
      <c r="B775" s="1051"/>
      <c r="C775" s="303" t="s">
        <v>501</v>
      </c>
      <c r="D775" s="300" t="s">
        <v>423</v>
      </c>
      <c r="E775" s="505">
        <v>23.697399999999998</v>
      </c>
      <c r="F775" s="724">
        <f>IFERROR(E775*'01 Prod Physique Boites'!H769,"-")</f>
        <v>0</v>
      </c>
      <c r="G775" s="728">
        <f>IFERROR(E775*'01 Prod Physique Boites'!L769,"-")</f>
        <v>177446.13119999997</v>
      </c>
      <c r="H775" s="385">
        <v>28.21</v>
      </c>
      <c r="I775" s="638">
        <f t="shared" si="432"/>
        <v>0</v>
      </c>
      <c r="J775" s="420">
        <f t="shared" si="431"/>
        <v>211236.47999999998</v>
      </c>
    </row>
    <row r="776" spans="1:10" ht="23.4" x14ac:dyDescent="0.3">
      <c r="A776" s="274"/>
      <c r="B776" s="1051"/>
      <c r="C776" s="300" t="s">
        <v>459</v>
      </c>
      <c r="D776" s="300" t="s">
        <v>366</v>
      </c>
      <c r="E776" s="501">
        <v>22.094999999999999</v>
      </c>
      <c r="F776" s="724">
        <f>IFERROR(E776*'01 Prod Physique Boites'!H770,"-")</f>
        <v>0</v>
      </c>
      <c r="G776" s="728">
        <f>IFERROR(E776*'01 Prod Physique Boites'!L770,"-")</f>
        <v>0</v>
      </c>
      <c r="H776" s="745">
        <v>37.11</v>
      </c>
      <c r="I776" s="638">
        <f t="shared" si="432"/>
        <v>0</v>
      </c>
      <c r="J776" s="420">
        <f t="shared" si="431"/>
        <v>0</v>
      </c>
    </row>
    <row r="777" spans="1:10" ht="24" thickBot="1" x14ac:dyDescent="0.35">
      <c r="A777" s="274" t="s">
        <v>101</v>
      </c>
      <c r="B777" s="1051"/>
      <c r="C777" s="300" t="s">
        <v>438</v>
      </c>
      <c r="D777" s="300" t="s">
        <v>423</v>
      </c>
      <c r="E777" s="501">
        <v>23.697399999999998</v>
      </c>
      <c r="F777" s="402">
        <f>IFERROR(E777*'01 Prod Physique Boites'!H771,"-")</f>
        <v>0</v>
      </c>
      <c r="G777" s="403">
        <f>IFERROR(E777*'01 Prod Physique Boites'!L771,"-")</f>
        <v>0</v>
      </c>
      <c r="H777" s="387">
        <v>28.21</v>
      </c>
      <c r="I777" s="638">
        <f t="shared" si="432"/>
        <v>0</v>
      </c>
      <c r="J777" s="420">
        <f t="shared" si="431"/>
        <v>0</v>
      </c>
    </row>
    <row r="778" spans="1:10" ht="24" thickBot="1" x14ac:dyDescent="0.35">
      <c r="A778" s="274" t="s">
        <v>101</v>
      </c>
      <c r="B778" s="1051"/>
      <c r="C778" s="304"/>
      <c r="D778" s="305" t="s">
        <v>51</v>
      </c>
      <c r="E778" s="397"/>
      <c r="F778" s="414">
        <f t="shared" ref="F778:G778" si="433">SUM(F772:F777)</f>
        <v>0</v>
      </c>
      <c r="G778" s="415">
        <f t="shared" si="433"/>
        <v>177446.13119999997</v>
      </c>
      <c r="H778" s="398"/>
      <c r="I778" s="414">
        <f t="shared" ref="I778" si="434">SUM(I772:I777)</f>
        <v>0</v>
      </c>
      <c r="J778" s="430">
        <f>SUM(J772:J777)</f>
        <v>211236.47999999998</v>
      </c>
    </row>
    <row r="779" spans="1:10" ht="24" thickBot="1" x14ac:dyDescent="0.35">
      <c r="A779" s="274" t="s">
        <v>101</v>
      </c>
      <c r="B779" s="1054" t="s">
        <v>163</v>
      </c>
      <c r="C779" s="1055"/>
      <c r="D779" s="1056"/>
      <c r="E779" s="399"/>
      <c r="F779" s="416">
        <f t="shared" ref="F779:G779" si="435">+F771+F778</f>
        <v>0</v>
      </c>
      <c r="G779" s="417">
        <f t="shared" si="435"/>
        <v>177446.13119999997</v>
      </c>
      <c r="H779" s="400"/>
      <c r="I779" s="416">
        <f t="shared" ref="I779:J779" si="436">+I771+I778</f>
        <v>0</v>
      </c>
      <c r="J779" s="431">
        <f t="shared" si="436"/>
        <v>211236.47999999998</v>
      </c>
    </row>
    <row r="780" spans="1:10" ht="24" thickBot="1" x14ac:dyDescent="0.35">
      <c r="A780" s="274" t="s">
        <v>101</v>
      </c>
      <c r="B780" s="599" t="s">
        <v>32</v>
      </c>
      <c r="C780" s="808"/>
      <c r="D780" s="310"/>
      <c r="E780" s="506">
        <v>12.2659</v>
      </c>
      <c r="F780" s="408">
        <f>IFERROR(E780*'01 Prod Physique Boites'!H774,"-")</f>
        <v>0</v>
      </c>
      <c r="G780" s="409">
        <f>IFERROR(E780*'01 Prod Physique Boites'!L774,"-")</f>
        <v>0</v>
      </c>
      <c r="H780" s="392"/>
      <c r="I780" s="426">
        <f>IFERROR(H780*(F780/E780),"-")</f>
        <v>0</v>
      </c>
      <c r="J780" s="427">
        <f>IFERROR(H780*(G780/E780),"-")</f>
        <v>0</v>
      </c>
    </row>
    <row r="781" spans="1:10" ht="24" thickBot="1" x14ac:dyDescent="0.35">
      <c r="A781" s="274" t="s">
        <v>101</v>
      </c>
      <c r="B781" s="1047" t="s">
        <v>21</v>
      </c>
      <c r="C781" s="1048"/>
      <c r="D781" s="1049"/>
      <c r="E781" s="393"/>
      <c r="F781" s="410">
        <f t="shared" ref="F781" si="437">+F767+F779+F780</f>
        <v>1219105.0404000001</v>
      </c>
      <c r="G781" s="411">
        <f>+G767+G779+G780</f>
        <v>14520004.199999999</v>
      </c>
      <c r="H781" s="394"/>
      <c r="I781" s="410">
        <f t="shared" ref="I781:J781" si="438">+I767+I779+I780</f>
        <v>1875627</v>
      </c>
      <c r="J781" s="428">
        <f t="shared" si="438"/>
        <v>20222923.500000004</v>
      </c>
    </row>
    <row r="782" spans="1:10" ht="24" thickBot="1" x14ac:dyDescent="0.35">
      <c r="A782" s="274" t="s">
        <v>101</v>
      </c>
      <c r="B782" s="1019" t="s">
        <v>171</v>
      </c>
      <c r="C782" s="1020"/>
      <c r="D782" s="1021"/>
      <c r="E782" s="395"/>
      <c r="F782" s="412">
        <f t="shared" ref="F782:G782" si="439">+F781</f>
        <v>1219105.0404000001</v>
      </c>
      <c r="G782" s="413">
        <f t="shared" si="439"/>
        <v>14520004.199999999</v>
      </c>
      <c r="H782" s="396"/>
      <c r="I782" s="412">
        <f t="shared" ref="I782:J782" si="440">+I781</f>
        <v>1875627</v>
      </c>
      <c r="J782" s="429">
        <f t="shared" si="440"/>
        <v>20222923.500000004</v>
      </c>
    </row>
    <row r="783" spans="1:10" ht="23.4" x14ac:dyDescent="0.3">
      <c r="A783" s="268" t="s">
        <v>102</v>
      </c>
      <c r="B783" s="1022" t="s">
        <v>401</v>
      </c>
      <c r="C783" s="311" t="s">
        <v>113</v>
      </c>
      <c r="D783" s="311"/>
      <c r="E783" s="709">
        <v>254.89750000000001</v>
      </c>
      <c r="F783" s="402">
        <f>IFERROR(E783*'01 Prod Physique Boites'!H777,"-")</f>
        <v>0</v>
      </c>
      <c r="G783" s="403">
        <f>IFERROR(E783*'01 Prod Physique Boites'!L777,"-")</f>
        <v>0</v>
      </c>
      <c r="H783" s="381">
        <v>445.38</v>
      </c>
      <c r="I783" s="419">
        <f>IFERROR(H783*(F783/E783),"-")</f>
        <v>0</v>
      </c>
      <c r="J783" s="420">
        <f t="shared" ref="J783:J785" si="441">IFERROR(H783*(G783/E783),"-")</f>
        <v>0</v>
      </c>
    </row>
    <row r="784" spans="1:10" ht="23.4" x14ac:dyDescent="0.3">
      <c r="A784" s="274" t="s">
        <v>102</v>
      </c>
      <c r="B784" s="1023"/>
      <c r="C784" s="312" t="s">
        <v>247</v>
      </c>
      <c r="D784" s="312"/>
      <c r="E784" s="503">
        <v>246.51390000000001</v>
      </c>
      <c r="F784" s="402">
        <f>IFERROR(E784*'01 Prod Physique Boites'!H778,"-")</f>
        <v>271165.28999999998</v>
      </c>
      <c r="G784" s="403">
        <f>IFERROR(E784*'01 Prod Physique Boites'!L778,"-")</f>
        <v>2169322.3199999998</v>
      </c>
      <c r="H784" s="385">
        <v>430.02</v>
      </c>
      <c r="I784" s="421">
        <f>IFERROR(H784*(F784/E784),"-")</f>
        <v>473021.99999999988</v>
      </c>
      <c r="J784" s="422">
        <f t="shared" si="441"/>
        <v>3784175.9999999991</v>
      </c>
    </row>
    <row r="785" spans="1:10" ht="24" thickBot="1" x14ac:dyDescent="0.35">
      <c r="A785" s="274" t="s">
        <v>102</v>
      </c>
      <c r="B785" s="1024"/>
      <c r="C785" s="313" t="s">
        <v>33</v>
      </c>
      <c r="D785" s="313"/>
      <c r="E785" s="500">
        <v>225.7713</v>
      </c>
      <c r="F785" s="402">
        <f>IFERROR(E785*'01 Prod Physique Boites'!H779,"-")</f>
        <v>0</v>
      </c>
      <c r="G785" s="403">
        <f>IFERROR(E785*'01 Prod Physique Boites'!L779,"-")</f>
        <v>0</v>
      </c>
      <c r="H785" s="387"/>
      <c r="I785" s="423">
        <f>IFERROR(H785*(F785/E785),"-")</f>
        <v>0</v>
      </c>
      <c r="J785" s="424">
        <f t="shared" si="441"/>
        <v>0</v>
      </c>
    </row>
    <row r="786" spans="1:10" ht="24" thickBot="1" x14ac:dyDescent="0.35">
      <c r="A786" s="274" t="s">
        <v>102</v>
      </c>
      <c r="B786" s="1025" t="s">
        <v>34</v>
      </c>
      <c r="C786" s="1026"/>
      <c r="D786" s="1027"/>
      <c r="E786" s="390"/>
      <c r="F786" s="406">
        <f t="shared" ref="F786:G786" si="442">SUM(F783:F785)</f>
        <v>271165.28999999998</v>
      </c>
      <c r="G786" s="407">
        <f t="shared" si="442"/>
        <v>2169322.3199999998</v>
      </c>
      <c r="H786" s="391"/>
      <c r="I786" s="406">
        <f t="shared" ref="I786:J786" si="443">SUM(I783:I785)</f>
        <v>473021.99999999988</v>
      </c>
      <c r="J786" s="425">
        <f t="shared" si="443"/>
        <v>3784175.9999999991</v>
      </c>
    </row>
    <row r="787" spans="1:10" ht="23.4" x14ac:dyDescent="0.3">
      <c r="A787" s="274" t="s">
        <v>102</v>
      </c>
      <c r="B787" s="1022" t="s">
        <v>35</v>
      </c>
      <c r="C787" s="311" t="s">
        <v>113</v>
      </c>
      <c r="D787" s="311"/>
      <c r="E787" s="502">
        <v>254.89750000000001</v>
      </c>
      <c r="F787" s="402">
        <f>IFERROR(E787*'01 Prod Physique Boites'!H781,"-")</f>
        <v>0</v>
      </c>
      <c r="G787" s="403">
        <f>IFERROR(E787*'01 Prod Physique Boites'!L781,"-")</f>
        <v>0</v>
      </c>
      <c r="H787" s="381">
        <v>445.38</v>
      </c>
      <c r="I787" s="419">
        <f>IFERROR(H787*(F787/E787),"-")</f>
        <v>0</v>
      </c>
      <c r="J787" s="420">
        <f t="shared" ref="J787:J790" si="444">IFERROR(H787*(G787/E787),"-")</f>
        <v>0</v>
      </c>
    </row>
    <row r="788" spans="1:10" ht="23.4" x14ac:dyDescent="0.3">
      <c r="A788" s="274" t="s">
        <v>102</v>
      </c>
      <c r="B788" s="1023"/>
      <c r="C788" s="312" t="s">
        <v>247</v>
      </c>
      <c r="D788" s="312"/>
      <c r="E788" s="503">
        <v>246.51390000000001</v>
      </c>
      <c r="F788" s="402">
        <f>IFERROR(E788*'01 Prod Physique Boites'!H782,"-")</f>
        <v>0</v>
      </c>
      <c r="G788" s="403">
        <f>IFERROR(E788*'01 Prod Physique Boites'!L782,"-")</f>
        <v>0</v>
      </c>
      <c r="H788" s="385">
        <v>430.02</v>
      </c>
      <c r="I788" s="421">
        <f>IFERROR(H788*(F788/E788),"-")</f>
        <v>0</v>
      </c>
      <c r="J788" s="422">
        <f t="shared" si="444"/>
        <v>0</v>
      </c>
    </row>
    <row r="789" spans="1:10" ht="23.4" x14ac:dyDescent="0.3">
      <c r="A789" s="274" t="s">
        <v>102</v>
      </c>
      <c r="B789" s="1023"/>
      <c r="C789" s="312" t="s">
        <v>184</v>
      </c>
      <c r="D789" s="312" t="s">
        <v>183</v>
      </c>
      <c r="E789" s="503">
        <v>254.89750000000001</v>
      </c>
      <c r="F789" s="402">
        <f>IFERROR(E789*'01 Prod Physique Boites'!H783,"-")</f>
        <v>0</v>
      </c>
      <c r="G789" s="403">
        <f>IFERROR(E789*'01 Prod Physique Boites'!L783,"-")</f>
        <v>0</v>
      </c>
      <c r="H789" s="385"/>
      <c r="I789" s="421">
        <f>IFERROR(H789*(F789/E789),"-")</f>
        <v>0</v>
      </c>
      <c r="J789" s="422">
        <f t="shared" si="444"/>
        <v>0</v>
      </c>
    </row>
    <row r="790" spans="1:10" ht="24" thickBot="1" x14ac:dyDescent="0.35">
      <c r="A790" s="274" t="s">
        <v>102</v>
      </c>
      <c r="B790" s="1024"/>
      <c r="C790" s="313" t="s">
        <v>36</v>
      </c>
      <c r="D790" s="313"/>
      <c r="E790" s="500">
        <v>229.99359999999999</v>
      </c>
      <c r="F790" s="402">
        <f>IFERROR(E790*'01 Prod Physique Boites'!H784,"-")</f>
        <v>0</v>
      </c>
      <c r="G790" s="403">
        <f>IFERROR(E790*'01 Prod Physique Boites'!L784,"-")</f>
        <v>0</v>
      </c>
      <c r="H790" s="387"/>
      <c r="I790" s="423">
        <f>IFERROR(H790*(F790/E790),"-")</f>
        <v>0</v>
      </c>
      <c r="J790" s="424">
        <f t="shared" si="444"/>
        <v>0</v>
      </c>
    </row>
    <row r="791" spans="1:10" ht="24" thickBot="1" x14ac:dyDescent="0.35">
      <c r="A791" s="274" t="s">
        <v>102</v>
      </c>
      <c r="B791" s="1025" t="s">
        <v>37</v>
      </c>
      <c r="C791" s="1026"/>
      <c r="D791" s="1027"/>
      <c r="E791" s="390"/>
      <c r="F791" s="406">
        <f t="shared" ref="F791:G791" si="445">SUM(F787:F790)</f>
        <v>0</v>
      </c>
      <c r="G791" s="407">
        <f t="shared" si="445"/>
        <v>0</v>
      </c>
      <c r="H791" s="391"/>
      <c r="I791" s="406">
        <f>SUM(I787:I790)</f>
        <v>0</v>
      </c>
      <c r="J791" s="425">
        <f>SUM(J787:J790)</f>
        <v>0</v>
      </c>
    </row>
    <row r="792" spans="1:10" ht="23.4" x14ac:dyDescent="0.3">
      <c r="A792" s="274" t="s">
        <v>102</v>
      </c>
      <c r="B792" s="1022" t="s">
        <v>402</v>
      </c>
      <c r="C792" s="314" t="s">
        <v>116</v>
      </c>
      <c r="D792" s="314"/>
      <c r="E792" s="502">
        <v>195.2808</v>
      </c>
      <c r="F792" s="402">
        <f>IFERROR(E792*'01 Prod Physique Boites'!H786,"-")</f>
        <v>0</v>
      </c>
      <c r="G792" s="403">
        <f>IFERROR(E792*'01 Prod Physique Boites'!L786,"-")</f>
        <v>0</v>
      </c>
      <c r="H792" s="681">
        <v>256.7</v>
      </c>
      <c r="I792" s="419">
        <f>IFERROR(H792*(F792/E792),"-")</f>
        <v>0</v>
      </c>
      <c r="J792" s="420">
        <f t="shared" ref="J792:J793" si="446">IFERROR(H792*(G792/E792),"-")</f>
        <v>0</v>
      </c>
    </row>
    <row r="793" spans="1:10" ht="24" thickBot="1" x14ac:dyDescent="0.35">
      <c r="A793" s="274" t="s">
        <v>102</v>
      </c>
      <c r="B793" s="1024"/>
      <c r="C793" s="286" t="s">
        <v>132</v>
      </c>
      <c r="D793" s="286"/>
      <c r="E793" s="500">
        <v>189.91890000000001</v>
      </c>
      <c r="F793" s="402">
        <f>IFERROR(E793*'01 Prod Physique Boites'!H787,"-")</f>
        <v>607740.48</v>
      </c>
      <c r="G793" s="403">
        <f>IFERROR(E793*'01 Prod Physique Boites'!L787,"-")</f>
        <v>2220151.9410000001</v>
      </c>
      <c r="H793" s="387">
        <v>320.35000000000002</v>
      </c>
      <c r="I793" s="423">
        <f>IFERROR(H793*(F793/E793),"-")</f>
        <v>1025119.9999999999</v>
      </c>
      <c r="J793" s="424">
        <f t="shared" si="446"/>
        <v>3744891.5000000005</v>
      </c>
    </row>
    <row r="794" spans="1:10" ht="24" thickBot="1" x14ac:dyDescent="0.35">
      <c r="A794" s="812" t="s">
        <v>102</v>
      </c>
      <c r="B794" s="1025" t="s">
        <v>38</v>
      </c>
      <c r="C794" s="1026"/>
      <c r="D794" s="1027"/>
      <c r="E794" s="390"/>
      <c r="F794" s="406">
        <f>SUM(F792:F793)</f>
        <v>607740.48</v>
      </c>
      <c r="G794" s="407">
        <f t="shared" ref="G794" si="447">SUM(G792:G793)</f>
        <v>2220151.9410000001</v>
      </c>
      <c r="H794" s="391"/>
      <c r="I794" s="406">
        <f t="shared" ref="I794:J794" si="448">SUM(I792:I793)</f>
        <v>1025119.9999999999</v>
      </c>
      <c r="J794" s="425">
        <f t="shared" si="448"/>
        <v>3744891.5000000005</v>
      </c>
    </row>
    <row r="795" spans="1:10" ht="23.4" x14ac:dyDescent="0.3">
      <c r="A795" s="274" t="s">
        <v>102</v>
      </c>
      <c r="B795" s="1022" t="s">
        <v>403</v>
      </c>
      <c r="C795" s="269" t="s">
        <v>306</v>
      </c>
      <c r="D795" s="269" t="s">
        <v>238</v>
      </c>
      <c r="E795" s="504">
        <v>37.248699999999999</v>
      </c>
      <c r="F795" s="402">
        <f>IFERROR(E795*'01 Prod Physique Boites'!H789,"-")</f>
        <v>1038791.7456</v>
      </c>
      <c r="G795" s="403">
        <f>IFERROR(E795*'01 Prod Physique Boites'!L789,"-")</f>
        <v>4763512.7507999996</v>
      </c>
      <c r="H795" s="381">
        <v>71.44</v>
      </c>
      <c r="I795" s="419">
        <f>IFERROR(H795*(F795/E795),"-")</f>
        <v>1992318.72</v>
      </c>
      <c r="J795" s="420">
        <f>IFERROR(H795*(G795/E795),"-")</f>
        <v>9136032.959999999</v>
      </c>
    </row>
    <row r="796" spans="1:10" ht="23.4" x14ac:dyDescent="0.3">
      <c r="A796" s="274" t="s">
        <v>102</v>
      </c>
      <c r="B796" s="1023"/>
      <c r="C796" s="269" t="s">
        <v>156</v>
      </c>
      <c r="D796" s="275"/>
      <c r="E796" s="504">
        <v>37.248699999999999</v>
      </c>
      <c r="F796" s="402">
        <f>IFERROR(E796*'01 Prod Physique Boites'!H790,"-")</f>
        <v>0</v>
      </c>
      <c r="G796" s="403">
        <f>IFERROR(E796*'01 Prod Physique Boites'!L790,"-")</f>
        <v>0</v>
      </c>
      <c r="H796" s="385"/>
      <c r="I796" s="421">
        <f>IFERROR(H796*(F796/E796),"-")</f>
        <v>0</v>
      </c>
      <c r="J796" s="422">
        <f t="shared" ref="J796:J798" si="449">IFERROR(H796*(G796/E796),"-")</f>
        <v>0</v>
      </c>
    </row>
    <row r="797" spans="1:10" ht="23.4" x14ac:dyDescent="0.3">
      <c r="A797" s="274" t="s">
        <v>102</v>
      </c>
      <c r="B797" s="1023"/>
      <c r="C797" s="275" t="s">
        <v>345</v>
      </c>
      <c r="D797" s="269" t="s">
        <v>238</v>
      </c>
      <c r="E797" s="504">
        <v>37.248699999999999</v>
      </c>
      <c r="F797" s="402">
        <f>IFERROR(E797*'01 Prod Physique Boites'!H791,"-")</f>
        <v>375466.89600000001</v>
      </c>
      <c r="G797" s="403">
        <f>IFERROR(E797*'01 Prod Physique Boites'!L791,"-")</f>
        <v>1584559.6980000001</v>
      </c>
      <c r="H797" s="385">
        <v>71.44</v>
      </c>
      <c r="I797" s="421">
        <f>IFERROR(H797*(F797/E797),"-")</f>
        <v>720115.19999999995</v>
      </c>
      <c r="J797" s="422">
        <f t="shared" si="449"/>
        <v>3039057.6</v>
      </c>
    </row>
    <row r="798" spans="1:10" ht="24" thickBot="1" x14ac:dyDescent="0.35">
      <c r="A798" s="274" t="s">
        <v>102</v>
      </c>
      <c r="B798" s="1023"/>
      <c r="C798" s="275" t="s">
        <v>157</v>
      </c>
      <c r="D798" s="275"/>
      <c r="E798" s="505">
        <v>38.466099999999997</v>
      </c>
      <c r="F798" s="402">
        <f>IFERROR(E798*'01 Prod Physique Boites'!H792,"-")</f>
        <v>0</v>
      </c>
      <c r="G798" s="403">
        <f>IFERROR(E798*'01 Prod Physique Boites'!L792,"-")</f>
        <v>0</v>
      </c>
      <c r="H798" s="385"/>
      <c r="I798" s="421">
        <f>IFERROR(H798*(F798/E798),"-")</f>
        <v>0</v>
      </c>
      <c r="J798" s="422">
        <f t="shared" si="449"/>
        <v>0</v>
      </c>
    </row>
    <row r="799" spans="1:10" ht="24" thickBot="1" x14ac:dyDescent="0.35">
      <c r="A799" s="274" t="s">
        <v>102</v>
      </c>
      <c r="B799" s="1025" t="s">
        <v>39</v>
      </c>
      <c r="C799" s="1026"/>
      <c r="D799" s="1027"/>
      <c r="E799" s="390"/>
      <c r="F799" s="406">
        <f>SUM(F795:F798)</f>
        <v>1414258.6416</v>
      </c>
      <c r="G799" s="407">
        <f>SUM(G795:G798)</f>
        <v>6348072.4487999994</v>
      </c>
      <c r="H799" s="391"/>
      <c r="I799" s="406">
        <f>SUM(I795:I798)</f>
        <v>2712433.92</v>
      </c>
      <c r="J799" s="406">
        <f>SUM(J795:J798)</f>
        <v>12175090.559999999</v>
      </c>
    </row>
    <row r="800" spans="1:10" ht="23.4" x14ac:dyDescent="0.3">
      <c r="A800" s="274" t="s">
        <v>102</v>
      </c>
      <c r="B800" s="1022" t="s">
        <v>40</v>
      </c>
      <c r="C800" s="269" t="s">
        <v>186</v>
      </c>
      <c r="D800" s="269" t="s">
        <v>183</v>
      </c>
      <c r="E800" s="504">
        <v>30.7499</v>
      </c>
      <c r="F800" s="402">
        <f>IFERROR(E800*'01 Prod Physique Boites'!H795,"-")</f>
        <v>0</v>
      </c>
      <c r="G800" s="402">
        <f>IFERROR(E800*'01 Prod Physique Boites'!L795,"-")</f>
        <v>0</v>
      </c>
      <c r="H800" s="381"/>
      <c r="I800" s="419">
        <f>IFERROR(H800*(F800/E800),"-")</f>
        <v>0</v>
      </c>
      <c r="J800" s="420">
        <f>IFERROR(H800*(G800/E800),"-")</f>
        <v>0</v>
      </c>
    </row>
    <row r="801" spans="1:10" ht="23.4" x14ac:dyDescent="0.3">
      <c r="A801" s="274" t="s">
        <v>102</v>
      </c>
      <c r="B801" s="1023"/>
      <c r="C801" s="275" t="s">
        <v>159</v>
      </c>
      <c r="D801" s="275"/>
      <c r="E801" s="684">
        <v>30.073599999999999</v>
      </c>
      <c r="F801" s="402">
        <f>IFERROR(E801*'01 Prod Physique Boites'!H796,"-")</f>
        <v>0</v>
      </c>
      <c r="G801" s="403">
        <f>IFERROR(E801*'01 Prod Physique Boites'!L796,"-")</f>
        <v>342839.03999999998</v>
      </c>
      <c r="H801" s="385">
        <v>59.96</v>
      </c>
      <c r="I801" s="421">
        <f>IFERROR(H801*(F801/E801),"-")</f>
        <v>0</v>
      </c>
      <c r="J801" s="422">
        <f t="shared" ref="J801:J802" si="450">IFERROR(H801*(G801/E801),"-")</f>
        <v>683544</v>
      </c>
    </row>
    <row r="802" spans="1:10" ht="24" thickBot="1" x14ac:dyDescent="0.35">
      <c r="A802" s="274" t="s">
        <v>102</v>
      </c>
      <c r="B802" s="1024"/>
      <c r="C802" s="279" t="s">
        <v>186</v>
      </c>
      <c r="D802" s="279" t="s">
        <v>185</v>
      </c>
      <c r="E802" s="501">
        <v>30.073599999999999</v>
      </c>
      <c r="F802" s="402">
        <f>IFERROR(E802*'01 Prod Physique Boites'!H797,"-")</f>
        <v>0</v>
      </c>
      <c r="G802" s="403">
        <f>IFERROR(E802*'01 Prod Physique Boites'!L797,"-")</f>
        <v>0</v>
      </c>
      <c r="H802" s="387"/>
      <c r="I802" s="423">
        <f>IFERROR(H802*(F802/E802),"-")</f>
        <v>0</v>
      </c>
      <c r="J802" s="424">
        <f t="shared" si="450"/>
        <v>0</v>
      </c>
    </row>
    <row r="803" spans="1:10" ht="24" thickBot="1" x14ac:dyDescent="0.35">
      <c r="A803" s="274" t="s">
        <v>102</v>
      </c>
      <c r="B803" s="1034" t="s">
        <v>41</v>
      </c>
      <c r="C803" s="1035"/>
      <c r="D803" s="1036"/>
      <c r="E803" s="390"/>
      <c r="F803" s="406">
        <f t="shared" ref="F803:G803" si="451">SUM(F800:F802)</f>
        <v>0</v>
      </c>
      <c r="G803" s="407">
        <f t="shared" si="451"/>
        <v>342839.03999999998</v>
      </c>
      <c r="H803" s="391"/>
      <c r="I803" s="406">
        <f t="shared" ref="I803:J803" si="452">SUM(I800:I802)</f>
        <v>0</v>
      </c>
      <c r="J803" s="425">
        <f t="shared" si="452"/>
        <v>683544</v>
      </c>
    </row>
    <row r="804" spans="1:10" ht="23.4" x14ac:dyDescent="0.3">
      <c r="A804" s="274" t="s">
        <v>102</v>
      </c>
      <c r="B804" s="1022" t="s">
        <v>42</v>
      </c>
      <c r="C804" s="269" t="s">
        <v>160</v>
      </c>
      <c r="D804" s="269"/>
      <c r="E804" s="504">
        <v>36.684899999999999</v>
      </c>
      <c r="F804" s="402">
        <f>IFERROR(E804*'01 Prod Physique Boites'!H799,"-")</f>
        <v>0</v>
      </c>
      <c r="G804" s="402">
        <f>IFERROR(E804*'01 Prod Physique Boites'!L799,"-")</f>
        <v>0</v>
      </c>
      <c r="H804" s="381"/>
      <c r="I804" s="382" t="s">
        <v>190</v>
      </c>
      <c r="J804" s="383" t="s">
        <v>190</v>
      </c>
    </row>
    <row r="805" spans="1:10" ht="24" thickBot="1" x14ac:dyDescent="0.35">
      <c r="A805" s="274" t="s">
        <v>102</v>
      </c>
      <c r="B805" s="1024"/>
      <c r="C805" s="279" t="s">
        <v>161</v>
      </c>
      <c r="D805" s="279"/>
      <c r="E805" s="501">
        <v>37.002800000000001</v>
      </c>
      <c r="F805" s="402">
        <f>IFERROR(E805*'01 Prod Physique Boites'!H800,"-")</f>
        <v>0</v>
      </c>
      <c r="G805" s="402">
        <f>IFERROR(E805*'01 Prod Physique Boites'!L800,"-")</f>
        <v>0</v>
      </c>
      <c r="H805" s="387"/>
      <c r="I805" s="388" t="s">
        <v>190</v>
      </c>
      <c r="J805" s="389" t="s">
        <v>190</v>
      </c>
    </row>
    <row r="806" spans="1:10" ht="24" thickBot="1" x14ac:dyDescent="0.35">
      <c r="A806" s="274" t="s">
        <v>102</v>
      </c>
      <c r="B806" s="1034" t="s">
        <v>43</v>
      </c>
      <c r="C806" s="1035"/>
      <c r="D806" s="1036"/>
      <c r="E806" s="390"/>
      <c r="F806" s="402">
        <f>IFERROR(E806*'01 Prod Physique Boites'!H800,"-")</f>
        <v>0</v>
      </c>
      <c r="G806" s="407">
        <f>IFERROR(E806*'01 Prod Physique Boites'!L800,"-")</f>
        <v>0</v>
      </c>
      <c r="H806" s="391"/>
      <c r="I806" s="406">
        <f t="shared" ref="I806:J806" si="453">SUM(I804:I805)</f>
        <v>0</v>
      </c>
      <c r="J806" s="425">
        <f t="shared" si="453"/>
        <v>0</v>
      </c>
    </row>
    <row r="807" spans="1:10" ht="24" thickBot="1" x14ac:dyDescent="0.35">
      <c r="A807" s="274" t="s">
        <v>102</v>
      </c>
      <c r="B807" s="1028" t="s">
        <v>25</v>
      </c>
      <c r="C807" s="1029"/>
      <c r="D807" s="1030"/>
      <c r="E807" s="393"/>
      <c r="F807" s="410">
        <f>+F786+F791+F794+F799+F803+F806</f>
        <v>2293164.4116000002</v>
      </c>
      <c r="G807" s="411">
        <f>+G786+G791+G794+G799+G803+G806</f>
        <v>11080385.749799998</v>
      </c>
      <c r="H807" s="394"/>
      <c r="I807" s="410">
        <f>+I786+I791+I794+I799+I803+I806</f>
        <v>4210575.92</v>
      </c>
      <c r="J807" s="428">
        <f>+J786+J791+J794+J799+J803+J806</f>
        <v>20387702.059999999</v>
      </c>
    </row>
    <row r="808" spans="1:10" ht="24" thickBot="1" x14ac:dyDescent="0.35">
      <c r="A808" s="318" t="s">
        <v>102</v>
      </c>
      <c r="B808" s="1020" t="s">
        <v>173</v>
      </c>
      <c r="C808" s="1020"/>
      <c r="D808" s="1021"/>
      <c r="E808" s="395"/>
      <c r="F808" s="412">
        <f t="shared" ref="F808:G808" si="454">+F807</f>
        <v>2293164.4116000002</v>
      </c>
      <c r="G808" s="413">
        <f t="shared" si="454"/>
        <v>11080385.749799998</v>
      </c>
      <c r="H808" s="396"/>
      <c r="I808" s="412">
        <f t="shared" ref="I808" si="455">+I807</f>
        <v>4210575.92</v>
      </c>
      <c r="J808" s="429">
        <f>+J807</f>
        <v>20387702.059999999</v>
      </c>
    </row>
    <row r="809" spans="1:10" ht="24.6" thickBot="1" x14ac:dyDescent="0.35">
      <c r="A809" s="319"/>
      <c r="B809" s="1031" t="s">
        <v>174</v>
      </c>
      <c r="C809" s="1032"/>
      <c r="D809" s="1033"/>
      <c r="E809" s="401"/>
      <c r="F809" s="418">
        <f>+F747+F782+F808</f>
        <v>5802401.8768000007</v>
      </c>
      <c r="G809" s="418">
        <f>+G747+G782+G808</f>
        <v>43679044.906999998</v>
      </c>
      <c r="H809" s="401"/>
      <c r="I809" s="418">
        <f>+I747+I782+I808</f>
        <v>7968102.9199999999</v>
      </c>
      <c r="J809" s="432">
        <f>+J747+J782+J808</f>
        <v>60136213.160000011</v>
      </c>
    </row>
    <row r="810" spans="1:10" ht="23.4" x14ac:dyDescent="0.3">
      <c r="A810" s="1057" t="s">
        <v>1</v>
      </c>
      <c r="B810" s="1060" t="s">
        <v>2</v>
      </c>
      <c r="C810" s="1063" t="s">
        <v>396</v>
      </c>
      <c r="D810" s="1063" t="s">
        <v>397</v>
      </c>
      <c r="E810" s="1092" t="s">
        <v>405</v>
      </c>
      <c r="F810" s="1093"/>
      <c r="G810" s="1093"/>
      <c r="H810" s="442"/>
      <c r="I810" s="442"/>
      <c r="J810" s="443"/>
    </row>
    <row r="811" spans="1:10" ht="23.4" x14ac:dyDescent="0.3">
      <c r="A811" s="1058"/>
      <c r="B811" s="1061"/>
      <c r="C811" s="1064"/>
      <c r="D811" s="1064"/>
      <c r="E811" s="1094" t="s">
        <v>408</v>
      </c>
      <c r="F811" s="1095"/>
      <c r="G811" s="1096"/>
      <c r="H811" s="1094" t="s">
        <v>168</v>
      </c>
      <c r="I811" s="1095"/>
      <c r="J811" s="1096"/>
    </row>
    <row r="812" spans="1:10" ht="46.8" x14ac:dyDescent="0.3">
      <c r="A812" s="1059"/>
      <c r="B812" s="1090"/>
      <c r="C812" s="1091"/>
      <c r="D812" s="1091"/>
      <c r="E812" s="379" t="s">
        <v>170</v>
      </c>
      <c r="F812" s="821" t="s">
        <v>407</v>
      </c>
      <c r="G812" s="822" t="s">
        <v>406</v>
      </c>
      <c r="H812" s="1097" t="s">
        <v>170</v>
      </c>
      <c r="I812" s="1099" t="s">
        <v>137</v>
      </c>
      <c r="J812" s="1101" t="s">
        <v>406</v>
      </c>
    </row>
    <row r="813" spans="1:10" ht="24" thickBot="1" x14ac:dyDescent="0.35">
      <c r="A813" s="1059"/>
      <c r="B813" s="1062"/>
      <c r="C813" s="1065"/>
      <c r="D813" s="1065"/>
      <c r="E813" s="1103" t="s">
        <v>525</v>
      </c>
      <c r="F813" s="1104"/>
      <c r="G813" s="1105"/>
      <c r="H813" s="1098"/>
      <c r="I813" s="1100"/>
      <c r="J813" s="1102"/>
    </row>
    <row r="814" spans="1:10" ht="23.4" x14ac:dyDescent="0.3">
      <c r="A814" s="268" t="s">
        <v>103</v>
      </c>
      <c r="B814" s="1043" t="s">
        <v>16</v>
      </c>
      <c r="C814" s="269" t="s">
        <v>368</v>
      </c>
      <c r="D814" s="269" t="s">
        <v>369</v>
      </c>
      <c r="E814" s="705">
        <v>81.360699999999994</v>
      </c>
      <c r="F814" s="402">
        <f>IFERROR(E814*'01 Prod Physique Boites'!H808,"-")</f>
        <v>0</v>
      </c>
      <c r="G814" s="402">
        <f>IFERROR(E814*'01 Prod Physique Boites'!L808,"-")</f>
        <v>0</v>
      </c>
      <c r="H814" s="706">
        <v>143.28</v>
      </c>
      <c r="I814" s="419">
        <f>IFERROR(H814*(F814/E814),"-")</f>
        <v>0</v>
      </c>
      <c r="J814" s="420">
        <f t="shared" ref="J814:J816" si="456">IFERROR(H814*(G814/E814),"-")</f>
        <v>0</v>
      </c>
    </row>
    <row r="815" spans="1:10" ht="23.4" x14ac:dyDescent="0.3">
      <c r="A815" s="713"/>
      <c r="B815" s="1044"/>
      <c r="C815" s="275" t="s">
        <v>470</v>
      </c>
      <c r="D815" s="275" t="s">
        <v>375</v>
      </c>
      <c r="E815" s="505">
        <v>81.360699999999994</v>
      </c>
      <c r="F815" s="402">
        <f>IFERROR(E815*'01 Prod Physique Boites'!H809,"-")</f>
        <v>0</v>
      </c>
      <c r="G815" s="402">
        <f>IFERROR(E815*'01 Prod Physique Boites'!L809,"-")</f>
        <v>0</v>
      </c>
      <c r="H815" s="708">
        <v>143.28</v>
      </c>
      <c r="I815" s="419">
        <f>IFERROR(H815*(F815/E815),"-")</f>
        <v>0</v>
      </c>
      <c r="J815" s="420">
        <f t="shared" si="456"/>
        <v>0</v>
      </c>
    </row>
    <row r="816" spans="1:10" ht="23.4" x14ac:dyDescent="0.3">
      <c r="A816" s="274" t="s">
        <v>103</v>
      </c>
      <c r="B816" s="1044"/>
      <c r="C816" s="275" t="s">
        <v>430</v>
      </c>
      <c r="D816" s="275" t="s">
        <v>384</v>
      </c>
      <c r="E816" s="684">
        <v>77.170400000000001</v>
      </c>
      <c r="F816" s="402">
        <f>IFERROR(E816*'01 Prod Physique Boites'!H810,"-")</f>
        <v>0</v>
      </c>
      <c r="G816" s="402">
        <f>IFERROR(E816*'01 Prod Physique Boites'!L810,"-")</f>
        <v>617363.19999999995</v>
      </c>
      <c r="H816" s="385">
        <v>0</v>
      </c>
      <c r="I816" s="419">
        <f>IFERROR(H816*(F816/E816),"-")</f>
        <v>0</v>
      </c>
      <c r="J816" s="420">
        <f t="shared" si="456"/>
        <v>0</v>
      </c>
    </row>
    <row r="817" spans="1:15" ht="24" thickBot="1" x14ac:dyDescent="0.35">
      <c r="A817" s="274" t="s">
        <v>103</v>
      </c>
      <c r="B817" s="1045"/>
      <c r="C817" s="279" t="s">
        <v>262</v>
      </c>
      <c r="D817" s="279" t="s">
        <v>231</v>
      </c>
      <c r="E817" s="501">
        <v>60.703499999999998</v>
      </c>
      <c r="F817" s="402">
        <f>IFERROR(E817*'01 Prod Physique Boites'!H811,"-")</f>
        <v>0</v>
      </c>
      <c r="G817" s="402">
        <f>IFERROR(E817*'01 Prod Physique Boites'!L811,"-")</f>
        <v>0</v>
      </c>
      <c r="H817" s="387">
        <v>111.09</v>
      </c>
      <c r="I817" s="419">
        <f>IFERROR(H817*(F817/E817),"-")</f>
        <v>0</v>
      </c>
      <c r="J817" s="420">
        <f>IFERROR(H817*(G817/E817),"-")</f>
        <v>0</v>
      </c>
    </row>
    <row r="818" spans="1:15" ht="24" thickBot="1" x14ac:dyDescent="0.35">
      <c r="A818" s="274" t="s">
        <v>103</v>
      </c>
      <c r="B818" s="1025" t="s">
        <v>44</v>
      </c>
      <c r="C818" s="1026"/>
      <c r="D818" s="1027"/>
      <c r="E818" s="390"/>
      <c r="F818" s="406">
        <f t="shared" ref="F818" si="457">SUM(F814:F817)</f>
        <v>0</v>
      </c>
      <c r="G818" s="407">
        <f>SUM(G814:G817)</f>
        <v>617363.19999999995</v>
      </c>
      <c r="H818" s="391"/>
      <c r="I818" s="406">
        <f t="shared" ref="I818:J818" si="458">SUM(I814:I817)</f>
        <v>0</v>
      </c>
      <c r="J818" s="425">
        <f t="shared" si="458"/>
        <v>0</v>
      </c>
      <c r="K818" s="704"/>
      <c r="L818" s="704"/>
      <c r="M818" s="704"/>
      <c r="N818" s="704"/>
      <c r="O818" s="704"/>
    </row>
    <row r="819" spans="1:15" ht="23.4" x14ac:dyDescent="0.3">
      <c r="A819" s="274" t="s">
        <v>103</v>
      </c>
      <c r="B819" s="1043" t="s">
        <v>17</v>
      </c>
      <c r="C819" s="269" t="s">
        <v>294</v>
      </c>
      <c r="D819" s="269"/>
      <c r="E819" s="504">
        <v>12.5275</v>
      </c>
      <c r="F819" s="402">
        <f>IFERROR(E819*'01 Prod Physique Boites'!H813,"-")</f>
        <v>0</v>
      </c>
      <c r="G819" s="402">
        <f>IFERROR(E819*'01 Prod Physique Boites'!L813,"-")</f>
        <v>0</v>
      </c>
      <c r="H819" s="681">
        <v>18.836400000000001</v>
      </c>
      <c r="I819" s="419">
        <f t="shared" ref="I819:I825" si="459">IFERROR(H819*(F819/E819),"-")</f>
        <v>0</v>
      </c>
      <c r="J819" s="420">
        <f t="shared" ref="J819:J824" si="460">IFERROR(H819*(G819/E819),"-")</f>
        <v>0</v>
      </c>
    </row>
    <row r="820" spans="1:15" ht="23.4" x14ac:dyDescent="0.3">
      <c r="A820" s="274" t="s">
        <v>103</v>
      </c>
      <c r="B820" s="1044"/>
      <c r="C820" s="275" t="s">
        <v>344</v>
      </c>
      <c r="D820" s="275" t="s">
        <v>232</v>
      </c>
      <c r="E820" s="677">
        <v>13.002700000000001</v>
      </c>
      <c r="F820" s="402">
        <f>IFERROR(E820*'01 Prod Physique Boites'!H814,"-")</f>
        <v>0</v>
      </c>
      <c r="G820" s="402">
        <f>IFERROR(E820*'01 Prod Physique Boites'!L814,"-")</f>
        <v>77756.146000000008</v>
      </c>
      <c r="H820" s="385">
        <v>21.18</v>
      </c>
      <c r="I820" s="421">
        <f t="shared" si="459"/>
        <v>0</v>
      </c>
      <c r="J820" s="422">
        <f t="shared" si="460"/>
        <v>126656.4</v>
      </c>
    </row>
    <row r="821" spans="1:15" ht="23.4" x14ac:dyDescent="0.3">
      <c r="A821" s="274" t="s">
        <v>103</v>
      </c>
      <c r="B821" s="1044"/>
      <c r="C821" s="275" t="s">
        <v>351</v>
      </c>
      <c r="D821" s="275" t="s">
        <v>187</v>
      </c>
      <c r="E821" s="677">
        <v>12.9049</v>
      </c>
      <c r="F821" s="402">
        <f>IFERROR(E821*'01 Prod Physique Boites'!H815,"-")</f>
        <v>157955.976</v>
      </c>
      <c r="G821" s="402">
        <f>IFERROR(E821*'01 Prod Physique Boites'!L815,"-")</f>
        <v>7108018.9199999999</v>
      </c>
      <c r="H821" s="385">
        <v>20.5</v>
      </c>
      <c r="I821" s="421">
        <f t="shared" si="459"/>
        <v>250920</v>
      </c>
      <c r="J821" s="422">
        <f t="shared" si="460"/>
        <v>11291400</v>
      </c>
    </row>
    <row r="822" spans="1:15" ht="23.4" x14ac:dyDescent="0.3">
      <c r="A822" s="274" t="s">
        <v>103</v>
      </c>
      <c r="B822" s="1044"/>
      <c r="C822" s="275" t="s">
        <v>530</v>
      </c>
      <c r="D822" s="275" t="s">
        <v>529</v>
      </c>
      <c r="E822" s="505">
        <v>13.1958</v>
      </c>
      <c r="F822" s="402">
        <f>IFERROR(E822*'01 Prod Physique Boites'!H816,"-")</f>
        <v>545646.32999999996</v>
      </c>
      <c r="G822" s="402">
        <f>IFERROR(E822*'01 Prod Physique Boites'!L816,"-")</f>
        <v>545646.32999999996</v>
      </c>
      <c r="H822" s="708">
        <v>20.66</v>
      </c>
      <c r="I822" s="421">
        <f t="shared" si="459"/>
        <v>854290.99999999988</v>
      </c>
      <c r="J822" s="422">
        <f t="shared" si="460"/>
        <v>854290.99999999988</v>
      </c>
    </row>
    <row r="823" spans="1:15" ht="23.4" x14ac:dyDescent="0.3">
      <c r="A823" s="274" t="s">
        <v>103</v>
      </c>
      <c r="B823" s="1044"/>
      <c r="C823" s="275" t="s">
        <v>323</v>
      </c>
      <c r="D823" s="275" t="s">
        <v>318</v>
      </c>
      <c r="E823" s="505">
        <v>13.1958</v>
      </c>
      <c r="F823" s="402">
        <f>IFERROR(E823*'01 Prod Physique Boites'!H817,"-")</f>
        <v>0</v>
      </c>
      <c r="G823" s="402">
        <f>IFERROR(E823*'01 Prod Physique Boites'!L817,"-")</f>
        <v>0</v>
      </c>
      <c r="H823" s="385">
        <v>21.28</v>
      </c>
      <c r="I823" s="421">
        <f t="shared" si="459"/>
        <v>0</v>
      </c>
      <c r="J823" s="422">
        <f t="shared" si="460"/>
        <v>0</v>
      </c>
    </row>
    <row r="824" spans="1:15" ht="23.4" x14ac:dyDescent="0.3">
      <c r="A824" s="274">
        <v>1</v>
      </c>
      <c r="B824" s="1044"/>
      <c r="C824" s="275" t="s">
        <v>528</v>
      </c>
      <c r="D824" s="275" t="s">
        <v>189</v>
      </c>
      <c r="E824" s="677">
        <v>13.1958</v>
      </c>
      <c r="F824" s="402">
        <f>IFERROR(E824*'01 Prod Physique Boites'!H818,"-")</f>
        <v>375526.07640000002</v>
      </c>
      <c r="G824" s="402">
        <f>IFERROR(E824*'01 Prod Physique Boites'!L818,"-")</f>
        <v>375526.07640000002</v>
      </c>
      <c r="H824" s="664">
        <v>20.66</v>
      </c>
      <c r="I824" s="421">
        <f t="shared" si="459"/>
        <v>587942.28</v>
      </c>
      <c r="J824" s="422">
        <f t="shared" si="460"/>
        <v>587942.28</v>
      </c>
    </row>
    <row r="825" spans="1:15" ht="24" thickBot="1" x14ac:dyDescent="0.35">
      <c r="A825" s="274" t="s">
        <v>103</v>
      </c>
      <c r="B825" s="1045"/>
      <c r="C825" s="279" t="s">
        <v>341</v>
      </c>
      <c r="D825" s="279" t="s">
        <v>175</v>
      </c>
      <c r="E825" s="501">
        <v>13.6509</v>
      </c>
      <c r="F825" s="402">
        <f>IFERROR(E825*'01 Prod Physique Boites'!H819,"-")</f>
        <v>0</v>
      </c>
      <c r="G825" s="402">
        <f>IFERROR(E825*'01 Prod Physique Boites'!L819,"-")</f>
        <v>0</v>
      </c>
      <c r="H825" s="387">
        <v>21.18</v>
      </c>
      <c r="I825" s="423">
        <f t="shared" si="459"/>
        <v>0</v>
      </c>
      <c r="J825" s="424">
        <f>IFERROR(H825*(G825/E825),"-")</f>
        <v>0</v>
      </c>
    </row>
    <row r="826" spans="1:15" ht="24" thickBot="1" x14ac:dyDescent="0.35">
      <c r="A826" s="274" t="s">
        <v>103</v>
      </c>
      <c r="B826" s="1025" t="s">
        <v>45</v>
      </c>
      <c r="C826" s="1026"/>
      <c r="D826" s="1027"/>
      <c r="E826" s="390"/>
      <c r="F826" s="406">
        <f t="shared" ref="F826" si="461">SUM(F819:F825)</f>
        <v>1079128.3824</v>
      </c>
      <c r="G826" s="407">
        <f>SUM(G819:G825)</f>
        <v>8106947.4723999994</v>
      </c>
      <c r="H826" s="391"/>
      <c r="I826" s="406">
        <f t="shared" ref="I826" si="462">SUM(I819:I825)</f>
        <v>1693153.28</v>
      </c>
      <c r="J826" s="425">
        <f>SUM(J819:J825)</f>
        <v>12860289.68</v>
      </c>
      <c r="K826" s="704"/>
      <c r="L826" s="704"/>
      <c r="M826" s="704"/>
      <c r="N826" s="704"/>
      <c r="O826" s="704"/>
    </row>
    <row r="827" spans="1:15" ht="23.4" x14ac:dyDescent="0.3">
      <c r="A827" s="274" t="s">
        <v>103</v>
      </c>
      <c r="B827" s="1043" t="s">
        <v>18</v>
      </c>
      <c r="C827" s="269" t="s">
        <v>312</v>
      </c>
      <c r="D827" s="269" t="s">
        <v>92</v>
      </c>
      <c r="E827" s="504">
        <v>17.8202</v>
      </c>
      <c r="F827" s="402">
        <f>IFERROR(E827*'01 Prod Physique Boites'!H821,"-")</f>
        <v>0</v>
      </c>
      <c r="G827" s="403">
        <f>IFERROR(E827*'01 Prod Physique Boites'!L821,"-")</f>
        <v>0</v>
      </c>
      <c r="H827" s="381">
        <v>24.93</v>
      </c>
      <c r="I827" s="419">
        <f t="shared" ref="I827:I833" si="463">IFERROR(H827*(F827/E827),"-")</f>
        <v>0</v>
      </c>
      <c r="J827" s="420">
        <f t="shared" ref="J827:J829" si="464">IFERROR(H827*(G827/E827),"-")</f>
        <v>0</v>
      </c>
    </row>
    <row r="828" spans="1:15" ht="23.4" x14ac:dyDescent="0.3">
      <c r="A828" s="274" t="s">
        <v>103</v>
      </c>
      <c r="B828" s="1044"/>
      <c r="C828" s="275" t="s">
        <v>130</v>
      </c>
      <c r="D828" s="275"/>
      <c r="E828" s="505">
        <v>17.8202</v>
      </c>
      <c r="F828" s="402">
        <f>IFERROR(E828*'01 Prod Physique Boites'!H822,"-")</f>
        <v>0</v>
      </c>
      <c r="G828" s="403">
        <f>IFERROR(E828*'01 Prod Physique Boites'!L822,"-")</f>
        <v>0</v>
      </c>
      <c r="H828" s="385">
        <v>0</v>
      </c>
      <c r="I828" s="421">
        <f t="shared" si="463"/>
        <v>0</v>
      </c>
      <c r="J828" s="422">
        <f t="shared" si="464"/>
        <v>0</v>
      </c>
    </row>
    <row r="829" spans="1:15" ht="23.4" x14ac:dyDescent="0.3">
      <c r="A829" s="274" t="s">
        <v>103</v>
      </c>
      <c r="B829" s="1044"/>
      <c r="C829" s="275" t="s">
        <v>115</v>
      </c>
      <c r="D829" s="275"/>
      <c r="E829" s="505">
        <v>16.4071</v>
      </c>
      <c r="F829" s="402">
        <f>IFERROR(E829*'01 Prod Physique Boites'!H823,"-")</f>
        <v>0</v>
      </c>
      <c r="G829" s="403">
        <f>IFERROR(E829*'01 Prod Physique Boites'!L823,"-")</f>
        <v>0</v>
      </c>
      <c r="H829" s="385">
        <v>0</v>
      </c>
      <c r="I829" s="421">
        <f t="shared" si="463"/>
        <v>0</v>
      </c>
      <c r="J829" s="422">
        <f t="shared" si="464"/>
        <v>0</v>
      </c>
    </row>
    <row r="830" spans="1:15" ht="23.4" x14ac:dyDescent="0.3">
      <c r="A830" s="274" t="s">
        <v>103</v>
      </c>
      <c r="B830" s="1044"/>
      <c r="C830" s="275" t="s">
        <v>122</v>
      </c>
      <c r="D830" s="275"/>
      <c r="E830" s="505">
        <v>17.8202</v>
      </c>
      <c r="F830" s="402">
        <f>IFERROR(E830*'01 Prod Physique Boites'!H824,"-")</f>
        <v>0</v>
      </c>
      <c r="G830" s="403">
        <f>IFERROR(E830*'01 Prod Physique Boites'!L824,"-")</f>
        <v>0</v>
      </c>
      <c r="H830" s="385">
        <v>0</v>
      </c>
      <c r="I830" s="421">
        <f t="shared" si="463"/>
        <v>0</v>
      </c>
      <c r="J830" s="422">
        <f>IFERROR(H830*(G830/E830),"-")</f>
        <v>0</v>
      </c>
    </row>
    <row r="831" spans="1:15" ht="23.4" x14ac:dyDescent="0.3">
      <c r="A831" s="274" t="s">
        <v>103</v>
      </c>
      <c r="B831" s="1044"/>
      <c r="C831" s="275" t="s">
        <v>176</v>
      </c>
      <c r="D831" s="275" t="s">
        <v>177</v>
      </c>
      <c r="E831" s="505">
        <v>17.8202</v>
      </c>
      <c r="F831" s="402">
        <f>IFERROR(E831*'01 Prod Physique Boites'!H825,"-")</f>
        <v>0</v>
      </c>
      <c r="G831" s="403">
        <f>IFERROR(E831*'01 Prod Physique Boites'!L825,"-")</f>
        <v>0</v>
      </c>
      <c r="H831" s="385">
        <v>0</v>
      </c>
      <c r="I831" s="421">
        <f t="shared" si="463"/>
        <v>0</v>
      </c>
      <c r="J831" s="422">
        <f t="shared" ref="J831:J833" si="465">IFERROR(H831*(G831/E831),"-")</f>
        <v>0</v>
      </c>
    </row>
    <row r="832" spans="1:15" ht="23.4" x14ac:dyDescent="0.3">
      <c r="A832" s="274" t="s">
        <v>103</v>
      </c>
      <c r="B832" s="1044"/>
      <c r="C832" s="275" t="s">
        <v>179</v>
      </c>
      <c r="D832" s="275" t="s">
        <v>178</v>
      </c>
      <c r="E832" s="505">
        <v>16.7288</v>
      </c>
      <c r="F832" s="402">
        <f>IFERROR(E832*'01 Prod Physique Boites'!H826,"-")</f>
        <v>0</v>
      </c>
      <c r="G832" s="403">
        <f>IFERROR(E832*'01 Prod Physique Boites'!L826,"-")</f>
        <v>0</v>
      </c>
      <c r="H832" s="385">
        <v>0</v>
      </c>
      <c r="I832" s="421">
        <f t="shared" si="463"/>
        <v>0</v>
      </c>
      <c r="J832" s="422">
        <f t="shared" si="465"/>
        <v>0</v>
      </c>
    </row>
    <row r="833" spans="1:10" ht="24" thickBot="1" x14ac:dyDescent="0.35">
      <c r="A833" s="274" t="s">
        <v>103</v>
      </c>
      <c r="B833" s="1045"/>
      <c r="C833" s="286" t="s">
        <v>180</v>
      </c>
      <c r="D833" s="286" t="s">
        <v>107</v>
      </c>
      <c r="E833" s="501">
        <v>17.8202</v>
      </c>
      <c r="F833" s="402">
        <f>IFERROR(E833*'01 Prod Physique Boites'!H827,"-")</f>
        <v>0</v>
      </c>
      <c r="G833" s="403">
        <f>IFERROR(E833*'01 Prod Physique Boites'!L827,"-")</f>
        <v>0</v>
      </c>
      <c r="H833" s="385">
        <v>0</v>
      </c>
      <c r="I833" s="423">
        <f t="shared" si="463"/>
        <v>0</v>
      </c>
      <c r="J833" s="424">
        <f t="shared" si="465"/>
        <v>0</v>
      </c>
    </row>
    <row r="834" spans="1:10" ht="24" thickBot="1" x14ac:dyDescent="0.35">
      <c r="A834" s="274" t="s">
        <v>103</v>
      </c>
      <c r="B834" s="1025" t="s">
        <v>29</v>
      </c>
      <c r="C834" s="1026"/>
      <c r="D834" s="1027"/>
      <c r="E834" s="648"/>
      <c r="F834" s="649">
        <f t="shared" ref="F834:G834" si="466">SUM(F827:F833)</f>
        <v>0</v>
      </c>
      <c r="G834" s="407">
        <f t="shared" si="466"/>
        <v>0</v>
      </c>
      <c r="H834" s="391"/>
      <c r="I834" s="406">
        <f t="shared" ref="I834:J834" si="467">SUM(I827:I833)</f>
        <v>0</v>
      </c>
      <c r="J834" s="425">
        <f t="shared" si="467"/>
        <v>0</v>
      </c>
    </row>
    <row r="835" spans="1:10" ht="24" thickBot="1" x14ac:dyDescent="0.35">
      <c r="A835" s="274"/>
      <c r="B835" s="1085" t="s">
        <v>19</v>
      </c>
      <c r="C835" s="650" t="s">
        <v>235</v>
      </c>
      <c r="D835" s="656" t="s">
        <v>177</v>
      </c>
      <c r="E835" s="657">
        <v>12.2659</v>
      </c>
      <c r="F835" s="658">
        <f>IFERROR(E835*'01 Prod Physique Boites'!H829,"-")</f>
        <v>0</v>
      </c>
      <c r="G835" s="659">
        <f>IFERROR(E835*'01 Prod Physique Boites'!L829,"-")</f>
        <v>0</v>
      </c>
      <c r="H835" s="653">
        <v>14.79</v>
      </c>
      <c r="I835" s="638">
        <f t="shared" ref="I835:I839" si="468">IFERROR(H835*(F835/E835),"-")</f>
        <v>0</v>
      </c>
      <c r="J835" s="638">
        <f>IFERROR(H835*(G835/E835),"-")</f>
        <v>0</v>
      </c>
    </row>
    <row r="836" spans="1:10" ht="24" thickBot="1" x14ac:dyDescent="0.35">
      <c r="A836" s="274"/>
      <c r="B836" s="1086"/>
      <c r="C836" s="651" t="s">
        <v>359</v>
      </c>
      <c r="D836" s="660" t="s">
        <v>423</v>
      </c>
      <c r="E836" s="642">
        <v>12.2659</v>
      </c>
      <c r="F836" s="658">
        <f>IFERROR(E836*'01 Prod Physique Boites'!H830,"-")</f>
        <v>0</v>
      </c>
      <c r="G836" s="659">
        <f>IFERROR(E836*'01 Prod Physique Boites'!L830,"-")</f>
        <v>7046317.9775999999</v>
      </c>
      <c r="H836" s="654">
        <v>14.55</v>
      </c>
      <c r="I836" s="643">
        <f t="shared" si="468"/>
        <v>0</v>
      </c>
      <c r="J836" s="643">
        <f>IFERROR(H836*(G836/E836),"-")</f>
        <v>8358451.2000000002</v>
      </c>
    </row>
    <row r="837" spans="1:10" ht="24" thickBot="1" x14ac:dyDescent="0.35">
      <c r="A837" s="274"/>
      <c r="B837" s="1086"/>
      <c r="C837" s="669" t="s">
        <v>235</v>
      </c>
      <c r="D837" s="840" t="s">
        <v>522</v>
      </c>
      <c r="E837" s="851">
        <v>12.2659</v>
      </c>
      <c r="F837" s="658">
        <f>IFERROR(E837*'01 Prod Physique Boites'!H831,"-")</f>
        <v>0</v>
      </c>
      <c r="G837" s="659">
        <f>IFERROR(E837*'01 Prod Physique Boites'!L831,"-")</f>
        <v>2143686.8111999999</v>
      </c>
      <c r="H837" s="860">
        <v>0</v>
      </c>
      <c r="I837" s="643">
        <f t="shared" si="468"/>
        <v>0</v>
      </c>
      <c r="J837" s="643">
        <f t="shared" ref="J837:J838" si="469">IFERROR(H837*(G837/E837),"-")</f>
        <v>0</v>
      </c>
    </row>
    <row r="838" spans="1:10" ht="24" thickBot="1" x14ac:dyDescent="0.35">
      <c r="A838" s="274"/>
      <c r="B838" s="1086"/>
      <c r="C838" s="840" t="s">
        <v>377</v>
      </c>
      <c r="D838" s="840" t="s">
        <v>522</v>
      </c>
      <c r="E838" s="851">
        <v>12.2659</v>
      </c>
      <c r="F838" s="658">
        <f>IFERROR(E838*'01 Prod Physique Boites'!H832,"-")</f>
        <v>1865201.8176</v>
      </c>
      <c r="G838" s="659">
        <f>IFERROR(E838*'01 Prod Physique Boites'!L832,"-")</f>
        <v>3108669.696</v>
      </c>
      <c r="H838" s="860">
        <v>0</v>
      </c>
      <c r="I838" s="643">
        <f t="shared" si="468"/>
        <v>0</v>
      </c>
      <c r="J838" s="643">
        <f t="shared" si="469"/>
        <v>0</v>
      </c>
    </row>
    <row r="839" spans="1:10" ht="24" thickBot="1" x14ac:dyDescent="0.35">
      <c r="A839" s="823" t="s">
        <v>103</v>
      </c>
      <c r="B839" s="1087"/>
      <c r="C839" s="652" t="s">
        <v>342</v>
      </c>
      <c r="D839" s="661"/>
      <c r="E839" s="662">
        <v>0</v>
      </c>
      <c r="F839" s="658">
        <f>IFERROR(E839*'01 Prod Physique Boites'!H833,"-")</f>
        <v>0</v>
      </c>
      <c r="G839" s="659">
        <f>IFERROR(E839*'01 Prod Physique Boites'!L833,"-")</f>
        <v>0</v>
      </c>
      <c r="H839" s="655">
        <v>0</v>
      </c>
      <c r="I839" s="643" t="str">
        <f t="shared" si="468"/>
        <v>-</v>
      </c>
      <c r="J839" s="427" t="str">
        <f t="shared" ref="J839" si="470">IFERROR(I839*(G839/F839),"-")</f>
        <v>-</v>
      </c>
    </row>
    <row r="840" spans="1:10" ht="24" thickBot="1" x14ac:dyDescent="0.35">
      <c r="A840" s="274" t="s">
        <v>103</v>
      </c>
      <c r="B840" s="1025" t="s">
        <v>46</v>
      </c>
      <c r="C840" s="1026"/>
      <c r="D840" s="1027"/>
      <c r="E840" s="390"/>
      <c r="F840" s="406">
        <f>SUM(F835:F839)</f>
        <v>1865201.8176</v>
      </c>
      <c r="G840" s="406">
        <f>SUM(G835:G839)</f>
        <v>12298674.4848</v>
      </c>
      <c r="H840" s="391"/>
      <c r="I840" s="406">
        <f>SUM(I835:I839)</f>
        <v>0</v>
      </c>
      <c r="J840" s="425">
        <f>SUM(J835:J839)</f>
        <v>8358451.2000000002</v>
      </c>
    </row>
    <row r="841" spans="1:10" ht="23.4" x14ac:dyDescent="0.3">
      <c r="A841" s="274" t="s">
        <v>103</v>
      </c>
      <c r="B841" s="1043" t="s">
        <v>20</v>
      </c>
      <c r="C841" s="291" t="s">
        <v>317</v>
      </c>
      <c r="D841" s="291" t="s">
        <v>289</v>
      </c>
      <c r="E841" s="504">
        <v>26.032900000000001</v>
      </c>
      <c r="F841" s="402">
        <f>IFERROR(E841*'01 Prod Physique Boites'!H835,"-")</f>
        <v>0</v>
      </c>
      <c r="G841" s="403">
        <f>IFERROR(E841*'01 Prod Physique Boites'!L835,"-")</f>
        <v>0</v>
      </c>
      <c r="H841" s="381">
        <v>36.44</v>
      </c>
      <c r="I841" s="419">
        <f>IFERROR(H841*(F841/E841),"-")</f>
        <v>0</v>
      </c>
      <c r="J841" s="420">
        <f t="shared" ref="J841:J843" si="471">IFERROR(H841*(G841/E841),"-")</f>
        <v>0</v>
      </c>
    </row>
    <row r="842" spans="1:10" ht="23.4" x14ac:dyDescent="0.3">
      <c r="A842" s="274" t="s">
        <v>103</v>
      </c>
      <c r="B842" s="1044"/>
      <c r="C842" s="292" t="s">
        <v>114</v>
      </c>
      <c r="D842" s="292"/>
      <c r="E842" s="384">
        <v>24.2607</v>
      </c>
      <c r="F842" s="402">
        <f>IFERROR(E842*'01 Prod Physique Boites'!H836,"-")</f>
        <v>0</v>
      </c>
      <c r="G842" s="403">
        <f>IFERROR(E842*'01 Prod Physique Boites'!L836,"-")</f>
        <v>0</v>
      </c>
      <c r="H842" s="385">
        <v>37.369999999999997</v>
      </c>
      <c r="I842" s="421">
        <f>IFERROR(H842*(F842/E842),"-")</f>
        <v>0</v>
      </c>
      <c r="J842" s="422">
        <f t="shared" si="471"/>
        <v>0</v>
      </c>
    </row>
    <row r="843" spans="1:10" ht="24" thickBot="1" x14ac:dyDescent="0.35">
      <c r="A843" s="274" t="s">
        <v>103</v>
      </c>
      <c r="B843" s="1045"/>
      <c r="C843" s="293" t="s">
        <v>120</v>
      </c>
      <c r="D843" s="293"/>
      <c r="E843" s="386">
        <v>26.035799999999998</v>
      </c>
      <c r="F843" s="402">
        <f>IFERROR(E843*'01 Prod Physique Boites'!H837,"-")</f>
        <v>0</v>
      </c>
      <c r="G843" s="403">
        <f>IFERROR(E843*'01 Prod Physique Boites'!L837,"-")</f>
        <v>0</v>
      </c>
      <c r="H843" s="387">
        <v>37.11</v>
      </c>
      <c r="I843" s="423">
        <f>IFERROR(H843*(F843/E843),"-")</f>
        <v>0</v>
      </c>
      <c r="J843" s="424">
        <f t="shared" si="471"/>
        <v>0</v>
      </c>
    </row>
    <row r="844" spans="1:10" ht="24" thickBot="1" x14ac:dyDescent="0.35">
      <c r="A844" s="274" t="s">
        <v>103</v>
      </c>
      <c r="B844" s="1026" t="s">
        <v>47</v>
      </c>
      <c r="C844" s="1026"/>
      <c r="D844" s="1046"/>
      <c r="E844" s="390"/>
      <c r="F844" s="406">
        <f t="shared" ref="F844:G844" si="472">SUM(F841:F843)</f>
        <v>0</v>
      </c>
      <c r="G844" s="407">
        <f t="shared" si="472"/>
        <v>0</v>
      </c>
      <c r="H844" s="391"/>
      <c r="I844" s="406">
        <f t="shared" ref="I844:J844" si="473">SUM(I841:I843)</f>
        <v>0</v>
      </c>
      <c r="J844" s="425">
        <f t="shared" si="473"/>
        <v>0</v>
      </c>
    </row>
    <row r="845" spans="1:10" ht="24" thickBot="1" x14ac:dyDescent="0.35">
      <c r="A845" s="274" t="s">
        <v>103</v>
      </c>
      <c r="B845" s="1047" t="s">
        <v>21</v>
      </c>
      <c r="C845" s="1048"/>
      <c r="D845" s="1049"/>
      <c r="E845" s="393"/>
      <c r="F845" s="410">
        <f>+F818+F826+F834+F840+F844</f>
        <v>2944330.2</v>
      </c>
      <c r="G845" s="411">
        <f>+G818+G826+G834+G840+G844</f>
        <v>21022985.157200001</v>
      </c>
      <c r="H845" s="394"/>
      <c r="I845" s="410">
        <f>+I818+I826+I834+I840+I844</f>
        <v>1693153.28</v>
      </c>
      <c r="J845" s="428">
        <f>+J818+J826+J834+J840+J844</f>
        <v>21218740.879999999</v>
      </c>
    </row>
    <row r="846" spans="1:10" ht="23.4" x14ac:dyDescent="0.3">
      <c r="A846" s="274" t="s">
        <v>103</v>
      </c>
      <c r="B846" s="1043" t="s">
        <v>400</v>
      </c>
      <c r="C846" s="269" t="s">
        <v>125</v>
      </c>
      <c r="D846" s="269"/>
      <c r="E846" s="380">
        <v>22.820599999999999</v>
      </c>
      <c r="F846" s="402">
        <f>IFERROR(E846*'01 Prod Physique Boites'!H840,"-")</f>
        <v>0</v>
      </c>
      <c r="G846" s="403">
        <f>IFERROR(E846*'01 Prod Physique Boites'!L840,"-")</f>
        <v>0</v>
      </c>
      <c r="H846" s="381">
        <v>27.5</v>
      </c>
      <c r="I846" s="419">
        <f>IFERROR(H846*(F846/E846),"-")</f>
        <v>0</v>
      </c>
      <c r="J846" s="420">
        <f t="shared" ref="J846:J849" si="474">IFERROR(H846*(G846/E846),"-")</f>
        <v>0</v>
      </c>
    </row>
    <row r="847" spans="1:10" ht="23.4" x14ac:dyDescent="0.3">
      <c r="A847" s="274" t="s">
        <v>103</v>
      </c>
      <c r="B847" s="1044"/>
      <c r="C847" s="295" t="s">
        <v>263</v>
      </c>
      <c r="D847" s="295" t="s">
        <v>181</v>
      </c>
      <c r="E847" s="384">
        <v>23.570699999999999</v>
      </c>
      <c r="F847" s="402">
        <f>IFERROR(E847*'01 Prod Physique Boites'!H841,"-")</f>
        <v>0</v>
      </c>
      <c r="G847" s="403">
        <f>IFERROR(E847*'01 Prod Physique Boites'!L841,"-")</f>
        <v>0</v>
      </c>
      <c r="H847" s="385">
        <v>27.5</v>
      </c>
      <c r="I847" s="421">
        <f>IFERROR(H847*(F847/E847),"-")</f>
        <v>0</v>
      </c>
      <c r="J847" s="422">
        <f t="shared" si="474"/>
        <v>0</v>
      </c>
    </row>
    <row r="848" spans="1:10" ht="23.4" x14ac:dyDescent="0.3">
      <c r="A848" s="274" t="s">
        <v>103</v>
      </c>
      <c r="B848" s="1044"/>
      <c r="C848" s="295" t="s">
        <v>362</v>
      </c>
      <c r="D848" s="295" t="s">
        <v>181</v>
      </c>
      <c r="E848" s="384">
        <v>22.820599999999999</v>
      </c>
      <c r="F848" s="402">
        <f>IFERROR(E848*'01 Prod Physique Boites'!H842,"-")</f>
        <v>0</v>
      </c>
      <c r="G848" s="403">
        <f>IFERROR(E848*'01 Prod Physique Boites'!L842,"-")</f>
        <v>0</v>
      </c>
      <c r="H848" s="385">
        <v>27.5</v>
      </c>
      <c r="I848" s="421">
        <f>IFERROR(H848*(F848/E848),"-")</f>
        <v>0</v>
      </c>
      <c r="J848" s="422">
        <f t="shared" si="474"/>
        <v>0</v>
      </c>
    </row>
    <row r="849" spans="1:10" ht="24" thickBot="1" x14ac:dyDescent="0.35">
      <c r="A849" s="274" t="s">
        <v>103</v>
      </c>
      <c r="B849" s="1045"/>
      <c r="C849" s="279" t="s">
        <v>182</v>
      </c>
      <c r="D849" s="279" t="s">
        <v>93</v>
      </c>
      <c r="E849" s="386">
        <v>23.5685</v>
      </c>
      <c r="F849" s="402">
        <f>IFERROR(E849*'01 Prod Physique Boites'!H843,"-")</f>
        <v>0</v>
      </c>
      <c r="G849" s="403">
        <f>IFERROR(E849*'01 Prod Physique Boites'!L843,"-")</f>
        <v>0</v>
      </c>
      <c r="H849" s="387">
        <v>24</v>
      </c>
      <c r="I849" s="423">
        <f>IFERROR(H849*(F849/E849),"-")</f>
        <v>0</v>
      </c>
      <c r="J849" s="424">
        <f t="shared" si="474"/>
        <v>0</v>
      </c>
    </row>
    <row r="850" spans="1:10" ht="24" thickBot="1" x14ac:dyDescent="0.35">
      <c r="A850" s="274" t="s">
        <v>103</v>
      </c>
      <c r="B850" s="1025" t="s">
        <v>48</v>
      </c>
      <c r="C850" s="1026"/>
      <c r="D850" s="1027"/>
      <c r="E850" s="390"/>
      <c r="F850" s="406">
        <f t="shared" ref="F850:G850" si="475">SUM(F846:F849)</f>
        <v>0</v>
      </c>
      <c r="G850" s="407">
        <f t="shared" si="475"/>
        <v>0</v>
      </c>
      <c r="H850" s="391"/>
      <c r="I850" s="406">
        <f t="shared" ref="I850:J850" si="476">SUM(I846:I849)</f>
        <v>0</v>
      </c>
      <c r="J850" s="425">
        <f t="shared" si="476"/>
        <v>0</v>
      </c>
    </row>
    <row r="851" spans="1:10" ht="23.4" x14ac:dyDescent="0.3">
      <c r="A851" s="274" t="s">
        <v>103</v>
      </c>
      <c r="B851" s="1043" t="s">
        <v>23</v>
      </c>
      <c r="C851" s="296" t="s">
        <v>308</v>
      </c>
      <c r="D851" s="296" t="s">
        <v>238</v>
      </c>
      <c r="E851" s="380">
        <v>101.4935</v>
      </c>
      <c r="F851" s="402">
        <f>IFERROR(E851*'01 Prod Physique Boites'!H845,"-")</f>
        <v>0</v>
      </c>
      <c r="G851" s="403">
        <f>IFERROR(E851*'01 Prod Physique Boites'!L845,"-")</f>
        <v>0</v>
      </c>
      <c r="H851" s="385">
        <v>160.44999999999999</v>
      </c>
      <c r="I851" s="419">
        <f t="shared" ref="I851:I859" si="477">IFERROR(H851*(F851/E851),"-")</f>
        <v>0</v>
      </c>
      <c r="J851" s="420">
        <f t="shared" ref="J851:J859" si="478">IFERROR(H851*(G851/E851),"-")</f>
        <v>0</v>
      </c>
    </row>
    <row r="852" spans="1:10" ht="23.4" x14ac:dyDescent="0.3">
      <c r="A852" s="274" t="s">
        <v>103</v>
      </c>
      <c r="B852" s="1044"/>
      <c r="C852" s="275" t="s">
        <v>24</v>
      </c>
      <c r="D852" s="275" t="s">
        <v>238</v>
      </c>
      <c r="E852" s="384">
        <v>101.4935</v>
      </c>
      <c r="F852" s="402">
        <f>IFERROR(E852*'01 Prod Physique Boites'!H846,"-")</f>
        <v>0</v>
      </c>
      <c r="G852" s="403">
        <f>IFERROR(E852*'01 Prod Physique Boites'!L846,"-")</f>
        <v>0</v>
      </c>
      <c r="H852" s="385">
        <v>160.44999999999999</v>
      </c>
      <c r="I852" s="421">
        <f t="shared" si="477"/>
        <v>0</v>
      </c>
      <c r="J852" s="422">
        <f t="shared" si="478"/>
        <v>0</v>
      </c>
    </row>
    <row r="853" spans="1:10" ht="23.4" x14ac:dyDescent="0.3">
      <c r="A853" s="274" t="s">
        <v>103</v>
      </c>
      <c r="B853" s="1044"/>
      <c r="C853" s="275" t="s">
        <v>236</v>
      </c>
      <c r="D853" s="275" t="s">
        <v>238</v>
      </c>
      <c r="E853" s="384">
        <v>101.4935</v>
      </c>
      <c r="F853" s="402">
        <f>IFERROR(E853*'01 Prod Physique Boites'!H847,"-")</f>
        <v>0</v>
      </c>
      <c r="G853" s="403">
        <f>IFERROR(E853*'01 Prod Physique Boites'!L847,"-")</f>
        <v>0</v>
      </c>
      <c r="H853" s="385">
        <v>160.44999999999999</v>
      </c>
      <c r="I853" s="421">
        <f t="shared" si="477"/>
        <v>0</v>
      </c>
      <c r="J853" s="422">
        <f t="shared" si="478"/>
        <v>0</v>
      </c>
    </row>
    <row r="854" spans="1:10" ht="23.4" x14ac:dyDescent="0.3">
      <c r="A854" s="274" t="s">
        <v>103</v>
      </c>
      <c r="B854" s="1044"/>
      <c r="C854" s="275" t="s">
        <v>237</v>
      </c>
      <c r="D854" s="275" t="s">
        <v>238</v>
      </c>
      <c r="E854" s="384">
        <v>101.4935</v>
      </c>
      <c r="F854" s="402">
        <f>IFERROR(E854*'01 Prod Physique Boites'!H848,"-")</f>
        <v>0</v>
      </c>
      <c r="G854" s="403">
        <f>IFERROR(E854*'01 Prod Physique Boites'!L848,"-")</f>
        <v>0</v>
      </c>
      <c r="H854" s="385">
        <v>160.44999999999999</v>
      </c>
      <c r="I854" s="421">
        <f t="shared" si="477"/>
        <v>0</v>
      </c>
      <c r="J854" s="422">
        <f t="shared" si="478"/>
        <v>0</v>
      </c>
    </row>
    <row r="855" spans="1:10" ht="23.4" x14ac:dyDescent="0.3">
      <c r="A855" s="274" t="s">
        <v>103</v>
      </c>
      <c r="B855" s="1044"/>
      <c r="C855" s="295" t="s">
        <v>239</v>
      </c>
      <c r="D855" s="275" t="s">
        <v>238</v>
      </c>
      <c r="E855" s="384">
        <v>101.4935</v>
      </c>
      <c r="F855" s="402">
        <f>IFERROR(E855*'01 Prod Physique Boites'!H849,"-")</f>
        <v>0</v>
      </c>
      <c r="G855" s="403">
        <f>IFERROR(E855*'01 Prod Physique Boites'!L849,"-")</f>
        <v>0</v>
      </c>
      <c r="H855" s="385">
        <v>160.44999999999999</v>
      </c>
      <c r="I855" s="421">
        <f t="shared" si="477"/>
        <v>0</v>
      </c>
      <c r="J855" s="422">
        <f t="shared" si="478"/>
        <v>0</v>
      </c>
    </row>
    <row r="856" spans="1:10" ht="23.4" x14ac:dyDescent="0.3">
      <c r="A856" s="274" t="s">
        <v>103</v>
      </c>
      <c r="B856" s="1044"/>
      <c r="C856" s="295" t="s">
        <v>240</v>
      </c>
      <c r="D856" s="275" t="s">
        <v>238</v>
      </c>
      <c r="E856" s="384">
        <v>101.4935</v>
      </c>
      <c r="F856" s="402">
        <f>IFERROR(E856*'01 Prod Physique Boites'!H850,"-")</f>
        <v>0</v>
      </c>
      <c r="G856" s="403">
        <f>IFERROR(E856*'01 Prod Physique Boites'!L850,"-")</f>
        <v>0</v>
      </c>
      <c r="H856" s="385">
        <v>160.44999999999999</v>
      </c>
      <c r="I856" s="421">
        <f t="shared" si="477"/>
        <v>0</v>
      </c>
      <c r="J856" s="422">
        <f t="shared" si="478"/>
        <v>0</v>
      </c>
    </row>
    <row r="857" spans="1:10" ht="23.4" x14ac:dyDescent="0.3">
      <c r="A857" s="274" t="s">
        <v>103</v>
      </c>
      <c r="B857" s="1044"/>
      <c r="C857" s="295" t="s">
        <v>241</v>
      </c>
      <c r="D857" s="275" t="s">
        <v>243</v>
      </c>
      <c r="E857" s="384">
        <v>101.4935</v>
      </c>
      <c r="F857" s="402">
        <f>IFERROR(E857*'01 Prod Physique Boites'!H851,"-")</f>
        <v>0</v>
      </c>
      <c r="G857" s="403">
        <f>IFERROR(E857*'01 Prod Physique Boites'!L851,"-")</f>
        <v>0</v>
      </c>
      <c r="H857" s="385">
        <v>160.44999999999999</v>
      </c>
      <c r="I857" s="421">
        <f t="shared" si="477"/>
        <v>0</v>
      </c>
      <c r="J857" s="422">
        <f t="shared" si="478"/>
        <v>0</v>
      </c>
    </row>
    <row r="858" spans="1:10" ht="23.4" x14ac:dyDescent="0.3">
      <c r="A858" s="274"/>
      <c r="B858" s="1045"/>
      <c r="C858" s="295" t="s">
        <v>457</v>
      </c>
      <c r="D858" s="275" t="s">
        <v>238</v>
      </c>
      <c r="E858" s="386">
        <v>101.49</v>
      </c>
      <c r="F858" s="402">
        <f>IFERROR(E858*'01 Prod Physique Boites'!H852,"-")</f>
        <v>0</v>
      </c>
      <c r="G858" s="403">
        <f>IFERROR(E858*'01 Prod Physique Boites'!L852,"-")</f>
        <v>0</v>
      </c>
      <c r="H858" s="385">
        <v>160.44999999999999</v>
      </c>
      <c r="I858" s="421">
        <f t="shared" si="477"/>
        <v>0</v>
      </c>
      <c r="J858" s="422">
        <f t="shared" si="478"/>
        <v>0</v>
      </c>
    </row>
    <row r="859" spans="1:10" ht="24" thickBot="1" x14ac:dyDescent="0.35">
      <c r="A859" s="274" t="s">
        <v>103</v>
      </c>
      <c r="B859" s="1045"/>
      <c r="C859" s="295" t="s">
        <v>242</v>
      </c>
      <c r="D859" s="275" t="s">
        <v>238</v>
      </c>
      <c r="E859" s="386">
        <v>101.4935</v>
      </c>
      <c r="F859" s="402">
        <f>IFERROR(E859*'01 Prod Physique Boites'!H853,"-")</f>
        <v>0</v>
      </c>
      <c r="G859" s="403">
        <f>IFERROR(E859*'01 Prod Physique Boites'!L853,"-")</f>
        <v>0</v>
      </c>
      <c r="H859" s="385">
        <v>160.44999999999999</v>
      </c>
      <c r="I859" s="421">
        <f t="shared" si="477"/>
        <v>0</v>
      </c>
      <c r="J859" s="424">
        <f t="shared" si="478"/>
        <v>0</v>
      </c>
    </row>
    <row r="860" spans="1:10" ht="24" thickBot="1" x14ac:dyDescent="0.35">
      <c r="A860" s="274" t="s">
        <v>103</v>
      </c>
      <c r="B860" s="1025" t="s">
        <v>49</v>
      </c>
      <c r="C860" s="1026"/>
      <c r="D860" s="1027"/>
      <c r="E860" s="390"/>
      <c r="F860" s="406">
        <f t="shared" ref="F860" si="479">SUM(F851:F859)</f>
        <v>0</v>
      </c>
      <c r="G860" s="407">
        <f>SUM(G851:G859)</f>
        <v>0</v>
      </c>
      <c r="H860" s="391"/>
      <c r="I860" s="406">
        <f t="shared" ref="I860" si="480">SUM(I851:I859)</f>
        <v>0</v>
      </c>
      <c r="J860" s="425">
        <f>SUM(J851:J859)</f>
        <v>0</v>
      </c>
    </row>
    <row r="861" spans="1:10" ht="24" thickBot="1" x14ac:dyDescent="0.35">
      <c r="A861" s="274" t="s">
        <v>103</v>
      </c>
      <c r="B861" s="1047" t="s">
        <v>25</v>
      </c>
      <c r="C861" s="1048"/>
      <c r="D861" s="1049"/>
      <c r="E861" s="393"/>
      <c r="F861" s="410">
        <f t="shared" ref="F861" si="481">+F850+F860</f>
        <v>0</v>
      </c>
      <c r="G861" s="411">
        <f>+G850+G860</f>
        <v>0</v>
      </c>
      <c r="H861" s="394"/>
      <c r="I861" s="410">
        <f t="shared" ref="I861:J861" si="482">+I850+I860</f>
        <v>0</v>
      </c>
      <c r="J861" s="428">
        <f t="shared" si="482"/>
        <v>0</v>
      </c>
    </row>
    <row r="862" spans="1:10" ht="24" thickBot="1" x14ac:dyDescent="0.35">
      <c r="A862" s="274" t="s">
        <v>103</v>
      </c>
      <c r="B862" s="1019" t="s">
        <v>172</v>
      </c>
      <c r="C862" s="1020"/>
      <c r="D862" s="1021"/>
      <c r="E862" s="395"/>
      <c r="F862" s="412">
        <f t="shared" ref="F862" si="483">+F845+F861</f>
        <v>2944330.2</v>
      </c>
      <c r="G862" s="413">
        <f>+G845+G861</f>
        <v>21022985.157200001</v>
      </c>
      <c r="H862" s="396"/>
      <c r="I862" s="412">
        <f t="shared" ref="I862:J862" si="484">+I845+I861</f>
        <v>1693153.28</v>
      </c>
      <c r="J862" s="429">
        <f t="shared" si="484"/>
        <v>21218740.879999999</v>
      </c>
    </row>
    <row r="863" spans="1:10" ht="23.4" x14ac:dyDescent="0.3">
      <c r="A863" s="268" t="s">
        <v>101</v>
      </c>
      <c r="B863" s="1051" t="s">
        <v>26</v>
      </c>
      <c r="C863" s="297" t="s">
        <v>297</v>
      </c>
      <c r="D863" s="299" t="s">
        <v>177</v>
      </c>
      <c r="E863" s="504">
        <v>13.1272</v>
      </c>
      <c r="F863" s="402">
        <f>IFERROR(E863*'01 Prod Physique Boites'!H857,"-")</f>
        <v>0</v>
      </c>
      <c r="G863" s="403">
        <f>IFERROR(E863*'01 Prod Physique Boites'!L857,"-")</f>
        <v>0</v>
      </c>
      <c r="H863" s="381">
        <v>20.76</v>
      </c>
      <c r="I863" s="419">
        <f t="shared" ref="I863:I872" si="485">IFERROR(H863*(F863/E863),"-")</f>
        <v>0</v>
      </c>
      <c r="J863" s="632">
        <f t="shared" ref="J863:J872" si="486">IFERROR(H863*(G863/E863),"-")</f>
        <v>0</v>
      </c>
    </row>
    <row r="864" spans="1:10" ht="23.4" x14ac:dyDescent="0.3">
      <c r="A864" s="274" t="s">
        <v>101</v>
      </c>
      <c r="B864" s="1051"/>
      <c r="C864" s="298" t="s">
        <v>424</v>
      </c>
      <c r="D864" s="298" t="s">
        <v>423</v>
      </c>
      <c r="E864" s="505">
        <v>16.7288</v>
      </c>
      <c r="F864" s="402">
        <f>IFERROR(E864*'01 Prod Physique Boites'!H858,"-")</f>
        <v>0</v>
      </c>
      <c r="G864" s="403">
        <f>IFERROR(E864*'01 Prod Physique Boites'!L858,"-")</f>
        <v>4392112.9824000001</v>
      </c>
      <c r="H864" s="385">
        <v>20.76</v>
      </c>
      <c r="I864" s="421">
        <f t="shared" si="485"/>
        <v>0</v>
      </c>
      <c r="J864" s="633">
        <f t="shared" si="486"/>
        <v>5450496.4800000004</v>
      </c>
    </row>
    <row r="865" spans="1:10" ht="23.4" x14ac:dyDescent="0.3">
      <c r="A865" s="274" t="s">
        <v>101</v>
      </c>
      <c r="B865" s="1051"/>
      <c r="C865" s="813" t="s">
        <v>460</v>
      </c>
      <c r="D865" s="814" t="s">
        <v>334</v>
      </c>
      <c r="E865" s="501">
        <v>14.608000000000001</v>
      </c>
      <c r="F865" s="402">
        <f>IFERROR(E865*'01 Prod Physique Boites'!H859,"-")</f>
        <v>0</v>
      </c>
      <c r="G865" s="403">
        <f>IFERROR(E865*'01 Prod Physique Boites'!L859,"-")</f>
        <v>406774.36800000002</v>
      </c>
      <c r="H865" s="385">
        <v>21.22</v>
      </c>
      <c r="I865" s="643">
        <f t="shared" si="485"/>
        <v>0</v>
      </c>
      <c r="J865" s="633">
        <f t="shared" si="486"/>
        <v>590892.12</v>
      </c>
    </row>
    <row r="866" spans="1:10" ht="23.4" x14ac:dyDescent="0.3">
      <c r="A866" s="274" t="s">
        <v>101</v>
      </c>
      <c r="B866" s="1051"/>
      <c r="C866" s="299" t="s">
        <v>27</v>
      </c>
      <c r="D866" s="297" t="s">
        <v>492</v>
      </c>
      <c r="E866" s="501">
        <v>17.8202</v>
      </c>
      <c r="F866" s="402">
        <f>IFERROR(E866*'01 Prod Physique Boites'!H860,"-")</f>
        <v>0</v>
      </c>
      <c r="G866" s="403">
        <f>IFERROR(E866*'01 Prod Physique Boites'!L860,"-")</f>
        <v>4820435.3808000004</v>
      </c>
      <c r="H866" s="385">
        <v>26.75</v>
      </c>
      <c r="I866" s="643">
        <f t="shared" si="485"/>
        <v>0</v>
      </c>
      <c r="J866" s="633">
        <f t="shared" si="486"/>
        <v>7235982</v>
      </c>
    </row>
    <row r="867" spans="1:10" ht="23.4" x14ac:dyDescent="0.3">
      <c r="A867" s="274" t="s">
        <v>101</v>
      </c>
      <c r="B867" s="1051"/>
      <c r="C867" s="297" t="s">
        <v>521</v>
      </c>
      <c r="D867" s="299" t="s">
        <v>234</v>
      </c>
      <c r="E867" s="501">
        <v>14.608000000000001</v>
      </c>
      <c r="F867" s="402">
        <f>IFERROR(E867*'01 Prod Physique Boites'!H861,"-")</f>
        <v>522995.61600000004</v>
      </c>
      <c r="G867" s="403">
        <f>IFERROR(E867*'01 Prod Physique Boites'!L861,"-")</f>
        <v>813548.73600000003</v>
      </c>
      <c r="H867" s="385">
        <v>24.93</v>
      </c>
      <c r="I867" s="643">
        <f t="shared" si="485"/>
        <v>892543.86</v>
      </c>
      <c r="J867" s="633">
        <f t="shared" si="486"/>
        <v>1388401.56</v>
      </c>
    </row>
    <row r="868" spans="1:10" ht="23.4" x14ac:dyDescent="0.3">
      <c r="A868" s="274"/>
      <c r="B868" s="1051"/>
      <c r="C868" s="299" t="s">
        <v>437</v>
      </c>
      <c r="D868" s="299" t="s">
        <v>178</v>
      </c>
      <c r="E868" s="501">
        <v>14.608000000000001</v>
      </c>
      <c r="F868" s="402">
        <f>IFERROR(E868*'01 Prod Physique Boites'!H862,"-")</f>
        <v>0</v>
      </c>
      <c r="G868" s="403">
        <f>IFERROR(E868*'01 Prod Physique Boites'!L862,"-")</f>
        <v>0</v>
      </c>
      <c r="H868" s="387">
        <v>24.93</v>
      </c>
      <c r="I868" s="643">
        <f t="shared" si="485"/>
        <v>0</v>
      </c>
      <c r="J868" s="634">
        <f t="shared" si="486"/>
        <v>0</v>
      </c>
    </row>
    <row r="869" spans="1:10" ht="23.4" x14ac:dyDescent="0.3">
      <c r="A869" s="274"/>
      <c r="B869" s="1051"/>
      <c r="C869" s="299" t="s">
        <v>436</v>
      </c>
      <c r="D869" s="299" t="s">
        <v>94</v>
      </c>
      <c r="E869" s="501">
        <v>17.8202</v>
      </c>
      <c r="F869" s="724">
        <f>IFERROR(E869*'01 Prod Physique Boites'!H863,"-")</f>
        <v>0</v>
      </c>
      <c r="G869" s="403">
        <f>IFERROR(E869*'01 Prod Physique Boites'!L863,"-")</f>
        <v>0</v>
      </c>
      <c r="H869" s="387">
        <v>24.93</v>
      </c>
      <c r="I869" s="730">
        <f t="shared" si="485"/>
        <v>0</v>
      </c>
      <c r="J869" s="634">
        <f t="shared" si="486"/>
        <v>0</v>
      </c>
    </row>
    <row r="870" spans="1:10" s="731" customFormat="1" ht="23.4" x14ac:dyDescent="0.3">
      <c r="A870" s="725"/>
      <c r="B870" s="1051"/>
      <c r="C870" s="726" t="s">
        <v>383</v>
      </c>
      <c r="D870" s="726" t="s">
        <v>384</v>
      </c>
      <c r="E870" s="727">
        <v>16.345199999999998</v>
      </c>
      <c r="F870" s="724">
        <f>IFERROR(E870*'01 Prod Physique Boites'!H864,"-")</f>
        <v>0</v>
      </c>
      <c r="G870" s="728">
        <f>IFERROR(E870*'01 Prod Physique Boites'!L864,"-")</f>
        <v>0</v>
      </c>
      <c r="H870" s="729">
        <v>23.78</v>
      </c>
      <c r="I870" s="730">
        <f t="shared" si="485"/>
        <v>0</v>
      </c>
      <c r="J870" s="634">
        <f t="shared" si="486"/>
        <v>0</v>
      </c>
    </row>
    <row r="871" spans="1:10" s="731" customFormat="1" ht="23.4" x14ac:dyDescent="0.3">
      <c r="A871" s="725"/>
      <c r="B871" s="1051"/>
      <c r="C871" s="299" t="s">
        <v>433</v>
      </c>
      <c r="D871" s="299" t="s">
        <v>178</v>
      </c>
      <c r="E871" s="727">
        <v>16.7288</v>
      </c>
      <c r="F871" s="724">
        <f>IFERROR(E871*'01 Prod Physique Boites'!H865,"-")</f>
        <v>0</v>
      </c>
      <c r="G871" s="728">
        <f>IFERROR(E871*'01 Prod Physique Boites'!L865,"-")</f>
        <v>0</v>
      </c>
      <c r="H871" s="729">
        <v>25.49</v>
      </c>
      <c r="I871" s="730">
        <f t="shared" si="485"/>
        <v>0</v>
      </c>
      <c r="J871" s="634">
        <f t="shared" si="486"/>
        <v>0</v>
      </c>
    </row>
    <row r="872" spans="1:10" ht="24" thickBot="1" x14ac:dyDescent="0.35">
      <c r="A872" s="274" t="s">
        <v>101</v>
      </c>
      <c r="B872" s="1051"/>
      <c r="C872" s="300" t="s">
        <v>290</v>
      </c>
      <c r="D872" s="299" t="s">
        <v>289</v>
      </c>
      <c r="E872" s="501">
        <v>12.6997</v>
      </c>
      <c r="F872" s="402">
        <f>IFERROR(E872*'01 Prod Physique Boites'!H866,"-")</f>
        <v>0</v>
      </c>
      <c r="G872" s="728">
        <f>IFERROR(E872*'01 Prod Physique Boites'!L866,"-")</f>
        <v>0</v>
      </c>
      <c r="H872" s="387">
        <v>13.25</v>
      </c>
      <c r="I872" s="730">
        <f t="shared" si="485"/>
        <v>0</v>
      </c>
      <c r="J872" s="634">
        <f t="shared" si="486"/>
        <v>0</v>
      </c>
    </row>
    <row r="873" spans="1:10" ht="24" thickBot="1" x14ac:dyDescent="0.35">
      <c r="A873" s="274" t="s">
        <v>101</v>
      </c>
      <c r="B873" s="1052"/>
      <c r="C873" s="301"/>
      <c r="D873" s="302" t="s">
        <v>52</v>
      </c>
      <c r="E873" s="390"/>
      <c r="F873" s="406">
        <f>SUM(F863:F872)</f>
        <v>522995.61600000004</v>
      </c>
      <c r="G873" s="407">
        <f>SUM(G863:G872)</f>
        <v>10432871.4672</v>
      </c>
      <c r="H873" s="391"/>
      <c r="I873" s="406">
        <f>SUM(I863:I872)</f>
        <v>892543.86</v>
      </c>
      <c r="J873" s="425">
        <f>SUM(J863:J872)</f>
        <v>14665772.160000002</v>
      </c>
    </row>
    <row r="874" spans="1:10" ht="23.4" x14ac:dyDescent="0.3">
      <c r="A874" s="274" t="s">
        <v>101</v>
      </c>
      <c r="B874" s="1053" t="s">
        <v>28</v>
      </c>
      <c r="C874" s="299" t="s">
        <v>27</v>
      </c>
      <c r="D874" s="297" t="s">
        <v>492</v>
      </c>
      <c r="E874" s="504">
        <v>17.8202</v>
      </c>
      <c r="F874" s="402">
        <f>IFERROR(E874*'01 Prod Physique Boites'!H868,"-")</f>
        <v>141777.51120000001</v>
      </c>
      <c r="G874" s="403">
        <f>IFERROR(E874*'01 Prod Physique Boites'!L868,"-")</f>
        <v>2977327.7352</v>
      </c>
      <c r="H874" s="381">
        <v>26.75</v>
      </c>
      <c r="I874" s="419">
        <f t="shared" ref="I874:I880" si="487">IFERROR(H874*(F874/E874),"-")</f>
        <v>212823.00000000003</v>
      </c>
      <c r="J874" s="632">
        <f t="shared" ref="J874:J875" si="488">IFERROR(H874*(G874/E874),"-")</f>
        <v>4469283</v>
      </c>
    </row>
    <row r="875" spans="1:10" ht="23.4" x14ac:dyDescent="0.3">
      <c r="A875" s="274" t="s">
        <v>101</v>
      </c>
      <c r="B875" s="1051"/>
      <c r="C875" s="299" t="s">
        <v>386</v>
      </c>
      <c r="D875" s="299" t="s">
        <v>334</v>
      </c>
      <c r="E875" s="711">
        <v>16.7288</v>
      </c>
      <c r="F875" s="402">
        <f>IFERROR(E875*'01 Prod Physique Boites'!H869,"-")</f>
        <v>0</v>
      </c>
      <c r="G875" s="728">
        <f>IFERROR(E875*'01 Prod Physique Boites'!L869,"-")</f>
        <v>1597131.9935999999</v>
      </c>
      <c r="H875" s="708">
        <v>20.76</v>
      </c>
      <c r="I875" s="421">
        <f t="shared" si="487"/>
        <v>0</v>
      </c>
      <c r="J875" s="633">
        <f t="shared" si="488"/>
        <v>1981998.7200000002</v>
      </c>
    </row>
    <row r="876" spans="1:10" ht="23.4" x14ac:dyDescent="0.3">
      <c r="A876" s="274" t="s">
        <v>101</v>
      </c>
      <c r="B876" s="1051"/>
      <c r="C876" s="299" t="s">
        <v>385</v>
      </c>
      <c r="D876" s="299" t="s">
        <v>334</v>
      </c>
      <c r="E876" s="501">
        <v>17.8202</v>
      </c>
      <c r="F876" s="402">
        <f>IFERROR(E876*'01 Prod Physique Boites'!H870,"-")</f>
        <v>0</v>
      </c>
      <c r="G876" s="403">
        <f>IFERROR(E876*'01 Prod Physique Boites'!L870,"-")</f>
        <v>0</v>
      </c>
      <c r="H876" s="385">
        <v>21.22</v>
      </c>
      <c r="I876" s="421">
        <f t="shared" si="487"/>
        <v>0</v>
      </c>
      <c r="J876" s="633">
        <f>IFERROR(H876*(G876/E876),"-")</f>
        <v>0</v>
      </c>
    </row>
    <row r="877" spans="1:10" ht="23.4" x14ac:dyDescent="0.3">
      <c r="A877" s="274"/>
      <c r="B877" s="1051"/>
      <c r="C877" s="299" t="s">
        <v>460</v>
      </c>
      <c r="D877" s="299" t="s">
        <v>334</v>
      </c>
      <c r="E877" s="501">
        <v>14.608000000000001</v>
      </c>
      <c r="F877" s="402">
        <f>IFERROR(E877*'01 Prod Physique Boites'!H871,"-")</f>
        <v>58110.624000000003</v>
      </c>
      <c r="G877" s="403">
        <f>IFERROR(E877*'01 Prod Physique Boites'!L871,"-")</f>
        <v>58110.624000000003</v>
      </c>
      <c r="H877" s="385">
        <v>21.22</v>
      </c>
      <c r="I877" s="421">
        <f t="shared" si="487"/>
        <v>84413.159999999989</v>
      </c>
      <c r="J877" s="633">
        <f>IFERROR(H877*(G877/E877),"-")</f>
        <v>84413.159999999989</v>
      </c>
    </row>
    <row r="878" spans="1:10" ht="23.4" x14ac:dyDescent="0.3">
      <c r="A878" s="274"/>
      <c r="B878" s="1051"/>
      <c r="C878" s="299" t="s">
        <v>383</v>
      </c>
      <c r="D878" s="299" t="s">
        <v>384</v>
      </c>
      <c r="E878" s="711">
        <v>16.345199999999998</v>
      </c>
      <c r="F878" s="402">
        <f>IFERROR(E878*'01 Prod Physique Boites'!H872,"-")</f>
        <v>0</v>
      </c>
      <c r="G878" s="403">
        <f>IFERROR(E878*'01 Prod Physique Boites'!L872,"-")</f>
        <v>0</v>
      </c>
      <c r="H878" s="385">
        <v>23.78</v>
      </c>
      <c r="I878" s="423">
        <f t="shared" si="487"/>
        <v>0</v>
      </c>
      <c r="J878" s="634">
        <f t="shared" ref="J878:J880" si="489">IFERROR(H878*(G878/E878),"-")</f>
        <v>0</v>
      </c>
    </row>
    <row r="879" spans="1:10" ht="23.4" x14ac:dyDescent="0.3">
      <c r="A879" s="274"/>
      <c r="B879" s="1051"/>
      <c r="C879" s="299" t="s">
        <v>458</v>
      </c>
      <c r="D879" s="300" t="s">
        <v>280</v>
      </c>
      <c r="E879" s="711">
        <v>17.8202</v>
      </c>
      <c r="F879" s="402">
        <f>IFERROR(E879*'01 Prod Physique Boites'!H873,"-")</f>
        <v>0</v>
      </c>
      <c r="G879" s="403">
        <f>IFERROR(E879*'01 Prod Physique Boites'!L873,"-")</f>
        <v>0</v>
      </c>
      <c r="H879" s="385">
        <v>24.93</v>
      </c>
      <c r="I879" s="730">
        <f t="shared" si="487"/>
        <v>0</v>
      </c>
      <c r="J879" s="634">
        <f t="shared" si="489"/>
        <v>0</v>
      </c>
    </row>
    <row r="880" spans="1:10" ht="24" thickBot="1" x14ac:dyDescent="0.35">
      <c r="A880" s="274" t="s">
        <v>101</v>
      </c>
      <c r="B880" s="1051"/>
      <c r="C880" s="299" t="s">
        <v>27</v>
      </c>
      <c r="D880" s="300" t="s">
        <v>234</v>
      </c>
      <c r="E880" s="501">
        <v>17.8202</v>
      </c>
      <c r="F880" s="402">
        <f>IFERROR(E880*'01 Prod Physique Boites'!H874,"-")</f>
        <v>0</v>
      </c>
      <c r="G880" s="403">
        <f>IFERROR(E880*'01 Prod Physique Boites'!L874,"-")</f>
        <v>0</v>
      </c>
      <c r="H880" s="385">
        <v>24.93</v>
      </c>
      <c r="I880" s="423">
        <f t="shared" si="487"/>
        <v>0</v>
      </c>
      <c r="J880" s="634">
        <f t="shared" si="489"/>
        <v>0</v>
      </c>
    </row>
    <row r="881" spans="1:10" ht="24" thickBot="1" x14ac:dyDescent="0.35">
      <c r="A881" s="274" t="s">
        <v>101</v>
      </c>
      <c r="B881" s="1051"/>
      <c r="C881" s="304"/>
      <c r="D881" s="305" t="s">
        <v>52</v>
      </c>
      <c r="E881" s="397"/>
      <c r="F881" s="414">
        <f t="shared" ref="F881:G881" si="490">SUM(F874:F880)</f>
        <v>199888.13520000002</v>
      </c>
      <c r="G881" s="415">
        <f t="shared" si="490"/>
        <v>4632570.3527999995</v>
      </c>
      <c r="H881" s="398"/>
      <c r="I881" s="414">
        <f t="shared" ref="I881:J881" si="491">SUM(I874:I880)</f>
        <v>297236.16000000003</v>
      </c>
      <c r="J881" s="430">
        <f t="shared" si="491"/>
        <v>6535694.8800000008</v>
      </c>
    </row>
    <row r="882" spans="1:10" ht="24" thickBot="1" x14ac:dyDescent="0.35">
      <c r="A882" s="823" t="s">
        <v>101</v>
      </c>
      <c r="B882" s="1054" t="s">
        <v>162</v>
      </c>
      <c r="C882" s="1055"/>
      <c r="D882" s="1056"/>
      <c r="E882" s="399"/>
      <c r="F882" s="416">
        <f t="shared" ref="F882:G882" si="492">+F873+F881</f>
        <v>722883.75120000006</v>
      </c>
      <c r="G882" s="417">
        <f t="shared" si="492"/>
        <v>15065441.82</v>
      </c>
      <c r="H882" s="400"/>
      <c r="I882" s="416">
        <f t="shared" ref="I882:J882" si="493">+I873+I881</f>
        <v>1189780.02</v>
      </c>
      <c r="J882" s="431">
        <f t="shared" si="493"/>
        <v>21201467.040000003</v>
      </c>
    </row>
    <row r="883" spans="1:10" ht="23.4" x14ac:dyDescent="0.3">
      <c r="A883" s="274" t="s">
        <v>101</v>
      </c>
      <c r="B883" s="1051" t="s">
        <v>30</v>
      </c>
      <c r="C883" s="303" t="s">
        <v>450</v>
      </c>
      <c r="D883" s="299" t="s">
        <v>334</v>
      </c>
      <c r="E883" s="736">
        <v>27.917000000000002</v>
      </c>
      <c r="F883" s="402">
        <f>IFERROR(E883*'01 Prod Physique Boites'!H877,"-")</f>
        <v>0</v>
      </c>
      <c r="G883" s="728">
        <f>IFERROR(E883*'01 Prod Physique Boites'!L877,"-")</f>
        <v>0</v>
      </c>
      <c r="H883" s="734">
        <v>33.299999999999997</v>
      </c>
      <c r="I883" s="419">
        <f>IFERROR(H883*(F883/E883),"-")</f>
        <v>0</v>
      </c>
      <c r="J883" s="420">
        <f t="shared" ref="J883:J885" si="494">IFERROR(H883*(G883/E883),"-")</f>
        <v>0</v>
      </c>
    </row>
    <row r="884" spans="1:10" ht="23.4" x14ac:dyDescent="0.3">
      <c r="A884" s="274" t="s">
        <v>101</v>
      </c>
      <c r="B884" s="1051"/>
      <c r="C884" s="300" t="s">
        <v>448</v>
      </c>
      <c r="D884" s="303" t="s">
        <v>384</v>
      </c>
      <c r="E884" s="733">
        <v>28.526700000000002</v>
      </c>
      <c r="F884" s="402">
        <f>IFERROR(E884*'01 Prod Physique Boites'!H878,"-")</f>
        <v>0</v>
      </c>
      <c r="G884" s="728">
        <f>IFERROR(E884*'01 Prod Physique Boites'!L878,"-")</f>
        <v>0</v>
      </c>
      <c r="H884" s="735">
        <v>37.89</v>
      </c>
      <c r="I884" s="421">
        <f>IFERROR(H884*(F884/E884),"-")</f>
        <v>0</v>
      </c>
      <c r="J884" s="422">
        <f t="shared" si="494"/>
        <v>0</v>
      </c>
    </row>
    <row r="885" spans="1:10" ht="24" thickBot="1" x14ac:dyDescent="0.35">
      <c r="A885" s="274" t="s">
        <v>101</v>
      </c>
      <c r="B885" s="1051"/>
      <c r="C885" s="300" t="s">
        <v>291</v>
      </c>
      <c r="D885" s="300" t="s">
        <v>384</v>
      </c>
      <c r="E885" s="501">
        <v>25.751300000000001</v>
      </c>
      <c r="F885" s="724">
        <f>IFERROR(E885*'01 Prod Physique Boites'!H879,"-")</f>
        <v>0</v>
      </c>
      <c r="G885" s="728">
        <f>IFERROR(E885*'01 Prod Physique Boites'!L879,"-")</f>
        <v>0</v>
      </c>
      <c r="H885" s="387">
        <v>37.89</v>
      </c>
      <c r="I885" s="423">
        <f>IFERROR(H885*(F885/E885),"-")</f>
        <v>0</v>
      </c>
      <c r="J885" s="424">
        <f t="shared" si="494"/>
        <v>0</v>
      </c>
    </row>
    <row r="886" spans="1:10" ht="24" thickBot="1" x14ac:dyDescent="0.35">
      <c r="A886" s="274" t="s">
        <v>101</v>
      </c>
      <c r="B886" s="1051"/>
      <c r="C886" s="301"/>
      <c r="D886" s="302" t="s">
        <v>50</v>
      </c>
      <c r="E886" s="390"/>
      <c r="F886" s="406">
        <f t="shared" ref="F886:G886" si="495">SUM(F883:F885)</f>
        <v>0</v>
      </c>
      <c r="G886" s="407">
        <f t="shared" si="495"/>
        <v>0</v>
      </c>
      <c r="H886" s="391"/>
      <c r="I886" s="406">
        <f t="shared" ref="I886" si="496">SUM(I883:I885)</f>
        <v>0</v>
      </c>
      <c r="J886" s="425">
        <f>SUM(J883:J885)</f>
        <v>0</v>
      </c>
    </row>
    <row r="887" spans="1:10" ht="23.4" x14ac:dyDescent="0.3">
      <c r="A887" s="274" t="s">
        <v>101</v>
      </c>
      <c r="B887" s="1051"/>
      <c r="C887" s="297" t="s">
        <v>439</v>
      </c>
      <c r="D887" s="297" t="s">
        <v>92</v>
      </c>
      <c r="E887" s="504">
        <v>24.2607</v>
      </c>
      <c r="F887" s="402">
        <f>IFERROR(E887*'01 Prod Physique Boites'!H881,"-")</f>
        <v>0</v>
      </c>
      <c r="G887" s="728">
        <f>IFERROR(E887*'01 Prod Physique Boites'!L881,"-")</f>
        <v>0</v>
      </c>
      <c r="H887" s="381">
        <v>28.31</v>
      </c>
      <c r="I887" s="638">
        <f>IFERROR(H887*(F887/E887),"-")</f>
        <v>0</v>
      </c>
      <c r="J887" s="420">
        <f t="shared" ref="J887:J892" si="497">IFERROR(H887*(G887/E887),"-")</f>
        <v>0</v>
      </c>
    </row>
    <row r="888" spans="1:10" ht="23.4" x14ac:dyDescent="0.3">
      <c r="A888" s="274"/>
      <c r="B888" s="1051"/>
      <c r="C888" s="303" t="s">
        <v>449</v>
      </c>
      <c r="D888" s="299" t="s">
        <v>334</v>
      </c>
      <c r="E888" s="504">
        <v>24.2607</v>
      </c>
      <c r="F888" s="402">
        <f>IFERROR(E888*'01 Prod Physique Boites'!H882,"-")</f>
        <v>0</v>
      </c>
      <c r="G888" s="728">
        <f>IFERROR(E888*'01 Prod Physique Boites'!L882,"-")</f>
        <v>0</v>
      </c>
      <c r="H888" s="381">
        <v>28.88</v>
      </c>
      <c r="I888" s="638">
        <f t="shared" ref="I888:I892" si="498">IFERROR(H888*(F888/E888),"-")</f>
        <v>0</v>
      </c>
      <c r="J888" s="420">
        <f t="shared" si="497"/>
        <v>0</v>
      </c>
    </row>
    <row r="889" spans="1:10" ht="23.4" x14ac:dyDescent="0.3">
      <c r="A889" s="274"/>
      <c r="B889" s="1051"/>
      <c r="C889" s="303" t="s">
        <v>452</v>
      </c>
      <c r="D889" s="299" t="s">
        <v>334</v>
      </c>
      <c r="E889" s="504">
        <v>25.4041</v>
      </c>
      <c r="F889" s="402">
        <f>IFERROR(E889*'01 Prod Physique Boites'!H883,"-")</f>
        <v>0</v>
      </c>
      <c r="G889" s="728">
        <f>IFERROR(E889*'01 Prod Physique Boites'!L883,"-")</f>
        <v>0</v>
      </c>
      <c r="H889" s="381">
        <v>28.21</v>
      </c>
      <c r="I889" s="638">
        <f t="shared" si="498"/>
        <v>0</v>
      </c>
      <c r="J889" s="420">
        <f t="shared" si="497"/>
        <v>0</v>
      </c>
    </row>
    <row r="890" spans="1:10" ht="23.4" x14ac:dyDescent="0.3">
      <c r="A890" s="274" t="s">
        <v>101</v>
      </c>
      <c r="B890" s="1051"/>
      <c r="C890" s="303" t="s">
        <v>501</v>
      </c>
      <c r="D890" s="300" t="s">
        <v>423</v>
      </c>
      <c r="E890" s="505">
        <v>23.697399999999998</v>
      </c>
      <c r="F890" s="724">
        <f>IFERROR(E890*'01 Prod Physique Boites'!H884,"-")</f>
        <v>0</v>
      </c>
      <c r="G890" s="728">
        <f>IFERROR(E890*'01 Prod Physique Boites'!L884,"-")</f>
        <v>177446.13119999997</v>
      </c>
      <c r="H890" s="385">
        <v>28.21</v>
      </c>
      <c r="I890" s="638">
        <f t="shared" si="498"/>
        <v>0</v>
      </c>
      <c r="J890" s="420">
        <f t="shared" si="497"/>
        <v>211236.47999999998</v>
      </c>
    </row>
    <row r="891" spans="1:10" ht="23.4" x14ac:dyDescent="0.3">
      <c r="A891" s="274"/>
      <c r="B891" s="1051"/>
      <c r="C891" s="300" t="s">
        <v>459</v>
      </c>
      <c r="D891" s="300" t="s">
        <v>366</v>
      </c>
      <c r="E891" s="501">
        <v>22.094999999999999</v>
      </c>
      <c r="F891" s="724">
        <f>IFERROR(E891*'01 Prod Physique Boites'!H885,"-")</f>
        <v>0</v>
      </c>
      <c r="G891" s="728">
        <f>IFERROR(E891*'01 Prod Physique Boites'!L885,"-")</f>
        <v>0</v>
      </c>
      <c r="H891" s="745">
        <v>37.11</v>
      </c>
      <c r="I891" s="638">
        <f t="shared" si="498"/>
        <v>0</v>
      </c>
      <c r="J891" s="420">
        <f t="shared" si="497"/>
        <v>0</v>
      </c>
    </row>
    <row r="892" spans="1:10" ht="24" thickBot="1" x14ac:dyDescent="0.35">
      <c r="A892" s="274" t="s">
        <v>101</v>
      </c>
      <c r="B892" s="1051"/>
      <c r="C892" s="300" t="s">
        <v>438</v>
      </c>
      <c r="D892" s="300" t="s">
        <v>423</v>
      </c>
      <c r="E892" s="501">
        <v>23.697399999999998</v>
      </c>
      <c r="F892" s="402">
        <f>IFERROR(E892*'01 Prod Physique Boites'!H886,"-")</f>
        <v>0</v>
      </c>
      <c r="G892" s="403">
        <f>IFERROR(E892*'01 Prod Physique Boites'!L886,"-")</f>
        <v>0</v>
      </c>
      <c r="H892" s="387">
        <v>28.21</v>
      </c>
      <c r="I892" s="638">
        <f t="shared" si="498"/>
        <v>0</v>
      </c>
      <c r="J892" s="420">
        <f t="shared" si="497"/>
        <v>0</v>
      </c>
    </row>
    <row r="893" spans="1:10" ht="24" thickBot="1" x14ac:dyDescent="0.35">
      <c r="A893" s="274" t="s">
        <v>101</v>
      </c>
      <c r="B893" s="1051"/>
      <c r="C893" s="304"/>
      <c r="D893" s="305" t="s">
        <v>51</v>
      </c>
      <c r="E893" s="397"/>
      <c r="F893" s="414">
        <f t="shared" ref="F893:G893" si="499">SUM(F887:F892)</f>
        <v>0</v>
      </c>
      <c r="G893" s="415">
        <f t="shared" si="499"/>
        <v>177446.13119999997</v>
      </c>
      <c r="H893" s="398"/>
      <c r="I893" s="414">
        <f t="shared" ref="I893" si="500">SUM(I887:I892)</f>
        <v>0</v>
      </c>
      <c r="J893" s="430">
        <f>SUM(J887:J892)</f>
        <v>211236.47999999998</v>
      </c>
    </row>
    <row r="894" spans="1:10" ht="24" thickBot="1" x14ac:dyDescent="0.35">
      <c r="A894" s="274" t="s">
        <v>101</v>
      </c>
      <c r="B894" s="1054" t="s">
        <v>163</v>
      </c>
      <c r="C894" s="1055"/>
      <c r="D894" s="1056"/>
      <c r="E894" s="399"/>
      <c r="F894" s="416">
        <f t="shared" ref="F894:G894" si="501">+F886+F893</f>
        <v>0</v>
      </c>
      <c r="G894" s="417">
        <f t="shared" si="501"/>
        <v>177446.13119999997</v>
      </c>
      <c r="H894" s="400"/>
      <c r="I894" s="416">
        <f t="shared" ref="I894:J894" si="502">+I886+I893</f>
        <v>0</v>
      </c>
      <c r="J894" s="431">
        <f t="shared" si="502"/>
        <v>211236.47999999998</v>
      </c>
    </row>
    <row r="895" spans="1:10" ht="24" thickBot="1" x14ac:dyDescent="0.35">
      <c r="A895" s="274" t="s">
        <v>101</v>
      </c>
      <c r="B895" s="599" t="s">
        <v>32</v>
      </c>
      <c r="C895" s="819"/>
      <c r="D895" s="310"/>
      <c r="E895" s="506">
        <v>12.2659</v>
      </c>
      <c r="F895" s="408">
        <f>IFERROR(E895*'01 Prod Physique Boites'!H889,"-")</f>
        <v>0</v>
      </c>
      <c r="G895" s="409">
        <f>IFERROR(E895*'01 Prod Physique Boites'!L889,"-")</f>
        <v>0</v>
      </c>
      <c r="H895" s="392"/>
      <c r="I895" s="426">
        <f>IFERROR(H895*(F895/E895),"-")</f>
        <v>0</v>
      </c>
      <c r="J895" s="427">
        <f>IFERROR(H895*(G895/E895),"-")</f>
        <v>0</v>
      </c>
    </row>
    <row r="896" spans="1:10" ht="24" thickBot="1" x14ac:dyDescent="0.35">
      <c r="A896" s="274" t="s">
        <v>101</v>
      </c>
      <c r="B896" s="1047" t="s">
        <v>21</v>
      </c>
      <c r="C896" s="1048"/>
      <c r="D896" s="1049"/>
      <c r="E896" s="393"/>
      <c r="F896" s="410">
        <f t="shared" ref="F896" si="503">+F882+F894+F895</f>
        <v>722883.75120000006</v>
      </c>
      <c r="G896" s="411">
        <f>+G882+G894+G895</f>
        <v>15242887.951200001</v>
      </c>
      <c r="H896" s="394"/>
      <c r="I896" s="410">
        <f t="shared" ref="I896:J896" si="504">+I882+I894+I895</f>
        <v>1189780.02</v>
      </c>
      <c r="J896" s="428">
        <f t="shared" si="504"/>
        <v>21412703.520000003</v>
      </c>
    </row>
    <row r="897" spans="1:10" ht="24" thickBot="1" x14ac:dyDescent="0.35">
      <c r="A897" s="274" t="s">
        <v>101</v>
      </c>
      <c r="B897" s="1019" t="s">
        <v>171</v>
      </c>
      <c r="C897" s="1020"/>
      <c r="D897" s="1021"/>
      <c r="E897" s="395"/>
      <c r="F897" s="412">
        <f t="shared" ref="F897:G897" si="505">+F896</f>
        <v>722883.75120000006</v>
      </c>
      <c r="G897" s="413">
        <f t="shared" si="505"/>
        <v>15242887.951200001</v>
      </c>
      <c r="H897" s="396"/>
      <c r="I897" s="412">
        <f t="shared" ref="I897:J897" si="506">+I896</f>
        <v>1189780.02</v>
      </c>
      <c r="J897" s="429">
        <f t="shared" si="506"/>
        <v>21412703.520000003</v>
      </c>
    </row>
    <row r="898" spans="1:10" ht="23.4" x14ac:dyDescent="0.3">
      <c r="A898" s="268" t="s">
        <v>102</v>
      </c>
      <c r="B898" s="1022" t="s">
        <v>401</v>
      </c>
      <c r="C898" s="311" t="s">
        <v>113</v>
      </c>
      <c r="D898" s="311"/>
      <c r="E898" s="709">
        <v>254.89750000000001</v>
      </c>
      <c r="F898" s="402">
        <f>IFERROR(E898*'01 Prod Physique Boites'!H892,"-")</f>
        <v>0</v>
      </c>
      <c r="G898" s="403">
        <f>IFERROR(E898*'01 Prod Physique Boites'!L892,"-")</f>
        <v>0</v>
      </c>
      <c r="H898" s="381">
        <v>445.38</v>
      </c>
      <c r="I898" s="419">
        <f>IFERROR(H898*(F898/E898),"-")</f>
        <v>0</v>
      </c>
      <c r="J898" s="420">
        <f t="shared" ref="J898:J900" si="507">IFERROR(H898*(G898/E898),"-")</f>
        <v>0</v>
      </c>
    </row>
    <row r="899" spans="1:10" ht="23.4" x14ac:dyDescent="0.3">
      <c r="A899" s="274" t="s">
        <v>102</v>
      </c>
      <c r="B899" s="1023"/>
      <c r="C899" s="312" t="s">
        <v>247</v>
      </c>
      <c r="D899" s="312"/>
      <c r="E899" s="503">
        <v>246.51390000000001</v>
      </c>
      <c r="F899" s="402">
        <f>IFERROR(E899*'01 Prod Physique Boites'!H893,"-")</f>
        <v>0</v>
      </c>
      <c r="G899" s="403">
        <f>IFERROR(E899*'01 Prod Physique Boites'!L893,"-")</f>
        <v>2169322.3199999998</v>
      </c>
      <c r="H899" s="385">
        <v>430.02</v>
      </c>
      <c r="I899" s="421">
        <f>IFERROR(H899*(F899/E899),"-")</f>
        <v>0</v>
      </c>
      <c r="J899" s="422">
        <f t="shared" si="507"/>
        <v>3784175.9999999991</v>
      </c>
    </row>
    <row r="900" spans="1:10" ht="24" thickBot="1" x14ac:dyDescent="0.35">
      <c r="A900" s="274" t="s">
        <v>102</v>
      </c>
      <c r="B900" s="1024"/>
      <c r="C900" s="313" t="s">
        <v>33</v>
      </c>
      <c r="D900" s="313"/>
      <c r="E900" s="500">
        <v>225.7713</v>
      </c>
      <c r="F900" s="402">
        <f>IFERROR(E900*'01 Prod Physique Boites'!H894,"-")</f>
        <v>0</v>
      </c>
      <c r="G900" s="403">
        <f>IFERROR(E900*'01 Prod Physique Boites'!L894,"-")</f>
        <v>0</v>
      </c>
      <c r="H900" s="387"/>
      <c r="I900" s="423">
        <f>IFERROR(H900*(F900/E900),"-")</f>
        <v>0</v>
      </c>
      <c r="J900" s="424">
        <f t="shared" si="507"/>
        <v>0</v>
      </c>
    </row>
    <row r="901" spans="1:10" ht="24" thickBot="1" x14ac:dyDescent="0.35">
      <c r="A901" s="274" t="s">
        <v>102</v>
      </c>
      <c r="B901" s="1025" t="s">
        <v>34</v>
      </c>
      <c r="C901" s="1026"/>
      <c r="D901" s="1027"/>
      <c r="E901" s="390"/>
      <c r="F901" s="406">
        <f t="shared" ref="F901:G901" si="508">SUM(F898:F900)</f>
        <v>0</v>
      </c>
      <c r="G901" s="407">
        <f t="shared" si="508"/>
        <v>2169322.3199999998</v>
      </c>
      <c r="H901" s="391"/>
      <c r="I901" s="406">
        <f t="shared" ref="I901:J901" si="509">SUM(I898:I900)</f>
        <v>0</v>
      </c>
      <c r="J901" s="425">
        <f t="shared" si="509"/>
        <v>3784175.9999999991</v>
      </c>
    </row>
    <row r="902" spans="1:10" ht="23.4" x14ac:dyDescent="0.3">
      <c r="A902" s="274" t="s">
        <v>102</v>
      </c>
      <c r="B902" s="1022" t="s">
        <v>35</v>
      </c>
      <c r="C902" s="311" t="s">
        <v>113</v>
      </c>
      <c r="D902" s="311"/>
      <c r="E902" s="502">
        <v>254.89750000000001</v>
      </c>
      <c r="F902" s="402">
        <f>IFERROR(E902*'01 Prod Physique Boites'!H896,"-")</f>
        <v>0</v>
      </c>
      <c r="G902" s="403">
        <f>IFERROR(E902*'01 Prod Physique Boites'!L896,"-")</f>
        <v>0</v>
      </c>
      <c r="H902" s="381">
        <v>445.38</v>
      </c>
      <c r="I902" s="419">
        <f>IFERROR(H902*(F902/E902),"-")</f>
        <v>0</v>
      </c>
      <c r="J902" s="420">
        <f t="shared" ref="J902:J905" si="510">IFERROR(H902*(G902/E902),"-")</f>
        <v>0</v>
      </c>
    </row>
    <row r="903" spans="1:10" ht="23.4" x14ac:dyDescent="0.3">
      <c r="A903" s="274" t="s">
        <v>102</v>
      </c>
      <c r="B903" s="1023"/>
      <c r="C903" s="312" t="s">
        <v>247</v>
      </c>
      <c r="D903" s="312"/>
      <c r="E903" s="503">
        <v>246.51390000000001</v>
      </c>
      <c r="F903" s="402">
        <f>IFERROR(E903*'01 Prod Physique Boites'!H897,"-")</f>
        <v>0</v>
      </c>
      <c r="G903" s="403">
        <f>IFERROR(E903*'01 Prod Physique Boites'!L897,"-")</f>
        <v>0</v>
      </c>
      <c r="H903" s="385">
        <v>430.02</v>
      </c>
      <c r="I903" s="421">
        <f>IFERROR(H903*(F903/E903),"-")</f>
        <v>0</v>
      </c>
      <c r="J903" s="422">
        <f t="shared" si="510"/>
        <v>0</v>
      </c>
    </row>
    <row r="904" spans="1:10" ht="23.4" x14ac:dyDescent="0.3">
      <c r="A904" s="274" t="s">
        <v>102</v>
      </c>
      <c r="B904" s="1023"/>
      <c r="C904" s="312" t="s">
        <v>184</v>
      </c>
      <c r="D904" s="312" t="s">
        <v>183</v>
      </c>
      <c r="E904" s="503">
        <v>254.89750000000001</v>
      </c>
      <c r="F904" s="402">
        <f>IFERROR(E904*'01 Prod Physique Boites'!H898,"-")</f>
        <v>0</v>
      </c>
      <c r="G904" s="403">
        <f>IFERROR(E904*'01 Prod Physique Boites'!L898,"-")</f>
        <v>0</v>
      </c>
      <c r="H904" s="385"/>
      <c r="I904" s="421">
        <f>IFERROR(H904*(F904/E904),"-")</f>
        <v>0</v>
      </c>
      <c r="J904" s="422">
        <f t="shared" si="510"/>
        <v>0</v>
      </c>
    </row>
    <row r="905" spans="1:10" ht="24" thickBot="1" x14ac:dyDescent="0.35">
      <c r="A905" s="274" t="s">
        <v>102</v>
      </c>
      <c r="B905" s="1024"/>
      <c r="C905" s="313" t="s">
        <v>36</v>
      </c>
      <c r="D905" s="313"/>
      <c r="E905" s="500">
        <v>229.99359999999999</v>
      </c>
      <c r="F905" s="402">
        <f>IFERROR(E905*'01 Prod Physique Boites'!H899,"-")</f>
        <v>0</v>
      </c>
      <c r="G905" s="403">
        <f>IFERROR(E905*'01 Prod Physique Boites'!L899,"-")</f>
        <v>0</v>
      </c>
      <c r="H905" s="387"/>
      <c r="I905" s="423">
        <f>IFERROR(H905*(F905/E905),"-")</f>
        <v>0</v>
      </c>
      <c r="J905" s="424">
        <f t="shared" si="510"/>
        <v>0</v>
      </c>
    </row>
    <row r="906" spans="1:10" ht="24" thickBot="1" x14ac:dyDescent="0.35">
      <c r="A906" s="274" t="s">
        <v>102</v>
      </c>
      <c r="B906" s="1025" t="s">
        <v>37</v>
      </c>
      <c r="C906" s="1026"/>
      <c r="D906" s="1027"/>
      <c r="E906" s="390"/>
      <c r="F906" s="406">
        <f t="shared" ref="F906:G906" si="511">SUM(F902:F905)</f>
        <v>0</v>
      </c>
      <c r="G906" s="407">
        <f t="shared" si="511"/>
        <v>0</v>
      </c>
      <c r="H906" s="391"/>
      <c r="I906" s="406">
        <f>SUM(I902:I905)</f>
        <v>0</v>
      </c>
      <c r="J906" s="425">
        <f>SUM(J902:J905)</f>
        <v>0</v>
      </c>
    </row>
    <row r="907" spans="1:10" ht="23.4" x14ac:dyDescent="0.3">
      <c r="A907" s="274" t="s">
        <v>102</v>
      </c>
      <c r="B907" s="1022" t="s">
        <v>402</v>
      </c>
      <c r="C907" s="314" t="s">
        <v>116</v>
      </c>
      <c r="D907" s="314"/>
      <c r="E907" s="502">
        <v>195.2808</v>
      </c>
      <c r="F907" s="402">
        <f>IFERROR(E907*'01 Prod Physique Boites'!H901,"-")</f>
        <v>0</v>
      </c>
      <c r="G907" s="403">
        <f>IFERROR(E907*'01 Prod Physique Boites'!L901,"-")</f>
        <v>0</v>
      </c>
      <c r="H907" s="681">
        <v>256.7</v>
      </c>
      <c r="I907" s="419">
        <f>IFERROR(H907*(F907/E907),"-")</f>
        <v>0</v>
      </c>
      <c r="J907" s="420">
        <f t="shared" ref="J907:J908" si="512">IFERROR(H907*(G907/E907),"-")</f>
        <v>0</v>
      </c>
    </row>
    <row r="908" spans="1:10" ht="24" thickBot="1" x14ac:dyDescent="0.35">
      <c r="A908" s="274" t="s">
        <v>102</v>
      </c>
      <c r="B908" s="1024"/>
      <c r="C908" s="286" t="s">
        <v>132</v>
      </c>
      <c r="D908" s="286"/>
      <c r="E908" s="500">
        <v>189.91890000000001</v>
      </c>
      <c r="F908" s="402">
        <f>IFERROR(E908*'01 Prod Physique Boites'!H902,"-")</f>
        <v>835643.16</v>
      </c>
      <c r="G908" s="403">
        <f>IFERROR(E908*'01 Prod Physique Boites'!L902,"-")</f>
        <v>3055795.1010000003</v>
      </c>
      <c r="H908" s="387">
        <v>320.35000000000002</v>
      </c>
      <c r="I908" s="423">
        <f>IFERROR(H908*(F908/E908),"-")</f>
        <v>1409540</v>
      </c>
      <c r="J908" s="424">
        <f t="shared" si="512"/>
        <v>5154431.5</v>
      </c>
    </row>
    <row r="909" spans="1:10" ht="24" thickBot="1" x14ac:dyDescent="0.35">
      <c r="A909" s="823" t="s">
        <v>102</v>
      </c>
      <c r="B909" s="1025" t="s">
        <v>38</v>
      </c>
      <c r="C909" s="1026"/>
      <c r="D909" s="1027"/>
      <c r="E909" s="390"/>
      <c r="F909" s="406">
        <f>SUM(F907:F908)</f>
        <v>835643.16</v>
      </c>
      <c r="G909" s="407">
        <f t="shared" ref="G909" si="513">SUM(G907:G908)</f>
        <v>3055795.1010000003</v>
      </c>
      <c r="H909" s="391"/>
      <c r="I909" s="406">
        <f t="shared" ref="I909:J909" si="514">SUM(I907:I908)</f>
        <v>1409540</v>
      </c>
      <c r="J909" s="425">
        <f t="shared" si="514"/>
        <v>5154431.5</v>
      </c>
    </row>
    <row r="910" spans="1:10" ht="23.4" x14ac:dyDescent="0.3">
      <c r="A910" s="274" t="s">
        <v>102</v>
      </c>
      <c r="B910" s="1022" t="s">
        <v>403</v>
      </c>
      <c r="C910" s="269" t="s">
        <v>306</v>
      </c>
      <c r="D910" s="269" t="s">
        <v>238</v>
      </c>
      <c r="E910" s="504">
        <v>37.248699999999999</v>
      </c>
      <c r="F910" s="402">
        <f>IFERROR(E910*'01 Prod Physique Boites'!H904,"-")</f>
        <v>1229207.1000000001</v>
      </c>
      <c r="G910" s="403">
        <f>IFERROR(E910*'01 Prod Physique Boites'!L904,"-")</f>
        <v>5992719.8508000001</v>
      </c>
      <c r="H910" s="381">
        <v>71.44</v>
      </c>
      <c r="I910" s="419">
        <f>IFERROR(H910*(F910/E910),"-")</f>
        <v>2357520</v>
      </c>
      <c r="J910" s="420">
        <f>IFERROR(H910*(G910/E910),"-")</f>
        <v>11493552.959999999</v>
      </c>
    </row>
    <row r="911" spans="1:10" ht="23.4" x14ac:dyDescent="0.3">
      <c r="A911" s="274" t="s">
        <v>102</v>
      </c>
      <c r="B911" s="1023"/>
      <c r="C911" s="269" t="s">
        <v>156</v>
      </c>
      <c r="D911" s="275"/>
      <c r="E911" s="504">
        <v>37.248699999999999</v>
      </c>
      <c r="F911" s="402">
        <f>IFERROR(E911*'01 Prod Physique Boites'!H905,"-")</f>
        <v>0</v>
      </c>
      <c r="G911" s="403">
        <f>IFERROR(E911*'01 Prod Physique Boites'!L905,"-")</f>
        <v>0</v>
      </c>
      <c r="H911" s="385"/>
      <c r="I911" s="421">
        <f>IFERROR(H911*(F911/E911),"-")</f>
        <v>0</v>
      </c>
      <c r="J911" s="422">
        <f t="shared" ref="J911:J913" si="515">IFERROR(H911*(G911/E911),"-")</f>
        <v>0</v>
      </c>
    </row>
    <row r="912" spans="1:10" ht="23.4" x14ac:dyDescent="0.3">
      <c r="A912" s="274" t="s">
        <v>102</v>
      </c>
      <c r="B912" s="1023"/>
      <c r="C912" s="275" t="s">
        <v>345</v>
      </c>
      <c r="D912" s="269" t="s">
        <v>238</v>
      </c>
      <c r="E912" s="504">
        <v>37.248699999999999</v>
      </c>
      <c r="F912" s="402">
        <f>IFERROR(E912*'01 Prod Physique Boites'!H906,"-")</f>
        <v>241818.56039999999</v>
      </c>
      <c r="G912" s="403">
        <f>IFERROR(E912*'01 Prod Physique Boites'!L906,"-")</f>
        <v>1826378.2583999999</v>
      </c>
      <c r="H912" s="385">
        <v>71.44</v>
      </c>
      <c r="I912" s="421">
        <f>IFERROR(H912*(F912/E912),"-")</f>
        <v>463788.48</v>
      </c>
      <c r="J912" s="422">
        <f t="shared" si="515"/>
        <v>3502846.08</v>
      </c>
    </row>
    <row r="913" spans="1:10" ht="24" thickBot="1" x14ac:dyDescent="0.35">
      <c r="A913" s="274" t="s">
        <v>102</v>
      </c>
      <c r="B913" s="1023"/>
      <c r="C913" s="275" t="s">
        <v>157</v>
      </c>
      <c r="D913" s="275"/>
      <c r="E913" s="505">
        <v>38.466099999999997</v>
      </c>
      <c r="F913" s="402">
        <f>IFERROR(E913*'01 Prod Physique Boites'!H907,"-")</f>
        <v>0</v>
      </c>
      <c r="G913" s="403">
        <f>IFERROR(E913*'01 Prod Physique Boites'!L907,"-")</f>
        <v>0</v>
      </c>
      <c r="H913" s="385"/>
      <c r="I913" s="421">
        <f>IFERROR(H913*(F913/E913),"-")</f>
        <v>0</v>
      </c>
      <c r="J913" s="422">
        <f t="shared" si="515"/>
        <v>0</v>
      </c>
    </row>
    <row r="914" spans="1:10" ht="24" thickBot="1" x14ac:dyDescent="0.35">
      <c r="A914" s="274" t="s">
        <v>102</v>
      </c>
      <c r="B914" s="1025" t="s">
        <v>39</v>
      </c>
      <c r="C914" s="1026"/>
      <c r="D914" s="1027"/>
      <c r="E914" s="390"/>
      <c r="F914" s="406">
        <f>SUM(F910:F913)</f>
        <v>1471025.6604000002</v>
      </c>
      <c r="G914" s="407">
        <f>SUM(G910:G913)</f>
        <v>7819098.1091999998</v>
      </c>
      <c r="H914" s="391"/>
      <c r="I914" s="406">
        <f>SUM(I910:I913)</f>
        <v>2821308.48</v>
      </c>
      <c r="J914" s="406">
        <f>SUM(J910:J913)</f>
        <v>14996399.039999999</v>
      </c>
    </row>
    <row r="915" spans="1:10" ht="23.4" x14ac:dyDescent="0.3">
      <c r="A915" s="274" t="s">
        <v>102</v>
      </c>
      <c r="B915" s="1022" t="s">
        <v>40</v>
      </c>
      <c r="C915" s="269" t="s">
        <v>186</v>
      </c>
      <c r="D915" s="269" t="s">
        <v>183</v>
      </c>
      <c r="E915" s="504">
        <v>30.7499</v>
      </c>
      <c r="F915" s="402">
        <f>IFERROR(E915*'01 Prod Physique Boites'!H910,"-")</f>
        <v>0</v>
      </c>
      <c r="G915" s="402">
        <f>IFERROR(E915*'01 Prod Physique Boites'!L910,"-")</f>
        <v>0</v>
      </c>
      <c r="H915" s="381"/>
      <c r="I915" s="419">
        <f>IFERROR(H915*(F915/E915),"-")</f>
        <v>0</v>
      </c>
      <c r="J915" s="420">
        <f>IFERROR(H915*(G915/E915),"-")</f>
        <v>0</v>
      </c>
    </row>
    <row r="916" spans="1:10" ht="23.4" x14ac:dyDescent="0.3">
      <c r="A916" s="274" t="s">
        <v>102</v>
      </c>
      <c r="B916" s="1023"/>
      <c r="C916" s="275" t="s">
        <v>159</v>
      </c>
      <c r="D916" s="275"/>
      <c r="E916" s="684">
        <v>30.073599999999999</v>
      </c>
      <c r="F916" s="402">
        <f>IFERROR(E916*'01 Prod Physique Boites'!H911,"-")</f>
        <v>0</v>
      </c>
      <c r="G916" s="403">
        <f>IFERROR(E916*'01 Prod Physique Boites'!L911,"-")</f>
        <v>342839.03999999998</v>
      </c>
      <c r="H916" s="385">
        <v>59.96</v>
      </c>
      <c r="I916" s="421">
        <f>IFERROR(H916*(F916/E916),"-")</f>
        <v>0</v>
      </c>
      <c r="J916" s="422">
        <f t="shared" ref="J916:J917" si="516">IFERROR(H916*(G916/E916),"-")</f>
        <v>683544</v>
      </c>
    </row>
    <row r="917" spans="1:10" ht="24" thickBot="1" x14ac:dyDescent="0.35">
      <c r="A917" s="274" t="s">
        <v>102</v>
      </c>
      <c r="B917" s="1024"/>
      <c r="C917" s="279" t="s">
        <v>186</v>
      </c>
      <c r="D917" s="279" t="s">
        <v>185</v>
      </c>
      <c r="E917" s="501">
        <v>30.073599999999999</v>
      </c>
      <c r="F917" s="402">
        <f>IFERROR(E917*'01 Prod Physique Boites'!H912,"-")</f>
        <v>0</v>
      </c>
      <c r="G917" s="403">
        <f>IFERROR(E917*'01 Prod Physique Boites'!L912,"-")</f>
        <v>0</v>
      </c>
      <c r="H917" s="387"/>
      <c r="I917" s="423">
        <f>IFERROR(H917*(F917/E917),"-")</f>
        <v>0</v>
      </c>
      <c r="J917" s="424">
        <f t="shared" si="516"/>
        <v>0</v>
      </c>
    </row>
    <row r="918" spans="1:10" ht="24" thickBot="1" x14ac:dyDescent="0.35">
      <c r="A918" s="274" t="s">
        <v>102</v>
      </c>
      <c r="B918" s="1034" t="s">
        <v>41</v>
      </c>
      <c r="C918" s="1035"/>
      <c r="D918" s="1036"/>
      <c r="E918" s="390"/>
      <c r="F918" s="406">
        <f t="shared" ref="F918:G918" si="517">SUM(F915:F917)</f>
        <v>0</v>
      </c>
      <c r="G918" s="407">
        <f t="shared" si="517"/>
        <v>342839.03999999998</v>
      </c>
      <c r="H918" s="391"/>
      <c r="I918" s="406">
        <f t="shared" ref="I918:J918" si="518">SUM(I915:I917)</f>
        <v>0</v>
      </c>
      <c r="J918" s="425">
        <f t="shared" si="518"/>
        <v>683544</v>
      </c>
    </row>
    <row r="919" spans="1:10" ht="23.4" x14ac:dyDescent="0.3">
      <c r="A919" s="274" t="s">
        <v>102</v>
      </c>
      <c r="B919" s="1022" t="s">
        <v>42</v>
      </c>
      <c r="C919" s="269" t="s">
        <v>160</v>
      </c>
      <c r="D919" s="269"/>
      <c r="E919" s="504">
        <v>36.684899999999999</v>
      </c>
      <c r="F919" s="402">
        <f>IFERROR(E919*'01 Prod Physique Boites'!H914,"-")</f>
        <v>0</v>
      </c>
      <c r="G919" s="402">
        <f>IFERROR(E919*'01 Prod Physique Boites'!L914,"-")</f>
        <v>0</v>
      </c>
      <c r="H919" s="381"/>
      <c r="I919" s="382" t="s">
        <v>190</v>
      </c>
      <c r="J919" s="383" t="s">
        <v>190</v>
      </c>
    </row>
    <row r="920" spans="1:10" ht="24" thickBot="1" x14ac:dyDescent="0.35">
      <c r="A920" s="274" t="s">
        <v>102</v>
      </c>
      <c r="B920" s="1024"/>
      <c r="C920" s="279" t="s">
        <v>161</v>
      </c>
      <c r="D920" s="279"/>
      <c r="E920" s="501">
        <v>37.002800000000001</v>
      </c>
      <c r="F920" s="402">
        <f>IFERROR(E920*'01 Prod Physique Boites'!H915,"-")</f>
        <v>0</v>
      </c>
      <c r="G920" s="402">
        <f>IFERROR(E920*'01 Prod Physique Boites'!L915,"-")</f>
        <v>0</v>
      </c>
      <c r="H920" s="387"/>
      <c r="I920" s="388" t="s">
        <v>190</v>
      </c>
      <c r="J920" s="389" t="s">
        <v>190</v>
      </c>
    </row>
    <row r="921" spans="1:10" ht="24" thickBot="1" x14ac:dyDescent="0.35">
      <c r="A921" s="274" t="s">
        <v>102</v>
      </c>
      <c r="B921" s="1034" t="s">
        <v>43</v>
      </c>
      <c r="C921" s="1035"/>
      <c r="D921" s="1036"/>
      <c r="E921" s="390"/>
      <c r="F921" s="402">
        <f>IFERROR(E921*'01 Prod Physique Boites'!H915,"-")</f>
        <v>0</v>
      </c>
      <c r="G921" s="407">
        <f>IFERROR(E921*'01 Prod Physique Boites'!L915,"-")</f>
        <v>0</v>
      </c>
      <c r="H921" s="391"/>
      <c r="I921" s="406">
        <f t="shared" ref="I921:J921" si="519">SUM(I919:I920)</f>
        <v>0</v>
      </c>
      <c r="J921" s="425">
        <f t="shared" si="519"/>
        <v>0</v>
      </c>
    </row>
    <row r="922" spans="1:10" ht="24" thickBot="1" x14ac:dyDescent="0.35">
      <c r="A922" s="274" t="s">
        <v>102</v>
      </c>
      <c r="B922" s="1028" t="s">
        <v>25</v>
      </c>
      <c r="C922" s="1029"/>
      <c r="D922" s="1030"/>
      <c r="E922" s="393"/>
      <c r="F922" s="410">
        <f>+F901+F906+F909+F914+F918+F921</f>
        <v>2306668.8204000001</v>
      </c>
      <c r="G922" s="411">
        <f>+G901+G906+G909+G914+G918+G921</f>
        <v>13387054.5702</v>
      </c>
      <c r="H922" s="394"/>
      <c r="I922" s="410">
        <f>+I901+I906+I909+I914+I918+I921</f>
        <v>4230848.4800000004</v>
      </c>
      <c r="J922" s="428">
        <f>+J901+J906+J909+J914+J918+J921</f>
        <v>24618550.539999999</v>
      </c>
    </row>
    <row r="923" spans="1:10" ht="24" thickBot="1" x14ac:dyDescent="0.35">
      <c r="A923" s="318" t="s">
        <v>102</v>
      </c>
      <c r="B923" s="1020" t="s">
        <v>173</v>
      </c>
      <c r="C923" s="1020"/>
      <c r="D923" s="1021"/>
      <c r="E923" s="395"/>
      <c r="F923" s="412">
        <f t="shared" ref="F923:G923" si="520">+F922</f>
        <v>2306668.8204000001</v>
      </c>
      <c r="G923" s="413">
        <f t="shared" si="520"/>
        <v>13387054.5702</v>
      </c>
      <c r="H923" s="396"/>
      <c r="I923" s="412">
        <f t="shared" ref="I923" si="521">+I922</f>
        <v>4230848.4800000004</v>
      </c>
      <c r="J923" s="429">
        <f>+J922</f>
        <v>24618550.539999999</v>
      </c>
    </row>
    <row r="924" spans="1:10" ht="24.6" thickBot="1" x14ac:dyDescent="0.35">
      <c r="A924" s="319"/>
      <c r="B924" s="1031" t="s">
        <v>174</v>
      </c>
      <c r="C924" s="1032"/>
      <c r="D924" s="1033"/>
      <c r="E924" s="401"/>
      <c r="F924" s="418">
        <f>+F862+F897+F923</f>
        <v>5973882.7716000006</v>
      </c>
      <c r="G924" s="418">
        <f>+G862+G897+G923</f>
        <v>49652927.678599998</v>
      </c>
      <c r="H924" s="401"/>
      <c r="I924" s="418">
        <f>+I862+I897+I923</f>
        <v>7113781.7800000003</v>
      </c>
      <c r="J924" s="432">
        <f>+J862+J897+J923</f>
        <v>67249994.939999998</v>
      </c>
    </row>
    <row r="925" spans="1:10" ht="23.4" x14ac:dyDescent="0.3">
      <c r="A925" s="1057" t="s">
        <v>1</v>
      </c>
      <c r="B925" s="1060" t="s">
        <v>2</v>
      </c>
      <c r="C925" s="1063" t="s">
        <v>396</v>
      </c>
      <c r="D925" s="1063" t="s">
        <v>397</v>
      </c>
      <c r="E925" s="1092" t="s">
        <v>405</v>
      </c>
      <c r="F925" s="1093"/>
      <c r="G925" s="1093"/>
      <c r="H925" s="442"/>
      <c r="I925" s="442"/>
      <c r="J925" s="443"/>
    </row>
    <row r="926" spans="1:10" ht="23.4" x14ac:dyDescent="0.3">
      <c r="A926" s="1058"/>
      <c r="B926" s="1061"/>
      <c r="C926" s="1064"/>
      <c r="D926" s="1064"/>
      <c r="E926" s="1094" t="s">
        <v>408</v>
      </c>
      <c r="F926" s="1095"/>
      <c r="G926" s="1096"/>
      <c r="H926" s="1094" t="s">
        <v>168</v>
      </c>
      <c r="I926" s="1095"/>
      <c r="J926" s="1096"/>
    </row>
    <row r="927" spans="1:10" ht="46.8" x14ac:dyDescent="0.3">
      <c r="A927" s="1059"/>
      <c r="B927" s="1090"/>
      <c r="C927" s="1091"/>
      <c r="D927" s="1091"/>
      <c r="E927" s="379" t="s">
        <v>170</v>
      </c>
      <c r="F927" s="866" t="s">
        <v>407</v>
      </c>
      <c r="G927" s="867" t="s">
        <v>406</v>
      </c>
      <c r="H927" s="1097" t="s">
        <v>170</v>
      </c>
      <c r="I927" s="1099" t="s">
        <v>137</v>
      </c>
      <c r="J927" s="1101" t="s">
        <v>406</v>
      </c>
    </row>
    <row r="928" spans="1:10" ht="24" thickBot="1" x14ac:dyDescent="0.35">
      <c r="A928" s="1059"/>
      <c r="B928" s="1062"/>
      <c r="C928" s="1065"/>
      <c r="D928" s="1065"/>
      <c r="E928" s="1103" t="s">
        <v>532</v>
      </c>
      <c r="F928" s="1104"/>
      <c r="G928" s="1105"/>
      <c r="H928" s="1098"/>
      <c r="I928" s="1100"/>
      <c r="J928" s="1102"/>
    </row>
    <row r="929" spans="1:15" ht="23.4" x14ac:dyDescent="0.3">
      <c r="A929" s="268" t="s">
        <v>103</v>
      </c>
      <c r="B929" s="1043" t="s">
        <v>16</v>
      </c>
      <c r="C929" s="269" t="s">
        <v>368</v>
      </c>
      <c r="D929" s="269" t="s">
        <v>369</v>
      </c>
      <c r="E929" s="705">
        <v>81.360699999999994</v>
      </c>
      <c r="F929" s="402">
        <f>IFERROR(E929*'01 Prod Physique Boites'!H923,"-")</f>
        <v>0</v>
      </c>
      <c r="G929" s="402">
        <f>IFERROR(E929*'01 Prod Physique Boites'!L923,"-")</f>
        <v>0</v>
      </c>
      <c r="H929" s="706">
        <v>143.28</v>
      </c>
      <c r="I929" s="419">
        <f>IFERROR(H929*(F929/E929),"-")</f>
        <v>0</v>
      </c>
      <c r="J929" s="420">
        <f t="shared" ref="J929:J931" si="522">IFERROR(H929*(G929/E929),"-")</f>
        <v>0</v>
      </c>
    </row>
    <row r="930" spans="1:15" ht="23.4" x14ac:dyDescent="0.3">
      <c r="A930" s="713"/>
      <c r="B930" s="1044"/>
      <c r="C930" s="275" t="s">
        <v>470</v>
      </c>
      <c r="D930" s="275" t="s">
        <v>375</v>
      </c>
      <c r="E930" s="505">
        <v>81.360699999999994</v>
      </c>
      <c r="F930" s="402">
        <f>IFERROR(E930*'01 Prod Physique Boites'!H924,"-")</f>
        <v>0</v>
      </c>
      <c r="G930" s="402">
        <f>IFERROR(E930*'01 Prod Physique Boites'!L924,"-")</f>
        <v>0</v>
      </c>
      <c r="H930" s="708">
        <v>143.28</v>
      </c>
      <c r="I930" s="419">
        <f>IFERROR(H930*(F930/E930),"-")</f>
        <v>0</v>
      </c>
      <c r="J930" s="420">
        <f t="shared" si="522"/>
        <v>0</v>
      </c>
    </row>
    <row r="931" spans="1:15" ht="23.4" x14ac:dyDescent="0.3">
      <c r="A931" s="274" t="s">
        <v>103</v>
      </c>
      <c r="B931" s="1044"/>
      <c r="C931" s="275" t="s">
        <v>430</v>
      </c>
      <c r="D931" s="275" t="s">
        <v>384</v>
      </c>
      <c r="E931" s="684">
        <v>77.170400000000001</v>
      </c>
      <c r="F931" s="402">
        <f>IFERROR(E931*'01 Prod Physique Boites'!H925,"-")</f>
        <v>0</v>
      </c>
      <c r="G931" s="402">
        <f>IFERROR(E931*'01 Prod Physique Boites'!L925,"-")</f>
        <v>617363.19999999995</v>
      </c>
      <c r="H931" s="385">
        <v>0</v>
      </c>
      <c r="I931" s="419">
        <f>IFERROR(H931*(F931/E931),"-")</f>
        <v>0</v>
      </c>
      <c r="J931" s="420">
        <f t="shared" si="522"/>
        <v>0</v>
      </c>
    </row>
    <row r="932" spans="1:15" ht="24" thickBot="1" x14ac:dyDescent="0.35">
      <c r="A932" s="274" t="s">
        <v>103</v>
      </c>
      <c r="B932" s="1045"/>
      <c r="C932" s="279" t="s">
        <v>262</v>
      </c>
      <c r="D932" s="279" t="s">
        <v>231</v>
      </c>
      <c r="E932" s="501">
        <v>60.703499999999998</v>
      </c>
      <c r="F932" s="402">
        <f>IFERROR(E932*'01 Prod Physique Boites'!H926,"-")</f>
        <v>0</v>
      </c>
      <c r="G932" s="402">
        <f>IFERROR(E932*'01 Prod Physique Boites'!L926,"-")</f>
        <v>0</v>
      </c>
      <c r="H932" s="387">
        <v>111.09</v>
      </c>
      <c r="I932" s="419">
        <f>IFERROR(H932*(F932/E932),"-")</f>
        <v>0</v>
      </c>
      <c r="J932" s="420">
        <f>IFERROR(H932*(G932/E932),"-")</f>
        <v>0</v>
      </c>
    </row>
    <row r="933" spans="1:15" ht="24" thickBot="1" x14ac:dyDescent="0.35">
      <c r="A933" s="274" t="s">
        <v>103</v>
      </c>
      <c r="B933" s="1025" t="s">
        <v>44</v>
      </c>
      <c r="C933" s="1026"/>
      <c r="D933" s="1027"/>
      <c r="E933" s="390"/>
      <c r="F933" s="406">
        <f t="shared" ref="F933" si="523">SUM(F929:F932)</f>
        <v>0</v>
      </c>
      <c r="G933" s="407">
        <f>SUM(G929:G932)</f>
        <v>617363.19999999995</v>
      </c>
      <c r="H933" s="391"/>
      <c r="I933" s="406">
        <f t="shared" ref="I933:J933" si="524">SUM(I929:I932)</f>
        <v>0</v>
      </c>
      <c r="J933" s="425">
        <f t="shared" si="524"/>
        <v>0</v>
      </c>
      <c r="K933" s="704"/>
      <c r="L933" s="704"/>
      <c r="M933" s="704"/>
      <c r="N933" s="704"/>
      <c r="O933" s="704"/>
    </row>
    <row r="934" spans="1:15" ht="23.4" x14ac:dyDescent="0.3">
      <c r="A934" s="274" t="s">
        <v>103</v>
      </c>
      <c r="B934" s="1043" t="s">
        <v>17</v>
      </c>
      <c r="C934" s="269" t="s">
        <v>294</v>
      </c>
      <c r="D934" s="269"/>
      <c r="E934" s="504">
        <v>12.5275</v>
      </c>
      <c r="F934" s="402">
        <f>IFERROR(E934*'01 Prod Physique Boites'!H928,"-")</f>
        <v>0</v>
      </c>
      <c r="G934" s="402">
        <f>IFERROR(E934*'01 Prod Physique Boites'!L928,"-")</f>
        <v>0</v>
      </c>
      <c r="H934" s="681">
        <v>18.836400000000001</v>
      </c>
      <c r="I934" s="419">
        <f t="shared" ref="I934:I940" si="525">IFERROR(H934*(F934/E934),"-")</f>
        <v>0</v>
      </c>
      <c r="J934" s="420">
        <f t="shared" ref="J934:J939" si="526">IFERROR(H934*(G934/E934),"-")</f>
        <v>0</v>
      </c>
    </row>
    <row r="935" spans="1:15" ht="23.4" x14ac:dyDescent="0.3">
      <c r="A935" s="274" t="s">
        <v>103</v>
      </c>
      <c r="B935" s="1044"/>
      <c r="C935" s="275" t="s">
        <v>344</v>
      </c>
      <c r="D935" s="275" t="s">
        <v>232</v>
      </c>
      <c r="E935" s="677">
        <v>13.002700000000001</v>
      </c>
      <c r="F935" s="402">
        <f>IFERROR(E935*'01 Prod Physique Boites'!H929,"-")</f>
        <v>0</v>
      </c>
      <c r="G935" s="402">
        <f>IFERROR(E935*'01 Prod Physique Boites'!L929,"-")</f>
        <v>77756.146000000008</v>
      </c>
      <c r="H935" s="385">
        <v>21.18</v>
      </c>
      <c r="I935" s="421">
        <f t="shared" si="525"/>
        <v>0</v>
      </c>
      <c r="J935" s="422">
        <f t="shared" si="526"/>
        <v>126656.4</v>
      </c>
    </row>
    <row r="936" spans="1:15" ht="23.4" x14ac:dyDescent="0.3">
      <c r="A936" s="274" t="s">
        <v>103</v>
      </c>
      <c r="B936" s="1044"/>
      <c r="C936" s="275" t="s">
        <v>351</v>
      </c>
      <c r="D936" s="275" t="s">
        <v>187</v>
      </c>
      <c r="E936" s="677">
        <v>12.9049</v>
      </c>
      <c r="F936" s="402">
        <f>IFERROR(E936*'01 Prod Physique Boites'!H930,"-")</f>
        <v>1105691.8319999999</v>
      </c>
      <c r="G936" s="402">
        <f>IFERROR(E936*'01 Prod Physique Boites'!L930,"-")</f>
        <v>8213710.7519999994</v>
      </c>
      <c r="H936" s="385">
        <v>20.5</v>
      </c>
      <c r="I936" s="421">
        <f t="shared" si="525"/>
        <v>1756440</v>
      </c>
      <c r="J936" s="422">
        <f t="shared" si="526"/>
        <v>13047840</v>
      </c>
    </row>
    <row r="937" spans="1:15" ht="23.4" x14ac:dyDescent="0.3">
      <c r="A937" s="274" t="s">
        <v>103</v>
      </c>
      <c r="B937" s="1044"/>
      <c r="C937" s="275" t="s">
        <v>530</v>
      </c>
      <c r="D937" s="275" t="s">
        <v>529</v>
      </c>
      <c r="E937" s="505">
        <v>13.1958</v>
      </c>
      <c r="F937" s="402">
        <f>IFERROR(E937*'01 Prod Physique Boites'!H931,"-")</f>
        <v>0</v>
      </c>
      <c r="G937" s="402">
        <f>IFERROR(E937*'01 Prod Physique Boites'!L931,"-")</f>
        <v>545646.32999999996</v>
      </c>
      <c r="H937" s="708">
        <v>20.66</v>
      </c>
      <c r="I937" s="421">
        <f t="shared" si="525"/>
        <v>0</v>
      </c>
      <c r="J937" s="422">
        <f t="shared" si="526"/>
        <v>854290.99999999988</v>
      </c>
    </row>
    <row r="938" spans="1:15" ht="23.4" x14ac:dyDescent="0.3">
      <c r="A938" s="274" t="s">
        <v>103</v>
      </c>
      <c r="B938" s="1044"/>
      <c r="C938" s="275" t="s">
        <v>323</v>
      </c>
      <c r="D938" s="275" t="s">
        <v>318</v>
      </c>
      <c r="E938" s="505">
        <v>13.1958</v>
      </c>
      <c r="F938" s="402">
        <f>IFERROR(E938*'01 Prod Physique Boites'!H932,"-")</f>
        <v>0</v>
      </c>
      <c r="G938" s="402">
        <f>IFERROR(E938*'01 Prod Physique Boites'!L932,"-")</f>
        <v>0</v>
      </c>
      <c r="H938" s="385">
        <v>21.28</v>
      </c>
      <c r="I938" s="421">
        <f t="shared" si="525"/>
        <v>0</v>
      </c>
      <c r="J938" s="422">
        <f t="shared" si="526"/>
        <v>0</v>
      </c>
    </row>
    <row r="939" spans="1:15" ht="23.4" x14ac:dyDescent="0.3">
      <c r="A939" s="274">
        <v>1</v>
      </c>
      <c r="B939" s="1044"/>
      <c r="C939" s="275" t="s">
        <v>528</v>
      </c>
      <c r="D939" s="275" t="s">
        <v>189</v>
      </c>
      <c r="E939" s="677">
        <v>13.1958</v>
      </c>
      <c r="F939" s="402">
        <f>IFERROR(E939*'01 Prod Physique Boites'!H933,"-")</f>
        <v>0</v>
      </c>
      <c r="G939" s="402">
        <f>IFERROR(E939*'01 Prod Physique Boites'!L933,"-")</f>
        <v>375526.07640000002</v>
      </c>
      <c r="H939" s="664">
        <v>20.66</v>
      </c>
      <c r="I939" s="421">
        <f t="shared" si="525"/>
        <v>0</v>
      </c>
      <c r="J939" s="422">
        <f t="shared" si="526"/>
        <v>587942.28</v>
      </c>
    </row>
    <row r="940" spans="1:15" ht="24" thickBot="1" x14ac:dyDescent="0.35">
      <c r="A940" s="274" t="s">
        <v>103</v>
      </c>
      <c r="B940" s="1045"/>
      <c r="C940" s="279" t="s">
        <v>341</v>
      </c>
      <c r="D940" s="279" t="s">
        <v>175</v>
      </c>
      <c r="E940" s="501">
        <v>13.6509</v>
      </c>
      <c r="F940" s="402">
        <f>IFERROR(E940*'01 Prod Physique Boites'!H934,"-")</f>
        <v>0</v>
      </c>
      <c r="G940" s="402">
        <f>IFERROR(E940*'01 Prod Physique Boites'!L934,"-")</f>
        <v>0</v>
      </c>
      <c r="H940" s="387">
        <v>21.18</v>
      </c>
      <c r="I940" s="423">
        <f t="shared" si="525"/>
        <v>0</v>
      </c>
      <c r="J940" s="424">
        <f>IFERROR(H940*(G940/E940),"-")</f>
        <v>0</v>
      </c>
    </row>
    <row r="941" spans="1:15" ht="24" thickBot="1" x14ac:dyDescent="0.35">
      <c r="A941" s="274" t="s">
        <v>103</v>
      </c>
      <c r="B941" s="1025" t="s">
        <v>45</v>
      </c>
      <c r="C941" s="1026"/>
      <c r="D941" s="1027"/>
      <c r="E941" s="390"/>
      <c r="F941" s="406">
        <f t="shared" ref="F941" si="527">SUM(F934:F940)</f>
        <v>1105691.8319999999</v>
      </c>
      <c r="G941" s="407">
        <f>SUM(G934:G940)</f>
        <v>9212639.3043999989</v>
      </c>
      <c r="H941" s="391"/>
      <c r="I941" s="406">
        <f t="shared" ref="I941" si="528">SUM(I934:I940)</f>
        <v>1756440</v>
      </c>
      <c r="J941" s="425">
        <f>SUM(J934:J940)</f>
        <v>14616729.68</v>
      </c>
      <c r="K941" s="704"/>
      <c r="L941" s="704"/>
      <c r="M941" s="704"/>
      <c r="N941" s="704"/>
      <c r="O941" s="704"/>
    </row>
    <row r="942" spans="1:15" ht="23.4" x14ac:dyDescent="0.3">
      <c r="A942" s="274" t="s">
        <v>103</v>
      </c>
      <c r="B942" s="1043" t="s">
        <v>18</v>
      </c>
      <c r="C942" s="269" t="s">
        <v>312</v>
      </c>
      <c r="D942" s="269" t="s">
        <v>92</v>
      </c>
      <c r="E942" s="504">
        <v>17.8202</v>
      </c>
      <c r="F942" s="402">
        <f>IFERROR(E942*'01 Prod Physique Boites'!H936,"-")</f>
        <v>0</v>
      </c>
      <c r="G942" s="403">
        <f>IFERROR(E942*'01 Prod Physique Boites'!L936,"-")</f>
        <v>0</v>
      </c>
      <c r="H942" s="381">
        <v>24.93</v>
      </c>
      <c r="I942" s="419">
        <f t="shared" ref="I942:I948" si="529">IFERROR(H942*(F942/E942),"-")</f>
        <v>0</v>
      </c>
      <c r="J942" s="420">
        <f t="shared" ref="J942:J944" si="530">IFERROR(H942*(G942/E942),"-")</f>
        <v>0</v>
      </c>
    </row>
    <row r="943" spans="1:15" ht="23.4" x14ac:dyDescent="0.3">
      <c r="A943" s="274" t="s">
        <v>103</v>
      </c>
      <c r="B943" s="1044"/>
      <c r="C943" s="275" t="s">
        <v>130</v>
      </c>
      <c r="D943" s="275"/>
      <c r="E943" s="505">
        <v>17.8202</v>
      </c>
      <c r="F943" s="402">
        <f>IFERROR(E943*'01 Prod Physique Boites'!H937,"-")</f>
        <v>0</v>
      </c>
      <c r="G943" s="403">
        <f>IFERROR(E943*'01 Prod Physique Boites'!L937,"-")</f>
        <v>0</v>
      </c>
      <c r="H943" s="385">
        <v>0</v>
      </c>
      <c r="I943" s="421">
        <f t="shared" si="529"/>
        <v>0</v>
      </c>
      <c r="J943" s="422">
        <f t="shared" si="530"/>
        <v>0</v>
      </c>
    </row>
    <row r="944" spans="1:15" ht="23.4" x14ac:dyDescent="0.3">
      <c r="A944" s="274" t="s">
        <v>103</v>
      </c>
      <c r="B944" s="1044"/>
      <c r="C944" s="275" t="s">
        <v>115</v>
      </c>
      <c r="D944" s="275"/>
      <c r="E944" s="505">
        <v>16.4071</v>
      </c>
      <c r="F944" s="402">
        <f>IFERROR(E944*'01 Prod Physique Boites'!H938,"-")</f>
        <v>0</v>
      </c>
      <c r="G944" s="403">
        <f>IFERROR(E944*'01 Prod Physique Boites'!L938,"-")</f>
        <v>0</v>
      </c>
      <c r="H944" s="385">
        <v>0</v>
      </c>
      <c r="I944" s="421">
        <f t="shared" si="529"/>
        <v>0</v>
      </c>
      <c r="J944" s="422">
        <f t="shared" si="530"/>
        <v>0</v>
      </c>
    </row>
    <row r="945" spans="1:10" ht="23.4" x14ac:dyDescent="0.3">
      <c r="A945" s="274" t="s">
        <v>103</v>
      </c>
      <c r="B945" s="1044"/>
      <c r="C945" s="275" t="s">
        <v>122</v>
      </c>
      <c r="D945" s="275"/>
      <c r="E945" s="505">
        <v>17.8202</v>
      </c>
      <c r="F945" s="402">
        <f>IFERROR(E945*'01 Prod Physique Boites'!H939,"-")</f>
        <v>0</v>
      </c>
      <c r="G945" s="403">
        <f>IFERROR(E945*'01 Prod Physique Boites'!L939,"-")</f>
        <v>0</v>
      </c>
      <c r="H945" s="385">
        <v>0</v>
      </c>
      <c r="I945" s="421">
        <f t="shared" si="529"/>
        <v>0</v>
      </c>
      <c r="J945" s="422">
        <f>IFERROR(H945*(G945/E945),"-")</f>
        <v>0</v>
      </c>
    </row>
    <row r="946" spans="1:10" ht="23.4" x14ac:dyDescent="0.3">
      <c r="A946" s="274" t="s">
        <v>103</v>
      </c>
      <c r="B946" s="1044"/>
      <c r="C946" s="275" t="s">
        <v>176</v>
      </c>
      <c r="D946" s="275" t="s">
        <v>177</v>
      </c>
      <c r="E946" s="505">
        <v>17.8202</v>
      </c>
      <c r="F946" s="402">
        <f>IFERROR(E946*'01 Prod Physique Boites'!H940,"-")</f>
        <v>0</v>
      </c>
      <c r="G946" s="403">
        <f>IFERROR(E946*'01 Prod Physique Boites'!L940,"-")</f>
        <v>0</v>
      </c>
      <c r="H946" s="385">
        <v>0</v>
      </c>
      <c r="I946" s="421">
        <f t="shared" si="529"/>
        <v>0</v>
      </c>
      <c r="J946" s="422">
        <f t="shared" ref="J946:J948" si="531">IFERROR(H946*(G946/E946),"-")</f>
        <v>0</v>
      </c>
    </row>
    <row r="947" spans="1:10" ht="23.4" x14ac:dyDescent="0.3">
      <c r="A947" s="274" t="s">
        <v>103</v>
      </c>
      <c r="B947" s="1044"/>
      <c r="C947" s="275" t="s">
        <v>179</v>
      </c>
      <c r="D947" s="275" t="s">
        <v>178</v>
      </c>
      <c r="E947" s="505">
        <v>16.7288</v>
      </c>
      <c r="F947" s="402">
        <f>IFERROR(E947*'01 Prod Physique Boites'!H941,"-")</f>
        <v>0</v>
      </c>
      <c r="G947" s="403">
        <f>IFERROR(E947*'01 Prod Physique Boites'!L941,"-")</f>
        <v>0</v>
      </c>
      <c r="H947" s="385">
        <v>0</v>
      </c>
      <c r="I947" s="421">
        <f t="shared" si="529"/>
        <v>0</v>
      </c>
      <c r="J947" s="422">
        <f t="shared" si="531"/>
        <v>0</v>
      </c>
    </row>
    <row r="948" spans="1:10" ht="24" thickBot="1" x14ac:dyDescent="0.35">
      <c r="A948" s="274" t="s">
        <v>103</v>
      </c>
      <c r="B948" s="1045"/>
      <c r="C948" s="286" t="s">
        <v>180</v>
      </c>
      <c r="D948" s="286" t="s">
        <v>107</v>
      </c>
      <c r="E948" s="501">
        <v>17.8202</v>
      </c>
      <c r="F948" s="402">
        <f>IFERROR(E948*'01 Prod Physique Boites'!H942,"-")</f>
        <v>0</v>
      </c>
      <c r="G948" s="403">
        <f>IFERROR(E948*'01 Prod Physique Boites'!L942,"-")</f>
        <v>0</v>
      </c>
      <c r="H948" s="385">
        <v>0</v>
      </c>
      <c r="I948" s="423">
        <f t="shared" si="529"/>
        <v>0</v>
      </c>
      <c r="J948" s="424">
        <f t="shared" si="531"/>
        <v>0</v>
      </c>
    </row>
    <row r="949" spans="1:10" ht="24" thickBot="1" x14ac:dyDescent="0.35">
      <c r="A949" s="274" t="s">
        <v>103</v>
      </c>
      <c r="B949" s="1025" t="s">
        <v>29</v>
      </c>
      <c r="C949" s="1026"/>
      <c r="D949" s="1027"/>
      <c r="E949" s="648"/>
      <c r="F949" s="649">
        <f t="shared" ref="F949:G949" si="532">SUM(F942:F948)</f>
        <v>0</v>
      </c>
      <c r="G949" s="407">
        <f t="shared" si="532"/>
        <v>0</v>
      </c>
      <c r="H949" s="391"/>
      <c r="I949" s="406">
        <f t="shared" ref="I949:J949" si="533">SUM(I942:I948)</f>
        <v>0</v>
      </c>
      <c r="J949" s="425">
        <f t="shared" si="533"/>
        <v>0</v>
      </c>
    </row>
    <row r="950" spans="1:10" ht="24" thickBot="1" x14ac:dyDescent="0.35">
      <c r="A950" s="274"/>
      <c r="B950" s="1085" t="s">
        <v>19</v>
      </c>
      <c r="C950" s="650" t="s">
        <v>235</v>
      </c>
      <c r="D950" s="656" t="s">
        <v>177</v>
      </c>
      <c r="E950" s="657">
        <v>12.2659</v>
      </c>
      <c r="F950" s="658">
        <f>IFERROR(E950*'01 Prod Physique Boites'!H944,"-")</f>
        <v>0</v>
      </c>
      <c r="G950" s="659">
        <f>IFERROR(E950*'01 Prod Physique Boites'!L944,"-")</f>
        <v>0</v>
      </c>
      <c r="H950" s="653">
        <v>14.79</v>
      </c>
      <c r="I950" s="638">
        <f t="shared" ref="I950:I955" si="534">IFERROR(H950*(F950/E950),"-")</f>
        <v>0</v>
      </c>
      <c r="J950" s="638">
        <f>IFERROR(H950*(G950/E950),"-")</f>
        <v>0</v>
      </c>
    </row>
    <row r="951" spans="1:10" ht="24" thickBot="1" x14ac:dyDescent="0.35">
      <c r="A951" s="274"/>
      <c r="B951" s="1086"/>
      <c r="C951" s="651" t="s">
        <v>359</v>
      </c>
      <c r="D951" s="660" t="s">
        <v>423</v>
      </c>
      <c r="E951" s="642">
        <v>12.2659</v>
      </c>
      <c r="F951" s="658">
        <f>IFERROR(E951*'01 Prod Physique Boites'!H945,"-")</f>
        <v>0</v>
      </c>
      <c r="G951" s="659">
        <f>IFERROR(E951*'01 Prod Physique Boites'!L945,"-")</f>
        <v>7046317.9775999999</v>
      </c>
      <c r="H951" s="654">
        <v>14.55</v>
      </c>
      <c r="I951" s="643">
        <f t="shared" si="534"/>
        <v>0</v>
      </c>
      <c r="J951" s="643">
        <f>IFERROR(H951*(G951/E951),"-")</f>
        <v>8358451.2000000002</v>
      </c>
    </row>
    <row r="952" spans="1:10" ht="24" thickBot="1" x14ac:dyDescent="0.35">
      <c r="A952" s="274"/>
      <c r="B952" s="1086"/>
      <c r="C952" s="669" t="s">
        <v>235</v>
      </c>
      <c r="D952" s="840" t="s">
        <v>522</v>
      </c>
      <c r="E952" s="851">
        <v>12.2659</v>
      </c>
      <c r="F952" s="658">
        <f>IFERROR(E952*'01 Prod Physique Boites'!H946,"-")</f>
        <v>0</v>
      </c>
      <c r="G952" s="659">
        <f>IFERROR(E952*'01 Prod Physique Boites'!L946,"-")</f>
        <v>2143686.8111999999</v>
      </c>
      <c r="H952" s="860">
        <v>0</v>
      </c>
      <c r="I952" s="643">
        <f t="shared" si="534"/>
        <v>0</v>
      </c>
      <c r="J952" s="643">
        <f t="shared" ref="J952:J953" si="535">IFERROR(H952*(G952/E952),"-")</f>
        <v>0</v>
      </c>
    </row>
    <row r="953" spans="1:10" ht="24" thickBot="1" x14ac:dyDescent="0.35">
      <c r="A953" s="274"/>
      <c r="B953" s="1086"/>
      <c r="C953" s="840" t="s">
        <v>377</v>
      </c>
      <c r="D953" s="840" t="s">
        <v>522</v>
      </c>
      <c r="E953" s="851">
        <v>12.2659</v>
      </c>
      <c r="F953" s="658">
        <f>IFERROR(E953*'01 Prod Physique Boites'!H947,"-")</f>
        <v>103622.3232</v>
      </c>
      <c r="G953" s="659">
        <f>IFERROR(E953*'01 Prod Physique Boites'!L947,"-")</f>
        <v>3212292.0192</v>
      </c>
      <c r="H953" s="860">
        <v>0</v>
      </c>
      <c r="I953" s="643">
        <f t="shared" si="534"/>
        <v>0</v>
      </c>
      <c r="J953" s="643">
        <f t="shared" si="535"/>
        <v>0</v>
      </c>
    </row>
    <row r="954" spans="1:10" ht="24" thickBot="1" x14ac:dyDescent="0.35">
      <c r="A954" s="274"/>
      <c r="B954" s="1086"/>
      <c r="C954" s="840" t="s">
        <v>536</v>
      </c>
      <c r="D954" s="840" t="s">
        <v>522</v>
      </c>
      <c r="E954" s="851">
        <v>12.2659</v>
      </c>
      <c r="F954" s="658">
        <f>IFERROR(E954*'01 Prod Physique Boites'!H948,"-")</f>
        <v>103622.3232</v>
      </c>
      <c r="G954" s="659">
        <f>IFERROR(E954*'01 Prod Physique Boites'!L948,"-")</f>
        <v>103622.3232</v>
      </c>
      <c r="H954" s="860">
        <v>0</v>
      </c>
      <c r="I954" s="643">
        <f t="shared" ref="I954" si="536">IFERROR(H954*(F954/E954),"-")</f>
        <v>0</v>
      </c>
      <c r="J954" s="643">
        <f t="shared" ref="J954" si="537">IFERROR(H954*(G954/E954),"-")</f>
        <v>0</v>
      </c>
    </row>
    <row r="955" spans="1:10" ht="24" thickBot="1" x14ac:dyDescent="0.35">
      <c r="A955" s="868" t="s">
        <v>103</v>
      </c>
      <c r="B955" s="1087"/>
      <c r="C955" s="652" t="s">
        <v>342</v>
      </c>
      <c r="D955" s="661"/>
      <c r="E955" s="662">
        <v>0</v>
      </c>
      <c r="F955" s="658">
        <f>IFERROR(E955*'01 Prod Physique Boites'!H949,"-")</f>
        <v>0</v>
      </c>
      <c r="G955" s="659">
        <f>IFERROR(E955*'01 Prod Physique Boites'!L949,"-")</f>
        <v>0</v>
      </c>
      <c r="H955" s="655">
        <v>0</v>
      </c>
      <c r="I955" s="643" t="str">
        <f t="shared" si="534"/>
        <v>-</v>
      </c>
      <c r="J955" s="427" t="str">
        <f t="shared" ref="J955" si="538">IFERROR(I955*(G955/F955),"-")</f>
        <v>-</v>
      </c>
    </row>
    <row r="956" spans="1:10" ht="24" thickBot="1" x14ac:dyDescent="0.35">
      <c r="A956" s="274" t="s">
        <v>103</v>
      </c>
      <c r="B956" s="1025" t="s">
        <v>46</v>
      </c>
      <c r="C956" s="1026"/>
      <c r="D956" s="1027"/>
      <c r="E956" s="390"/>
      <c r="F956" s="406">
        <f>SUM(F950:F955)</f>
        <v>207244.6464</v>
      </c>
      <c r="G956" s="406">
        <f>SUM(G950:G955)</f>
        <v>12505919.131199999</v>
      </c>
      <c r="H956" s="391"/>
      <c r="I956" s="406">
        <f>SUM(I950:I955)</f>
        <v>0</v>
      </c>
      <c r="J956" s="425">
        <f>SUM(J950:J955)</f>
        <v>8358451.2000000002</v>
      </c>
    </row>
    <row r="957" spans="1:10" ht="23.4" x14ac:dyDescent="0.3">
      <c r="A957" s="274" t="s">
        <v>103</v>
      </c>
      <c r="B957" s="1043" t="s">
        <v>20</v>
      </c>
      <c r="C957" s="291" t="s">
        <v>317</v>
      </c>
      <c r="D957" s="291" t="s">
        <v>289</v>
      </c>
      <c r="E957" s="504">
        <v>26.032900000000001</v>
      </c>
      <c r="F957" s="402">
        <f>IFERROR(E957*'01 Prod Physique Boites'!H951,"-")</f>
        <v>0</v>
      </c>
      <c r="G957" s="403">
        <f>IFERROR(E957*'01 Prod Physique Boites'!L951,"-")</f>
        <v>0</v>
      </c>
      <c r="H957" s="381">
        <v>36.44</v>
      </c>
      <c r="I957" s="419">
        <f>IFERROR(H957*(F957/E957),"-")</f>
        <v>0</v>
      </c>
      <c r="J957" s="420">
        <f t="shared" ref="J957:J959" si="539">IFERROR(H957*(G957/E957),"-")</f>
        <v>0</v>
      </c>
    </row>
    <row r="958" spans="1:10" ht="23.4" x14ac:dyDescent="0.3">
      <c r="A958" s="274" t="s">
        <v>103</v>
      </c>
      <c r="B958" s="1044"/>
      <c r="C958" s="292" t="s">
        <v>114</v>
      </c>
      <c r="D958" s="292"/>
      <c r="E958" s="384">
        <v>24.2607</v>
      </c>
      <c r="F958" s="402">
        <f>IFERROR(E958*'01 Prod Physique Boites'!H952,"-")</f>
        <v>0</v>
      </c>
      <c r="G958" s="403">
        <f>IFERROR(E958*'01 Prod Physique Boites'!L952,"-")</f>
        <v>0</v>
      </c>
      <c r="H958" s="385">
        <v>37.369999999999997</v>
      </c>
      <c r="I958" s="421">
        <f>IFERROR(H958*(F958/E958),"-")</f>
        <v>0</v>
      </c>
      <c r="J958" s="422">
        <f t="shared" si="539"/>
        <v>0</v>
      </c>
    </row>
    <row r="959" spans="1:10" ht="24" thickBot="1" x14ac:dyDescent="0.35">
      <c r="A959" s="274" t="s">
        <v>103</v>
      </c>
      <c r="B959" s="1045"/>
      <c r="C959" s="293" t="s">
        <v>120</v>
      </c>
      <c r="D959" s="293"/>
      <c r="E959" s="386">
        <v>26.035799999999998</v>
      </c>
      <c r="F959" s="402">
        <f>IFERROR(E959*'01 Prod Physique Boites'!H953,"-")</f>
        <v>0</v>
      </c>
      <c r="G959" s="403">
        <f>IFERROR(E959*'01 Prod Physique Boites'!L953,"-")</f>
        <v>0</v>
      </c>
      <c r="H959" s="387">
        <v>37.11</v>
      </c>
      <c r="I959" s="423">
        <f>IFERROR(H959*(F959/E959),"-")</f>
        <v>0</v>
      </c>
      <c r="J959" s="424">
        <f t="shared" si="539"/>
        <v>0</v>
      </c>
    </row>
    <row r="960" spans="1:10" ht="24" thickBot="1" x14ac:dyDescent="0.35">
      <c r="A960" s="274" t="s">
        <v>103</v>
      </c>
      <c r="B960" s="1026" t="s">
        <v>47</v>
      </c>
      <c r="C960" s="1026"/>
      <c r="D960" s="1046"/>
      <c r="E960" s="390"/>
      <c r="F960" s="406">
        <f t="shared" ref="F960:G960" si="540">SUM(F957:F959)</f>
        <v>0</v>
      </c>
      <c r="G960" s="407">
        <f t="shared" si="540"/>
        <v>0</v>
      </c>
      <c r="H960" s="391"/>
      <c r="I960" s="406">
        <f t="shared" ref="I960:J960" si="541">SUM(I957:I959)</f>
        <v>0</v>
      </c>
      <c r="J960" s="425">
        <f t="shared" si="541"/>
        <v>0</v>
      </c>
    </row>
    <row r="961" spans="1:10" ht="24" thickBot="1" x14ac:dyDescent="0.35">
      <c r="A961" s="274" t="s">
        <v>103</v>
      </c>
      <c r="B961" s="1047" t="s">
        <v>21</v>
      </c>
      <c r="C961" s="1048"/>
      <c r="D961" s="1049"/>
      <c r="E961" s="393"/>
      <c r="F961" s="410">
        <f>+F933+F941+F949+F956+F960</f>
        <v>1312936.4783999999</v>
      </c>
      <c r="G961" s="411">
        <f>+G933+G941+G949+G956+G960</f>
        <v>22335921.635599997</v>
      </c>
      <c r="H961" s="394"/>
      <c r="I961" s="410">
        <f>+I933+I941+I949+I956+I960</f>
        <v>1756440</v>
      </c>
      <c r="J961" s="428">
        <f>+J933+J941+J949+J956+J960</f>
        <v>22975180.879999999</v>
      </c>
    </row>
    <row r="962" spans="1:10" ht="23.4" x14ac:dyDescent="0.3">
      <c r="A962" s="274" t="s">
        <v>103</v>
      </c>
      <c r="B962" s="1043" t="s">
        <v>400</v>
      </c>
      <c r="C962" s="269" t="s">
        <v>125</v>
      </c>
      <c r="D962" s="269"/>
      <c r="E962" s="380">
        <v>22.820599999999999</v>
      </c>
      <c r="F962" s="402">
        <f>IFERROR(E962*'01 Prod Physique Boites'!H956,"-")</f>
        <v>0</v>
      </c>
      <c r="G962" s="403">
        <f>IFERROR(E962*'01 Prod Physique Boites'!L956,"-")</f>
        <v>0</v>
      </c>
      <c r="H962" s="381">
        <v>27.5</v>
      </c>
      <c r="I962" s="419">
        <f>IFERROR(H962*(F962/E962),"-")</f>
        <v>0</v>
      </c>
      <c r="J962" s="420">
        <f t="shared" ref="J962:J965" si="542">IFERROR(H962*(G962/E962),"-")</f>
        <v>0</v>
      </c>
    </row>
    <row r="963" spans="1:10" ht="23.4" x14ac:dyDescent="0.3">
      <c r="A963" s="274" t="s">
        <v>103</v>
      </c>
      <c r="B963" s="1044"/>
      <c r="C963" s="295" t="s">
        <v>263</v>
      </c>
      <c r="D963" s="295" t="s">
        <v>181</v>
      </c>
      <c r="E963" s="384">
        <v>23.570699999999999</v>
      </c>
      <c r="F963" s="402">
        <f>IFERROR(E963*'01 Prod Physique Boites'!H957,"-")</f>
        <v>0</v>
      </c>
      <c r="G963" s="403">
        <f>IFERROR(E963*'01 Prod Physique Boites'!L957,"-")</f>
        <v>0</v>
      </c>
      <c r="H963" s="385">
        <v>27.5</v>
      </c>
      <c r="I963" s="421">
        <f>IFERROR(H963*(F963/E963),"-")</f>
        <v>0</v>
      </c>
      <c r="J963" s="422">
        <f t="shared" si="542"/>
        <v>0</v>
      </c>
    </row>
    <row r="964" spans="1:10" ht="23.4" x14ac:dyDescent="0.3">
      <c r="A964" s="274" t="s">
        <v>103</v>
      </c>
      <c r="B964" s="1044"/>
      <c r="C964" s="295" t="s">
        <v>362</v>
      </c>
      <c r="D964" s="295" t="s">
        <v>181</v>
      </c>
      <c r="E964" s="384">
        <v>22.820599999999999</v>
      </c>
      <c r="F964" s="402">
        <f>IFERROR(E964*'01 Prod Physique Boites'!H958,"-")</f>
        <v>0</v>
      </c>
      <c r="G964" s="403">
        <f>IFERROR(E964*'01 Prod Physique Boites'!L958,"-")</f>
        <v>0</v>
      </c>
      <c r="H964" s="385">
        <v>27.5</v>
      </c>
      <c r="I964" s="421">
        <f>IFERROR(H964*(F964/E964),"-")</f>
        <v>0</v>
      </c>
      <c r="J964" s="422">
        <f t="shared" si="542"/>
        <v>0</v>
      </c>
    </row>
    <row r="965" spans="1:10" ht="24" thickBot="1" x14ac:dyDescent="0.35">
      <c r="A965" s="274" t="s">
        <v>103</v>
      </c>
      <c r="B965" s="1045"/>
      <c r="C965" s="279" t="s">
        <v>182</v>
      </c>
      <c r="D965" s="279" t="s">
        <v>93</v>
      </c>
      <c r="E965" s="386">
        <v>23.5685</v>
      </c>
      <c r="F965" s="402">
        <f>IFERROR(E965*'01 Prod Physique Boites'!H959,"-")</f>
        <v>0</v>
      </c>
      <c r="G965" s="403">
        <f>IFERROR(E965*'01 Prod Physique Boites'!L959,"-")</f>
        <v>0</v>
      </c>
      <c r="H965" s="387">
        <v>24</v>
      </c>
      <c r="I965" s="423">
        <f>IFERROR(H965*(F965/E965),"-")</f>
        <v>0</v>
      </c>
      <c r="J965" s="424">
        <f t="shared" si="542"/>
        <v>0</v>
      </c>
    </row>
    <row r="966" spans="1:10" ht="24" thickBot="1" x14ac:dyDescent="0.35">
      <c r="A966" s="274" t="s">
        <v>103</v>
      </c>
      <c r="B966" s="1025" t="s">
        <v>48</v>
      </c>
      <c r="C966" s="1026"/>
      <c r="D966" s="1027"/>
      <c r="E966" s="390"/>
      <c r="F966" s="406">
        <f t="shared" ref="F966:G966" si="543">SUM(F962:F965)</f>
        <v>0</v>
      </c>
      <c r="G966" s="407">
        <f t="shared" si="543"/>
        <v>0</v>
      </c>
      <c r="H966" s="391"/>
      <c r="I966" s="406">
        <f t="shared" ref="I966:J966" si="544">SUM(I962:I965)</f>
        <v>0</v>
      </c>
      <c r="J966" s="425">
        <f t="shared" si="544"/>
        <v>0</v>
      </c>
    </row>
    <row r="967" spans="1:10" ht="23.4" x14ac:dyDescent="0.3">
      <c r="A967" s="274" t="s">
        <v>103</v>
      </c>
      <c r="B967" s="1043" t="s">
        <v>23</v>
      </c>
      <c r="C967" s="296" t="s">
        <v>308</v>
      </c>
      <c r="D967" s="296" t="s">
        <v>238</v>
      </c>
      <c r="E967" s="380">
        <v>101.4935</v>
      </c>
      <c r="F967" s="402">
        <f>IFERROR(E967*'01 Prod Physique Boites'!H961,"-")</f>
        <v>0</v>
      </c>
      <c r="G967" s="403">
        <f>IFERROR(E967*'01 Prod Physique Boites'!L961,"-")</f>
        <v>0</v>
      </c>
      <c r="H967" s="385">
        <v>160.44999999999999</v>
      </c>
      <c r="I967" s="419">
        <f t="shared" ref="I967:I975" si="545">IFERROR(H967*(F967/E967),"-")</f>
        <v>0</v>
      </c>
      <c r="J967" s="420">
        <f t="shared" ref="J967:J975" si="546">IFERROR(H967*(G967/E967),"-")</f>
        <v>0</v>
      </c>
    </row>
    <row r="968" spans="1:10" ht="23.4" x14ac:dyDescent="0.3">
      <c r="A968" s="274" t="s">
        <v>103</v>
      </c>
      <c r="B968" s="1044"/>
      <c r="C968" s="275" t="s">
        <v>24</v>
      </c>
      <c r="D968" s="275" t="s">
        <v>238</v>
      </c>
      <c r="E968" s="384">
        <v>101.4935</v>
      </c>
      <c r="F968" s="402">
        <f>IFERROR(E968*'01 Prod Physique Boites'!H962,"-")</f>
        <v>0</v>
      </c>
      <c r="G968" s="403">
        <f>IFERROR(E968*'01 Prod Physique Boites'!L962,"-")</f>
        <v>0</v>
      </c>
      <c r="H968" s="385">
        <v>160.44999999999999</v>
      </c>
      <c r="I968" s="421">
        <f t="shared" si="545"/>
        <v>0</v>
      </c>
      <c r="J968" s="422">
        <f t="shared" si="546"/>
        <v>0</v>
      </c>
    </row>
    <row r="969" spans="1:10" ht="23.4" x14ac:dyDescent="0.3">
      <c r="A969" s="274" t="s">
        <v>103</v>
      </c>
      <c r="B969" s="1044"/>
      <c r="C969" s="275" t="s">
        <v>236</v>
      </c>
      <c r="D969" s="275" t="s">
        <v>238</v>
      </c>
      <c r="E969" s="384">
        <v>101.4935</v>
      </c>
      <c r="F969" s="402">
        <f>IFERROR(E969*'01 Prod Physique Boites'!H963,"-")</f>
        <v>0</v>
      </c>
      <c r="G969" s="403">
        <f>IFERROR(E969*'01 Prod Physique Boites'!L963,"-")</f>
        <v>0</v>
      </c>
      <c r="H969" s="385">
        <v>160.44999999999999</v>
      </c>
      <c r="I969" s="421">
        <f t="shared" si="545"/>
        <v>0</v>
      </c>
      <c r="J969" s="422">
        <f t="shared" si="546"/>
        <v>0</v>
      </c>
    </row>
    <row r="970" spans="1:10" ht="23.4" x14ac:dyDescent="0.3">
      <c r="A970" s="274" t="s">
        <v>103</v>
      </c>
      <c r="B970" s="1044"/>
      <c r="C970" s="275" t="s">
        <v>237</v>
      </c>
      <c r="D970" s="275" t="s">
        <v>238</v>
      </c>
      <c r="E970" s="384">
        <v>101.4935</v>
      </c>
      <c r="F970" s="402">
        <f>IFERROR(E970*'01 Prod Physique Boites'!H964,"-")</f>
        <v>0</v>
      </c>
      <c r="G970" s="403">
        <f>IFERROR(E970*'01 Prod Physique Boites'!L964,"-")</f>
        <v>0</v>
      </c>
      <c r="H970" s="385">
        <v>160.44999999999999</v>
      </c>
      <c r="I970" s="421">
        <f t="shared" si="545"/>
        <v>0</v>
      </c>
      <c r="J970" s="422">
        <f t="shared" si="546"/>
        <v>0</v>
      </c>
    </row>
    <row r="971" spans="1:10" ht="23.4" x14ac:dyDescent="0.3">
      <c r="A971" s="274" t="s">
        <v>103</v>
      </c>
      <c r="B971" s="1044"/>
      <c r="C971" s="295" t="s">
        <v>239</v>
      </c>
      <c r="D971" s="275" t="s">
        <v>238</v>
      </c>
      <c r="E971" s="384">
        <v>101.4935</v>
      </c>
      <c r="F971" s="402">
        <f>IFERROR(E971*'01 Prod Physique Boites'!H965,"-")</f>
        <v>0</v>
      </c>
      <c r="G971" s="403">
        <f>IFERROR(E971*'01 Prod Physique Boites'!L965,"-")</f>
        <v>0</v>
      </c>
      <c r="H971" s="385">
        <v>160.44999999999999</v>
      </c>
      <c r="I971" s="421">
        <f t="shared" si="545"/>
        <v>0</v>
      </c>
      <c r="J971" s="422">
        <f t="shared" si="546"/>
        <v>0</v>
      </c>
    </row>
    <row r="972" spans="1:10" ht="23.4" x14ac:dyDescent="0.3">
      <c r="A972" s="274" t="s">
        <v>103</v>
      </c>
      <c r="B972" s="1044"/>
      <c r="C972" s="295" t="s">
        <v>240</v>
      </c>
      <c r="D972" s="275" t="s">
        <v>238</v>
      </c>
      <c r="E972" s="384">
        <v>101.4935</v>
      </c>
      <c r="F972" s="402">
        <f>IFERROR(E972*'01 Prod Physique Boites'!H966,"-")</f>
        <v>0</v>
      </c>
      <c r="G972" s="403">
        <f>IFERROR(E972*'01 Prod Physique Boites'!L966,"-")</f>
        <v>0</v>
      </c>
      <c r="H972" s="385">
        <v>160.44999999999999</v>
      </c>
      <c r="I972" s="421">
        <f t="shared" si="545"/>
        <v>0</v>
      </c>
      <c r="J972" s="422">
        <f t="shared" si="546"/>
        <v>0</v>
      </c>
    </row>
    <row r="973" spans="1:10" ht="23.4" x14ac:dyDescent="0.3">
      <c r="A973" s="274" t="s">
        <v>103</v>
      </c>
      <c r="B973" s="1044"/>
      <c r="C973" s="295" t="s">
        <v>241</v>
      </c>
      <c r="D973" s="275" t="s">
        <v>243</v>
      </c>
      <c r="E973" s="384">
        <v>101.4935</v>
      </c>
      <c r="F973" s="402">
        <f>IFERROR(E973*'01 Prod Physique Boites'!H967,"-")</f>
        <v>0</v>
      </c>
      <c r="G973" s="403">
        <f>IFERROR(E973*'01 Prod Physique Boites'!L967,"-")</f>
        <v>0</v>
      </c>
      <c r="H973" s="385">
        <v>160.44999999999999</v>
      </c>
      <c r="I973" s="421">
        <f t="shared" si="545"/>
        <v>0</v>
      </c>
      <c r="J973" s="422">
        <f t="shared" si="546"/>
        <v>0</v>
      </c>
    </row>
    <row r="974" spans="1:10" ht="23.4" x14ac:dyDescent="0.3">
      <c r="A974" s="274"/>
      <c r="B974" s="1045"/>
      <c r="C974" s="295" t="s">
        <v>457</v>
      </c>
      <c r="D974" s="275" t="s">
        <v>238</v>
      </c>
      <c r="E974" s="386">
        <v>101.49</v>
      </c>
      <c r="F974" s="402">
        <f>IFERROR(E974*'01 Prod Physique Boites'!H968,"-")</f>
        <v>0</v>
      </c>
      <c r="G974" s="403">
        <f>IFERROR(E974*'01 Prod Physique Boites'!L968,"-")</f>
        <v>0</v>
      </c>
      <c r="H974" s="385">
        <v>160.44999999999999</v>
      </c>
      <c r="I974" s="421">
        <f t="shared" si="545"/>
        <v>0</v>
      </c>
      <c r="J974" s="422">
        <f t="shared" si="546"/>
        <v>0</v>
      </c>
    </row>
    <row r="975" spans="1:10" ht="24" thickBot="1" x14ac:dyDescent="0.35">
      <c r="A975" s="274" t="s">
        <v>103</v>
      </c>
      <c r="B975" s="1045"/>
      <c r="C975" s="295" t="s">
        <v>242</v>
      </c>
      <c r="D975" s="275" t="s">
        <v>238</v>
      </c>
      <c r="E975" s="386">
        <v>101.4935</v>
      </c>
      <c r="F975" s="402">
        <f>IFERROR(E975*'01 Prod Physique Boites'!H969,"-")</f>
        <v>0</v>
      </c>
      <c r="G975" s="403">
        <f>IFERROR(E975*'01 Prod Physique Boites'!L969,"-")</f>
        <v>0</v>
      </c>
      <c r="H975" s="385">
        <v>160.44999999999999</v>
      </c>
      <c r="I975" s="421">
        <f t="shared" si="545"/>
        <v>0</v>
      </c>
      <c r="J975" s="424">
        <f t="shared" si="546"/>
        <v>0</v>
      </c>
    </row>
    <row r="976" spans="1:10" ht="24" thickBot="1" x14ac:dyDescent="0.35">
      <c r="A976" s="274" t="s">
        <v>103</v>
      </c>
      <c r="B976" s="1025" t="s">
        <v>49</v>
      </c>
      <c r="C976" s="1026"/>
      <c r="D976" s="1027"/>
      <c r="E976" s="390"/>
      <c r="F976" s="406">
        <f t="shared" ref="F976" si="547">SUM(F967:F975)</f>
        <v>0</v>
      </c>
      <c r="G976" s="407">
        <f>SUM(G967:G975)</f>
        <v>0</v>
      </c>
      <c r="H976" s="391"/>
      <c r="I976" s="406">
        <f t="shared" ref="I976" si="548">SUM(I967:I975)</f>
        <v>0</v>
      </c>
      <c r="J976" s="425">
        <f>SUM(J967:J975)</f>
        <v>0</v>
      </c>
    </row>
    <row r="977" spans="1:10" ht="24" thickBot="1" x14ac:dyDescent="0.35">
      <c r="A977" s="274" t="s">
        <v>103</v>
      </c>
      <c r="B977" s="1047" t="s">
        <v>25</v>
      </c>
      <c r="C977" s="1048"/>
      <c r="D977" s="1049"/>
      <c r="E977" s="393"/>
      <c r="F977" s="410">
        <f t="shared" ref="F977" si="549">+F966+F976</f>
        <v>0</v>
      </c>
      <c r="G977" s="411">
        <f>+G966+G976</f>
        <v>0</v>
      </c>
      <c r="H977" s="394"/>
      <c r="I977" s="410">
        <f t="shared" ref="I977:J977" si="550">+I966+I976</f>
        <v>0</v>
      </c>
      <c r="J977" s="428">
        <f t="shared" si="550"/>
        <v>0</v>
      </c>
    </row>
    <row r="978" spans="1:10" ht="24" thickBot="1" x14ac:dyDescent="0.35">
      <c r="A978" s="274" t="s">
        <v>103</v>
      </c>
      <c r="B978" s="1019" t="s">
        <v>172</v>
      </c>
      <c r="C978" s="1020"/>
      <c r="D978" s="1021"/>
      <c r="E978" s="395"/>
      <c r="F978" s="412">
        <f t="shared" ref="F978" si="551">+F961+F977</f>
        <v>1312936.4783999999</v>
      </c>
      <c r="G978" s="413">
        <f>+G961+G977</f>
        <v>22335921.635599997</v>
      </c>
      <c r="H978" s="396"/>
      <c r="I978" s="412">
        <f t="shared" ref="I978:J978" si="552">+I961+I977</f>
        <v>1756440</v>
      </c>
      <c r="J978" s="429">
        <f t="shared" si="552"/>
        <v>22975180.879999999</v>
      </c>
    </row>
    <row r="979" spans="1:10" ht="23.4" x14ac:dyDescent="0.3">
      <c r="A979" s="268" t="s">
        <v>101</v>
      </c>
      <c r="B979" s="1051" t="s">
        <v>26</v>
      </c>
      <c r="C979" s="297" t="s">
        <v>297</v>
      </c>
      <c r="D979" s="299" t="s">
        <v>177</v>
      </c>
      <c r="E979" s="504">
        <v>13.1272</v>
      </c>
      <c r="F979" s="402">
        <f>IFERROR(E979*'01 Prod Physique Boites'!H973,"-")</f>
        <v>0</v>
      </c>
      <c r="G979" s="403">
        <f>IFERROR(E979*'01 Prod Physique Boites'!L973,"-")</f>
        <v>0</v>
      </c>
      <c r="H979" s="381">
        <v>20.76</v>
      </c>
      <c r="I979" s="419">
        <f t="shared" ref="I979:I988" si="553">IFERROR(H979*(F979/E979),"-")</f>
        <v>0</v>
      </c>
      <c r="J979" s="632">
        <f t="shared" ref="J979:J988" si="554">IFERROR(H979*(G979/E979),"-")</f>
        <v>0</v>
      </c>
    </row>
    <row r="980" spans="1:10" ht="23.4" x14ac:dyDescent="0.3">
      <c r="A980" s="274" t="s">
        <v>101</v>
      </c>
      <c r="B980" s="1051"/>
      <c r="C980" s="298" t="s">
        <v>424</v>
      </c>
      <c r="D980" s="298" t="s">
        <v>423</v>
      </c>
      <c r="E980" s="505">
        <v>16.7288</v>
      </c>
      <c r="F980" s="402">
        <f>IFERROR(E980*'01 Prod Physique Boites'!H974,"-")</f>
        <v>0</v>
      </c>
      <c r="G980" s="403">
        <f>IFERROR(E980*'01 Prod Physique Boites'!L974,"-")</f>
        <v>4392112.9824000001</v>
      </c>
      <c r="H980" s="385">
        <v>20.76</v>
      </c>
      <c r="I980" s="421">
        <f t="shared" si="553"/>
        <v>0</v>
      </c>
      <c r="J980" s="633">
        <f t="shared" si="554"/>
        <v>5450496.4800000004</v>
      </c>
    </row>
    <row r="981" spans="1:10" ht="23.4" x14ac:dyDescent="0.3">
      <c r="A981" s="274" t="s">
        <v>101</v>
      </c>
      <c r="B981" s="1051"/>
      <c r="C981" s="813" t="s">
        <v>460</v>
      </c>
      <c r="D981" s="814" t="s">
        <v>334</v>
      </c>
      <c r="E981" s="501">
        <v>14.608000000000001</v>
      </c>
      <c r="F981" s="402">
        <f>IFERROR(E981*'01 Prod Physique Boites'!H975,"-")</f>
        <v>0</v>
      </c>
      <c r="G981" s="403">
        <f>IFERROR(E981*'01 Prod Physique Boites'!L975,"-")</f>
        <v>406774.36800000002</v>
      </c>
      <c r="H981" s="385">
        <v>21.22</v>
      </c>
      <c r="I981" s="643">
        <f t="shared" si="553"/>
        <v>0</v>
      </c>
      <c r="J981" s="633">
        <f t="shared" si="554"/>
        <v>590892.12</v>
      </c>
    </row>
    <row r="982" spans="1:10" ht="23.4" x14ac:dyDescent="0.3">
      <c r="A982" s="274" t="s">
        <v>101</v>
      </c>
      <c r="B982" s="1051"/>
      <c r="C982" s="299" t="s">
        <v>27</v>
      </c>
      <c r="D982" s="297" t="s">
        <v>492</v>
      </c>
      <c r="E982" s="501">
        <v>17.8202</v>
      </c>
      <c r="F982" s="402">
        <f>IFERROR(E982*'01 Prod Physique Boites'!H976,"-")</f>
        <v>0</v>
      </c>
      <c r="G982" s="403">
        <f>IFERROR(E982*'01 Prod Physique Boites'!L976,"-")</f>
        <v>4820435.3808000004</v>
      </c>
      <c r="H982" s="385">
        <v>26.75</v>
      </c>
      <c r="I982" s="643">
        <f t="shared" si="553"/>
        <v>0</v>
      </c>
      <c r="J982" s="633">
        <f t="shared" si="554"/>
        <v>7235982</v>
      </c>
    </row>
    <row r="983" spans="1:10" ht="23.4" x14ac:dyDescent="0.3">
      <c r="A983" s="274" t="s">
        <v>101</v>
      </c>
      <c r="B983" s="1051"/>
      <c r="C983" s="297" t="s">
        <v>521</v>
      </c>
      <c r="D983" s="299" t="s">
        <v>234</v>
      </c>
      <c r="E983" s="501">
        <v>14.608000000000001</v>
      </c>
      <c r="F983" s="402">
        <f>IFERROR(E983*'01 Prod Physique Boites'!H977,"-")</f>
        <v>0</v>
      </c>
      <c r="G983" s="403">
        <f>IFERROR(E983*'01 Prod Physique Boites'!L977,"-")</f>
        <v>813548.73600000003</v>
      </c>
      <c r="H983" s="385">
        <v>24.93</v>
      </c>
      <c r="I983" s="643">
        <f t="shared" si="553"/>
        <v>0</v>
      </c>
      <c r="J983" s="633">
        <f t="shared" si="554"/>
        <v>1388401.56</v>
      </c>
    </row>
    <row r="984" spans="1:10" ht="23.4" x14ac:dyDescent="0.3">
      <c r="A984" s="274"/>
      <c r="B984" s="1051"/>
      <c r="C984" s="299" t="s">
        <v>437</v>
      </c>
      <c r="D984" s="299" t="s">
        <v>178</v>
      </c>
      <c r="E984" s="501">
        <v>14.608000000000001</v>
      </c>
      <c r="F984" s="402">
        <f>IFERROR(E984*'01 Prod Physique Boites'!H978,"-")</f>
        <v>0</v>
      </c>
      <c r="G984" s="403">
        <f>IFERROR(E984*'01 Prod Physique Boites'!L978,"-")</f>
        <v>0</v>
      </c>
      <c r="H984" s="387">
        <v>24.93</v>
      </c>
      <c r="I984" s="643">
        <f t="shared" si="553"/>
        <v>0</v>
      </c>
      <c r="J984" s="634">
        <f t="shared" si="554"/>
        <v>0</v>
      </c>
    </row>
    <row r="985" spans="1:10" ht="23.4" x14ac:dyDescent="0.3">
      <c r="A985" s="274"/>
      <c r="B985" s="1051"/>
      <c r="C985" s="299" t="s">
        <v>436</v>
      </c>
      <c r="D985" s="299" t="s">
        <v>94</v>
      </c>
      <c r="E985" s="501">
        <v>17.8202</v>
      </c>
      <c r="F985" s="724">
        <f>IFERROR(E985*'01 Prod Physique Boites'!H979,"-")</f>
        <v>0</v>
      </c>
      <c r="G985" s="403">
        <f>IFERROR(E985*'01 Prod Physique Boites'!L979,"-")</f>
        <v>0</v>
      </c>
      <c r="H985" s="387">
        <v>24.93</v>
      </c>
      <c r="I985" s="730">
        <f t="shared" si="553"/>
        <v>0</v>
      </c>
      <c r="J985" s="634">
        <f t="shared" si="554"/>
        <v>0</v>
      </c>
    </row>
    <row r="986" spans="1:10" s="731" customFormat="1" ht="23.4" x14ac:dyDescent="0.3">
      <c r="A986" s="725"/>
      <c r="B986" s="1051"/>
      <c r="C986" s="726" t="s">
        <v>383</v>
      </c>
      <c r="D986" s="726" t="s">
        <v>540</v>
      </c>
      <c r="E986" s="727">
        <v>16.7288</v>
      </c>
      <c r="F986" s="724">
        <f>IFERROR(E986*'01 Prod Physique Boites'!H980,"-")</f>
        <v>1530584.8271999999</v>
      </c>
      <c r="G986" s="728">
        <f>IFERROR(E986*'01 Prod Physique Boites'!L980,"-")</f>
        <v>1530584.8271999999</v>
      </c>
      <c r="H986" s="729">
        <v>25</v>
      </c>
      <c r="I986" s="730">
        <f t="shared" si="553"/>
        <v>2287350</v>
      </c>
      <c r="J986" s="634">
        <f t="shared" si="554"/>
        <v>2287350</v>
      </c>
    </row>
    <row r="987" spans="1:10" s="731" customFormat="1" ht="23.4" x14ac:dyDescent="0.3">
      <c r="A987" s="725"/>
      <c r="B987" s="1051"/>
      <c r="C987" s="299" t="s">
        <v>433</v>
      </c>
      <c r="D987" s="299" t="s">
        <v>178</v>
      </c>
      <c r="E987" s="727">
        <v>16.7288</v>
      </c>
      <c r="F987" s="724">
        <f>IFERROR(E987*'01 Prod Physique Boites'!H981,"-")</f>
        <v>0</v>
      </c>
      <c r="G987" s="728">
        <f>IFERROR(E987*'01 Prod Physique Boites'!L981,"-")</f>
        <v>0</v>
      </c>
      <c r="H987" s="729">
        <v>25.49</v>
      </c>
      <c r="I987" s="730">
        <f t="shared" si="553"/>
        <v>0</v>
      </c>
      <c r="J987" s="634">
        <f t="shared" si="554"/>
        <v>0</v>
      </c>
    </row>
    <row r="988" spans="1:10" ht="24" thickBot="1" x14ac:dyDescent="0.35">
      <c r="A988" s="274" t="s">
        <v>101</v>
      </c>
      <c r="B988" s="1051"/>
      <c r="C988" s="300" t="s">
        <v>290</v>
      </c>
      <c r="D988" s="299" t="s">
        <v>289</v>
      </c>
      <c r="E988" s="501">
        <v>12.6997</v>
      </c>
      <c r="F988" s="402">
        <f>IFERROR(E988*'01 Prod Physique Boites'!H982,"-")</f>
        <v>0</v>
      </c>
      <c r="G988" s="728">
        <f>IFERROR(E988*'01 Prod Physique Boites'!L982,"-")</f>
        <v>0</v>
      </c>
      <c r="H988" s="387">
        <v>13.25</v>
      </c>
      <c r="I988" s="730">
        <f t="shared" si="553"/>
        <v>0</v>
      </c>
      <c r="J988" s="634">
        <f t="shared" si="554"/>
        <v>0</v>
      </c>
    </row>
    <row r="989" spans="1:10" ht="24" thickBot="1" x14ac:dyDescent="0.35">
      <c r="A989" s="274" t="s">
        <v>101</v>
      </c>
      <c r="B989" s="1052"/>
      <c r="C989" s="301"/>
      <c r="D989" s="302" t="s">
        <v>52</v>
      </c>
      <c r="E989" s="390"/>
      <c r="F989" s="406">
        <f>SUM(F979:F988)</f>
        <v>1530584.8271999999</v>
      </c>
      <c r="G989" s="407">
        <f>SUM(G979:G988)</f>
        <v>11963456.294399999</v>
      </c>
      <c r="H989" s="391"/>
      <c r="I989" s="406">
        <f>SUM(I979:I988)</f>
        <v>2287350</v>
      </c>
      <c r="J989" s="425">
        <f>SUM(J979:J988)</f>
        <v>16953122.160000004</v>
      </c>
    </row>
    <row r="990" spans="1:10" ht="23.4" x14ac:dyDescent="0.3">
      <c r="A990" s="274" t="s">
        <v>101</v>
      </c>
      <c r="B990" s="1053" t="s">
        <v>28</v>
      </c>
      <c r="C990" s="299" t="s">
        <v>27</v>
      </c>
      <c r="D990" s="297" t="s">
        <v>492</v>
      </c>
      <c r="E990" s="504">
        <v>17.8202</v>
      </c>
      <c r="F990" s="402">
        <f>IFERROR(E990*'01 Prod Physique Boites'!H984,"-")</f>
        <v>0</v>
      </c>
      <c r="G990" s="403">
        <f>IFERROR(E990*'01 Prod Physique Boites'!L984,"-")</f>
        <v>2977327.7352</v>
      </c>
      <c r="H990" s="381">
        <v>26.75</v>
      </c>
      <c r="I990" s="419">
        <f t="shared" ref="I990:I996" si="555">IFERROR(H990*(F990/E990),"-")</f>
        <v>0</v>
      </c>
      <c r="J990" s="632">
        <f t="shared" ref="J990:J991" si="556">IFERROR(H990*(G990/E990),"-")</f>
        <v>4469283</v>
      </c>
    </row>
    <row r="991" spans="1:10" ht="23.4" x14ac:dyDescent="0.3">
      <c r="A991" s="274" t="s">
        <v>101</v>
      </c>
      <c r="B991" s="1051"/>
      <c r="C991" s="299" t="s">
        <v>386</v>
      </c>
      <c r="D991" s="299" t="s">
        <v>334</v>
      </c>
      <c r="E991" s="711">
        <v>16.7288</v>
      </c>
      <c r="F991" s="402">
        <f>IFERROR(E991*'01 Prod Physique Boites'!H985,"-")</f>
        <v>0</v>
      </c>
      <c r="G991" s="728">
        <f>IFERROR(E991*'01 Prod Physique Boites'!L985,"-")</f>
        <v>1597131.9935999999</v>
      </c>
      <c r="H991" s="708">
        <v>20.76</v>
      </c>
      <c r="I991" s="421">
        <f t="shared" si="555"/>
        <v>0</v>
      </c>
      <c r="J991" s="633">
        <f t="shared" si="556"/>
        <v>1981998.7200000002</v>
      </c>
    </row>
    <row r="992" spans="1:10" ht="23.4" x14ac:dyDescent="0.3">
      <c r="A992" s="274" t="s">
        <v>101</v>
      </c>
      <c r="B992" s="1051"/>
      <c r="C992" s="299" t="s">
        <v>541</v>
      </c>
      <c r="D992" s="299" t="s">
        <v>334</v>
      </c>
      <c r="E992" s="501">
        <v>17.8202</v>
      </c>
      <c r="F992" s="402">
        <f>IFERROR(E992*'01 Prod Physique Boites'!H986,"-")</f>
        <v>0</v>
      </c>
      <c r="G992" s="403">
        <f>IFERROR(E992*'01 Prod Physique Boites'!L986,"-")</f>
        <v>0</v>
      </c>
      <c r="H992" s="385">
        <v>21.22</v>
      </c>
      <c r="I992" s="421">
        <f t="shared" si="555"/>
        <v>0</v>
      </c>
      <c r="J992" s="633">
        <f>IFERROR(H992*(G992/E992),"-")</f>
        <v>0</v>
      </c>
    </row>
    <row r="993" spans="1:10" ht="23.4" x14ac:dyDescent="0.3">
      <c r="A993" s="274"/>
      <c r="B993" s="1051"/>
      <c r="C993" s="299" t="s">
        <v>460</v>
      </c>
      <c r="D993" s="299" t="s">
        <v>334</v>
      </c>
      <c r="E993" s="501">
        <v>14.608000000000001</v>
      </c>
      <c r="F993" s="402">
        <f>IFERROR(E993*'01 Prod Physique Boites'!H987,"-")</f>
        <v>0</v>
      </c>
      <c r="G993" s="403">
        <f>IFERROR(E993*'01 Prod Physique Boites'!L987,"-")</f>
        <v>58110.624000000003</v>
      </c>
      <c r="H993" s="385">
        <v>21.22</v>
      </c>
      <c r="I993" s="421">
        <f t="shared" si="555"/>
        <v>0</v>
      </c>
      <c r="J993" s="633">
        <f>IFERROR(H993*(G993/E993),"-")</f>
        <v>84413.159999999989</v>
      </c>
    </row>
    <row r="994" spans="1:10" ht="23.4" x14ac:dyDescent="0.3">
      <c r="A994" s="274"/>
      <c r="B994" s="1051"/>
      <c r="C994" s="299" t="s">
        <v>433</v>
      </c>
      <c r="D994" s="299" t="s">
        <v>540</v>
      </c>
      <c r="E994" s="711">
        <v>16.7288</v>
      </c>
      <c r="F994" s="402">
        <f>IFERROR(E994*'01 Prod Physique Boites'!H988,"-")</f>
        <v>1197848.9952</v>
      </c>
      <c r="G994" s="403">
        <f>IFERROR(E994*'01 Prod Physique Boites'!L988,"-")</f>
        <v>1197848.9952</v>
      </c>
      <c r="H994" s="385">
        <v>25</v>
      </c>
      <c r="I994" s="423">
        <f t="shared" si="555"/>
        <v>1790100</v>
      </c>
      <c r="J994" s="634">
        <f t="shared" ref="J994:J996" si="557">IFERROR(H994*(G994/E994),"-")</f>
        <v>1790100</v>
      </c>
    </row>
    <row r="995" spans="1:10" ht="23.4" x14ac:dyDescent="0.3">
      <c r="A995" s="274"/>
      <c r="B995" s="1051"/>
      <c r="C995" s="299" t="s">
        <v>458</v>
      </c>
      <c r="D995" s="300" t="s">
        <v>280</v>
      </c>
      <c r="E995" s="711">
        <v>17.8202</v>
      </c>
      <c r="F995" s="402">
        <f>IFERROR(E995*'01 Prod Physique Boites'!H989,"-")</f>
        <v>0</v>
      </c>
      <c r="G995" s="403">
        <f>IFERROR(E995*'01 Prod Physique Boites'!L989,"-")</f>
        <v>0</v>
      </c>
      <c r="H995" s="385">
        <v>24.93</v>
      </c>
      <c r="I995" s="730">
        <f t="shared" si="555"/>
        <v>0</v>
      </c>
      <c r="J995" s="634">
        <f t="shared" si="557"/>
        <v>0</v>
      </c>
    </row>
    <row r="996" spans="1:10" ht="24" thickBot="1" x14ac:dyDescent="0.35">
      <c r="A996" s="274" t="s">
        <v>101</v>
      </c>
      <c r="B996" s="1051"/>
      <c r="C996" s="299" t="s">
        <v>27</v>
      </c>
      <c r="D996" s="300" t="s">
        <v>234</v>
      </c>
      <c r="E996" s="501">
        <v>17.8202</v>
      </c>
      <c r="F996" s="402">
        <f>IFERROR(E996*'01 Prod Physique Boites'!H990,"-")</f>
        <v>0</v>
      </c>
      <c r="G996" s="403">
        <f>IFERROR(E996*'01 Prod Physique Boites'!L990,"-")</f>
        <v>0</v>
      </c>
      <c r="H996" s="385">
        <v>24.93</v>
      </c>
      <c r="I996" s="423">
        <f t="shared" si="555"/>
        <v>0</v>
      </c>
      <c r="J996" s="634">
        <f t="shared" si="557"/>
        <v>0</v>
      </c>
    </row>
    <row r="997" spans="1:10" ht="24" thickBot="1" x14ac:dyDescent="0.35">
      <c r="A997" s="274" t="s">
        <v>101</v>
      </c>
      <c r="B997" s="1051"/>
      <c r="C997" s="304"/>
      <c r="D997" s="305" t="s">
        <v>52</v>
      </c>
      <c r="E997" s="397"/>
      <c r="F997" s="414">
        <f t="shared" ref="F997:G997" si="558">SUM(F990:F996)</f>
        <v>1197848.9952</v>
      </c>
      <c r="G997" s="415">
        <f t="shared" si="558"/>
        <v>5830419.3479999993</v>
      </c>
      <c r="H997" s="398"/>
      <c r="I997" s="414">
        <f t="shared" ref="I997:J997" si="559">SUM(I990:I996)</f>
        <v>1790100</v>
      </c>
      <c r="J997" s="430">
        <f t="shared" si="559"/>
        <v>8325794.8800000008</v>
      </c>
    </row>
    <row r="998" spans="1:10" ht="24" thickBot="1" x14ac:dyDescent="0.35">
      <c r="A998" s="868" t="s">
        <v>101</v>
      </c>
      <c r="B998" s="1054" t="s">
        <v>162</v>
      </c>
      <c r="C998" s="1055"/>
      <c r="D998" s="1056"/>
      <c r="E998" s="399"/>
      <c r="F998" s="416">
        <f t="shared" ref="F998:G998" si="560">+F989+F997</f>
        <v>2728433.8223999999</v>
      </c>
      <c r="G998" s="417">
        <f t="shared" si="560"/>
        <v>17793875.642399997</v>
      </c>
      <c r="H998" s="400"/>
      <c r="I998" s="416">
        <f t="shared" ref="I998:J998" si="561">+I989+I997</f>
        <v>4077450</v>
      </c>
      <c r="J998" s="431">
        <f t="shared" si="561"/>
        <v>25278917.040000007</v>
      </c>
    </row>
    <row r="999" spans="1:10" ht="23.4" x14ac:dyDescent="0.3">
      <c r="A999" s="274" t="s">
        <v>101</v>
      </c>
      <c r="B999" s="1051" t="s">
        <v>30</v>
      </c>
      <c r="C999" s="303" t="s">
        <v>450</v>
      </c>
      <c r="D999" s="299" t="s">
        <v>334</v>
      </c>
      <c r="E999" s="736">
        <v>27.917000000000002</v>
      </c>
      <c r="F999" s="402">
        <f>IFERROR(E999*'01 Prod Physique Boites'!H993,"-")</f>
        <v>0</v>
      </c>
      <c r="G999" s="728">
        <f>IFERROR(E999*'01 Prod Physique Boites'!L993,"-")</f>
        <v>0</v>
      </c>
      <c r="H999" s="734">
        <v>33.299999999999997</v>
      </c>
      <c r="I999" s="419">
        <f>IFERROR(H999*(F999/E999),"-")</f>
        <v>0</v>
      </c>
      <c r="J999" s="420">
        <f t="shared" ref="J999:J1001" si="562">IFERROR(H999*(G999/E999),"-")</f>
        <v>0</v>
      </c>
    </row>
    <row r="1000" spans="1:10" ht="23.4" x14ac:dyDescent="0.3">
      <c r="A1000" s="274" t="s">
        <v>101</v>
      </c>
      <c r="B1000" s="1051"/>
      <c r="C1000" s="300" t="s">
        <v>448</v>
      </c>
      <c r="D1000" s="303" t="s">
        <v>384</v>
      </c>
      <c r="E1000" s="733">
        <v>28.526700000000002</v>
      </c>
      <c r="F1000" s="402">
        <f>IFERROR(E1000*'01 Prod Physique Boites'!H994,"-")</f>
        <v>0</v>
      </c>
      <c r="G1000" s="728">
        <f>IFERROR(E1000*'01 Prod Physique Boites'!L994,"-")</f>
        <v>0</v>
      </c>
      <c r="H1000" s="735">
        <v>37.89</v>
      </c>
      <c r="I1000" s="421">
        <f>IFERROR(H1000*(F1000/E1000),"-")</f>
        <v>0</v>
      </c>
      <c r="J1000" s="422">
        <f t="shared" si="562"/>
        <v>0</v>
      </c>
    </row>
    <row r="1001" spans="1:10" ht="24" thickBot="1" x14ac:dyDescent="0.35">
      <c r="A1001" s="274" t="s">
        <v>101</v>
      </c>
      <c r="B1001" s="1051"/>
      <c r="C1001" s="300" t="s">
        <v>291</v>
      </c>
      <c r="D1001" s="300" t="s">
        <v>384</v>
      </c>
      <c r="E1001" s="501">
        <v>25.751300000000001</v>
      </c>
      <c r="F1001" s="724">
        <f>IFERROR(E1001*'01 Prod Physique Boites'!H995,"-")</f>
        <v>0</v>
      </c>
      <c r="G1001" s="728">
        <f>IFERROR(E1001*'01 Prod Physique Boites'!L995,"-")</f>
        <v>0</v>
      </c>
      <c r="H1001" s="387">
        <v>37.89</v>
      </c>
      <c r="I1001" s="423">
        <f>IFERROR(H1001*(F1001/E1001),"-")</f>
        <v>0</v>
      </c>
      <c r="J1001" s="424">
        <f t="shared" si="562"/>
        <v>0</v>
      </c>
    </row>
    <row r="1002" spans="1:10" ht="24" thickBot="1" x14ac:dyDescent="0.35">
      <c r="A1002" s="274" t="s">
        <v>101</v>
      </c>
      <c r="B1002" s="1051"/>
      <c r="C1002" s="301"/>
      <c r="D1002" s="302" t="s">
        <v>50</v>
      </c>
      <c r="E1002" s="390"/>
      <c r="F1002" s="406">
        <f t="shared" ref="F1002:G1002" si="563">SUM(F999:F1001)</f>
        <v>0</v>
      </c>
      <c r="G1002" s="407">
        <f t="shared" si="563"/>
        <v>0</v>
      </c>
      <c r="H1002" s="391"/>
      <c r="I1002" s="406">
        <f t="shared" ref="I1002" si="564">SUM(I999:I1001)</f>
        <v>0</v>
      </c>
      <c r="J1002" s="425">
        <f>SUM(J999:J1001)</f>
        <v>0</v>
      </c>
    </row>
    <row r="1003" spans="1:10" ht="23.4" x14ac:dyDescent="0.3">
      <c r="A1003" s="274" t="s">
        <v>101</v>
      </c>
      <c r="B1003" s="1051"/>
      <c r="C1003" s="297" t="s">
        <v>439</v>
      </c>
      <c r="D1003" s="297" t="s">
        <v>92</v>
      </c>
      <c r="E1003" s="504">
        <v>24.2607</v>
      </c>
      <c r="F1003" s="402">
        <f>IFERROR(E1003*'01 Prod Physique Boites'!H997,"-")</f>
        <v>0</v>
      </c>
      <c r="G1003" s="728">
        <f>IFERROR(E1003*'01 Prod Physique Boites'!L997,"-")</f>
        <v>0</v>
      </c>
      <c r="H1003" s="381">
        <v>28.31</v>
      </c>
      <c r="I1003" s="638">
        <f>IFERROR(H1003*(F1003/E1003),"-")</f>
        <v>0</v>
      </c>
      <c r="J1003" s="420">
        <f t="shared" ref="J1003:J1008" si="565">IFERROR(H1003*(G1003/E1003),"-")</f>
        <v>0</v>
      </c>
    </row>
    <row r="1004" spans="1:10" ht="23.4" x14ac:dyDescent="0.3">
      <c r="A1004" s="274"/>
      <c r="B1004" s="1051"/>
      <c r="C1004" s="303" t="s">
        <v>449</v>
      </c>
      <c r="D1004" s="299" t="s">
        <v>334</v>
      </c>
      <c r="E1004" s="504">
        <v>24.2607</v>
      </c>
      <c r="F1004" s="402">
        <f>IFERROR(E1004*'01 Prod Physique Boites'!H998,"-")</f>
        <v>0</v>
      </c>
      <c r="G1004" s="728">
        <f>IFERROR(E1004*'01 Prod Physique Boites'!L998,"-")</f>
        <v>0</v>
      </c>
      <c r="H1004" s="381">
        <v>28.88</v>
      </c>
      <c r="I1004" s="638">
        <f t="shared" ref="I1004:I1008" si="566">IFERROR(H1004*(F1004/E1004),"-")</f>
        <v>0</v>
      </c>
      <c r="J1004" s="420">
        <f t="shared" si="565"/>
        <v>0</v>
      </c>
    </row>
    <row r="1005" spans="1:10" ht="23.4" x14ac:dyDescent="0.3">
      <c r="A1005" s="274"/>
      <c r="B1005" s="1051"/>
      <c r="C1005" s="303" t="s">
        <v>452</v>
      </c>
      <c r="D1005" s="299" t="s">
        <v>334</v>
      </c>
      <c r="E1005" s="504">
        <v>25.4041</v>
      </c>
      <c r="F1005" s="402">
        <f>IFERROR(E1005*'01 Prod Physique Boites'!H999,"-")</f>
        <v>0</v>
      </c>
      <c r="G1005" s="728">
        <f>IFERROR(E1005*'01 Prod Physique Boites'!L999,"-")</f>
        <v>0</v>
      </c>
      <c r="H1005" s="381">
        <v>28.21</v>
      </c>
      <c r="I1005" s="638">
        <f t="shared" si="566"/>
        <v>0</v>
      </c>
      <c r="J1005" s="420">
        <f t="shared" si="565"/>
        <v>0</v>
      </c>
    </row>
    <row r="1006" spans="1:10" ht="23.4" x14ac:dyDescent="0.3">
      <c r="A1006" s="274" t="s">
        <v>101</v>
      </c>
      <c r="B1006" s="1051"/>
      <c r="C1006" s="303" t="s">
        <v>501</v>
      </c>
      <c r="D1006" s="300" t="s">
        <v>423</v>
      </c>
      <c r="E1006" s="505">
        <v>23.697399999999998</v>
      </c>
      <c r="F1006" s="724">
        <f>IFERROR(E1006*'01 Prod Physique Boites'!H1000,"-")</f>
        <v>0</v>
      </c>
      <c r="G1006" s="728">
        <f>IFERROR(E1006*'01 Prod Physique Boites'!L1000,"-")</f>
        <v>177446.13119999997</v>
      </c>
      <c r="H1006" s="385">
        <v>28.21</v>
      </c>
      <c r="I1006" s="638">
        <f t="shared" si="566"/>
        <v>0</v>
      </c>
      <c r="J1006" s="420">
        <f t="shared" si="565"/>
        <v>211236.47999999998</v>
      </c>
    </row>
    <row r="1007" spans="1:10" ht="23.4" x14ac:dyDescent="0.3">
      <c r="A1007" s="274"/>
      <c r="B1007" s="1051"/>
      <c r="C1007" s="300" t="s">
        <v>459</v>
      </c>
      <c r="D1007" s="300" t="s">
        <v>366</v>
      </c>
      <c r="E1007" s="501">
        <v>22.094999999999999</v>
      </c>
      <c r="F1007" s="724">
        <f>IFERROR(E1007*'01 Prod Physique Boites'!H1001,"-")</f>
        <v>0</v>
      </c>
      <c r="G1007" s="728">
        <f>IFERROR(E1007*'01 Prod Physique Boites'!L1001,"-")</f>
        <v>0</v>
      </c>
      <c r="H1007" s="745">
        <v>37.11</v>
      </c>
      <c r="I1007" s="638">
        <f t="shared" si="566"/>
        <v>0</v>
      </c>
      <c r="J1007" s="420">
        <f t="shared" si="565"/>
        <v>0</v>
      </c>
    </row>
    <row r="1008" spans="1:10" ht="24" thickBot="1" x14ac:dyDescent="0.35">
      <c r="A1008" s="274" t="s">
        <v>101</v>
      </c>
      <c r="B1008" s="1051"/>
      <c r="C1008" s="300" t="s">
        <v>438</v>
      </c>
      <c r="D1008" s="300" t="s">
        <v>423</v>
      </c>
      <c r="E1008" s="501">
        <v>23.697399999999998</v>
      </c>
      <c r="F1008" s="402">
        <f>IFERROR(E1008*'01 Prod Physique Boites'!H1002,"-")</f>
        <v>0</v>
      </c>
      <c r="G1008" s="403">
        <f>IFERROR(E1008*'01 Prod Physique Boites'!L1002,"-")</f>
        <v>0</v>
      </c>
      <c r="H1008" s="387">
        <v>28.21</v>
      </c>
      <c r="I1008" s="638">
        <f t="shared" si="566"/>
        <v>0</v>
      </c>
      <c r="J1008" s="420">
        <f t="shared" si="565"/>
        <v>0</v>
      </c>
    </row>
    <row r="1009" spans="1:10" ht="24" thickBot="1" x14ac:dyDescent="0.35">
      <c r="A1009" s="274" t="s">
        <v>101</v>
      </c>
      <c r="B1009" s="1051"/>
      <c r="C1009" s="304"/>
      <c r="D1009" s="305" t="s">
        <v>51</v>
      </c>
      <c r="E1009" s="397"/>
      <c r="F1009" s="414">
        <f t="shared" ref="F1009:G1009" si="567">SUM(F1003:F1008)</f>
        <v>0</v>
      </c>
      <c r="G1009" s="415">
        <f t="shared" si="567"/>
        <v>177446.13119999997</v>
      </c>
      <c r="H1009" s="398"/>
      <c r="I1009" s="414">
        <f t="shared" ref="I1009" si="568">SUM(I1003:I1008)</f>
        <v>0</v>
      </c>
      <c r="J1009" s="430">
        <f>SUM(J1003:J1008)</f>
        <v>211236.47999999998</v>
      </c>
    </row>
    <row r="1010" spans="1:10" ht="24" thickBot="1" x14ac:dyDescent="0.35">
      <c r="A1010" s="274" t="s">
        <v>101</v>
      </c>
      <c r="B1010" s="1054" t="s">
        <v>163</v>
      </c>
      <c r="C1010" s="1055"/>
      <c r="D1010" s="1056"/>
      <c r="E1010" s="399"/>
      <c r="F1010" s="416">
        <f t="shared" ref="F1010:G1010" si="569">+F1002+F1009</f>
        <v>0</v>
      </c>
      <c r="G1010" s="417">
        <f t="shared" si="569"/>
        <v>177446.13119999997</v>
      </c>
      <c r="H1010" s="400"/>
      <c r="I1010" s="416">
        <f t="shared" ref="I1010:J1010" si="570">+I1002+I1009</f>
        <v>0</v>
      </c>
      <c r="J1010" s="431">
        <f t="shared" si="570"/>
        <v>211236.47999999998</v>
      </c>
    </row>
    <row r="1011" spans="1:10" ht="24" thickBot="1" x14ac:dyDescent="0.35">
      <c r="A1011" s="274" t="s">
        <v>101</v>
      </c>
      <c r="B1011" s="599" t="s">
        <v>32</v>
      </c>
      <c r="C1011" s="864"/>
      <c r="D1011" s="310"/>
      <c r="E1011" s="506">
        <v>12.2659</v>
      </c>
      <c r="F1011" s="408">
        <f>IFERROR(E1011*'01 Prod Physique Boites'!H1005,"-")</f>
        <v>0</v>
      </c>
      <c r="G1011" s="409">
        <f>IFERROR(E1011*'01 Prod Physique Boites'!L1005,"-")</f>
        <v>0</v>
      </c>
      <c r="H1011" s="392"/>
      <c r="I1011" s="426">
        <f>IFERROR(H1011*(F1011/E1011),"-")</f>
        <v>0</v>
      </c>
      <c r="J1011" s="427">
        <f>IFERROR(H1011*(G1011/E1011),"-")</f>
        <v>0</v>
      </c>
    </row>
    <row r="1012" spans="1:10" ht="24" thickBot="1" x14ac:dyDescent="0.35">
      <c r="A1012" s="274" t="s">
        <v>101</v>
      </c>
      <c r="B1012" s="1047" t="s">
        <v>21</v>
      </c>
      <c r="C1012" s="1048"/>
      <c r="D1012" s="1049"/>
      <c r="E1012" s="393"/>
      <c r="F1012" s="410">
        <f t="shared" ref="F1012" si="571">+F998+F1010+F1011</f>
        <v>2728433.8223999999</v>
      </c>
      <c r="G1012" s="411">
        <f>+G998+G1010+G1011</f>
        <v>17971321.773599997</v>
      </c>
      <c r="H1012" s="394"/>
      <c r="I1012" s="410">
        <f t="shared" ref="I1012:J1012" si="572">+I998+I1010+I1011</f>
        <v>4077450</v>
      </c>
      <c r="J1012" s="428">
        <f t="shared" si="572"/>
        <v>25490153.520000007</v>
      </c>
    </row>
    <row r="1013" spans="1:10" ht="24" thickBot="1" x14ac:dyDescent="0.35">
      <c r="A1013" s="274" t="s">
        <v>101</v>
      </c>
      <c r="B1013" s="1019" t="s">
        <v>171</v>
      </c>
      <c r="C1013" s="1020"/>
      <c r="D1013" s="1021"/>
      <c r="E1013" s="395"/>
      <c r="F1013" s="412">
        <f t="shared" ref="F1013:G1013" si="573">+F1012</f>
        <v>2728433.8223999999</v>
      </c>
      <c r="G1013" s="413">
        <f t="shared" si="573"/>
        <v>17971321.773599997</v>
      </c>
      <c r="H1013" s="396"/>
      <c r="I1013" s="412">
        <f t="shared" ref="I1013:J1013" si="574">+I1012</f>
        <v>4077450</v>
      </c>
      <c r="J1013" s="429">
        <f t="shared" si="574"/>
        <v>25490153.520000007</v>
      </c>
    </row>
    <row r="1014" spans="1:10" ht="23.4" x14ac:dyDescent="0.3">
      <c r="A1014" s="268" t="s">
        <v>102</v>
      </c>
      <c r="B1014" s="1022" t="s">
        <v>401</v>
      </c>
      <c r="C1014" s="311" t="s">
        <v>113</v>
      </c>
      <c r="D1014" s="311"/>
      <c r="E1014" s="709">
        <v>254.89750000000001</v>
      </c>
      <c r="F1014" s="402">
        <f>IFERROR(E1014*'01 Prod Physique Boites'!H1008,"-")</f>
        <v>0</v>
      </c>
      <c r="G1014" s="403">
        <f>IFERROR(E1014*'01 Prod Physique Boites'!L1008,"-")</f>
        <v>0</v>
      </c>
      <c r="H1014" s="381">
        <v>445.38</v>
      </c>
      <c r="I1014" s="419">
        <f>IFERROR(H1014*(F1014/E1014),"-")</f>
        <v>0</v>
      </c>
      <c r="J1014" s="420">
        <f t="shared" ref="J1014:J1016" si="575">IFERROR(H1014*(G1014/E1014),"-")</f>
        <v>0</v>
      </c>
    </row>
    <row r="1015" spans="1:10" ht="23.4" x14ac:dyDescent="0.3">
      <c r="A1015" s="274" t="s">
        <v>102</v>
      </c>
      <c r="B1015" s="1023"/>
      <c r="C1015" s="312" t="s">
        <v>247</v>
      </c>
      <c r="D1015" s="312"/>
      <c r="E1015" s="503">
        <v>246.51390000000001</v>
      </c>
      <c r="F1015" s="402">
        <f>IFERROR(E1015*'01 Prod Physique Boites'!H1009,"-")</f>
        <v>86033.3511</v>
      </c>
      <c r="G1015" s="403">
        <f>IFERROR(E1015*'01 Prod Physique Boites'!L1009,"-")</f>
        <v>2255355.6710999999</v>
      </c>
      <c r="H1015" s="385">
        <v>430.02</v>
      </c>
      <c r="I1015" s="421">
        <f>IFERROR(H1015*(F1015/E1015),"-")</f>
        <v>150076.97999999998</v>
      </c>
      <c r="J1015" s="422">
        <f t="shared" si="575"/>
        <v>3934252.98</v>
      </c>
    </row>
    <row r="1016" spans="1:10" ht="24" thickBot="1" x14ac:dyDescent="0.35">
      <c r="A1016" s="274" t="s">
        <v>102</v>
      </c>
      <c r="B1016" s="1024"/>
      <c r="C1016" s="313" t="s">
        <v>33</v>
      </c>
      <c r="D1016" s="313"/>
      <c r="E1016" s="500">
        <v>225.7713</v>
      </c>
      <c r="F1016" s="402">
        <f>IFERROR(E1016*'01 Prod Physique Boites'!H1010,"-")</f>
        <v>0</v>
      </c>
      <c r="G1016" s="403">
        <f>IFERROR(E1016*'01 Prod Physique Boites'!L1010,"-")</f>
        <v>0</v>
      </c>
      <c r="H1016" s="387"/>
      <c r="I1016" s="423">
        <f>IFERROR(H1016*(F1016/E1016),"-")</f>
        <v>0</v>
      </c>
      <c r="J1016" s="424">
        <f t="shared" si="575"/>
        <v>0</v>
      </c>
    </row>
    <row r="1017" spans="1:10" ht="24" thickBot="1" x14ac:dyDescent="0.35">
      <c r="A1017" s="274" t="s">
        <v>102</v>
      </c>
      <c r="B1017" s="1025" t="s">
        <v>34</v>
      </c>
      <c r="C1017" s="1026"/>
      <c r="D1017" s="1027"/>
      <c r="E1017" s="390"/>
      <c r="F1017" s="406">
        <f t="shared" ref="F1017:G1017" si="576">SUM(F1014:F1016)</f>
        <v>86033.3511</v>
      </c>
      <c r="G1017" s="407">
        <f t="shared" si="576"/>
        <v>2255355.6710999999</v>
      </c>
      <c r="H1017" s="391"/>
      <c r="I1017" s="406">
        <f t="shared" ref="I1017:J1017" si="577">SUM(I1014:I1016)</f>
        <v>150076.97999999998</v>
      </c>
      <c r="J1017" s="425">
        <f t="shared" si="577"/>
        <v>3934252.98</v>
      </c>
    </row>
    <row r="1018" spans="1:10" ht="23.4" x14ac:dyDescent="0.3">
      <c r="A1018" s="274" t="s">
        <v>102</v>
      </c>
      <c r="B1018" s="1022" t="s">
        <v>35</v>
      </c>
      <c r="C1018" s="311" t="s">
        <v>113</v>
      </c>
      <c r="D1018" s="311"/>
      <c r="E1018" s="502">
        <v>254.89750000000001</v>
      </c>
      <c r="F1018" s="402">
        <f>IFERROR(E1018*'01 Prod Physique Boites'!H1012,"-")</f>
        <v>0</v>
      </c>
      <c r="G1018" s="403">
        <f>IFERROR(E1018*'01 Prod Physique Boites'!L1012,"-")</f>
        <v>0</v>
      </c>
      <c r="H1018" s="381">
        <v>445.38</v>
      </c>
      <c r="I1018" s="419">
        <f>IFERROR(H1018*(F1018/E1018),"-")</f>
        <v>0</v>
      </c>
      <c r="J1018" s="420">
        <f t="shared" ref="J1018:J1021" si="578">IFERROR(H1018*(G1018/E1018),"-")</f>
        <v>0</v>
      </c>
    </row>
    <row r="1019" spans="1:10" ht="23.4" x14ac:dyDescent="0.3">
      <c r="A1019" s="274" t="s">
        <v>102</v>
      </c>
      <c r="B1019" s="1023"/>
      <c r="C1019" s="312" t="s">
        <v>247</v>
      </c>
      <c r="D1019" s="312"/>
      <c r="E1019" s="503">
        <v>246.51390000000001</v>
      </c>
      <c r="F1019" s="402">
        <f>IFERROR(E1019*'01 Prod Physique Boites'!H1013,"-")</f>
        <v>0</v>
      </c>
      <c r="G1019" s="403">
        <f>IFERROR(E1019*'01 Prod Physique Boites'!L1013,"-")</f>
        <v>0</v>
      </c>
      <c r="H1019" s="385">
        <v>430.02</v>
      </c>
      <c r="I1019" s="421">
        <f>IFERROR(H1019*(F1019/E1019),"-")</f>
        <v>0</v>
      </c>
      <c r="J1019" s="422">
        <f t="shared" si="578"/>
        <v>0</v>
      </c>
    </row>
    <row r="1020" spans="1:10" ht="23.4" x14ac:dyDescent="0.3">
      <c r="A1020" s="274" t="s">
        <v>102</v>
      </c>
      <c r="B1020" s="1023"/>
      <c r="C1020" s="312" t="s">
        <v>184</v>
      </c>
      <c r="D1020" s="312" t="s">
        <v>183</v>
      </c>
      <c r="E1020" s="503">
        <v>254.89750000000001</v>
      </c>
      <c r="F1020" s="402">
        <f>IFERROR(E1020*'01 Prod Physique Boites'!H1014,"-")</f>
        <v>0</v>
      </c>
      <c r="G1020" s="403">
        <f>IFERROR(E1020*'01 Prod Physique Boites'!L1014,"-")</f>
        <v>0</v>
      </c>
      <c r="H1020" s="385"/>
      <c r="I1020" s="421">
        <f>IFERROR(H1020*(F1020/E1020),"-")</f>
        <v>0</v>
      </c>
      <c r="J1020" s="422">
        <f t="shared" si="578"/>
        <v>0</v>
      </c>
    </row>
    <row r="1021" spans="1:10" ht="24" thickBot="1" x14ac:dyDescent="0.35">
      <c r="A1021" s="274" t="s">
        <v>102</v>
      </c>
      <c r="B1021" s="1024"/>
      <c r="C1021" s="313" t="s">
        <v>36</v>
      </c>
      <c r="D1021" s="313"/>
      <c r="E1021" s="500">
        <v>229.99359999999999</v>
      </c>
      <c r="F1021" s="402">
        <f>IFERROR(E1021*'01 Prod Physique Boites'!H1015,"-")</f>
        <v>0</v>
      </c>
      <c r="G1021" s="403">
        <f>IFERROR(E1021*'01 Prod Physique Boites'!L1015,"-")</f>
        <v>0</v>
      </c>
      <c r="H1021" s="387"/>
      <c r="I1021" s="423">
        <f>IFERROR(H1021*(F1021/E1021),"-")</f>
        <v>0</v>
      </c>
      <c r="J1021" s="424">
        <f t="shared" si="578"/>
        <v>0</v>
      </c>
    </row>
    <row r="1022" spans="1:10" ht="24" thickBot="1" x14ac:dyDescent="0.35">
      <c r="A1022" s="274" t="s">
        <v>102</v>
      </c>
      <c r="B1022" s="1025" t="s">
        <v>37</v>
      </c>
      <c r="C1022" s="1026"/>
      <c r="D1022" s="1027"/>
      <c r="E1022" s="390"/>
      <c r="F1022" s="406">
        <f t="shared" ref="F1022:G1022" si="579">SUM(F1018:F1021)</f>
        <v>0</v>
      </c>
      <c r="G1022" s="407">
        <f t="shared" si="579"/>
        <v>0</v>
      </c>
      <c r="H1022" s="391"/>
      <c r="I1022" s="406">
        <f>SUM(I1018:I1021)</f>
        <v>0</v>
      </c>
      <c r="J1022" s="425">
        <f>SUM(J1018:J1021)</f>
        <v>0</v>
      </c>
    </row>
    <row r="1023" spans="1:10" ht="23.4" x14ac:dyDescent="0.3">
      <c r="A1023" s="274" t="s">
        <v>102</v>
      </c>
      <c r="B1023" s="1022" t="s">
        <v>402</v>
      </c>
      <c r="C1023" s="314" t="s">
        <v>116</v>
      </c>
      <c r="D1023" s="314"/>
      <c r="E1023" s="502">
        <v>195.2808</v>
      </c>
      <c r="F1023" s="402">
        <f>IFERROR(E1023*'01 Prod Physique Boites'!H1017,"-")</f>
        <v>0</v>
      </c>
      <c r="G1023" s="403">
        <f>IFERROR(E1023*'01 Prod Physique Boites'!L1017,"-")</f>
        <v>0</v>
      </c>
      <c r="H1023" s="681">
        <v>256.7</v>
      </c>
      <c r="I1023" s="419">
        <f>IFERROR(H1023*(F1023/E1023),"-")</f>
        <v>0</v>
      </c>
      <c r="J1023" s="420">
        <f t="shared" ref="J1023:J1024" si="580">IFERROR(H1023*(G1023/E1023),"-")</f>
        <v>0</v>
      </c>
    </row>
    <row r="1024" spans="1:10" ht="24" thickBot="1" x14ac:dyDescent="0.35">
      <c r="A1024" s="274" t="s">
        <v>102</v>
      </c>
      <c r="B1024" s="1024"/>
      <c r="C1024" s="286" t="s">
        <v>132</v>
      </c>
      <c r="D1024" s="286"/>
      <c r="E1024" s="500">
        <v>189.91890000000001</v>
      </c>
      <c r="F1024" s="402">
        <f>IFERROR(E1024*'01 Prod Physique Boites'!H1018,"-")</f>
        <v>607740.48</v>
      </c>
      <c r="G1024" s="403">
        <f>IFERROR(E1024*'01 Prod Physique Boites'!L1018,"-")</f>
        <v>3663535.5810000002</v>
      </c>
      <c r="H1024" s="387">
        <v>320.35000000000002</v>
      </c>
      <c r="I1024" s="423">
        <f>IFERROR(H1024*(F1024/E1024),"-")</f>
        <v>1025119.9999999999</v>
      </c>
      <c r="J1024" s="424">
        <f t="shared" si="580"/>
        <v>6179551.5</v>
      </c>
    </row>
    <row r="1025" spans="1:10" ht="24" thickBot="1" x14ac:dyDescent="0.35">
      <c r="A1025" s="868" t="s">
        <v>102</v>
      </c>
      <c r="B1025" s="1025" t="s">
        <v>38</v>
      </c>
      <c r="C1025" s="1026"/>
      <c r="D1025" s="1027"/>
      <c r="E1025" s="390"/>
      <c r="F1025" s="406">
        <f>SUM(F1023:F1024)</f>
        <v>607740.48</v>
      </c>
      <c r="G1025" s="407">
        <f t="shared" ref="G1025" si="581">SUM(G1023:G1024)</f>
        <v>3663535.5810000002</v>
      </c>
      <c r="H1025" s="391"/>
      <c r="I1025" s="406">
        <f t="shared" ref="I1025:J1025" si="582">SUM(I1023:I1024)</f>
        <v>1025119.9999999999</v>
      </c>
      <c r="J1025" s="425">
        <f t="shared" si="582"/>
        <v>6179551.5</v>
      </c>
    </row>
    <row r="1026" spans="1:10" ht="23.4" x14ac:dyDescent="0.3">
      <c r="A1026" s="274" t="s">
        <v>102</v>
      </c>
      <c r="B1026" s="1022" t="s">
        <v>403</v>
      </c>
      <c r="C1026" s="269" t="s">
        <v>306</v>
      </c>
      <c r="D1026" s="269" t="s">
        <v>238</v>
      </c>
      <c r="E1026" s="504">
        <v>37.248699999999999</v>
      </c>
      <c r="F1026" s="402">
        <f>IFERROR(E1026*'01 Prod Physique Boites'!H1020,"-")</f>
        <v>1672615.6247999999</v>
      </c>
      <c r="G1026" s="403">
        <f>IFERROR(E1026*'01 Prod Physique Boites'!L1020,"-")</f>
        <v>7665335.4755999995</v>
      </c>
      <c r="H1026" s="381">
        <v>71.44</v>
      </c>
      <c r="I1026" s="419">
        <f>IFERROR(H1026*(F1026/E1026),"-")</f>
        <v>3207941.76</v>
      </c>
      <c r="J1026" s="420">
        <f>IFERROR(H1026*(G1026/E1026),"-")</f>
        <v>14701494.719999999</v>
      </c>
    </row>
    <row r="1027" spans="1:10" ht="23.4" x14ac:dyDescent="0.3">
      <c r="A1027" s="274" t="s">
        <v>102</v>
      </c>
      <c r="B1027" s="1023"/>
      <c r="C1027" s="269" t="s">
        <v>156</v>
      </c>
      <c r="D1027" s="275"/>
      <c r="E1027" s="504">
        <v>37.248699999999999</v>
      </c>
      <c r="F1027" s="402">
        <f>IFERROR(E1027*'01 Prod Physique Boites'!H1021,"-")</f>
        <v>0</v>
      </c>
      <c r="G1027" s="403">
        <f>IFERROR(E1027*'01 Prod Physique Boites'!L1021,"-")</f>
        <v>0</v>
      </c>
      <c r="H1027" s="385"/>
      <c r="I1027" s="421">
        <f>IFERROR(H1027*(F1027/E1027),"-")</f>
        <v>0</v>
      </c>
      <c r="J1027" s="422">
        <f t="shared" ref="J1027:J1029" si="583">IFERROR(H1027*(G1027/E1027),"-")</f>
        <v>0</v>
      </c>
    </row>
    <row r="1028" spans="1:10" ht="23.4" x14ac:dyDescent="0.3">
      <c r="A1028" s="274" t="s">
        <v>102</v>
      </c>
      <c r="B1028" s="1023"/>
      <c r="C1028" s="275" t="s">
        <v>345</v>
      </c>
      <c r="D1028" s="269" t="s">
        <v>238</v>
      </c>
      <c r="E1028" s="504">
        <v>37.248699999999999</v>
      </c>
      <c r="F1028" s="402">
        <f>IFERROR(E1028*'01 Prod Physique Boites'!H1022,"-")</f>
        <v>0</v>
      </c>
      <c r="G1028" s="403">
        <f>IFERROR(E1028*'01 Prod Physique Boites'!L1022,"-")</f>
        <v>1826378.2583999999</v>
      </c>
      <c r="H1028" s="385">
        <v>71.44</v>
      </c>
      <c r="I1028" s="421">
        <f>IFERROR(H1028*(F1028/E1028),"-")</f>
        <v>0</v>
      </c>
      <c r="J1028" s="422">
        <f t="shared" si="583"/>
        <v>3502846.08</v>
      </c>
    </row>
    <row r="1029" spans="1:10" ht="24" thickBot="1" x14ac:dyDescent="0.35">
      <c r="A1029" s="274" t="s">
        <v>102</v>
      </c>
      <c r="B1029" s="1023"/>
      <c r="C1029" s="275" t="s">
        <v>157</v>
      </c>
      <c r="D1029" s="275"/>
      <c r="E1029" s="505">
        <v>38.466099999999997</v>
      </c>
      <c r="F1029" s="402">
        <f>IFERROR(E1029*'01 Prod Physique Boites'!H1023,"-")</f>
        <v>0</v>
      </c>
      <c r="G1029" s="403">
        <f>IFERROR(E1029*'01 Prod Physique Boites'!L1023,"-")</f>
        <v>0</v>
      </c>
      <c r="H1029" s="385"/>
      <c r="I1029" s="421">
        <f>IFERROR(H1029*(F1029/E1029),"-")</f>
        <v>0</v>
      </c>
      <c r="J1029" s="422">
        <f t="shared" si="583"/>
        <v>0</v>
      </c>
    </row>
    <row r="1030" spans="1:10" ht="24" thickBot="1" x14ac:dyDescent="0.35">
      <c r="A1030" s="274" t="s">
        <v>102</v>
      </c>
      <c r="B1030" s="1025" t="s">
        <v>39</v>
      </c>
      <c r="C1030" s="1026"/>
      <c r="D1030" s="1027"/>
      <c r="E1030" s="390"/>
      <c r="F1030" s="406">
        <f>SUM(F1026:F1029)</f>
        <v>1672615.6247999999</v>
      </c>
      <c r="G1030" s="407">
        <f>SUM(G1026:G1029)</f>
        <v>9491713.7339999992</v>
      </c>
      <c r="H1030" s="391"/>
      <c r="I1030" s="406">
        <f>SUM(I1026:I1029)</f>
        <v>3207941.76</v>
      </c>
      <c r="J1030" s="406">
        <f>SUM(J1026:J1029)</f>
        <v>18204340.799999997</v>
      </c>
    </row>
    <row r="1031" spans="1:10" ht="23.4" x14ac:dyDescent="0.3">
      <c r="A1031" s="274" t="s">
        <v>102</v>
      </c>
      <c r="B1031" s="1022" t="s">
        <v>40</v>
      </c>
      <c r="C1031" s="269" t="s">
        <v>186</v>
      </c>
      <c r="D1031" s="269" t="s">
        <v>183</v>
      </c>
      <c r="E1031" s="504">
        <v>30.7499</v>
      </c>
      <c r="F1031" s="402">
        <f>IFERROR(E1031*'01 Prod Physique Boites'!H1026,"-")</f>
        <v>0</v>
      </c>
      <c r="G1031" s="402">
        <f>IFERROR(E1031*'01 Prod Physique Boites'!L1026,"-")</f>
        <v>0</v>
      </c>
      <c r="H1031" s="381"/>
      <c r="I1031" s="419">
        <f>IFERROR(H1031*(F1031/E1031),"-")</f>
        <v>0</v>
      </c>
      <c r="J1031" s="420">
        <f>IFERROR(H1031*(G1031/E1031),"-")</f>
        <v>0</v>
      </c>
    </row>
    <row r="1032" spans="1:10" ht="23.4" x14ac:dyDescent="0.3">
      <c r="A1032" s="274" t="s">
        <v>102</v>
      </c>
      <c r="B1032" s="1023"/>
      <c r="C1032" s="275" t="s">
        <v>159</v>
      </c>
      <c r="D1032" s="275"/>
      <c r="E1032" s="684">
        <v>30.073599999999999</v>
      </c>
      <c r="F1032" s="402">
        <f>IFERROR(E1032*'01 Prod Physique Boites'!H1027,"-")</f>
        <v>0</v>
      </c>
      <c r="G1032" s="403">
        <f>IFERROR(E1032*'01 Prod Physique Boites'!L1027,"-")</f>
        <v>342839.03999999998</v>
      </c>
      <c r="H1032" s="385">
        <v>59.96</v>
      </c>
      <c r="I1032" s="421">
        <f>IFERROR(H1032*(F1032/E1032),"-")</f>
        <v>0</v>
      </c>
      <c r="J1032" s="422">
        <f t="shared" ref="J1032:J1033" si="584">IFERROR(H1032*(G1032/E1032),"-")</f>
        <v>683544</v>
      </c>
    </row>
    <row r="1033" spans="1:10" ht="24" thickBot="1" x14ac:dyDescent="0.35">
      <c r="A1033" s="274" t="s">
        <v>102</v>
      </c>
      <c r="B1033" s="1024"/>
      <c r="C1033" s="279" t="s">
        <v>186</v>
      </c>
      <c r="D1033" s="279" t="s">
        <v>185</v>
      </c>
      <c r="E1033" s="501">
        <v>30.073599999999999</v>
      </c>
      <c r="F1033" s="402">
        <f>IFERROR(E1033*'01 Prod Physique Boites'!H1028,"-")</f>
        <v>0</v>
      </c>
      <c r="G1033" s="403">
        <f>IFERROR(E1033*'01 Prod Physique Boites'!L1028,"-")</f>
        <v>0</v>
      </c>
      <c r="H1033" s="387"/>
      <c r="I1033" s="423">
        <f>IFERROR(H1033*(F1033/E1033),"-")</f>
        <v>0</v>
      </c>
      <c r="J1033" s="424">
        <f t="shared" si="584"/>
        <v>0</v>
      </c>
    </row>
    <row r="1034" spans="1:10" ht="24" thickBot="1" x14ac:dyDescent="0.35">
      <c r="A1034" s="274" t="s">
        <v>102</v>
      </c>
      <c r="B1034" s="1034" t="s">
        <v>41</v>
      </c>
      <c r="C1034" s="1035"/>
      <c r="D1034" s="1036"/>
      <c r="E1034" s="390"/>
      <c r="F1034" s="406">
        <f t="shared" ref="F1034:G1034" si="585">SUM(F1031:F1033)</f>
        <v>0</v>
      </c>
      <c r="G1034" s="407">
        <f t="shared" si="585"/>
        <v>342839.03999999998</v>
      </c>
      <c r="H1034" s="391"/>
      <c r="I1034" s="406">
        <f t="shared" ref="I1034:J1034" si="586">SUM(I1031:I1033)</f>
        <v>0</v>
      </c>
      <c r="J1034" s="425">
        <f t="shared" si="586"/>
        <v>683544</v>
      </c>
    </row>
    <row r="1035" spans="1:10" ht="23.4" x14ac:dyDescent="0.3">
      <c r="A1035" s="274" t="s">
        <v>102</v>
      </c>
      <c r="B1035" s="1022" t="s">
        <v>42</v>
      </c>
      <c r="C1035" s="269" t="s">
        <v>160</v>
      </c>
      <c r="D1035" s="269"/>
      <c r="E1035" s="504">
        <v>36.684899999999999</v>
      </c>
      <c r="F1035" s="402">
        <f>IFERROR(E1035*'01 Prod Physique Boites'!H1030,"-")</f>
        <v>0</v>
      </c>
      <c r="G1035" s="402">
        <f>IFERROR(E1035*'01 Prod Physique Boites'!L1030,"-")</f>
        <v>0</v>
      </c>
      <c r="H1035" s="381"/>
      <c r="I1035" s="382" t="s">
        <v>190</v>
      </c>
      <c r="J1035" s="383" t="s">
        <v>190</v>
      </c>
    </row>
    <row r="1036" spans="1:10" ht="24" thickBot="1" x14ac:dyDescent="0.35">
      <c r="A1036" s="274" t="s">
        <v>102</v>
      </c>
      <c r="B1036" s="1024"/>
      <c r="C1036" s="279" t="s">
        <v>161</v>
      </c>
      <c r="D1036" s="279"/>
      <c r="E1036" s="501">
        <v>37.002800000000001</v>
      </c>
      <c r="F1036" s="402">
        <f>IFERROR(E1036*'01 Prod Physique Boites'!H1031,"-")</f>
        <v>0</v>
      </c>
      <c r="G1036" s="402">
        <f>IFERROR(E1036*'01 Prod Physique Boites'!L1031,"-")</f>
        <v>0</v>
      </c>
      <c r="H1036" s="387"/>
      <c r="I1036" s="388" t="s">
        <v>190</v>
      </c>
      <c r="J1036" s="389" t="s">
        <v>190</v>
      </c>
    </row>
    <row r="1037" spans="1:10" ht="24" thickBot="1" x14ac:dyDescent="0.35">
      <c r="A1037" s="274" t="s">
        <v>102</v>
      </c>
      <c r="B1037" s="1034" t="s">
        <v>43</v>
      </c>
      <c r="C1037" s="1035"/>
      <c r="D1037" s="1036"/>
      <c r="E1037" s="390"/>
      <c r="F1037" s="402">
        <f>IFERROR(E1037*'01 Prod Physique Boites'!H1031,"-")</f>
        <v>0</v>
      </c>
      <c r="G1037" s="407">
        <f>IFERROR(E1037*'01 Prod Physique Boites'!L1031,"-")</f>
        <v>0</v>
      </c>
      <c r="H1037" s="391"/>
      <c r="I1037" s="406">
        <f t="shared" ref="I1037:J1037" si="587">SUM(I1035:I1036)</f>
        <v>0</v>
      </c>
      <c r="J1037" s="425">
        <f t="shared" si="587"/>
        <v>0</v>
      </c>
    </row>
    <row r="1038" spans="1:10" ht="24" thickBot="1" x14ac:dyDescent="0.35">
      <c r="A1038" s="274" t="s">
        <v>102</v>
      </c>
      <c r="B1038" s="1028" t="s">
        <v>25</v>
      </c>
      <c r="C1038" s="1029"/>
      <c r="D1038" s="1030"/>
      <c r="E1038" s="393"/>
      <c r="F1038" s="410">
        <f>+F1017+F1022+F1025+F1030+F1034+F1037</f>
        <v>2366389.4558999999</v>
      </c>
      <c r="G1038" s="411">
        <f>+G1017+G1022+G1025+G1030+G1034+G1037</f>
        <v>15753444.026099999</v>
      </c>
      <c r="H1038" s="394"/>
      <c r="I1038" s="410">
        <f>+I1017+I1022+I1025+I1030+I1034+I1037</f>
        <v>4383138.74</v>
      </c>
      <c r="J1038" s="428">
        <f>+J1017+J1022+J1025+J1030+J1034+J1037</f>
        <v>29001689.279999997</v>
      </c>
    </row>
    <row r="1039" spans="1:10" ht="24" thickBot="1" x14ac:dyDescent="0.35">
      <c r="A1039" s="318" t="s">
        <v>102</v>
      </c>
      <c r="B1039" s="1020" t="s">
        <v>173</v>
      </c>
      <c r="C1039" s="1020"/>
      <c r="D1039" s="1021"/>
      <c r="E1039" s="395"/>
      <c r="F1039" s="412">
        <f t="shared" ref="F1039:G1039" si="588">+F1038</f>
        <v>2366389.4558999999</v>
      </c>
      <c r="G1039" s="413">
        <f t="shared" si="588"/>
        <v>15753444.026099999</v>
      </c>
      <c r="H1039" s="396"/>
      <c r="I1039" s="412">
        <f t="shared" ref="I1039" si="589">+I1038</f>
        <v>4383138.74</v>
      </c>
      <c r="J1039" s="429">
        <f>+J1038</f>
        <v>29001689.279999997</v>
      </c>
    </row>
    <row r="1040" spans="1:10" ht="24.6" thickBot="1" x14ac:dyDescent="0.35">
      <c r="A1040" s="319"/>
      <c r="B1040" s="1031" t="s">
        <v>174</v>
      </c>
      <c r="C1040" s="1032"/>
      <c r="D1040" s="1033"/>
      <c r="E1040" s="401"/>
      <c r="F1040" s="418">
        <f>+F978+F1013+F1039</f>
        <v>6407759.7566999998</v>
      </c>
      <c r="G1040" s="418">
        <f>+G978+G1013+G1039</f>
        <v>56060687.435299993</v>
      </c>
      <c r="H1040" s="401"/>
      <c r="I1040" s="418">
        <f>+I978+I1013+I1039</f>
        <v>10217028.74</v>
      </c>
      <c r="J1040" s="432">
        <f>+J978+J1013+J1039</f>
        <v>77467023.680000007</v>
      </c>
    </row>
    <row r="1041" spans="1:15" ht="23.4" x14ac:dyDescent="0.3">
      <c r="A1041" s="1057" t="s">
        <v>1</v>
      </c>
      <c r="B1041" s="1060" t="s">
        <v>2</v>
      </c>
      <c r="C1041" s="1063" t="s">
        <v>396</v>
      </c>
      <c r="D1041" s="1063" t="s">
        <v>397</v>
      </c>
      <c r="E1041" s="1092" t="s">
        <v>405</v>
      </c>
      <c r="F1041" s="1093"/>
      <c r="G1041" s="1093"/>
      <c r="H1041" s="442"/>
      <c r="I1041" s="442"/>
      <c r="J1041" s="443"/>
    </row>
    <row r="1042" spans="1:15" ht="23.4" x14ac:dyDescent="0.3">
      <c r="A1042" s="1058"/>
      <c r="B1042" s="1061"/>
      <c r="C1042" s="1064"/>
      <c r="D1042" s="1064"/>
      <c r="E1042" s="1094" t="s">
        <v>408</v>
      </c>
      <c r="F1042" s="1095"/>
      <c r="G1042" s="1096"/>
      <c r="H1042" s="1094" t="s">
        <v>168</v>
      </c>
      <c r="I1042" s="1095"/>
      <c r="J1042" s="1096"/>
    </row>
    <row r="1043" spans="1:15" ht="46.8" x14ac:dyDescent="0.3">
      <c r="A1043" s="1059"/>
      <c r="B1043" s="1090"/>
      <c r="C1043" s="1091"/>
      <c r="D1043" s="1091"/>
      <c r="E1043" s="379" t="s">
        <v>170</v>
      </c>
      <c r="F1043" s="890" t="s">
        <v>407</v>
      </c>
      <c r="G1043" s="891" t="s">
        <v>406</v>
      </c>
      <c r="H1043" s="1097" t="s">
        <v>170</v>
      </c>
      <c r="I1043" s="1099" t="s">
        <v>137</v>
      </c>
      <c r="J1043" s="1101" t="s">
        <v>406</v>
      </c>
    </row>
    <row r="1044" spans="1:15" ht="24" thickBot="1" x14ac:dyDescent="0.35">
      <c r="A1044" s="1059"/>
      <c r="B1044" s="1062"/>
      <c r="C1044" s="1065"/>
      <c r="D1044" s="1065"/>
      <c r="E1044" s="1103" t="s">
        <v>542</v>
      </c>
      <c r="F1044" s="1104"/>
      <c r="G1044" s="1105"/>
      <c r="H1044" s="1098"/>
      <c r="I1044" s="1100"/>
      <c r="J1044" s="1102"/>
    </row>
    <row r="1045" spans="1:15" ht="23.4" x14ac:dyDescent="0.3">
      <c r="A1045" s="268" t="s">
        <v>103</v>
      </c>
      <c r="B1045" s="1043" t="s">
        <v>16</v>
      </c>
      <c r="C1045" s="269" t="s">
        <v>368</v>
      </c>
      <c r="D1045" s="269" t="s">
        <v>369</v>
      </c>
      <c r="E1045" s="705">
        <v>81.360699999999994</v>
      </c>
      <c r="F1045" s="402">
        <f>IFERROR(E1045*'01 Prod Physique Boites'!H1039,"-")</f>
        <v>182247.96799999999</v>
      </c>
      <c r="G1045" s="402">
        <f>IFERROR(E1045*'01 Prod Physique Boites'!L1039,"-")</f>
        <v>182247.96799999999</v>
      </c>
      <c r="H1045" s="706">
        <v>143.28</v>
      </c>
      <c r="I1045" s="419">
        <f>IFERROR(H1045*(F1045/E1045),"-")</f>
        <v>320947.20000000001</v>
      </c>
      <c r="J1045" s="420">
        <f t="shared" ref="J1045:J1047" si="590">IFERROR(H1045*(G1045/E1045),"-")</f>
        <v>320947.20000000001</v>
      </c>
    </row>
    <row r="1046" spans="1:15" ht="23.4" x14ac:dyDescent="0.3">
      <c r="A1046" s="713"/>
      <c r="B1046" s="1044"/>
      <c r="C1046" s="275" t="s">
        <v>470</v>
      </c>
      <c r="D1046" s="275" t="s">
        <v>375</v>
      </c>
      <c r="E1046" s="505">
        <v>81.360699999999994</v>
      </c>
      <c r="F1046" s="402">
        <f>IFERROR(E1046*'01 Prod Physique Boites'!H1040,"-")</f>
        <v>0</v>
      </c>
      <c r="G1046" s="402">
        <f>IFERROR(E1046*'01 Prod Physique Boites'!L1040,"-")</f>
        <v>0</v>
      </c>
      <c r="H1046" s="708">
        <v>143.28</v>
      </c>
      <c r="I1046" s="419">
        <f>IFERROR(H1046*(F1046/E1046),"-")</f>
        <v>0</v>
      </c>
      <c r="J1046" s="420">
        <f t="shared" si="590"/>
        <v>0</v>
      </c>
    </row>
    <row r="1047" spans="1:15" ht="23.4" x14ac:dyDescent="0.3">
      <c r="A1047" s="274" t="s">
        <v>103</v>
      </c>
      <c r="B1047" s="1044"/>
      <c r="C1047" s="275" t="s">
        <v>430</v>
      </c>
      <c r="D1047" s="275" t="s">
        <v>384</v>
      </c>
      <c r="E1047" s="684">
        <v>77.170400000000001</v>
      </c>
      <c r="F1047" s="402">
        <f>IFERROR(E1047*'01 Prod Physique Boites'!H1041,"-")</f>
        <v>0</v>
      </c>
      <c r="G1047" s="402">
        <f>IFERROR(E1047*'01 Prod Physique Boites'!L1041,"-")</f>
        <v>617363.19999999995</v>
      </c>
      <c r="H1047" s="385">
        <v>0</v>
      </c>
      <c r="I1047" s="419">
        <f>IFERROR(H1047*(F1047/E1047),"-")</f>
        <v>0</v>
      </c>
      <c r="J1047" s="420">
        <f t="shared" si="590"/>
        <v>0</v>
      </c>
    </row>
    <row r="1048" spans="1:15" ht="24" thickBot="1" x14ac:dyDescent="0.35">
      <c r="A1048" s="274" t="s">
        <v>103</v>
      </c>
      <c r="B1048" s="1045"/>
      <c r="C1048" s="279" t="s">
        <v>262</v>
      </c>
      <c r="D1048" s="279" t="s">
        <v>231</v>
      </c>
      <c r="E1048" s="501">
        <v>60.703499999999998</v>
      </c>
      <c r="F1048" s="402">
        <f>IFERROR(E1048*'01 Prod Physique Boites'!H1042,"-")</f>
        <v>0</v>
      </c>
      <c r="G1048" s="402">
        <f>IFERROR(E1048*'01 Prod Physique Boites'!L1042,"-")</f>
        <v>0</v>
      </c>
      <c r="H1048" s="387">
        <v>111.09</v>
      </c>
      <c r="I1048" s="419">
        <f>IFERROR(H1048*(F1048/E1048),"-")</f>
        <v>0</v>
      </c>
      <c r="J1048" s="420">
        <f>IFERROR(H1048*(G1048/E1048),"-")</f>
        <v>0</v>
      </c>
    </row>
    <row r="1049" spans="1:15" ht="24" thickBot="1" x14ac:dyDescent="0.35">
      <c r="A1049" s="274" t="s">
        <v>103</v>
      </c>
      <c r="B1049" s="1025" t="s">
        <v>44</v>
      </c>
      <c r="C1049" s="1026"/>
      <c r="D1049" s="1027"/>
      <c r="E1049" s="390"/>
      <c r="F1049" s="406">
        <f t="shared" ref="F1049" si="591">SUM(F1045:F1048)</f>
        <v>182247.96799999999</v>
      </c>
      <c r="G1049" s="407">
        <f>SUM(G1045:G1048)</f>
        <v>799611.16799999995</v>
      </c>
      <c r="H1049" s="391"/>
      <c r="I1049" s="406">
        <f t="shared" ref="I1049:J1049" si="592">SUM(I1045:I1048)</f>
        <v>320947.20000000001</v>
      </c>
      <c r="J1049" s="425">
        <f t="shared" si="592"/>
        <v>320947.20000000001</v>
      </c>
      <c r="K1049" s="704"/>
      <c r="L1049" s="704"/>
      <c r="M1049" s="704"/>
      <c r="N1049" s="704"/>
      <c r="O1049" s="704"/>
    </row>
    <row r="1050" spans="1:15" ht="23.4" x14ac:dyDescent="0.3">
      <c r="A1050" s="274" t="s">
        <v>103</v>
      </c>
      <c r="B1050" s="1043" t="s">
        <v>17</v>
      </c>
      <c r="C1050" s="269" t="s">
        <v>294</v>
      </c>
      <c r="D1050" s="269"/>
      <c r="E1050" s="504">
        <v>12.5275</v>
      </c>
      <c r="F1050" s="402">
        <f>IFERROR(E1050*'01 Prod Physique Boites'!H1044,"-")</f>
        <v>0</v>
      </c>
      <c r="G1050" s="402">
        <f>IFERROR(E1050*'01 Prod Physique Boites'!L1044,"-")</f>
        <v>0</v>
      </c>
      <c r="H1050" s="681">
        <v>18.836400000000001</v>
      </c>
      <c r="I1050" s="419">
        <f t="shared" ref="I1050:I1056" si="593">IFERROR(H1050*(F1050/E1050),"-")</f>
        <v>0</v>
      </c>
      <c r="J1050" s="420">
        <f t="shared" ref="J1050:J1055" si="594">IFERROR(H1050*(G1050/E1050),"-")</f>
        <v>0</v>
      </c>
    </row>
    <row r="1051" spans="1:15" ht="23.4" x14ac:dyDescent="0.3">
      <c r="A1051" s="274" t="s">
        <v>103</v>
      </c>
      <c r="B1051" s="1044"/>
      <c r="C1051" s="275" t="s">
        <v>344</v>
      </c>
      <c r="D1051" s="275" t="s">
        <v>232</v>
      </c>
      <c r="E1051" s="677">
        <v>13.002700000000001</v>
      </c>
      <c r="F1051" s="402">
        <f>IFERROR(E1051*'01 Prod Physique Boites'!H1045,"-")</f>
        <v>0</v>
      </c>
      <c r="G1051" s="402">
        <f>IFERROR(E1051*'01 Prod Physique Boites'!L1045,"-")</f>
        <v>77756.146000000008</v>
      </c>
      <c r="H1051" s="385">
        <v>21.18</v>
      </c>
      <c r="I1051" s="421">
        <f t="shared" si="593"/>
        <v>0</v>
      </c>
      <c r="J1051" s="422">
        <f t="shared" si="594"/>
        <v>126656.4</v>
      </c>
    </row>
    <row r="1052" spans="1:15" ht="23.4" x14ac:dyDescent="0.3">
      <c r="A1052" s="274" t="s">
        <v>103</v>
      </c>
      <c r="B1052" s="1044"/>
      <c r="C1052" s="275" t="s">
        <v>351</v>
      </c>
      <c r="D1052" s="275" t="s">
        <v>187</v>
      </c>
      <c r="E1052" s="677">
        <v>12.9049</v>
      </c>
      <c r="F1052" s="402">
        <f>IFERROR(E1052*'01 Prod Physique Boites'!H1046,"-")</f>
        <v>1500581.7719999999</v>
      </c>
      <c r="G1052" s="402">
        <f>IFERROR(E1052*'01 Prod Physique Boites'!L1046,"-")</f>
        <v>9714292.5240000002</v>
      </c>
      <c r="H1052" s="385">
        <v>20.5</v>
      </c>
      <c r="I1052" s="421">
        <f t="shared" si="593"/>
        <v>2383740</v>
      </c>
      <c r="J1052" s="422">
        <f t="shared" si="594"/>
        <v>15431580</v>
      </c>
    </row>
    <row r="1053" spans="1:15" ht="23.4" x14ac:dyDescent="0.3">
      <c r="A1053" s="274" t="s">
        <v>103</v>
      </c>
      <c r="B1053" s="1044"/>
      <c r="C1053" s="275" t="s">
        <v>530</v>
      </c>
      <c r="D1053" s="275" t="s">
        <v>529</v>
      </c>
      <c r="E1053" s="505">
        <v>13.1958</v>
      </c>
      <c r="F1053" s="402">
        <f>IFERROR(E1053*'01 Prod Physique Boites'!H1047,"-")</f>
        <v>0</v>
      </c>
      <c r="G1053" s="402">
        <f>IFERROR(E1053*'01 Prod Physique Boites'!L1047,"-")</f>
        <v>545646.32999999996</v>
      </c>
      <c r="H1053" s="708">
        <v>21.28</v>
      </c>
      <c r="I1053" s="421">
        <f t="shared" si="593"/>
        <v>0</v>
      </c>
      <c r="J1053" s="422">
        <f t="shared" si="594"/>
        <v>879927.99999999988</v>
      </c>
    </row>
    <row r="1054" spans="1:15" ht="23.4" x14ac:dyDescent="0.3">
      <c r="A1054" s="274" t="s">
        <v>103</v>
      </c>
      <c r="B1054" s="1044"/>
      <c r="C1054" s="275" t="s">
        <v>323</v>
      </c>
      <c r="D1054" s="275" t="s">
        <v>318</v>
      </c>
      <c r="E1054" s="505">
        <v>13.1958</v>
      </c>
      <c r="F1054" s="402">
        <f>IFERROR(E1054*'01 Prod Physique Boites'!H1048,"-")</f>
        <v>0</v>
      </c>
      <c r="G1054" s="402">
        <f>IFERROR(E1054*'01 Prod Physique Boites'!L1048,"-")</f>
        <v>0</v>
      </c>
      <c r="H1054" s="385">
        <v>21.28</v>
      </c>
      <c r="I1054" s="421">
        <f t="shared" si="593"/>
        <v>0</v>
      </c>
      <c r="J1054" s="422">
        <f t="shared" si="594"/>
        <v>0</v>
      </c>
    </row>
    <row r="1055" spans="1:15" ht="23.4" x14ac:dyDescent="0.3">
      <c r="A1055" s="274">
        <v>1</v>
      </c>
      <c r="B1055" s="1044"/>
      <c r="C1055" s="275" t="s">
        <v>528</v>
      </c>
      <c r="D1055" s="275" t="s">
        <v>189</v>
      </c>
      <c r="E1055" s="677">
        <v>13.1958</v>
      </c>
      <c r="F1055" s="402">
        <f>IFERROR(E1055*'01 Prod Physique Boites'!H1049,"-")</f>
        <v>69964.131600000008</v>
      </c>
      <c r="G1055" s="402">
        <f>IFERROR(E1055*'01 Prod Physique Boites'!L1049,"-")</f>
        <v>445490.20799999998</v>
      </c>
      <c r="H1055" s="664">
        <v>21.28</v>
      </c>
      <c r="I1055" s="421">
        <f t="shared" si="593"/>
        <v>112826.56000000003</v>
      </c>
      <c r="J1055" s="422">
        <f t="shared" si="594"/>
        <v>718412.80000000005</v>
      </c>
    </row>
    <row r="1056" spans="1:15" ht="24" thickBot="1" x14ac:dyDescent="0.35">
      <c r="A1056" s="274" t="s">
        <v>103</v>
      </c>
      <c r="B1056" s="1045"/>
      <c r="C1056" s="279" t="s">
        <v>341</v>
      </c>
      <c r="D1056" s="279" t="s">
        <v>175</v>
      </c>
      <c r="E1056" s="501">
        <v>13.6509</v>
      </c>
      <c r="F1056" s="402">
        <f>IFERROR(E1056*'01 Prod Physique Boites'!H1050,"-")</f>
        <v>0</v>
      </c>
      <c r="G1056" s="402">
        <f>IFERROR(E1056*'01 Prod Physique Boites'!L1050,"-")</f>
        <v>0</v>
      </c>
      <c r="H1056" s="387">
        <v>21.18</v>
      </c>
      <c r="I1056" s="423">
        <f t="shared" si="593"/>
        <v>0</v>
      </c>
      <c r="J1056" s="424">
        <f>IFERROR(H1056*(G1056/E1056),"-")</f>
        <v>0</v>
      </c>
    </row>
    <row r="1057" spans="1:15" ht="24" thickBot="1" x14ac:dyDescent="0.35">
      <c r="A1057" s="274" t="s">
        <v>103</v>
      </c>
      <c r="B1057" s="1025" t="s">
        <v>45</v>
      </c>
      <c r="C1057" s="1026"/>
      <c r="D1057" s="1027"/>
      <c r="E1057" s="390"/>
      <c r="F1057" s="406">
        <f t="shared" ref="F1057" si="595">SUM(F1050:F1056)</f>
        <v>1570545.9035999998</v>
      </c>
      <c r="G1057" s="407">
        <f>SUM(G1050:G1056)</f>
        <v>10783185.208000001</v>
      </c>
      <c r="H1057" s="391"/>
      <c r="I1057" s="406">
        <f t="shared" ref="I1057" si="596">SUM(I1050:I1056)</f>
        <v>2496566.56</v>
      </c>
      <c r="J1057" s="425">
        <f>SUM(J1050:J1056)</f>
        <v>17156577.199999999</v>
      </c>
      <c r="K1057" s="704"/>
      <c r="L1057" s="704"/>
      <c r="M1057" s="704"/>
      <c r="N1057" s="704"/>
      <c r="O1057" s="704"/>
    </row>
    <row r="1058" spans="1:15" ht="23.4" x14ac:dyDescent="0.3">
      <c r="A1058" s="274" t="s">
        <v>103</v>
      </c>
      <c r="B1058" s="1043" t="s">
        <v>18</v>
      </c>
      <c r="C1058" s="269" t="s">
        <v>312</v>
      </c>
      <c r="D1058" s="269" t="s">
        <v>92</v>
      </c>
      <c r="E1058" s="504">
        <v>17.8202</v>
      </c>
      <c r="F1058" s="402">
        <f>IFERROR(E1058*'01 Prod Physique Boites'!H1052,"-")</f>
        <v>0</v>
      </c>
      <c r="G1058" s="403">
        <f>IFERROR(E1058*'01 Prod Physique Boites'!L1052,"-")</f>
        <v>0</v>
      </c>
      <c r="H1058" s="381">
        <v>24.93</v>
      </c>
      <c r="I1058" s="419">
        <f t="shared" ref="I1058:I1064" si="597">IFERROR(H1058*(F1058/E1058),"-")</f>
        <v>0</v>
      </c>
      <c r="J1058" s="420">
        <f t="shared" ref="J1058:J1060" si="598">IFERROR(H1058*(G1058/E1058),"-")</f>
        <v>0</v>
      </c>
    </row>
    <row r="1059" spans="1:15" ht="23.4" x14ac:dyDescent="0.3">
      <c r="A1059" s="274" t="s">
        <v>103</v>
      </c>
      <c r="B1059" s="1044"/>
      <c r="C1059" s="275" t="s">
        <v>130</v>
      </c>
      <c r="D1059" s="275"/>
      <c r="E1059" s="505">
        <v>17.8202</v>
      </c>
      <c r="F1059" s="402">
        <f>IFERROR(E1059*'01 Prod Physique Boites'!H1053,"-")</f>
        <v>0</v>
      </c>
      <c r="G1059" s="403">
        <f>IFERROR(E1059*'01 Prod Physique Boites'!L1053,"-")</f>
        <v>0</v>
      </c>
      <c r="H1059" s="385">
        <v>0</v>
      </c>
      <c r="I1059" s="421">
        <f t="shared" si="597"/>
        <v>0</v>
      </c>
      <c r="J1059" s="422">
        <f t="shared" si="598"/>
        <v>0</v>
      </c>
    </row>
    <row r="1060" spans="1:15" ht="23.4" x14ac:dyDescent="0.3">
      <c r="A1060" s="274" t="s">
        <v>103</v>
      </c>
      <c r="B1060" s="1044"/>
      <c r="C1060" s="275" t="s">
        <v>115</v>
      </c>
      <c r="D1060" s="275"/>
      <c r="E1060" s="505">
        <v>16.4071</v>
      </c>
      <c r="F1060" s="402">
        <f>IFERROR(E1060*'01 Prod Physique Boites'!H1054,"-")</f>
        <v>0</v>
      </c>
      <c r="G1060" s="403">
        <f>IFERROR(E1060*'01 Prod Physique Boites'!L1054,"-")</f>
        <v>0</v>
      </c>
      <c r="H1060" s="385">
        <v>0</v>
      </c>
      <c r="I1060" s="421">
        <f t="shared" si="597"/>
        <v>0</v>
      </c>
      <c r="J1060" s="422">
        <f t="shared" si="598"/>
        <v>0</v>
      </c>
    </row>
    <row r="1061" spans="1:15" ht="23.4" x14ac:dyDescent="0.3">
      <c r="A1061" s="274" t="s">
        <v>103</v>
      </c>
      <c r="B1061" s="1044"/>
      <c r="C1061" s="275" t="s">
        <v>122</v>
      </c>
      <c r="D1061" s="275"/>
      <c r="E1061" s="505">
        <v>17.8202</v>
      </c>
      <c r="F1061" s="402">
        <f>IFERROR(E1061*'01 Prod Physique Boites'!H1055,"-")</f>
        <v>0</v>
      </c>
      <c r="G1061" s="403">
        <f>IFERROR(E1061*'01 Prod Physique Boites'!L1055,"-")</f>
        <v>0</v>
      </c>
      <c r="H1061" s="385">
        <v>0</v>
      </c>
      <c r="I1061" s="421">
        <f t="shared" si="597"/>
        <v>0</v>
      </c>
      <c r="J1061" s="422">
        <f>IFERROR(H1061*(G1061/E1061),"-")</f>
        <v>0</v>
      </c>
    </row>
    <row r="1062" spans="1:15" ht="23.4" x14ac:dyDescent="0.3">
      <c r="A1062" s="274" t="s">
        <v>103</v>
      </c>
      <c r="B1062" s="1044"/>
      <c r="C1062" s="275" t="s">
        <v>176</v>
      </c>
      <c r="D1062" s="275" t="s">
        <v>177</v>
      </c>
      <c r="E1062" s="505">
        <v>17.8202</v>
      </c>
      <c r="F1062" s="402">
        <f>IFERROR(E1062*'01 Prod Physique Boites'!H1056,"-")</f>
        <v>0</v>
      </c>
      <c r="G1062" s="403">
        <f>IFERROR(E1062*'01 Prod Physique Boites'!L1056,"-")</f>
        <v>0</v>
      </c>
      <c r="H1062" s="385">
        <v>0</v>
      </c>
      <c r="I1062" s="421">
        <f t="shared" si="597"/>
        <v>0</v>
      </c>
      <c r="J1062" s="422">
        <f t="shared" ref="J1062:J1064" si="599">IFERROR(H1062*(G1062/E1062),"-")</f>
        <v>0</v>
      </c>
    </row>
    <row r="1063" spans="1:15" ht="23.4" x14ac:dyDescent="0.3">
      <c r="A1063" s="274" t="s">
        <v>103</v>
      </c>
      <c r="B1063" s="1044"/>
      <c r="C1063" s="275" t="s">
        <v>179</v>
      </c>
      <c r="D1063" s="275" t="s">
        <v>178</v>
      </c>
      <c r="E1063" s="505">
        <v>16.7288</v>
      </c>
      <c r="F1063" s="402">
        <f>IFERROR(E1063*'01 Prod Physique Boites'!H1057,"-")</f>
        <v>0</v>
      </c>
      <c r="G1063" s="403">
        <f>IFERROR(E1063*'01 Prod Physique Boites'!L1057,"-")</f>
        <v>0</v>
      </c>
      <c r="H1063" s="385">
        <v>0</v>
      </c>
      <c r="I1063" s="421">
        <f t="shared" si="597"/>
        <v>0</v>
      </c>
      <c r="J1063" s="422">
        <f t="shared" si="599"/>
        <v>0</v>
      </c>
    </row>
    <row r="1064" spans="1:15" ht="24" thickBot="1" x14ac:dyDescent="0.35">
      <c r="A1064" s="274" t="s">
        <v>103</v>
      </c>
      <c r="B1064" s="1045"/>
      <c r="C1064" s="286" t="s">
        <v>180</v>
      </c>
      <c r="D1064" s="286" t="s">
        <v>107</v>
      </c>
      <c r="E1064" s="501">
        <v>17.8202</v>
      </c>
      <c r="F1064" s="402">
        <f>IFERROR(E1064*'01 Prod Physique Boites'!H1058,"-")</f>
        <v>0</v>
      </c>
      <c r="G1064" s="403">
        <f>IFERROR(E1064*'01 Prod Physique Boites'!L1058,"-")</f>
        <v>0</v>
      </c>
      <c r="H1064" s="385">
        <v>0</v>
      </c>
      <c r="I1064" s="423">
        <f t="shared" si="597"/>
        <v>0</v>
      </c>
      <c r="J1064" s="424">
        <f t="shared" si="599"/>
        <v>0</v>
      </c>
    </row>
    <row r="1065" spans="1:15" ht="24" thickBot="1" x14ac:dyDescent="0.35">
      <c r="A1065" s="274" t="s">
        <v>103</v>
      </c>
      <c r="B1065" s="1025" t="s">
        <v>29</v>
      </c>
      <c r="C1065" s="1083"/>
      <c r="D1065" s="1084"/>
      <c r="E1065" s="841"/>
      <c r="F1065" s="649">
        <f t="shared" ref="F1065:G1065" si="600">SUM(F1058:F1064)</f>
        <v>0</v>
      </c>
      <c r="G1065" s="407">
        <f t="shared" si="600"/>
        <v>0</v>
      </c>
      <c r="H1065" s="391"/>
      <c r="I1065" s="406">
        <f t="shared" ref="I1065:J1065" si="601">SUM(I1058:I1064)</f>
        <v>0</v>
      </c>
      <c r="J1065" s="425">
        <f t="shared" si="601"/>
        <v>0</v>
      </c>
    </row>
    <row r="1066" spans="1:15" ht="24" thickBot="1" x14ac:dyDescent="0.35">
      <c r="A1066" s="274"/>
      <c r="B1066" s="1037" t="s">
        <v>19</v>
      </c>
      <c r="C1066" s="669" t="s">
        <v>235</v>
      </c>
      <c r="D1066" s="669" t="s">
        <v>177</v>
      </c>
      <c r="E1066" s="914">
        <v>12.2659</v>
      </c>
      <c r="F1066" s="843">
        <f>IFERROR(E1066*'01 Prod Physique Boites'!H1060,"-")</f>
        <v>0</v>
      </c>
      <c r="G1066" s="659">
        <f>IFERROR(E1066*'01 Prod Physique Boites'!L1060,"-")</f>
        <v>0</v>
      </c>
      <c r="H1066" s="653">
        <v>14.79</v>
      </c>
      <c r="I1066" s="638">
        <f t="shared" ref="I1066:I1072" si="602">IFERROR(H1066*(F1066/E1066),"-")</f>
        <v>0</v>
      </c>
      <c r="J1066" s="638">
        <f>IFERROR(H1066*(G1066/E1066),"-")</f>
        <v>0</v>
      </c>
    </row>
    <row r="1067" spans="1:15" ht="24" thickBot="1" x14ac:dyDescent="0.35">
      <c r="A1067" s="274"/>
      <c r="B1067" s="1038"/>
      <c r="C1067" s="840" t="s">
        <v>359</v>
      </c>
      <c r="D1067" s="840" t="s">
        <v>423</v>
      </c>
      <c r="E1067" s="911">
        <v>12.2659</v>
      </c>
      <c r="F1067" s="843">
        <f>IFERROR(E1067*'01 Prod Physique Boites'!H1061,"-")</f>
        <v>0</v>
      </c>
      <c r="G1067" s="659">
        <f>IFERROR(E1067*'01 Prod Physique Boites'!L1061,"-")</f>
        <v>7046317.9775999999</v>
      </c>
      <c r="H1067" s="654">
        <v>14.55</v>
      </c>
      <c r="I1067" s="643">
        <f t="shared" si="602"/>
        <v>0</v>
      </c>
      <c r="J1067" s="643">
        <f>IFERROR(H1067*(G1067/E1067),"-")</f>
        <v>8358451.2000000002</v>
      </c>
    </row>
    <row r="1068" spans="1:15" ht="24" thickBot="1" x14ac:dyDescent="0.35">
      <c r="A1068" s="274"/>
      <c r="B1068" s="1038"/>
      <c r="C1068" s="840" t="s">
        <v>235</v>
      </c>
      <c r="D1068" s="840" t="s">
        <v>522</v>
      </c>
      <c r="E1068" s="911">
        <v>12.2659</v>
      </c>
      <c r="F1068" s="843">
        <f>IFERROR(E1068*'01 Prod Physique Boites'!H1062,"-")</f>
        <v>0</v>
      </c>
      <c r="G1068" s="659">
        <f>IFERROR(E1068*'01 Prod Physique Boites'!L1062,"-")</f>
        <v>2143686.8111999999</v>
      </c>
      <c r="H1068" s="860">
        <v>0</v>
      </c>
      <c r="I1068" s="643">
        <f t="shared" si="602"/>
        <v>0</v>
      </c>
      <c r="J1068" s="643">
        <f t="shared" ref="J1068:J1070" si="603">IFERROR(H1068*(G1068/E1068),"-")</f>
        <v>0</v>
      </c>
    </row>
    <row r="1069" spans="1:15" ht="24" thickBot="1" x14ac:dyDescent="0.35">
      <c r="A1069" s="274"/>
      <c r="B1069" s="1038"/>
      <c r="C1069" s="840" t="s">
        <v>377</v>
      </c>
      <c r="D1069" s="840" t="s">
        <v>522</v>
      </c>
      <c r="E1069" s="911">
        <v>12.2659</v>
      </c>
      <c r="F1069" s="843">
        <f>IFERROR(E1069*'01 Prod Physique Boites'!H1063,"-")</f>
        <v>207244.6464</v>
      </c>
      <c r="G1069" s="659">
        <f>IFERROR(E1069*'01 Prod Physique Boites'!L1063,"-")</f>
        <v>3419536.6655999999</v>
      </c>
      <c r="H1069" s="860">
        <v>0</v>
      </c>
      <c r="I1069" s="643">
        <f t="shared" si="602"/>
        <v>0</v>
      </c>
      <c r="J1069" s="643">
        <f t="shared" si="603"/>
        <v>0</v>
      </c>
    </row>
    <row r="1070" spans="1:15" ht="24" thickBot="1" x14ac:dyDescent="0.35">
      <c r="A1070" s="274"/>
      <c r="B1070" s="1038"/>
      <c r="C1070" s="840" t="s">
        <v>536</v>
      </c>
      <c r="D1070" s="840" t="s">
        <v>522</v>
      </c>
      <c r="E1070" s="911">
        <v>12.2659</v>
      </c>
      <c r="F1070" s="843">
        <f>IFERROR(E1070*'01 Prod Physique Boites'!H1064,"-")</f>
        <v>828978.58559999999</v>
      </c>
      <c r="G1070" s="659">
        <f>IFERROR(E1070*'01 Prod Physique Boites'!L1064,"-")</f>
        <v>932600.90879999998</v>
      </c>
      <c r="H1070" s="860">
        <v>0</v>
      </c>
      <c r="I1070" s="643">
        <f t="shared" si="602"/>
        <v>0</v>
      </c>
      <c r="J1070" s="643">
        <f t="shared" si="603"/>
        <v>0</v>
      </c>
    </row>
    <row r="1071" spans="1:15" ht="24" thickBot="1" x14ac:dyDescent="0.35">
      <c r="A1071" s="274"/>
      <c r="B1071" s="1038"/>
      <c r="C1071" s="840"/>
      <c r="D1071" s="840"/>
      <c r="E1071" s="911">
        <v>12.2659</v>
      </c>
      <c r="F1071" s="843">
        <f>IFERROR(E1071*'01 Prod Physique Boites'!H1065,"-")</f>
        <v>0</v>
      </c>
      <c r="G1071" s="659">
        <f>IFERROR(E1071*'01 Prod Physique Boites'!L1065,"-")</f>
        <v>0</v>
      </c>
      <c r="H1071" s="910">
        <v>14.55</v>
      </c>
      <c r="I1071" s="643">
        <f t="shared" ref="I1071" si="604">IFERROR(H1071*(F1071/E1071),"-")</f>
        <v>0</v>
      </c>
      <c r="J1071" s="643">
        <f t="shared" ref="J1071" si="605">IFERROR(H1071*(G1071/E1071),"-")</f>
        <v>0</v>
      </c>
    </row>
    <row r="1072" spans="1:15" ht="24" thickBot="1" x14ac:dyDescent="0.35">
      <c r="A1072" s="892" t="s">
        <v>103</v>
      </c>
      <c r="B1072" s="1039"/>
      <c r="C1072" s="670" t="s">
        <v>342</v>
      </c>
      <c r="D1072" s="670"/>
      <c r="E1072" s="676">
        <v>0</v>
      </c>
      <c r="F1072" s="843">
        <f>IFERROR(E1072*'01 Prod Physique Boites'!H1066,"-")</f>
        <v>0</v>
      </c>
      <c r="G1072" s="659">
        <f>IFERROR(E1072*'01 Prod Physique Boites'!L1066,"-")</f>
        <v>0</v>
      </c>
      <c r="H1072" s="655">
        <v>0</v>
      </c>
      <c r="I1072" s="643" t="str">
        <f t="shared" si="602"/>
        <v>-</v>
      </c>
      <c r="J1072" s="427" t="str">
        <f t="shared" ref="J1072" si="606">IFERROR(I1072*(G1072/F1072),"-")</f>
        <v>-</v>
      </c>
    </row>
    <row r="1073" spans="1:10" ht="24" thickBot="1" x14ac:dyDescent="0.35">
      <c r="A1073" s="274" t="s">
        <v>103</v>
      </c>
      <c r="B1073" s="1025" t="s">
        <v>46</v>
      </c>
      <c r="C1073" s="1041"/>
      <c r="D1073" s="1042"/>
      <c r="E1073" s="842"/>
      <c r="F1073" s="406">
        <f>SUM(F1066:F1072)</f>
        <v>1036223.232</v>
      </c>
      <c r="G1073" s="406">
        <f>SUM(G1066:G1072)</f>
        <v>13542142.3632</v>
      </c>
      <c r="H1073" s="391"/>
      <c r="I1073" s="406">
        <f>SUM(I1066:I1072)</f>
        <v>0</v>
      </c>
      <c r="J1073" s="425">
        <f>SUM(J1066:J1072)</f>
        <v>8358451.2000000002</v>
      </c>
    </row>
    <row r="1074" spans="1:10" ht="23.4" x14ac:dyDescent="0.3">
      <c r="A1074" s="274" t="s">
        <v>103</v>
      </c>
      <c r="B1074" s="1043" t="s">
        <v>20</v>
      </c>
      <c r="C1074" s="291" t="s">
        <v>317</v>
      </c>
      <c r="D1074" s="291" t="s">
        <v>289</v>
      </c>
      <c r="E1074" s="504">
        <v>26.032900000000001</v>
      </c>
      <c r="F1074" s="402">
        <f>IFERROR(E1074*'01 Prod Physique Boites'!H1068,"-")</f>
        <v>0</v>
      </c>
      <c r="G1074" s="403">
        <f>IFERROR(E1074*'01 Prod Physique Boites'!L1068,"-")</f>
        <v>0</v>
      </c>
      <c r="H1074" s="381">
        <v>36.44</v>
      </c>
      <c r="I1074" s="419">
        <f>IFERROR(H1074*(F1074/E1074),"-")</f>
        <v>0</v>
      </c>
      <c r="J1074" s="420">
        <f t="shared" ref="J1074:J1076" si="607">IFERROR(H1074*(G1074/E1074),"-")</f>
        <v>0</v>
      </c>
    </row>
    <row r="1075" spans="1:10" ht="23.4" x14ac:dyDescent="0.3">
      <c r="A1075" s="274" t="s">
        <v>103</v>
      </c>
      <c r="B1075" s="1044"/>
      <c r="C1075" s="292" t="s">
        <v>114</v>
      </c>
      <c r="D1075" s="292"/>
      <c r="E1075" s="384">
        <v>24.2607</v>
      </c>
      <c r="F1075" s="402">
        <f>IFERROR(E1075*'01 Prod Physique Boites'!H1069,"-")</f>
        <v>0</v>
      </c>
      <c r="G1075" s="403">
        <f>IFERROR(E1075*'01 Prod Physique Boites'!L1069,"-")</f>
        <v>0</v>
      </c>
      <c r="H1075" s="385">
        <v>37.369999999999997</v>
      </c>
      <c r="I1075" s="421">
        <f>IFERROR(H1075*(F1075/E1075),"-")</f>
        <v>0</v>
      </c>
      <c r="J1075" s="422">
        <f t="shared" si="607"/>
        <v>0</v>
      </c>
    </row>
    <row r="1076" spans="1:10" ht="24" thickBot="1" x14ac:dyDescent="0.35">
      <c r="A1076" s="274" t="s">
        <v>103</v>
      </c>
      <c r="B1076" s="1045"/>
      <c r="C1076" s="293" t="s">
        <v>120</v>
      </c>
      <c r="D1076" s="293"/>
      <c r="E1076" s="386">
        <v>26.035799999999998</v>
      </c>
      <c r="F1076" s="402">
        <f>IFERROR(E1076*'01 Prod Physique Boites'!H1070,"-")</f>
        <v>0</v>
      </c>
      <c r="G1076" s="403">
        <f>IFERROR(E1076*'01 Prod Physique Boites'!L1070,"-")</f>
        <v>0</v>
      </c>
      <c r="H1076" s="387">
        <v>37.11</v>
      </c>
      <c r="I1076" s="423">
        <f>IFERROR(H1076*(F1076/E1076),"-")</f>
        <v>0</v>
      </c>
      <c r="J1076" s="424">
        <f t="shared" si="607"/>
        <v>0</v>
      </c>
    </row>
    <row r="1077" spans="1:10" ht="24" thickBot="1" x14ac:dyDescent="0.35">
      <c r="A1077" s="274" t="s">
        <v>103</v>
      </c>
      <c r="B1077" s="1026" t="s">
        <v>47</v>
      </c>
      <c r="C1077" s="1026"/>
      <c r="D1077" s="1046"/>
      <c r="E1077" s="390"/>
      <c r="F1077" s="406">
        <f t="shared" ref="F1077:G1077" si="608">SUM(F1074:F1076)</f>
        <v>0</v>
      </c>
      <c r="G1077" s="407">
        <f t="shared" si="608"/>
        <v>0</v>
      </c>
      <c r="H1077" s="391"/>
      <c r="I1077" s="406">
        <f t="shared" ref="I1077:J1077" si="609">SUM(I1074:I1076)</f>
        <v>0</v>
      </c>
      <c r="J1077" s="425">
        <f t="shared" si="609"/>
        <v>0</v>
      </c>
    </row>
    <row r="1078" spans="1:10" ht="24" thickBot="1" x14ac:dyDescent="0.35">
      <c r="A1078" s="274" t="s">
        <v>103</v>
      </c>
      <c r="B1078" s="1047" t="s">
        <v>21</v>
      </c>
      <c r="C1078" s="1048"/>
      <c r="D1078" s="1049"/>
      <c r="E1078" s="393"/>
      <c r="F1078" s="410">
        <f>+F1049+F1057+F1065+F1073+F1077</f>
        <v>2789017.1035999996</v>
      </c>
      <c r="G1078" s="411">
        <f>+G1049+G1057+G1065+G1073+G1077</f>
        <v>25124938.7392</v>
      </c>
      <c r="H1078" s="394"/>
      <c r="I1078" s="410">
        <f>+I1049+I1057+I1065+I1073+I1077</f>
        <v>2817513.7600000002</v>
      </c>
      <c r="J1078" s="428">
        <f>+J1049+J1057+J1065+J1073+J1077</f>
        <v>25835975.599999998</v>
      </c>
    </row>
    <row r="1079" spans="1:10" ht="23.4" x14ac:dyDescent="0.3">
      <c r="A1079" s="274" t="s">
        <v>103</v>
      </c>
      <c r="B1079" s="1043" t="s">
        <v>400</v>
      </c>
      <c r="C1079" s="269" t="s">
        <v>125</v>
      </c>
      <c r="D1079" s="269"/>
      <c r="E1079" s="380">
        <v>22.820599999999999</v>
      </c>
      <c r="F1079" s="402">
        <f>IFERROR(E1079*'01 Prod Physique Boites'!H1073,"-")</f>
        <v>0</v>
      </c>
      <c r="G1079" s="403">
        <f>IFERROR(E1079*'01 Prod Physique Boites'!L1073,"-")</f>
        <v>0</v>
      </c>
      <c r="H1079" s="381">
        <v>27.5</v>
      </c>
      <c r="I1079" s="419">
        <f>IFERROR(H1079*(F1079/E1079),"-")</f>
        <v>0</v>
      </c>
      <c r="J1079" s="420">
        <f t="shared" ref="J1079:J1082" si="610">IFERROR(H1079*(G1079/E1079),"-")</f>
        <v>0</v>
      </c>
    </row>
    <row r="1080" spans="1:10" ht="23.4" x14ac:dyDescent="0.3">
      <c r="A1080" s="274" t="s">
        <v>103</v>
      </c>
      <c r="B1080" s="1044"/>
      <c r="C1080" s="295" t="s">
        <v>263</v>
      </c>
      <c r="D1080" s="295" t="s">
        <v>181</v>
      </c>
      <c r="E1080" s="384">
        <v>23.570699999999999</v>
      </c>
      <c r="F1080" s="402">
        <f>IFERROR(E1080*'01 Prod Physique Boites'!H1074,"-")</f>
        <v>0</v>
      </c>
      <c r="G1080" s="403">
        <f>IFERROR(E1080*'01 Prod Physique Boites'!L1074,"-")</f>
        <v>0</v>
      </c>
      <c r="H1080" s="385">
        <v>27.5</v>
      </c>
      <c r="I1080" s="421">
        <f>IFERROR(H1080*(F1080/E1080),"-")</f>
        <v>0</v>
      </c>
      <c r="J1080" s="422">
        <f t="shared" si="610"/>
        <v>0</v>
      </c>
    </row>
    <row r="1081" spans="1:10" ht="23.4" x14ac:dyDescent="0.3">
      <c r="A1081" s="274" t="s">
        <v>103</v>
      </c>
      <c r="B1081" s="1044"/>
      <c r="C1081" s="295" t="s">
        <v>362</v>
      </c>
      <c r="D1081" s="295" t="s">
        <v>181</v>
      </c>
      <c r="E1081" s="384">
        <v>22.820599999999999</v>
      </c>
      <c r="F1081" s="402">
        <f>IFERROR(E1081*'01 Prod Physique Boites'!H1075,"-")</f>
        <v>0</v>
      </c>
      <c r="G1081" s="403">
        <f>IFERROR(E1081*'01 Prod Physique Boites'!L1075,"-")</f>
        <v>0</v>
      </c>
      <c r="H1081" s="385">
        <v>27.5</v>
      </c>
      <c r="I1081" s="421">
        <f>IFERROR(H1081*(F1081/E1081),"-")</f>
        <v>0</v>
      </c>
      <c r="J1081" s="422">
        <f t="shared" si="610"/>
        <v>0</v>
      </c>
    </row>
    <row r="1082" spans="1:10" ht="24" thickBot="1" x14ac:dyDescent="0.35">
      <c r="A1082" s="274" t="s">
        <v>103</v>
      </c>
      <c r="B1082" s="1045"/>
      <c r="C1082" s="279" t="s">
        <v>182</v>
      </c>
      <c r="D1082" s="279" t="s">
        <v>93</v>
      </c>
      <c r="E1082" s="386">
        <v>22.238499999999998</v>
      </c>
      <c r="F1082" s="402">
        <f>IFERROR(E1082*'01 Prod Physique Boites'!H1076,"-")</f>
        <v>880644.6</v>
      </c>
      <c r="G1082" s="403">
        <f>IFERROR(E1082*'01 Prod Physique Boites'!L1076,"-")</f>
        <v>880644.6</v>
      </c>
      <c r="H1082" s="387">
        <v>27</v>
      </c>
      <c r="I1082" s="423">
        <f>IFERROR(H1082*(F1082/E1082),"-")</f>
        <v>1069200</v>
      </c>
      <c r="J1082" s="424">
        <f t="shared" si="610"/>
        <v>1069200</v>
      </c>
    </row>
    <row r="1083" spans="1:10" ht="24" thickBot="1" x14ac:dyDescent="0.35">
      <c r="A1083" s="274" t="s">
        <v>103</v>
      </c>
      <c r="B1083" s="1025" t="s">
        <v>48</v>
      </c>
      <c r="C1083" s="1026"/>
      <c r="D1083" s="1027"/>
      <c r="E1083" s="390"/>
      <c r="F1083" s="406">
        <f t="shared" ref="F1083:G1083" si="611">SUM(F1079:F1082)</f>
        <v>880644.6</v>
      </c>
      <c r="G1083" s="407">
        <f t="shared" si="611"/>
        <v>880644.6</v>
      </c>
      <c r="H1083" s="391"/>
      <c r="I1083" s="406">
        <f t="shared" ref="I1083:J1083" si="612">SUM(I1079:I1082)</f>
        <v>1069200</v>
      </c>
      <c r="J1083" s="425">
        <f t="shared" si="612"/>
        <v>1069200</v>
      </c>
    </row>
    <row r="1084" spans="1:10" ht="23.4" x14ac:dyDescent="0.3">
      <c r="A1084" s="274" t="s">
        <v>103</v>
      </c>
      <c r="B1084" s="1043" t="s">
        <v>23</v>
      </c>
      <c r="C1084" s="275" t="s">
        <v>500</v>
      </c>
      <c r="D1084" s="296" t="s">
        <v>238</v>
      </c>
      <c r="E1084" s="380">
        <v>101.4935</v>
      </c>
      <c r="F1084" s="402">
        <f>IFERROR(E1084*'01 Prod Physique Boites'!H1078,"-")</f>
        <v>0</v>
      </c>
      <c r="G1084" s="403">
        <f>IFERROR(E1084*'01 Prod Physique Boites'!L1078,"-")</f>
        <v>0</v>
      </c>
      <c r="H1084" s="385">
        <v>160.44999999999999</v>
      </c>
      <c r="I1084" s="419">
        <f t="shared" ref="I1084:I1092" si="613">IFERROR(H1084*(F1084/E1084),"-")</f>
        <v>0</v>
      </c>
      <c r="J1084" s="420">
        <f t="shared" ref="J1084:J1092" si="614">IFERROR(H1084*(G1084/E1084),"-")</f>
        <v>0</v>
      </c>
    </row>
    <row r="1085" spans="1:10" ht="23.4" x14ac:dyDescent="0.3">
      <c r="A1085" s="274" t="s">
        <v>103</v>
      </c>
      <c r="B1085" s="1044"/>
      <c r="C1085" s="275" t="s">
        <v>24</v>
      </c>
      <c r="D1085" s="275" t="s">
        <v>238</v>
      </c>
      <c r="E1085" s="384">
        <v>101.4935</v>
      </c>
      <c r="F1085" s="402">
        <f>IFERROR(E1085*'01 Prod Physique Boites'!H1079,"-")</f>
        <v>0</v>
      </c>
      <c r="G1085" s="403">
        <f>IFERROR(E1085*'01 Prod Physique Boites'!L1079,"-")</f>
        <v>0</v>
      </c>
      <c r="H1085" s="385">
        <v>160.44999999999999</v>
      </c>
      <c r="I1085" s="421">
        <f t="shared" si="613"/>
        <v>0</v>
      </c>
      <c r="J1085" s="422">
        <f t="shared" si="614"/>
        <v>0</v>
      </c>
    </row>
    <row r="1086" spans="1:10" ht="23.4" x14ac:dyDescent="0.3">
      <c r="A1086" s="274" t="s">
        <v>103</v>
      </c>
      <c r="B1086" s="1044"/>
      <c r="C1086" s="275" t="s">
        <v>236</v>
      </c>
      <c r="D1086" s="275" t="s">
        <v>238</v>
      </c>
      <c r="E1086" s="384">
        <v>101.4935</v>
      </c>
      <c r="F1086" s="402">
        <f>IFERROR(E1086*'01 Prod Physique Boites'!H1080,"-")</f>
        <v>0</v>
      </c>
      <c r="G1086" s="403">
        <f>IFERROR(E1086*'01 Prod Physique Boites'!L1080,"-")</f>
        <v>0</v>
      </c>
      <c r="H1086" s="385">
        <v>160.44999999999999</v>
      </c>
      <c r="I1086" s="421">
        <f t="shared" si="613"/>
        <v>0</v>
      </c>
      <c r="J1086" s="422">
        <f t="shared" si="614"/>
        <v>0</v>
      </c>
    </row>
    <row r="1087" spans="1:10" ht="23.4" x14ac:dyDescent="0.3">
      <c r="A1087" s="274" t="s">
        <v>103</v>
      </c>
      <c r="B1087" s="1044"/>
      <c r="C1087" s="275" t="s">
        <v>239</v>
      </c>
      <c r="D1087" s="275" t="s">
        <v>238</v>
      </c>
      <c r="E1087" s="384">
        <v>101.4935</v>
      </c>
      <c r="F1087" s="402">
        <f>IFERROR(E1087*'01 Prod Physique Boites'!H1081,"-")</f>
        <v>0</v>
      </c>
      <c r="G1087" s="403">
        <f>IFERROR(E1087*'01 Prod Physique Boites'!L1081,"-")</f>
        <v>0</v>
      </c>
      <c r="H1087" s="385">
        <v>160.44999999999999</v>
      </c>
      <c r="I1087" s="421">
        <f t="shared" si="613"/>
        <v>0</v>
      </c>
      <c r="J1087" s="422">
        <f t="shared" si="614"/>
        <v>0</v>
      </c>
    </row>
    <row r="1088" spans="1:10" ht="23.4" x14ac:dyDescent="0.3">
      <c r="A1088" s="274" t="s">
        <v>103</v>
      </c>
      <c r="B1088" s="1044"/>
      <c r="C1088" s="295" t="s">
        <v>394</v>
      </c>
      <c r="D1088" s="275" t="s">
        <v>238</v>
      </c>
      <c r="E1088" s="384">
        <v>101.4935</v>
      </c>
      <c r="F1088" s="402">
        <f>IFERROR(E1088*'01 Prod Physique Boites'!H1082,"-")</f>
        <v>0</v>
      </c>
      <c r="G1088" s="403">
        <f>IFERROR(E1088*'01 Prod Physique Boites'!L1082,"-")</f>
        <v>0</v>
      </c>
      <c r="H1088" s="385">
        <v>160.44999999999999</v>
      </c>
      <c r="I1088" s="421">
        <f t="shared" si="613"/>
        <v>0</v>
      </c>
      <c r="J1088" s="422">
        <f t="shared" si="614"/>
        <v>0</v>
      </c>
    </row>
    <row r="1089" spans="1:10" ht="23.4" x14ac:dyDescent="0.3">
      <c r="A1089" s="274" t="s">
        <v>103</v>
      </c>
      <c r="B1089" s="1044"/>
      <c r="C1089" s="295" t="s">
        <v>422</v>
      </c>
      <c r="D1089" s="275" t="s">
        <v>238</v>
      </c>
      <c r="E1089" s="384">
        <v>101.4935</v>
      </c>
      <c r="F1089" s="402">
        <f>IFERROR(E1089*'01 Prod Physique Boites'!H1083,"-")</f>
        <v>0</v>
      </c>
      <c r="G1089" s="403">
        <f>IFERROR(E1089*'01 Prod Physique Boites'!L1083,"-")</f>
        <v>0</v>
      </c>
      <c r="H1089" s="385">
        <v>160.44999999999999</v>
      </c>
      <c r="I1089" s="421">
        <f t="shared" si="613"/>
        <v>0</v>
      </c>
      <c r="J1089" s="422">
        <f t="shared" si="614"/>
        <v>0</v>
      </c>
    </row>
    <row r="1090" spans="1:10" ht="23.4" x14ac:dyDescent="0.3">
      <c r="A1090" s="274" t="s">
        <v>103</v>
      </c>
      <c r="B1090" s="1044"/>
      <c r="C1090" s="295" t="s">
        <v>241</v>
      </c>
      <c r="D1090" s="275" t="s">
        <v>547</v>
      </c>
      <c r="E1090" s="384">
        <v>101.4935</v>
      </c>
      <c r="F1090" s="402">
        <f>IFERROR(E1090*'01 Prod Physique Boites'!H1084,"-")</f>
        <v>0</v>
      </c>
      <c r="G1090" s="403">
        <f>IFERROR(E1090*'01 Prod Physique Boites'!L1084,"-")</f>
        <v>0</v>
      </c>
      <c r="H1090" s="385">
        <v>160.44999999999999</v>
      </c>
      <c r="I1090" s="421">
        <f t="shared" si="613"/>
        <v>0</v>
      </c>
      <c r="J1090" s="422">
        <f t="shared" si="614"/>
        <v>0</v>
      </c>
    </row>
    <row r="1091" spans="1:10" ht="23.4" x14ac:dyDescent="0.3">
      <c r="A1091" s="274"/>
      <c r="B1091" s="1045"/>
      <c r="C1091" s="295" t="s">
        <v>546</v>
      </c>
      <c r="D1091" s="275" t="s">
        <v>238</v>
      </c>
      <c r="E1091" s="386">
        <v>101.49</v>
      </c>
      <c r="F1091" s="402">
        <f>IFERROR(E1091*'01 Prod Physique Boites'!H1085,"-")</f>
        <v>0</v>
      </c>
      <c r="G1091" s="403">
        <f>IFERROR(E1091*'01 Prod Physique Boites'!L1085,"-")</f>
        <v>0</v>
      </c>
      <c r="H1091" s="385">
        <v>160.44999999999999</v>
      </c>
      <c r="I1091" s="421">
        <f t="shared" si="613"/>
        <v>0</v>
      </c>
      <c r="J1091" s="422">
        <f t="shared" si="614"/>
        <v>0</v>
      </c>
    </row>
    <row r="1092" spans="1:10" ht="24" thickBot="1" x14ac:dyDescent="0.35">
      <c r="A1092" s="274" t="s">
        <v>103</v>
      </c>
      <c r="B1092" s="1045"/>
      <c r="C1092" s="295" t="s">
        <v>242</v>
      </c>
      <c r="D1092" s="275" t="s">
        <v>238</v>
      </c>
      <c r="E1092" s="386">
        <v>101.4935</v>
      </c>
      <c r="F1092" s="402">
        <f>IFERROR(E1092*'01 Prod Physique Boites'!H1086,"-")</f>
        <v>0</v>
      </c>
      <c r="G1092" s="403">
        <f>IFERROR(E1092*'01 Prod Physique Boites'!L1086,"-")</f>
        <v>0</v>
      </c>
      <c r="H1092" s="385">
        <v>160.44999999999999</v>
      </c>
      <c r="I1092" s="421">
        <f t="shared" si="613"/>
        <v>0</v>
      </c>
      <c r="J1092" s="424">
        <f t="shared" si="614"/>
        <v>0</v>
      </c>
    </row>
    <row r="1093" spans="1:10" ht="24" thickBot="1" x14ac:dyDescent="0.35">
      <c r="A1093" s="274" t="s">
        <v>103</v>
      </c>
      <c r="B1093" s="1025" t="s">
        <v>49</v>
      </c>
      <c r="C1093" s="1026"/>
      <c r="D1093" s="1027"/>
      <c r="E1093" s="390"/>
      <c r="F1093" s="406">
        <f t="shared" ref="F1093" si="615">SUM(F1084:F1092)</f>
        <v>0</v>
      </c>
      <c r="G1093" s="407">
        <f>SUM(G1084:G1092)</f>
        <v>0</v>
      </c>
      <c r="H1093" s="391"/>
      <c r="I1093" s="406">
        <f t="shared" ref="I1093" si="616">SUM(I1084:I1092)</f>
        <v>0</v>
      </c>
      <c r="J1093" s="425">
        <f>SUM(J1084:J1092)</f>
        <v>0</v>
      </c>
    </row>
    <row r="1094" spans="1:10" ht="24" thickBot="1" x14ac:dyDescent="0.35">
      <c r="A1094" s="274" t="s">
        <v>103</v>
      </c>
      <c r="B1094" s="1047" t="s">
        <v>25</v>
      </c>
      <c r="C1094" s="1048"/>
      <c r="D1094" s="1049"/>
      <c r="E1094" s="393"/>
      <c r="F1094" s="410">
        <f t="shared" ref="F1094" si="617">+F1083+F1093</f>
        <v>880644.6</v>
      </c>
      <c r="G1094" s="411">
        <f>+G1083+G1093</f>
        <v>880644.6</v>
      </c>
      <c r="H1094" s="394"/>
      <c r="I1094" s="410">
        <f t="shared" ref="I1094:J1094" si="618">+I1083+I1093</f>
        <v>1069200</v>
      </c>
      <c r="J1094" s="428">
        <f t="shared" si="618"/>
        <v>1069200</v>
      </c>
    </row>
    <row r="1095" spans="1:10" ht="24" thickBot="1" x14ac:dyDescent="0.35">
      <c r="A1095" s="274" t="s">
        <v>103</v>
      </c>
      <c r="B1095" s="1019" t="s">
        <v>172</v>
      </c>
      <c r="C1095" s="1020"/>
      <c r="D1095" s="1021"/>
      <c r="E1095" s="395"/>
      <c r="F1095" s="412">
        <f t="shared" ref="F1095" si="619">+F1078+F1094</f>
        <v>3669661.7035999997</v>
      </c>
      <c r="G1095" s="413">
        <f>+G1078+G1094</f>
        <v>26005583.339200001</v>
      </c>
      <c r="H1095" s="396"/>
      <c r="I1095" s="412">
        <f t="shared" ref="I1095:J1095" si="620">+I1078+I1094</f>
        <v>3886713.7600000002</v>
      </c>
      <c r="J1095" s="429">
        <f t="shared" si="620"/>
        <v>26905175.599999998</v>
      </c>
    </row>
    <row r="1096" spans="1:10" ht="23.4" x14ac:dyDescent="0.3">
      <c r="A1096" s="268" t="s">
        <v>101</v>
      </c>
      <c r="B1096" s="1051" t="s">
        <v>26</v>
      </c>
      <c r="C1096" s="893" t="s">
        <v>297</v>
      </c>
      <c r="D1096" s="898" t="s">
        <v>177</v>
      </c>
      <c r="E1096" s="504">
        <v>13.1272</v>
      </c>
      <c r="F1096" s="402">
        <f>IFERROR(E1096*'01 Prod Physique Boites'!H1090,"-")</f>
        <v>0</v>
      </c>
      <c r="G1096" s="403">
        <f>IFERROR(E1096*'01 Prod Physique Boites'!L1090,"-")</f>
        <v>0</v>
      </c>
      <c r="H1096" s="381">
        <v>20.76</v>
      </c>
      <c r="I1096" s="419">
        <f t="shared" ref="I1096:I1105" si="621">IFERROR(H1096*(F1096/E1096),"-")</f>
        <v>0</v>
      </c>
      <c r="J1096" s="632">
        <f t="shared" ref="J1096:J1105" si="622">IFERROR(H1096*(G1096/E1096),"-")</f>
        <v>0</v>
      </c>
    </row>
    <row r="1097" spans="1:10" ht="23.4" x14ac:dyDescent="0.3">
      <c r="A1097" s="274" t="s">
        <v>101</v>
      </c>
      <c r="B1097" s="1051"/>
      <c r="C1097" s="253" t="s">
        <v>424</v>
      </c>
      <c r="D1097" s="899" t="s">
        <v>423</v>
      </c>
      <c r="E1097" s="505">
        <v>16.7288</v>
      </c>
      <c r="F1097" s="402">
        <f>IFERROR(E1097*'01 Prod Physique Boites'!H1091,"-")</f>
        <v>0</v>
      </c>
      <c r="G1097" s="403">
        <f>IFERROR(E1097*'01 Prod Physique Boites'!L1091,"-")</f>
        <v>4392112.9824000001</v>
      </c>
      <c r="H1097" s="385">
        <v>20.76</v>
      </c>
      <c r="I1097" s="421">
        <f t="shared" si="621"/>
        <v>0</v>
      </c>
      <c r="J1097" s="633">
        <f t="shared" si="622"/>
        <v>5450496.4800000004</v>
      </c>
    </row>
    <row r="1098" spans="1:10" ht="23.4" x14ac:dyDescent="0.3">
      <c r="A1098" s="274" t="s">
        <v>101</v>
      </c>
      <c r="B1098" s="1051"/>
      <c r="C1098" s="813" t="s">
        <v>27</v>
      </c>
      <c r="D1098" s="899" t="s">
        <v>334</v>
      </c>
      <c r="E1098" s="501">
        <v>14.608000000000001</v>
      </c>
      <c r="F1098" s="402">
        <f>IFERROR(E1098*'01 Prod Physique Boites'!H1092,"-")</f>
        <v>0</v>
      </c>
      <c r="G1098" s="403">
        <f>IFERROR(E1098*'01 Prod Physique Boites'!L1092,"-")</f>
        <v>406774.36800000002</v>
      </c>
      <c r="H1098" s="385">
        <v>21.22</v>
      </c>
      <c r="I1098" s="643">
        <f t="shared" si="621"/>
        <v>0</v>
      </c>
      <c r="J1098" s="633">
        <f t="shared" si="622"/>
        <v>590892.12</v>
      </c>
    </row>
    <row r="1099" spans="1:10" ht="23.4" x14ac:dyDescent="0.3">
      <c r="A1099" s="274" t="s">
        <v>101</v>
      </c>
      <c r="B1099" s="1051"/>
      <c r="C1099" s="813" t="s">
        <v>27</v>
      </c>
      <c r="D1099" s="900" t="s">
        <v>492</v>
      </c>
      <c r="E1099" s="501">
        <v>17.8202</v>
      </c>
      <c r="F1099" s="402">
        <f>IFERROR(E1099*'01 Prod Physique Boites'!H1093,"-")</f>
        <v>0</v>
      </c>
      <c r="G1099" s="403">
        <f>IFERROR(E1099*'01 Prod Physique Boites'!L1093,"-")</f>
        <v>4820435.3808000004</v>
      </c>
      <c r="H1099" s="385">
        <v>26.75</v>
      </c>
      <c r="I1099" s="643">
        <f t="shared" si="621"/>
        <v>0</v>
      </c>
      <c r="J1099" s="633">
        <f t="shared" si="622"/>
        <v>7235982</v>
      </c>
    </row>
    <row r="1100" spans="1:10" ht="23.4" x14ac:dyDescent="0.3">
      <c r="A1100" s="274" t="s">
        <v>101</v>
      </c>
      <c r="B1100" s="1051"/>
      <c r="C1100" s="893" t="s">
        <v>521</v>
      </c>
      <c r="D1100" s="899" t="s">
        <v>234</v>
      </c>
      <c r="E1100" s="501">
        <v>14.608000000000001</v>
      </c>
      <c r="F1100" s="402">
        <f>IFERROR(E1100*'01 Prod Physique Boites'!H1094,"-")</f>
        <v>0</v>
      </c>
      <c r="G1100" s="403">
        <f>IFERROR(E1100*'01 Prod Physique Boites'!L1094,"-")</f>
        <v>813548.73600000003</v>
      </c>
      <c r="H1100" s="385">
        <v>24.93</v>
      </c>
      <c r="I1100" s="643">
        <f t="shared" si="621"/>
        <v>0</v>
      </c>
      <c r="J1100" s="633">
        <f t="shared" si="622"/>
        <v>1388401.56</v>
      </c>
    </row>
    <row r="1101" spans="1:10" ht="23.4" x14ac:dyDescent="0.3">
      <c r="A1101" s="274"/>
      <c r="B1101" s="1051"/>
      <c r="C1101" s="813" t="s">
        <v>432</v>
      </c>
      <c r="D1101" s="899" t="s">
        <v>178</v>
      </c>
      <c r="E1101" s="501">
        <v>14.608000000000001</v>
      </c>
      <c r="F1101" s="402">
        <f>IFERROR(E1101*'01 Prod Physique Boites'!H1095,"-")</f>
        <v>0</v>
      </c>
      <c r="G1101" s="403">
        <f>IFERROR(E1101*'01 Prod Physique Boites'!L1095,"-")</f>
        <v>0</v>
      </c>
      <c r="H1101" s="387">
        <v>24.93</v>
      </c>
      <c r="I1101" s="643">
        <f t="shared" si="621"/>
        <v>0</v>
      </c>
      <c r="J1101" s="634">
        <f t="shared" si="622"/>
        <v>0</v>
      </c>
    </row>
    <row r="1102" spans="1:10" ht="23.4" x14ac:dyDescent="0.3">
      <c r="A1102" s="274"/>
      <c r="B1102" s="1051"/>
      <c r="C1102" s="813" t="s">
        <v>333</v>
      </c>
      <c r="D1102" s="899" t="s">
        <v>94</v>
      </c>
      <c r="E1102" s="501">
        <v>17.8202</v>
      </c>
      <c r="F1102" s="724">
        <f>IFERROR(E1102*'01 Prod Physique Boites'!H1096,"-")</f>
        <v>0</v>
      </c>
      <c r="G1102" s="403">
        <f>IFERROR(E1102*'01 Prod Physique Boites'!L1096,"-")</f>
        <v>0</v>
      </c>
      <c r="H1102" s="387">
        <v>24.93</v>
      </c>
      <c r="I1102" s="730">
        <f t="shared" si="621"/>
        <v>0</v>
      </c>
      <c r="J1102" s="634">
        <f t="shared" si="622"/>
        <v>0</v>
      </c>
    </row>
    <row r="1103" spans="1:10" s="731" customFormat="1" ht="23.4" x14ac:dyDescent="0.3">
      <c r="A1103" s="725"/>
      <c r="B1103" s="1051"/>
      <c r="C1103" s="813" t="s">
        <v>433</v>
      </c>
      <c r="D1103" s="899" t="s">
        <v>540</v>
      </c>
      <c r="E1103" s="727">
        <v>16.7288</v>
      </c>
      <c r="F1103" s="724">
        <f>IFERROR(E1103*'01 Prod Physique Boites'!H1097,"-")</f>
        <v>2661886.656</v>
      </c>
      <c r="G1103" s="728">
        <f>IFERROR(E1103*'01 Prod Physique Boites'!L1097,"-")</f>
        <v>4192471.4832000001</v>
      </c>
      <c r="H1103" s="729">
        <v>25</v>
      </c>
      <c r="I1103" s="730">
        <f t="shared" si="621"/>
        <v>3978000</v>
      </c>
      <c r="J1103" s="634">
        <f t="shared" si="622"/>
        <v>6265350</v>
      </c>
    </row>
    <row r="1104" spans="1:10" s="731" customFormat="1" ht="23.4" x14ac:dyDescent="0.3">
      <c r="A1104" s="725"/>
      <c r="B1104" s="1051"/>
      <c r="C1104" s="813" t="s">
        <v>382</v>
      </c>
      <c r="D1104" s="899" t="s">
        <v>366</v>
      </c>
      <c r="E1104" s="727">
        <v>16.7288</v>
      </c>
      <c r="F1104" s="724">
        <f>IFERROR(E1104*'01 Prod Physique Boites'!H1098,"-")</f>
        <v>0</v>
      </c>
      <c r="G1104" s="728">
        <f>IFERROR(E1104*'01 Prod Physique Boites'!L1098,"-")</f>
        <v>0</v>
      </c>
      <c r="H1104" s="729">
        <v>25.49</v>
      </c>
      <c r="I1104" s="730">
        <f t="shared" si="621"/>
        <v>0</v>
      </c>
      <c r="J1104" s="634">
        <f t="shared" si="622"/>
        <v>0</v>
      </c>
    </row>
    <row r="1105" spans="1:10" ht="24" thickBot="1" x14ac:dyDescent="0.35">
      <c r="A1105" s="274" t="s">
        <v>101</v>
      </c>
      <c r="B1105" s="1051"/>
      <c r="C1105" s="894" t="s">
        <v>290</v>
      </c>
      <c r="D1105" s="901" t="s">
        <v>289</v>
      </c>
      <c r="E1105" s="501">
        <v>12.6997</v>
      </c>
      <c r="F1105" s="402">
        <f>IFERROR(E1105*'01 Prod Physique Boites'!H1099,"-")</f>
        <v>0</v>
      </c>
      <c r="G1105" s="728">
        <f>IFERROR(E1105*'01 Prod Physique Boites'!L1099,"-")</f>
        <v>0</v>
      </c>
      <c r="H1105" s="387">
        <v>13.25</v>
      </c>
      <c r="I1105" s="730">
        <f t="shared" si="621"/>
        <v>0</v>
      </c>
      <c r="J1105" s="634">
        <f t="shared" si="622"/>
        <v>0</v>
      </c>
    </row>
    <row r="1106" spans="1:10" ht="24" thickBot="1" x14ac:dyDescent="0.35">
      <c r="A1106" s="274" t="s">
        <v>101</v>
      </c>
      <c r="B1106" s="1052"/>
      <c r="C1106" s="301"/>
      <c r="D1106" s="302" t="s">
        <v>52</v>
      </c>
      <c r="E1106" s="390"/>
      <c r="F1106" s="406">
        <f>SUM(F1096:F1105)</f>
        <v>2661886.656</v>
      </c>
      <c r="G1106" s="407">
        <f>SUM(G1096:G1105)</f>
        <v>14625342.9504</v>
      </c>
      <c r="H1106" s="391"/>
      <c r="I1106" s="406">
        <f>SUM(I1096:I1105)</f>
        <v>3978000</v>
      </c>
      <c r="J1106" s="425">
        <f>SUM(J1096:J1105)</f>
        <v>20931122.160000004</v>
      </c>
    </row>
    <row r="1107" spans="1:10" ht="23.4" x14ac:dyDescent="0.3">
      <c r="A1107" s="274" t="s">
        <v>101</v>
      </c>
      <c r="B1107" s="1053" t="s">
        <v>28</v>
      </c>
      <c r="C1107" s="299" t="s">
        <v>27</v>
      </c>
      <c r="D1107" s="297" t="s">
        <v>492</v>
      </c>
      <c r="E1107" s="504">
        <v>17.8202</v>
      </c>
      <c r="F1107" s="402">
        <f>IFERROR(E1107*'01 Prod Physique Boites'!H1101,"-")</f>
        <v>0</v>
      </c>
      <c r="G1107" s="403">
        <f>IFERROR(E1107*'01 Prod Physique Boites'!L1101,"-")</f>
        <v>2977327.7352</v>
      </c>
      <c r="H1107" s="381">
        <v>26.75</v>
      </c>
      <c r="I1107" s="419">
        <f t="shared" ref="I1107:I1113" si="623">IFERROR(H1107*(F1107/E1107),"-")</f>
        <v>0</v>
      </c>
      <c r="J1107" s="632">
        <f t="shared" ref="J1107:J1108" si="624">IFERROR(H1107*(G1107/E1107),"-")</f>
        <v>4469283</v>
      </c>
    </row>
    <row r="1108" spans="1:10" ht="23.4" x14ac:dyDescent="0.3">
      <c r="A1108" s="274" t="s">
        <v>101</v>
      </c>
      <c r="B1108" s="1051"/>
      <c r="C1108" s="299" t="s">
        <v>386</v>
      </c>
      <c r="D1108" s="299" t="s">
        <v>334</v>
      </c>
      <c r="E1108" s="711">
        <v>16.7288</v>
      </c>
      <c r="F1108" s="402">
        <f>IFERROR(E1108*'01 Prod Physique Boites'!H1102,"-")</f>
        <v>0</v>
      </c>
      <c r="G1108" s="728">
        <f>IFERROR(E1108*'01 Prod Physique Boites'!L1102,"-")</f>
        <v>1597131.9935999999</v>
      </c>
      <c r="H1108" s="708">
        <v>20.76</v>
      </c>
      <c r="I1108" s="421">
        <f t="shared" si="623"/>
        <v>0</v>
      </c>
      <c r="J1108" s="633">
        <f t="shared" si="624"/>
        <v>1981998.7200000002</v>
      </c>
    </row>
    <row r="1109" spans="1:10" ht="23.4" x14ac:dyDescent="0.3">
      <c r="A1109" s="274" t="s">
        <v>101</v>
      </c>
      <c r="B1109" s="1051"/>
      <c r="C1109" s="299" t="s">
        <v>541</v>
      </c>
      <c r="D1109" s="299" t="s">
        <v>334</v>
      </c>
      <c r="E1109" s="501">
        <v>17.8202</v>
      </c>
      <c r="F1109" s="402">
        <f>IFERROR(E1109*'01 Prod Physique Boites'!H1103,"-")</f>
        <v>0</v>
      </c>
      <c r="G1109" s="403">
        <f>IFERROR(E1109*'01 Prod Physique Boites'!L1103,"-")</f>
        <v>0</v>
      </c>
      <c r="H1109" s="385">
        <v>21.22</v>
      </c>
      <c r="I1109" s="421">
        <f t="shared" si="623"/>
        <v>0</v>
      </c>
      <c r="J1109" s="633">
        <f>IFERROR(H1109*(G1109/E1109),"-")</f>
        <v>0</v>
      </c>
    </row>
    <row r="1110" spans="1:10" ht="23.4" x14ac:dyDescent="0.3">
      <c r="A1110" s="274"/>
      <c r="B1110" s="1051"/>
      <c r="C1110" s="299" t="s">
        <v>460</v>
      </c>
      <c r="D1110" s="299" t="s">
        <v>334</v>
      </c>
      <c r="E1110" s="501">
        <v>14.608000000000001</v>
      </c>
      <c r="F1110" s="402">
        <f>IFERROR(E1110*'01 Prod Physique Boites'!H1104,"-")</f>
        <v>0</v>
      </c>
      <c r="G1110" s="403">
        <f>IFERROR(E1110*'01 Prod Physique Boites'!L1104,"-")</f>
        <v>58110.624000000003</v>
      </c>
      <c r="H1110" s="385">
        <v>21.22</v>
      </c>
      <c r="I1110" s="421">
        <f t="shared" si="623"/>
        <v>0</v>
      </c>
      <c r="J1110" s="633">
        <f>IFERROR(H1110*(G1110/E1110),"-")</f>
        <v>84413.159999999989</v>
      </c>
    </row>
    <row r="1111" spans="1:10" ht="23.4" x14ac:dyDescent="0.3">
      <c r="A1111" s="274"/>
      <c r="B1111" s="1051"/>
      <c r="C1111" s="299" t="s">
        <v>433</v>
      </c>
      <c r="D1111" s="299" t="s">
        <v>540</v>
      </c>
      <c r="E1111" s="711">
        <v>16.7288</v>
      </c>
      <c r="F1111" s="402">
        <f>IFERROR(E1111*'01 Prod Physique Boites'!H1105,"-")</f>
        <v>931660.32959999994</v>
      </c>
      <c r="G1111" s="403">
        <f>IFERROR(E1111*'01 Prod Physique Boites'!L1105,"-")</f>
        <v>2129509.3248000001</v>
      </c>
      <c r="H1111" s="385">
        <v>25</v>
      </c>
      <c r="I1111" s="423">
        <f t="shared" si="623"/>
        <v>1392300</v>
      </c>
      <c r="J1111" s="634">
        <f t="shared" ref="J1111:J1113" si="625">IFERROR(H1111*(G1111/E1111),"-")</f>
        <v>3182400</v>
      </c>
    </row>
    <row r="1112" spans="1:10" ht="23.4" x14ac:dyDescent="0.3">
      <c r="A1112" s="274"/>
      <c r="B1112" s="1051"/>
      <c r="C1112" s="299" t="s">
        <v>458</v>
      </c>
      <c r="D1112" s="300" t="s">
        <v>280</v>
      </c>
      <c r="E1112" s="711">
        <v>17.8202</v>
      </c>
      <c r="F1112" s="402">
        <f>IFERROR(E1112*'01 Prod Physique Boites'!H1106,"-")</f>
        <v>0</v>
      </c>
      <c r="G1112" s="403">
        <f>IFERROR(E1112*'01 Prod Physique Boites'!L1106,"-")</f>
        <v>0</v>
      </c>
      <c r="H1112" s="385">
        <v>24.93</v>
      </c>
      <c r="I1112" s="730">
        <f t="shared" si="623"/>
        <v>0</v>
      </c>
      <c r="J1112" s="634">
        <f t="shared" si="625"/>
        <v>0</v>
      </c>
    </row>
    <row r="1113" spans="1:10" ht="24" thickBot="1" x14ac:dyDescent="0.35">
      <c r="A1113" s="274" t="s">
        <v>101</v>
      </c>
      <c r="B1113" s="1051"/>
      <c r="C1113" s="299" t="s">
        <v>27</v>
      </c>
      <c r="D1113" s="300" t="s">
        <v>234</v>
      </c>
      <c r="E1113" s="501">
        <v>17.8202</v>
      </c>
      <c r="F1113" s="402">
        <f>IFERROR(E1113*'01 Prod Physique Boites'!H1107,"-")</f>
        <v>0</v>
      </c>
      <c r="G1113" s="403">
        <f>IFERROR(E1113*'01 Prod Physique Boites'!L1107,"-")</f>
        <v>0</v>
      </c>
      <c r="H1113" s="385">
        <v>24.93</v>
      </c>
      <c r="I1113" s="423">
        <f t="shared" si="623"/>
        <v>0</v>
      </c>
      <c r="J1113" s="634">
        <f t="shared" si="625"/>
        <v>0</v>
      </c>
    </row>
    <row r="1114" spans="1:10" ht="24" thickBot="1" x14ac:dyDescent="0.35">
      <c r="A1114" s="274" t="s">
        <v>101</v>
      </c>
      <c r="B1114" s="1051"/>
      <c r="C1114" s="304"/>
      <c r="D1114" s="305" t="s">
        <v>52</v>
      </c>
      <c r="E1114" s="397"/>
      <c r="F1114" s="414">
        <f t="shared" ref="F1114:G1114" si="626">SUM(F1107:F1113)</f>
        <v>931660.32959999994</v>
      </c>
      <c r="G1114" s="415">
        <f t="shared" si="626"/>
        <v>6762079.6776000001</v>
      </c>
      <c r="H1114" s="398"/>
      <c r="I1114" s="414">
        <f t="shared" ref="I1114:J1114" si="627">SUM(I1107:I1113)</f>
        <v>1392300</v>
      </c>
      <c r="J1114" s="430">
        <f t="shared" si="627"/>
        <v>9718094.8800000008</v>
      </c>
    </row>
    <row r="1115" spans="1:10" ht="24" thickBot="1" x14ac:dyDescent="0.35">
      <c r="A1115" s="892" t="s">
        <v>101</v>
      </c>
      <c r="B1115" s="1054" t="s">
        <v>162</v>
      </c>
      <c r="C1115" s="1055"/>
      <c r="D1115" s="1056"/>
      <c r="E1115" s="399"/>
      <c r="F1115" s="416">
        <f t="shared" ref="F1115:G1115" si="628">+F1106+F1114</f>
        <v>3593546.9855999998</v>
      </c>
      <c r="G1115" s="417">
        <f t="shared" si="628"/>
        <v>21387422.627999999</v>
      </c>
      <c r="H1115" s="400"/>
      <c r="I1115" s="416">
        <f t="shared" ref="I1115:J1115" si="629">+I1106+I1114</f>
        <v>5370300</v>
      </c>
      <c r="J1115" s="431">
        <f t="shared" si="629"/>
        <v>30649217.040000007</v>
      </c>
    </row>
    <row r="1116" spans="1:10" ht="23.4" x14ac:dyDescent="0.3">
      <c r="A1116" s="274" t="s">
        <v>101</v>
      </c>
      <c r="B1116" s="1051" t="s">
        <v>30</v>
      </c>
      <c r="C1116" s="303" t="s">
        <v>446</v>
      </c>
      <c r="D1116" s="299" t="s">
        <v>522</v>
      </c>
      <c r="E1116" s="736">
        <v>27.917000000000002</v>
      </c>
      <c r="F1116" s="402">
        <f>IFERROR(E1116*'01 Prod Physique Boites'!H1110,"-")</f>
        <v>0</v>
      </c>
      <c r="G1116" s="728">
        <f>IFERROR(E1116*'01 Prod Physique Boites'!L1110,"-")</f>
        <v>0</v>
      </c>
      <c r="H1116" s="734">
        <v>33.299999999999997</v>
      </c>
      <c r="I1116" s="419">
        <f>IFERROR(H1116*(F1116/E1116),"-")</f>
        <v>0</v>
      </c>
      <c r="J1116" s="420">
        <f t="shared" ref="J1116:J1118" si="630">IFERROR(H1116*(G1116/E1116),"-")</f>
        <v>0</v>
      </c>
    </row>
    <row r="1117" spans="1:10" ht="23.4" x14ac:dyDescent="0.3">
      <c r="A1117" s="274" t="s">
        <v>101</v>
      </c>
      <c r="B1117" s="1051"/>
      <c r="C1117" s="300" t="s">
        <v>548</v>
      </c>
      <c r="D1117" s="303" t="s">
        <v>522</v>
      </c>
      <c r="E1117" s="733">
        <v>28.526700000000002</v>
      </c>
      <c r="F1117" s="402">
        <f>IFERROR(E1117*'01 Prod Physique Boites'!H1111,"-")</f>
        <v>0</v>
      </c>
      <c r="G1117" s="728">
        <f>IFERROR(E1117*'01 Prod Physique Boites'!L1111,"-")</f>
        <v>0</v>
      </c>
      <c r="H1117" s="735">
        <v>37.89</v>
      </c>
      <c r="I1117" s="421">
        <f>IFERROR(H1117*(F1117/E1117),"-")</f>
        <v>0</v>
      </c>
      <c r="J1117" s="422">
        <f t="shared" si="630"/>
        <v>0</v>
      </c>
    </row>
    <row r="1118" spans="1:10" ht="24" thickBot="1" x14ac:dyDescent="0.35">
      <c r="A1118" s="274" t="s">
        <v>101</v>
      </c>
      <c r="B1118" s="1051"/>
      <c r="C1118" s="300" t="s">
        <v>291</v>
      </c>
      <c r="D1118" s="300" t="s">
        <v>366</v>
      </c>
      <c r="E1118" s="501">
        <v>25.751300000000001</v>
      </c>
      <c r="F1118" s="724">
        <f>IFERROR(E1118*'01 Prod Physique Boites'!H1112,"-")</f>
        <v>0</v>
      </c>
      <c r="G1118" s="728">
        <f>IFERROR(E1118*'01 Prod Physique Boites'!L1112,"-")</f>
        <v>0</v>
      </c>
      <c r="H1118" s="387">
        <v>37.89</v>
      </c>
      <c r="I1118" s="423">
        <f>IFERROR(H1118*(F1118/E1118),"-")</f>
        <v>0</v>
      </c>
      <c r="J1118" s="424">
        <f t="shared" si="630"/>
        <v>0</v>
      </c>
    </row>
    <row r="1119" spans="1:10" ht="24" thickBot="1" x14ac:dyDescent="0.35">
      <c r="A1119" s="274" t="s">
        <v>101</v>
      </c>
      <c r="B1119" s="1051"/>
      <c r="C1119" s="301"/>
      <c r="D1119" s="302" t="s">
        <v>50</v>
      </c>
      <c r="E1119" s="390"/>
      <c r="F1119" s="406">
        <f t="shared" ref="F1119:G1119" si="631">SUM(F1116:F1118)</f>
        <v>0</v>
      </c>
      <c r="G1119" s="407">
        <f t="shared" si="631"/>
        <v>0</v>
      </c>
      <c r="H1119" s="391"/>
      <c r="I1119" s="406">
        <f t="shared" ref="I1119" si="632">SUM(I1116:I1118)</f>
        <v>0</v>
      </c>
      <c r="J1119" s="425">
        <f>SUM(J1116:J1118)</f>
        <v>0</v>
      </c>
    </row>
    <row r="1120" spans="1:10" ht="23.4" x14ac:dyDescent="0.3">
      <c r="A1120" s="274" t="s">
        <v>101</v>
      </c>
      <c r="B1120" s="1051"/>
      <c r="C1120" s="297" t="s">
        <v>439</v>
      </c>
      <c r="D1120" s="297" t="s">
        <v>92</v>
      </c>
      <c r="E1120" s="504">
        <v>24.2607</v>
      </c>
      <c r="F1120" s="402">
        <f>IFERROR(E1120*'01 Prod Physique Boites'!H1114,"-")</f>
        <v>0</v>
      </c>
      <c r="G1120" s="728">
        <f>IFERROR(E1120*'01 Prod Physique Boites'!L1114,"-")</f>
        <v>0</v>
      </c>
      <c r="H1120" s="381">
        <v>28.31</v>
      </c>
      <c r="I1120" s="638">
        <f>IFERROR(H1120*(F1120/E1120),"-")</f>
        <v>0</v>
      </c>
      <c r="J1120" s="420">
        <f t="shared" ref="J1120:J1125" si="633">IFERROR(H1120*(G1120/E1120),"-")</f>
        <v>0</v>
      </c>
    </row>
    <row r="1121" spans="1:10" ht="23.4" x14ac:dyDescent="0.3">
      <c r="A1121" s="274"/>
      <c r="B1121" s="1051"/>
      <c r="C1121" s="303" t="s">
        <v>449</v>
      </c>
      <c r="D1121" s="299" t="s">
        <v>334</v>
      </c>
      <c r="E1121" s="504">
        <v>24.2607</v>
      </c>
      <c r="F1121" s="402">
        <f>IFERROR(E1121*'01 Prod Physique Boites'!H1115,"-")</f>
        <v>0</v>
      </c>
      <c r="G1121" s="728">
        <f>IFERROR(E1121*'01 Prod Physique Boites'!L1115,"-")</f>
        <v>0</v>
      </c>
      <c r="H1121" s="381">
        <v>28.88</v>
      </c>
      <c r="I1121" s="638">
        <f t="shared" ref="I1121:I1125" si="634">IFERROR(H1121*(F1121/E1121),"-")</f>
        <v>0</v>
      </c>
      <c r="J1121" s="420">
        <f t="shared" si="633"/>
        <v>0</v>
      </c>
    </row>
    <row r="1122" spans="1:10" ht="23.4" x14ac:dyDescent="0.3">
      <c r="A1122" s="274"/>
      <c r="B1122" s="1051"/>
      <c r="C1122" s="303" t="s">
        <v>452</v>
      </c>
      <c r="D1122" s="299" t="s">
        <v>334</v>
      </c>
      <c r="E1122" s="504">
        <v>25.4041</v>
      </c>
      <c r="F1122" s="402">
        <f>IFERROR(E1122*'01 Prod Physique Boites'!H1116,"-")</f>
        <v>0</v>
      </c>
      <c r="G1122" s="728">
        <f>IFERROR(E1122*'01 Prod Physique Boites'!L1116,"-")</f>
        <v>0</v>
      </c>
      <c r="H1122" s="381">
        <v>28.21</v>
      </c>
      <c r="I1122" s="638">
        <f t="shared" si="634"/>
        <v>0</v>
      </c>
      <c r="J1122" s="420">
        <f t="shared" si="633"/>
        <v>0</v>
      </c>
    </row>
    <row r="1123" spans="1:10" ht="23.4" x14ac:dyDescent="0.3">
      <c r="A1123" s="274" t="s">
        <v>101</v>
      </c>
      <c r="B1123" s="1051"/>
      <c r="C1123" s="303" t="s">
        <v>501</v>
      </c>
      <c r="D1123" s="300" t="s">
        <v>423</v>
      </c>
      <c r="E1123" s="505">
        <v>23.697399999999998</v>
      </c>
      <c r="F1123" s="724">
        <f>IFERROR(E1123*'01 Prod Physique Boites'!H1117,"-")</f>
        <v>0</v>
      </c>
      <c r="G1123" s="728">
        <f>IFERROR(E1123*'01 Prod Physique Boites'!L1117,"-")</f>
        <v>177446.13119999997</v>
      </c>
      <c r="H1123" s="385">
        <v>28.21</v>
      </c>
      <c r="I1123" s="638">
        <f t="shared" si="634"/>
        <v>0</v>
      </c>
      <c r="J1123" s="420">
        <f t="shared" si="633"/>
        <v>211236.47999999998</v>
      </c>
    </row>
    <row r="1124" spans="1:10" ht="23.4" x14ac:dyDescent="0.3">
      <c r="A1124" s="274"/>
      <c r="B1124" s="1051"/>
      <c r="C1124" s="300" t="s">
        <v>459</v>
      </c>
      <c r="D1124" s="300" t="s">
        <v>366</v>
      </c>
      <c r="E1124" s="501">
        <v>22.094999999999999</v>
      </c>
      <c r="F1124" s="724">
        <f>IFERROR(E1124*'01 Prod Physique Boites'!H1118,"-")</f>
        <v>0</v>
      </c>
      <c r="G1124" s="728">
        <f>IFERROR(E1124*'01 Prod Physique Boites'!L1118,"-")</f>
        <v>0</v>
      </c>
      <c r="H1124" s="745">
        <v>37.11</v>
      </c>
      <c r="I1124" s="638">
        <f t="shared" si="634"/>
        <v>0</v>
      </c>
      <c r="J1124" s="420">
        <f t="shared" si="633"/>
        <v>0</v>
      </c>
    </row>
    <row r="1125" spans="1:10" ht="24" thickBot="1" x14ac:dyDescent="0.35">
      <c r="A1125" s="274" t="s">
        <v>101</v>
      </c>
      <c r="B1125" s="1051"/>
      <c r="C1125" s="300" t="s">
        <v>438</v>
      </c>
      <c r="D1125" s="300" t="s">
        <v>423</v>
      </c>
      <c r="E1125" s="501">
        <v>23.697399999999998</v>
      </c>
      <c r="F1125" s="402">
        <f>IFERROR(E1125*'01 Prod Physique Boites'!H1119,"-")</f>
        <v>0</v>
      </c>
      <c r="G1125" s="403">
        <f>IFERROR(E1125*'01 Prod Physique Boites'!L1119,"-")</f>
        <v>0</v>
      </c>
      <c r="H1125" s="387">
        <v>28.21</v>
      </c>
      <c r="I1125" s="638">
        <f t="shared" si="634"/>
        <v>0</v>
      </c>
      <c r="J1125" s="420">
        <f t="shared" si="633"/>
        <v>0</v>
      </c>
    </row>
    <row r="1126" spans="1:10" ht="24" thickBot="1" x14ac:dyDescent="0.35">
      <c r="A1126" s="274" t="s">
        <v>101</v>
      </c>
      <c r="B1126" s="1051"/>
      <c r="C1126" s="304"/>
      <c r="D1126" s="305" t="s">
        <v>51</v>
      </c>
      <c r="E1126" s="397"/>
      <c r="F1126" s="414">
        <f t="shared" ref="F1126:G1126" si="635">SUM(F1120:F1125)</f>
        <v>0</v>
      </c>
      <c r="G1126" s="415">
        <f t="shared" si="635"/>
        <v>177446.13119999997</v>
      </c>
      <c r="H1126" s="398"/>
      <c r="I1126" s="414">
        <f t="shared" ref="I1126" si="636">SUM(I1120:I1125)</f>
        <v>0</v>
      </c>
      <c r="J1126" s="430">
        <f>SUM(J1120:J1125)</f>
        <v>211236.47999999998</v>
      </c>
    </row>
    <row r="1127" spans="1:10" ht="24" thickBot="1" x14ac:dyDescent="0.35">
      <c r="A1127" s="274" t="s">
        <v>101</v>
      </c>
      <c r="B1127" s="1054" t="s">
        <v>163</v>
      </c>
      <c r="C1127" s="1055"/>
      <c r="D1127" s="1056"/>
      <c r="E1127" s="399"/>
      <c r="F1127" s="416">
        <f t="shared" ref="F1127:G1127" si="637">+F1119+F1126</f>
        <v>0</v>
      </c>
      <c r="G1127" s="417">
        <f t="shared" si="637"/>
        <v>177446.13119999997</v>
      </c>
      <c r="H1127" s="400"/>
      <c r="I1127" s="416">
        <f t="shared" ref="I1127:J1127" si="638">+I1119+I1126</f>
        <v>0</v>
      </c>
      <c r="J1127" s="431">
        <f t="shared" si="638"/>
        <v>211236.47999999998</v>
      </c>
    </row>
    <row r="1128" spans="1:10" ht="24" thickBot="1" x14ac:dyDescent="0.35">
      <c r="A1128" s="274" t="s">
        <v>101</v>
      </c>
      <c r="B1128" s="599" t="s">
        <v>32</v>
      </c>
      <c r="C1128" s="888"/>
      <c r="D1128" s="310"/>
      <c r="E1128" s="506">
        <v>12.2659</v>
      </c>
      <c r="F1128" s="408">
        <f>IFERROR(E1128*'01 Prod Physique Boites'!H1122,"-")</f>
        <v>0</v>
      </c>
      <c r="G1128" s="409">
        <f>IFERROR(E1128*'01 Prod Physique Boites'!L1122,"-")</f>
        <v>0</v>
      </c>
      <c r="H1128" s="392"/>
      <c r="I1128" s="426">
        <f>IFERROR(H1128*(F1128/E1128),"-")</f>
        <v>0</v>
      </c>
      <c r="J1128" s="427">
        <f>IFERROR(H1128*(G1128/E1128),"-")</f>
        <v>0</v>
      </c>
    </row>
    <row r="1129" spans="1:10" ht="24" thickBot="1" x14ac:dyDescent="0.35">
      <c r="A1129" s="274" t="s">
        <v>101</v>
      </c>
      <c r="B1129" s="1047" t="s">
        <v>21</v>
      </c>
      <c r="C1129" s="1048"/>
      <c r="D1129" s="1049"/>
      <c r="E1129" s="393"/>
      <c r="F1129" s="410">
        <f t="shared" ref="F1129" si="639">+F1115+F1127+F1128</f>
        <v>3593546.9855999998</v>
      </c>
      <c r="G1129" s="411">
        <f>+G1115+G1127+G1128</f>
        <v>21564868.759199999</v>
      </c>
      <c r="H1129" s="394"/>
      <c r="I1129" s="410">
        <f t="shared" ref="I1129:J1129" si="640">+I1115+I1127+I1128</f>
        <v>5370300</v>
      </c>
      <c r="J1129" s="428">
        <f t="shared" si="640"/>
        <v>30860453.520000007</v>
      </c>
    </row>
    <row r="1130" spans="1:10" ht="24" thickBot="1" x14ac:dyDescent="0.35">
      <c r="A1130" s="274" t="s">
        <v>101</v>
      </c>
      <c r="B1130" s="1019" t="s">
        <v>171</v>
      </c>
      <c r="C1130" s="1020"/>
      <c r="D1130" s="1021"/>
      <c r="E1130" s="395"/>
      <c r="F1130" s="412">
        <f t="shared" ref="F1130:G1130" si="641">+F1129</f>
        <v>3593546.9855999998</v>
      </c>
      <c r="G1130" s="413">
        <f t="shared" si="641"/>
        <v>21564868.759199999</v>
      </c>
      <c r="H1130" s="396"/>
      <c r="I1130" s="412">
        <f t="shared" ref="I1130:J1130" si="642">+I1129</f>
        <v>5370300</v>
      </c>
      <c r="J1130" s="429">
        <f t="shared" si="642"/>
        <v>30860453.520000007</v>
      </c>
    </row>
    <row r="1131" spans="1:10" ht="23.4" x14ac:dyDescent="0.3">
      <c r="A1131" s="268" t="s">
        <v>102</v>
      </c>
      <c r="B1131" s="1022" t="s">
        <v>401</v>
      </c>
      <c r="C1131" s="311" t="s">
        <v>113</v>
      </c>
      <c r="D1131" s="311"/>
      <c r="E1131" s="709">
        <v>254.89750000000001</v>
      </c>
      <c r="F1131" s="402">
        <f>IFERROR(E1131*'01 Prod Physique Boites'!H1125,"-")</f>
        <v>0</v>
      </c>
      <c r="G1131" s="403">
        <f>IFERROR(E1131*'01 Prod Physique Boites'!L1125,"-")</f>
        <v>0</v>
      </c>
      <c r="H1131" s="381">
        <v>445.38</v>
      </c>
      <c r="I1131" s="419">
        <f>IFERROR(H1131*(F1131/E1131),"-")</f>
        <v>0</v>
      </c>
      <c r="J1131" s="420">
        <f t="shared" ref="J1131:J1133" si="643">IFERROR(H1131*(G1131/E1131),"-")</f>
        <v>0</v>
      </c>
    </row>
    <row r="1132" spans="1:10" ht="23.4" x14ac:dyDescent="0.3">
      <c r="A1132" s="274" t="s">
        <v>102</v>
      </c>
      <c r="B1132" s="1023"/>
      <c r="C1132" s="312" t="s">
        <v>247</v>
      </c>
      <c r="D1132" s="312"/>
      <c r="E1132" s="503">
        <v>246.51390000000001</v>
      </c>
      <c r="F1132" s="402">
        <f>IFERROR(E1132*'01 Prod Physique Boites'!H1126,"-")</f>
        <v>0</v>
      </c>
      <c r="G1132" s="403">
        <f>IFERROR(E1132*'01 Prod Physique Boites'!L1126,"-")</f>
        <v>2255355.6710999999</v>
      </c>
      <c r="H1132" s="385">
        <v>430.02</v>
      </c>
      <c r="I1132" s="421">
        <f>IFERROR(H1132*(F1132/E1132),"-")</f>
        <v>0</v>
      </c>
      <c r="J1132" s="422">
        <f t="shared" si="643"/>
        <v>3934252.98</v>
      </c>
    </row>
    <row r="1133" spans="1:10" ht="24" thickBot="1" x14ac:dyDescent="0.35">
      <c r="A1133" s="274" t="s">
        <v>102</v>
      </c>
      <c r="B1133" s="1024"/>
      <c r="C1133" s="313" t="s">
        <v>33</v>
      </c>
      <c r="D1133" s="313"/>
      <c r="E1133" s="500">
        <v>225.7713</v>
      </c>
      <c r="F1133" s="402">
        <f>IFERROR(E1133*'01 Prod Physique Boites'!H1127,"-")</f>
        <v>0</v>
      </c>
      <c r="G1133" s="403">
        <f>IFERROR(E1133*'01 Prod Physique Boites'!L1127,"-")</f>
        <v>0</v>
      </c>
      <c r="H1133" s="387"/>
      <c r="I1133" s="423">
        <f>IFERROR(H1133*(F1133/E1133),"-")</f>
        <v>0</v>
      </c>
      <c r="J1133" s="424">
        <f t="shared" si="643"/>
        <v>0</v>
      </c>
    </row>
    <row r="1134" spans="1:10" ht="24" thickBot="1" x14ac:dyDescent="0.35">
      <c r="A1134" s="274" t="s">
        <v>102</v>
      </c>
      <c r="B1134" s="1025" t="s">
        <v>34</v>
      </c>
      <c r="C1134" s="1026"/>
      <c r="D1134" s="1027"/>
      <c r="E1134" s="390"/>
      <c r="F1134" s="406">
        <f t="shared" ref="F1134:G1134" si="644">SUM(F1131:F1133)</f>
        <v>0</v>
      </c>
      <c r="G1134" s="407">
        <f t="shared" si="644"/>
        <v>2255355.6710999999</v>
      </c>
      <c r="H1134" s="391"/>
      <c r="I1134" s="406">
        <f t="shared" ref="I1134:J1134" si="645">SUM(I1131:I1133)</f>
        <v>0</v>
      </c>
      <c r="J1134" s="425">
        <f t="shared" si="645"/>
        <v>3934252.98</v>
      </c>
    </row>
    <row r="1135" spans="1:10" ht="23.4" x14ac:dyDescent="0.3">
      <c r="A1135" s="274" t="s">
        <v>102</v>
      </c>
      <c r="B1135" s="1022" t="s">
        <v>35</v>
      </c>
      <c r="C1135" s="311" t="s">
        <v>113</v>
      </c>
      <c r="D1135" s="311"/>
      <c r="E1135" s="502">
        <v>254.89750000000001</v>
      </c>
      <c r="F1135" s="402">
        <f>IFERROR(E1135*'01 Prod Physique Boites'!H1129,"-")</f>
        <v>0</v>
      </c>
      <c r="G1135" s="403">
        <f>IFERROR(E1135*'01 Prod Physique Boites'!L1129,"-")</f>
        <v>0</v>
      </c>
      <c r="H1135" s="381">
        <v>445.38</v>
      </c>
      <c r="I1135" s="419">
        <f>IFERROR(H1135*(F1135/E1135),"-")</f>
        <v>0</v>
      </c>
      <c r="J1135" s="420">
        <f t="shared" ref="J1135:J1138" si="646">IFERROR(H1135*(G1135/E1135),"-")</f>
        <v>0</v>
      </c>
    </row>
    <row r="1136" spans="1:10" ht="23.4" x14ac:dyDescent="0.3">
      <c r="A1136" s="274" t="s">
        <v>102</v>
      </c>
      <c r="B1136" s="1023"/>
      <c r="C1136" s="312" t="s">
        <v>247</v>
      </c>
      <c r="D1136" s="312"/>
      <c r="E1136" s="503">
        <v>246.51390000000001</v>
      </c>
      <c r="F1136" s="402">
        <f>IFERROR(E1136*'01 Prod Physique Boites'!H1130,"-")</f>
        <v>0</v>
      </c>
      <c r="G1136" s="403">
        <f>IFERROR(E1136*'01 Prod Physique Boites'!L1130,"-")</f>
        <v>0</v>
      </c>
      <c r="H1136" s="385">
        <v>430.02</v>
      </c>
      <c r="I1136" s="421">
        <f>IFERROR(H1136*(F1136/E1136),"-")</f>
        <v>0</v>
      </c>
      <c r="J1136" s="422">
        <f t="shared" si="646"/>
        <v>0</v>
      </c>
    </row>
    <row r="1137" spans="1:10" ht="23.4" x14ac:dyDescent="0.3">
      <c r="A1137" s="274" t="s">
        <v>102</v>
      </c>
      <c r="B1137" s="1023"/>
      <c r="C1137" s="312" t="s">
        <v>184</v>
      </c>
      <c r="D1137" s="312" t="s">
        <v>183</v>
      </c>
      <c r="E1137" s="503">
        <v>254.89750000000001</v>
      </c>
      <c r="F1137" s="402">
        <f>IFERROR(E1137*'01 Prod Physique Boites'!H1131,"-")</f>
        <v>0</v>
      </c>
      <c r="G1137" s="403">
        <f>IFERROR(E1137*'01 Prod Physique Boites'!L1131,"-")</f>
        <v>0</v>
      </c>
      <c r="H1137" s="385"/>
      <c r="I1137" s="421">
        <f>IFERROR(H1137*(F1137/E1137),"-")</f>
        <v>0</v>
      </c>
      <c r="J1137" s="422">
        <f t="shared" si="646"/>
        <v>0</v>
      </c>
    </row>
    <row r="1138" spans="1:10" ht="24" thickBot="1" x14ac:dyDescent="0.35">
      <c r="A1138" s="274" t="s">
        <v>102</v>
      </c>
      <c r="B1138" s="1024"/>
      <c r="C1138" s="313" t="s">
        <v>36</v>
      </c>
      <c r="D1138" s="313"/>
      <c r="E1138" s="500">
        <v>229.99359999999999</v>
      </c>
      <c r="F1138" s="402">
        <f>IFERROR(E1138*'01 Prod Physique Boites'!H1132,"-")</f>
        <v>0</v>
      </c>
      <c r="G1138" s="403">
        <f>IFERROR(E1138*'01 Prod Physique Boites'!L1132,"-")</f>
        <v>0</v>
      </c>
      <c r="H1138" s="387"/>
      <c r="I1138" s="423">
        <f>IFERROR(H1138*(F1138/E1138),"-")</f>
        <v>0</v>
      </c>
      <c r="J1138" s="424">
        <f t="shared" si="646"/>
        <v>0</v>
      </c>
    </row>
    <row r="1139" spans="1:10" ht="24" thickBot="1" x14ac:dyDescent="0.35">
      <c r="A1139" s="274" t="s">
        <v>102</v>
      </c>
      <c r="B1139" s="1025" t="s">
        <v>37</v>
      </c>
      <c r="C1139" s="1026"/>
      <c r="D1139" s="1027"/>
      <c r="E1139" s="390"/>
      <c r="F1139" s="406">
        <f t="shared" ref="F1139:G1139" si="647">SUM(F1135:F1138)</f>
        <v>0</v>
      </c>
      <c r="G1139" s="407">
        <f t="shared" si="647"/>
        <v>0</v>
      </c>
      <c r="H1139" s="391"/>
      <c r="I1139" s="406">
        <f>SUM(I1135:I1138)</f>
        <v>0</v>
      </c>
      <c r="J1139" s="425">
        <f>SUM(J1135:J1138)</f>
        <v>0</v>
      </c>
    </row>
    <row r="1140" spans="1:10" ht="23.4" x14ac:dyDescent="0.3">
      <c r="A1140" s="274" t="s">
        <v>102</v>
      </c>
      <c r="B1140" s="1022" t="s">
        <v>402</v>
      </c>
      <c r="C1140" s="314" t="s">
        <v>116</v>
      </c>
      <c r="D1140" s="314"/>
      <c r="E1140" s="502">
        <v>195.2808</v>
      </c>
      <c r="F1140" s="402">
        <f>IFERROR(E1140*'01 Prod Physique Boites'!H1134,"-")</f>
        <v>0</v>
      </c>
      <c r="G1140" s="403">
        <f>IFERROR(E1140*'01 Prod Physique Boites'!L1134,"-")</f>
        <v>0</v>
      </c>
      <c r="H1140" s="681">
        <v>256.7</v>
      </c>
      <c r="I1140" s="419">
        <f>IFERROR(H1140*(F1140/E1140),"-")</f>
        <v>0</v>
      </c>
      <c r="J1140" s="420">
        <f t="shared" ref="J1140:J1141" si="648">IFERROR(H1140*(G1140/E1140),"-")</f>
        <v>0</v>
      </c>
    </row>
    <row r="1141" spans="1:10" ht="24" thickBot="1" x14ac:dyDescent="0.35">
      <c r="A1141" s="274" t="s">
        <v>102</v>
      </c>
      <c r="B1141" s="1024"/>
      <c r="C1141" s="286" t="s">
        <v>132</v>
      </c>
      <c r="D1141" s="286"/>
      <c r="E1141" s="500">
        <v>189.91890000000001</v>
      </c>
      <c r="F1141" s="402">
        <f>IFERROR(E1141*'01 Prod Physique Boites'!H1135,"-")</f>
        <v>474797.25</v>
      </c>
      <c r="G1141" s="403">
        <f>IFERROR(E1141*'01 Prod Physique Boites'!L1135,"-")</f>
        <v>4138332.8310000002</v>
      </c>
      <c r="H1141" s="387">
        <v>320.35000000000002</v>
      </c>
      <c r="I1141" s="423">
        <f>IFERROR(H1141*(F1141/E1141),"-")</f>
        <v>800875</v>
      </c>
      <c r="J1141" s="424">
        <f t="shared" si="648"/>
        <v>6980426.5000000009</v>
      </c>
    </row>
    <row r="1142" spans="1:10" ht="24" thickBot="1" x14ac:dyDescent="0.35">
      <c r="A1142" s="892" t="s">
        <v>102</v>
      </c>
      <c r="B1142" s="1025" t="s">
        <v>38</v>
      </c>
      <c r="C1142" s="1026"/>
      <c r="D1142" s="1027"/>
      <c r="E1142" s="390"/>
      <c r="F1142" s="406">
        <f>SUM(F1140:F1141)</f>
        <v>474797.25</v>
      </c>
      <c r="G1142" s="407">
        <f t="shared" ref="G1142" si="649">SUM(G1140:G1141)</f>
        <v>4138332.8310000002</v>
      </c>
      <c r="H1142" s="391"/>
      <c r="I1142" s="406">
        <f t="shared" ref="I1142:J1142" si="650">SUM(I1140:I1141)</f>
        <v>800875</v>
      </c>
      <c r="J1142" s="425">
        <f t="shared" si="650"/>
        <v>6980426.5000000009</v>
      </c>
    </row>
    <row r="1143" spans="1:10" ht="23.4" x14ac:dyDescent="0.3">
      <c r="A1143" s="274" t="s">
        <v>102</v>
      </c>
      <c r="B1143" s="1022" t="s">
        <v>403</v>
      </c>
      <c r="C1143" s="269" t="s">
        <v>306</v>
      </c>
      <c r="D1143" s="269" t="s">
        <v>238</v>
      </c>
      <c r="E1143" s="504">
        <v>37.248699999999999</v>
      </c>
      <c r="F1143" s="402">
        <f>IFERROR(E1143*'01 Prod Physique Boites'!H1137,"-")</f>
        <v>1752178.848</v>
      </c>
      <c r="G1143" s="403">
        <f>IFERROR(E1143*'01 Prod Physique Boites'!L1137,"-")</f>
        <v>9417514.3235999998</v>
      </c>
      <c r="H1143" s="381">
        <v>71.44</v>
      </c>
      <c r="I1143" s="419">
        <f>IFERROR(H1143*(F1143/E1143),"-")</f>
        <v>3360537.6</v>
      </c>
      <c r="J1143" s="420">
        <f>IFERROR(H1143*(G1143/E1143),"-")</f>
        <v>18062032.32</v>
      </c>
    </row>
    <row r="1144" spans="1:10" ht="23.4" x14ac:dyDescent="0.3">
      <c r="A1144" s="274" t="s">
        <v>102</v>
      </c>
      <c r="B1144" s="1023"/>
      <c r="C1144" s="269" t="s">
        <v>156</v>
      </c>
      <c r="D1144" s="275"/>
      <c r="E1144" s="504">
        <v>37.248699999999999</v>
      </c>
      <c r="F1144" s="402">
        <f>IFERROR(E1144*'01 Prod Physique Boites'!H1138,"-")</f>
        <v>0</v>
      </c>
      <c r="G1144" s="403">
        <f>IFERROR(E1144*'01 Prod Physique Boites'!L1138,"-")</f>
        <v>0</v>
      </c>
      <c r="H1144" s="385"/>
      <c r="I1144" s="421">
        <f>IFERROR(H1144*(F1144/E1144),"-")</f>
        <v>0</v>
      </c>
      <c r="J1144" s="422">
        <f t="shared" ref="J1144:J1146" si="651">IFERROR(H1144*(G1144/E1144),"-")</f>
        <v>0</v>
      </c>
    </row>
    <row r="1145" spans="1:10" ht="23.4" x14ac:dyDescent="0.3">
      <c r="A1145" s="274" t="s">
        <v>102</v>
      </c>
      <c r="B1145" s="1023"/>
      <c r="C1145" s="275" t="s">
        <v>345</v>
      </c>
      <c r="D1145" s="269" t="s">
        <v>238</v>
      </c>
      <c r="E1145" s="504">
        <v>37.248699999999999</v>
      </c>
      <c r="F1145" s="402">
        <f>IFERROR(E1145*'01 Prod Physique Boites'!H1139,"-")</f>
        <v>0</v>
      </c>
      <c r="G1145" s="403">
        <f>IFERROR(E1145*'01 Prod Physique Boites'!L1139,"-")</f>
        <v>1826378.2583999999</v>
      </c>
      <c r="H1145" s="385">
        <v>71.44</v>
      </c>
      <c r="I1145" s="421">
        <f>IFERROR(H1145*(F1145/E1145),"-")</f>
        <v>0</v>
      </c>
      <c r="J1145" s="422">
        <f t="shared" si="651"/>
        <v>3502846.08</v>
      </c>
    </row>
    <row r="1146" spans="1:10" ht="24" thickBot="1" x14ac:dyDescent="0.35">
      <c r="A1146" s="274" t="s">
        <v>102</v>
      </c>
      <c r="B1146" s="1023"/>
      <c r="C1146" s="275" t="s">
        <v>157</v>
      </c>
      <c r="D1146" s="275"/>
      <c r="E1146" s="505">
        <v>38.466099999999997</v>
      </c>
      <c r="F1146" s="402">
        <f>IFERROR(E1146*'01 Prod Physique Boites'!H1140,"-")</f>
        <v>0</v>
      </c>
      <c r="G1146" s="403">
        <f>IFERROR(E1146*'01 Prod Physique Boites'!L1140,"-")</f>
        <v>0</v>
      </c>
      <c r="H1146" s="385"/>
      <c r="I1146" s="421">
        <f>IFERROR(H1146*(F1146/E1146),"-")</f>
        <v>0</v>
      </c>
      <c r="J1146" s="422">
        <f t="shared" si="651"/>
        <v>0</v>
      </c>
    </row>
    <row r="1147" spans="1:10" ht="24" thickBot="1" x14ac:dyDescent="0.35">
      <c r="A1147" s="274" t="s">
        <v>102</v>
      </c>
      <c r="B1147" s="1025" t="s">
        <v>39</v>
      </c>
      <c r="C1147" s="1026"/>
      <c r="D1147" s="1027"/>
      <c r="E1147" s="390"/>
      <c r="F1147" s="406">
        <f>SUM(F1143:F1146)</f>
        <v>1752178.848</v>
      </c>
      <c r="G1147" s="407">
        <f>SUM(G1143:G1146)</f>
        <v>11243892.582</v>
      </c>
      <c r="H1147" s="391"/>
      <c r="I1147" s="406">
        <f>SUM(I1143:I1146)</f>
        <v>3360537.6</v>
      </c>
      <c r="J1147" s="406">
        <f>SUM(J1143:J1146)</f>
        <v>21564878.399999999</v>
      </c>
    </row>
    <row r="1148" spans="1:10" ht="23.4" x14ac:dyDescent="0.3">
      <c r="A1148" s="274" t="s">
        <v>102</v>
      </c>
      <c r="B1148" s="1022" t="s">
        <v>40</v>
      </c>
      <c r="C1148" s="269" t="s">
        <v>186</v>
      </c>
      <c r="D1148" s="269" t="s">
        <v>183</v>
      </c>
      <c r="E1148" s="504">
        <v>30.7499</v>
      </c>
      <c r="F1148" s="402">
        <f>IFERROR(E1148*'01 Prod Physique Boites'!H1143,"-")</f>
        <v>0</v>
      </c>
      <c r="G1148" s="402">
        <f>IFERROR(E1148*'01 Prod Physique Boites'!L1143,"-")</f>
        <v>0</v>
      </c>
      <c r="H1148" s="381"/>
      <c r="I1148" s="419">
        <f>IFERROR(H1148*(F1148/E1148),"-")</f>
        <v>0</v>
      </c>
      <c r="J1148" s="420">
        <f>IFERROR(H1148*(G1148/E1148),"-")</f>
        <v>0</v>
      </c>
    </row>
    <row r="1149" spans="1:10" ht="23.4" x14ac:dyDescent="0.3">
      <c r="A1149" s="274" t="s">
        <v>102</v>
      </c>
      <c r="B1149" s="1023"/>
      <c r="C1149" s="275" t="s">
        <v>159</v>
      </c>
      <c r="D1149" s="275"/>
      <c r="E1149" s="684">
        <v>30.073599999999999</v>
      </c>
      <c r="F1149" s="402">
        <f>IFERROR(E1149*'01 Prod Physique Boites'!H1144,"-")</f>
        <v>0</v>
      </c>
      <c r="G1149" s="403">
        <f>IFERROR(E1149*'01 Prod Physique Boites'!L1144,"-")</f>
        <v>342839.03999999998</v>
      </c>
      <c r="H1149" s="385">
        <v>59.96</v>
      </c>
      <c r="I1149" s="421">
        <f>IFERROR(H1149*(F1149/E1149),"-")</f>
        <v>0</v>
      </c>
      <c r="J1149" s="422">
        <f t="shared" ref="J1149:J1150" si="652">IFERROR(H1149*(G1149/E1149),"-")</f>
        <v>683544</v>
      </c>
    </row>
    <row r="1150" spans="1:10" ht="24" thickBot="1" x14ac:dyDescent="0.35">
      <c r="A1150" s="274" t="s">
        <v>102</v>
      </c>
      <c r="B1150" s="1024"/>
      <c r="C1150" s="279" t="s">
        <v>186</v>
      </c>
      <c r="D1150" s="279" t="s">
        <v>185</v>
      </c>
      <c r="E1150" s="501">
        <v>30.073599999999999</v>
      </c>
      <c r="F1150" s="402">
        <f>IFERROR(E1150*'01 Prod Physique Boites'!H1145,"-")</f>
        <v>0</v>
      </c>
      <c r="G1150" s="403">
        <f>IFERROR(E1150*'01 Prod Physique Boites'!L1145,"-")</f>
        <v>0</v>
      </c>
      <c r="H1150" s="387"/>
      <c r="I1150" s="423">
        <f>IFERROR(H1150*(F1150/E1150),"-")</f>
        <v>0</v>
      </c>
      <c r="J1150" s="424">
        <f t="shared" si="652"/>
        <v>0</v>
      </c>
    </row>
    <row r="1151" spans="1:10" ht="24" thickBot="1" x14ac:dyDescent="0.35">
      <c r="A1151" s="274" t="s">
        <v>102</v>
      </c>
      <c r="B1151" s="1034" t="s">
        <v>41</v>
      </c>
      <c r="C1151" s="1035"/>
      <c r="D1151" s="1036"/>
      <c r="E1151" s="390"/>
      <c r="F1151" s="406">
        <f t="shared" ref="F1151:G1151" si="653">SUM(F1148:F1150)</f>
        <v>0</v>
      </c>
      <c r="G1151" s="407">
        <f t="shared" si="653"/>
        <v>342839.03999999998</v>
      </c>
      <c r="H1151" s="391"/>
      <c r="I1151" s="406">
        <f t="shared" ref="I1151:J1151" si="654">SUM(I1148:I1150)</f>
        <v>0</v>
      </c>
      <c r="J1151" s="425">
        <f t="shared" si="654"/>
        <v>683544</v>
      </c>
    </row>
    <row r="1152" spans="1:10" ht="23.4" x14ac:dyDescent="0.3">
      <c r="A1152" s="274" t="s">
        <v>102</v>
      </c>
      <c r="B1152" s="1022" t="s">
        <v>42</v>
      </c>
      <c r="C1152" s="269" t="s">
        <v>160</v>
      </c>
      <c r="D1152" s="269"/>
      <c r="E1152" s="504">
        <v>36.684899999999999</v>
      </c>
      <c r="F1152" s="402">
        <f>IFERROR(E1152*'01 Prod Physique Boites'!H1147,"-")</f>
        <v>0</v>
      </c>
      <c r="G1152" s="402">
        <f>IFERROR(E1152*'01 Prod Physique Boites'!L1147,"-")</f>
        <v>0</v>
      </c>
      <c r="H1152" s="381"/>
      <c r="I1152" s="382" t="s">
        <v>190</v>
      </c>
      <c r="J1152" s="383" t="s">
        <v>190</v>
      </c>
    </row>
    <row r="1153" spans="1:15" ht="24" thickBot="1" x14ac:dyDescent="0.35">
      <c r="A1153" s="274" t="s">
        <v>102</v>
      </c>
      <c r="B1153" s="1024"/>
      <c r="C1153" s="279" t="s">
        <v>161</v>
      </c>
      <c r="D1153" s="279"/>
      <c r="E1153" s="501">
        <v>37.002800000000001</v>
      </c>
      <c r="F1153" s="402">
        <f>IFERROR(E1153*'01 Prod Physique Boites'!H1148,"-")</f>
        <v>0</v>
      </c>
      <c r="G1153" s="402">
        <f>IFERROR(E1153*'01 Prod Physique Boites'!L1148,"-")</f>
        <v>0</v>
      </c>
      <c r="H1153" s="387"/>
      <c r="I1153" s="388" t="s">
        <v>190</v>
      </c>
      <c r="J1153" s="389" t="s">
        <v>190</v>
      </c>
    </row>
    <row r="1154" spans="1:15" ht="24" thickBot="1" x14ac:dyDescent="0.35">
      <c r="A1154" s="274" t="s">
        <v>102</v>
      </c>
      <c r="B1154" s="1034" t="s">
        <v>43</v>
      </c>
      <c r="C1154" s="1035"/>
      <c r="D1154" s="1036"/>
      <c r="E1154" s="390"/>
      <c r="F1154" s="402">
        <f>IFERROR(E1154*'01 Prod Physique Boites'!H1148,"-")</f>
        <v>0</v>
      </c>
      <c r="G1154" s="407">
        <f>IFERROR(E1154*'01 Prod Physique Boites'!L1148,"-")</f>
        <v>0</v>
      </c>
      <c r="H1154" s="391"/>
      <c r="I1154" s="406">
        <f t="shared" ref="I1154:J1154" si="655">SUM(I1152:I1153)</f>
        <v>0</v>
      </c>
      <c r="J1154" s="425">
        <f t="shared" si="655"/>
        <v>0</v>
      </c>
    </row>
    <row r="1155" spans="1:15" ht="24" thickBot="1" x14ac:dyDescent="0.35">
      <c r="A1155" s="274" t="s">
        <v>102</v>
      </c>
      <c r="B1155" s="1028" t="s">
        <v>25</v>
      </c>
      <c r="C1155" s="1029"/>
      <c r="D1155" s="1030"/>
      <c r="E1155" s="393"/>
      <c r="F1155" s="410">
        <f>+F1134+F1139+F1142+F1147+F1151+F1154</f>
        <v>2226976.0980000002</v>
      </c>
      <c r="G1155" s="411">
        <f>+G1134+G1139+G1142+G1147+G1151+G1154</f>
        <v>17980420.1241</v>
      </c>
      <c r="H1155" s="394"/>
      <c r="I1155" s="410">
        <f>+I1134+I1139+I1142+I1147+I1151+I1154</f>
        <v>4161412.6</v>
      </c>
      <c r="J1155" s="428">
        <f>+J1134+J1139+J1142+J1147+J1151+J1154</f>
        <v>33163101.879999999</v>
      </c>
    </row>
    <row r="1156" spans="1:15" ht="24" thickBot="1" x14ac:dyDescent="0.35">
      <c r="A1156" s="318" t="s">
        <v>102</v>
      </c>
      <c r="B1156" s="1020" t="s">
        <v>173</v>
      </c>
      <c r="C1156" s="1020"/>
      <c r="D1156" s="1021"/>
      <c r="E1156" s="395"/>
      <c r="F1156" s="412">
        <f t="shared" ref="F1156:G1156" si="656">+F1155</f>
        <v>2226976.0980000002</v>
      </c>
      <c r="G1156" s="413">
        <f t="shared" si="656"/>
        <v>17980420.1241</v>
      </c>
      <c r="H1156" s="396"/>
      <c r="I1156" s="412">
        <f t="shared" ref="I1156" si="657">+I1155</f>
        <v>4161412.6</v>
      </c>
      <c r="J1156" s="429">
        <f>+J1155</f>
        <v>33163101.879999999</v>
      </c>
    </row>
    <row r="1157" spans="1:15" ht="24.6" thickBot="1" x14ac:dyDescent="0.35">
      <c r="A1157" s="319"/>
      <c r="B1157" s="1031" t="s">
        <v>174</v>
      </c>
      <c r="C1157" s="1032"/>
      <c r="D1157" s="1033"/>
      <c r="E1157" s="401"/>
      <c r="F1157" s="418">
        <f>+F1095+F1130+F1156</f>
        <v>9490184.7872000001</v>
      </c>
      <c r="G1157" s="418">
        <f>+G1095+G1130+G1156</f>
        <v>65550872.222499996</v>
      </c>
      <c r="H1157" s="401"/>
      <c r="I1157" s="418">
        <f>+I1095+I1130+I1156</f>
        <v>13418426.359999999</v>
      </c>
      <c r="J1157" s="432">
        <f>+J1095+J1130+J1156</f>
        <v>90928731</v>
      </c>
    </row>
    <row r="1158" spans="1:15" ht="23.4" x14ac:dyDescent="0.3">
      <c r="A1158" s="1057" t="s">
        <v>1</v>
      </c>
      <c r="B1158" s="1060" t="s">
        <v>2</v>
      </c>
      <c r="C1158" s="1063" t="s">
        <v>396</v>
      </c>
      <c r="D1158" s="1063" t="s">
        <v>397</v>
      </c>
      <c r="E1158" s="1092" t="s">
        <v>405</v>
      </c>
      <c r="F1158" s="1093"/>
      <c r="G1158" s="1093"/>
      <c r="H1158" s="442"/>
      <c r="I1158" s="442"/>
      <c r="J1158" s="443"/>
    </row>
    <row r="1159" spans="1:15" ht="23.4" x14ac:dyDescent="0.3">
      <c r="A1159" s="1058"/>
      <c r="B1159" s="1061"/>
      <c r="C1159" s="1064"/>
      <c r="D1159" s="1064"/>
      <c r="E1159" s="1094" t="s">
        <v>408</v>
      </c>
      <c r="F1159" s="1095"/>
      <c r="G1159" s="1096"/>
      <c r="H1159" s="1094" t="s">
        <v>168</v>
      </c>
      <c r="I1159" s="1095"/>
      <c r="J1159" s="1096"/>
    </row>
    <row r="1160" spans="1:15" ht="46.8" x14ac:dyDescent="0.3">
      <c r="A1160" s="1059"/>
      <c r="B1160" s="1090"/>
      <c r="C1160" s="1091"/>
      <c r="D1160" s="1091"/>
      <c r="E1160" s="379" t="s">
        <v>170</v>
      </c>
      <c r="F1160" s="907" t="s">
        <v>407</v>
      </c>
      <c r="G1160" s="908" t="s">
        <v>406</v>
      </c>
      <c r="H1160" s="1097" t="s">
        <v>170</v>
      </c>
      <c r="I1160" s="1099" t="s">
        <v>137</v>
      </c>
      <c r="J1160" s="1101" t="s">
        <v>406</v>
      </c>
    </row>
    <row r="1161" spans="1:15" ht="24" thickBot="1" x14ac:dyDescent="0.35">
      <c r="A1161" s="1059"/>
      <c r="B1161" s="1062"/>
      <c r="C1161" s="1065"/>
      <c r="D1161" s="1065"/>
      <c r="E1161" s="1103" t="s">
        <v>552</v>
      </c>
      <c r="F1161" s="1104"/>
      <c r="G1161" s="1105"/>
      <c r="H1161" s="1098"/>
      <c r="I1161" s="1100"/>
      <c r="J1161" s="1102"/>
    </row>
    <row r="1162" spans="1:15" ht="23.4" x14ac:dyDescent="0.3">
      <c r="A1162" s="268" t="s">
        <v>103</v>
      </c>
      <c r="B1162" s="1043" t="s">
        <v>16</v>
      </c>
      <c r="C1162" s="269" t="s">
        <v>368</v>
      </c>
      <c r="D1162" s="269" t="s">
        <v>369</v>
      </c>
      <c r="E1162" s="705">
        <v>81.360699999999994</v>
      </c>
      <c r="F1162" s="402">
        <f>IFERROR(E1162*'01 Prod Physique Boites'!H1156,"-")</f>
        <v>442602.20799999998</v>
      </c>
      <c r="G1162" s="402">
        <f>IFERROR(E1162*'01 Prod Physique Boites'!L1156,"-")</f>
        <v>624850.17599999998</v>
      </c>
      <c r="H1162" s="706">
        <v>143.28</v>
      </c>
      <c r="I1162" s="419">
        <f>IFERROR(H1162*(F1162/E1162),"-")</f>
        <v>779443.19999999995</v>
      </c>
      <c r="J1162" s="420">
        <f t="shared" ref="J1162:J1164" si="658">IFERROR(H1162*(G1162/E1162),"-")</f>
        <v>1100390.3999999999</v>
      </c>
    </row>
    <row r="1163" spans="1:15" ht="23.4" x14ac:dyDescent="0.3">
      <c r="A1163" s="713"/>
      <c r="B1163" s="1044"/>
      <c r="C1163" s="275" t="s">
        <v>470</v>
      </c>
      <c r="D1163" s="275" t="s">
        <v>375</v>
      </c>
      <c r="E1163" s="505">
        <v>81.360699999999994</v>
      </c>
      <c r="F1163" s="402">
        <f>IFERROR(E1163*'01 Prod Physique Boites'!H1157,"-")</f>
        <v>0</v>
      </c>
      <c r="G1163" s="402">
        <f>IFERROR(E1163*'01 Prod Physique Boites'!L1157,"-")</f>
        <v>0</v>
      </c>
      <c r="H1163" s="708">
        <v>143.28</v>
      </c>
      <c r="I1163" s="419">
        <f>IFERROR(H1163*(F1163/E1163),"-")</f>
        <v>0</v>
      </c>
      <c r="J1163" s="420">
        <f t="shared" si="658"/>
        <v>0</v>
      </c>
    </row>
    <row r="1164" spans="1:15" ht="23.4" x14ac:dyDescent="0.3">
      <c r="A1164" s="274" t="s">
        <v>103</v>
      </c>
      <c r="B1164" s="1044"/>
      <c r="C1164" s="275" t="s">
        <v>430</v>
      </c>
      <c r="D1164" s="275" t="s">
        <v>384</v>
      </c>
      <c r="E1164" s="684">
        <v>77.170400000000001</v>
      </c>
      <c r="F1164" s="402">
        <f>IFERROR(E1164*'01 Prod Physique Boites'!H1158,"-")</f>
        <v>0</v>
      </c>
      <c r="G1164" s="402">
        <f>IFERROR(E1164*'01 Prod Physique Boites'!L1158,"-")</f>
        <v>617363.19999999995</v>
      </c>
      <c r="H1164" s="385">
        <v>0</v>
      </c>
      <c r="I1164" s="419">
        <f>IFERROR(H1164*(F1164/E1164),"-")</f>
        <v>0</v>
      </c>
      <c r="J1164" s="420">
        <f t="shared" si="658"/>
        <v>0</v>
      </c>
    </row>
    <row r="1165" spans="1:15" ht="24" thickBot="1" x14ac:dyDescent="0.35">
      <c r="A1165" s="274" t="s">
        <v>103</v>
      </c>
      <c r="B1165" s="1045"/>
      <c r="C1165" s="279" t="s">
        <v>262</v>
      </c>
      <c r="D1165" s="279" t="s">
        <v>231</v>
      </c>
      <c r="E1165" s="501">
        <v>60.703499999999998</v>
      </c>
      <c r="F1165" s="402">
        <f>IFERROR(E1165*'01 Prod Physique Boites'!H1159,"-")</f>
        <v>0</v>
      </c>
      <c r="G1165" s="402">
        <f>IFERROR(E1165*'01 Prod Physique Boites'!L1159,"-")</f>
        <v>0</v>
      </c>
      <c r="H1165" s="387">
        <v>111.09</v>
      </c>
      <c r="I1165" s="419">
        <f>IFERROR(H1165*(F1165/E1165),"-")</f>
        <v>0</v>
      </c>
      <c r="J1165" s="420">
        <f>IFERROR(H1165*(G1165/E1165),"-")</f>
        <v>0</v>
      </c>
    </row>
    <row r="1166" spans="1:15" ht="24" thickBot="1" x14ac:dyDescent="0.35">
      <c r="A1166" s="274" t="s">
        <v>103</v>
      </c>
      <c r="B1166" s="1025" t="s">
        <v>44</v>
      </c>
      <c r="C1166" s="1026"/>
      <c r="D1166" s="1027"/>
      <c r="E1166" s="390"/>
      <c r="F1166" s="406">
        <f t="shared" ref="F1166" si="659">SUM(F1162:F1165)</f>
        <v>442602.20799999998</v>
      </c>
      <c r="G1166" s="407">
        <f>SUM(G1162:G1165)</f>
        <v>1242213.3759999999</v>
      </c>
      <c r="H1166" s="391"/>
      <c r="I1166" s="406">
        <f t="shared" ref="I1166:J1166" si="660">SUM(I1162:I1165)</f>
        <v>779443.19999999995</v>
      </c>
      <c r="J1166" s="425">
        <f t="shared" si="660"/>
        <v>1100390.3999999999</v>
      </c>
      <c r="K1166" s="704"/>
      <c r="L1166" s="704"/>
      <c r="M1166" s="704"/>
      <c r="N1166" s="704"/>
      <c r="O1166" s="704"/>
    </row>
    <row r="1167" spans="1:15" ht="23.4" x14ac:dyDescent="0.3">
      <c r="A1167" s="274" t="s">
        <v>103</v>
      </c>
      <c r="B1167" s="1043" t="s">
        <v>17</v>
      </c>
      <c r="C1167" s="269" t="s">
        <v>294</v>
      </c>
      <c r="D1167" s="269"/>
      <c r="E1167" s="504">
        <v>12.5275</v>
      </c>
      <c r="F1167" s="402">
        <f>IFERROR(E1167*'01 Prod Physique Boites'!H1161,"-")</f>
        <v>0</v>
      </c>
      <c r="G1167" s="402">
        <f>IFERROR(E1167*'01 Prod Physique Boites'!L1161,"-")</f>
        <v>0</v>
      </c>
      <c r="H1167" s="681">
        <v>18.836400000000001</v>
      </c>
      <c r="I1167" s="419">
        <f t="shared" ref="I1167:I1173" si="661">IFERROR(H1167*(F1167/E1167),"-")</f>
        <v>0</v>
      </c>
      <c r="J1167" s="420">
        <f t="shared" ref="J1167:J1172" si="662">IFERROR(H1167*(G1167/E1167),"-")</f>
        <v>0</v>
      </c>
    </row>
    <row r="1168" spans="1:15" ht="23.4" x14ac:dyDescent="0.3">
      <c r="A1168" s="274" t="s">
        <v>103</v>
      </c>
      <c r="B1168" s="1044"/>
      <c r="C1168" s="275" t="s">
        <v>344</v>
      </c>
      <c r="D1168" s="275" t="s">
        <v>232</v>
      </c>
      <c r="E1168" s="677">
        <v>13.002700000000001</v>
      </c>
      <c r="F1168" s="402">
        <f>IFERROR(E1168*'01 Prod Physique Boites'!H1162,"-")</f>
        <v>0</v>
      </c>
      <c r="G1168" s="402">
        <f>IFERROR(E1168*'01 Prod Physique Boites'!L1162,"-")</f>
        <v>77756.146000000008</v>
      </c>
      <c r="H1168" s="385">
        <v>21.18</v>
      </c>
      <c r="I1168" s="421">
        <f t="shared" si="661"/>
        <v>0</v>
      </c>
      <c r="J1168" s="422">
        <f t="shared" si="662"/>
        <v>126656.4</v>
      </c>
    </row>
    <row r="1169" spans="1:15" ht="23.4" x14ac:dyDescent="0.3">
      <c r="A1169" s="274" t="s">
        <v>103</v>
      </c>
      <c r="B1169" s="1044"/>
      <c r="C1169" s="275" t="s">
        <v>351</v>
      </c>
      <c r="D1169" s="275" t="s">
        <v>187</v>
      </c>
      <c r="E1169" s="677">
        <v>12.9049</v>
      </c>
      <c r="F1169" s="402">
        <f>IFERROR(E1169*'01 Prod Physique Boites'!H1163,"-")</f>
        <v>1342625.7959999999</v>
      </c>
      <c r="G1169" s="402">
        <f>IFERROR(E1169*'01 Prod Physique Boites'!L1163,"-")</f>
        <v>11056918.32</v>
      </c>
      <c r="H1169" s="385">
        <v>20.5</v>
      </c>
      <c r="I1169" s="421">
        <f t="shared" si="661"/>
        <v>2132819.9999999995</v>
      </c>
      <c r="J1169" s="422">
        <f t="shared" si="662"/>
        <v>17564400</v>
      </c>
    </row>
    <row r="1170" spans="1:15" ht="23.4" x14ac:dyDescent="0.3">
      <c r="A1170" s="274" t="s">
        <v>103</v>
      </c>
      <c r="B1170" s="1044"/>
      <c r="C1170" s="275" t="s">
        <v>530</v>
      </c>
      <c r="D1170" s="275" t="s">
        <v>529</v>
      </c>
      <c r="E1170" s="505">
        <v>13.1958</v>
      </c>
      <c r="F1170" s="402">
        <f>IFERROR(E1170*'01 Prod Physique Boites'!H1164,"-")</f>
        <v>0</v>
      </c>
      <c r="G1170" s="402">
        <f>IFERROR(E1170*'01 Prod Physique Boites'!L1164,"-")</f>
        <v>545646.32999999996</v>
      </c>
      <c r="H1170" s="708">
        <v>21.28</v>
      </c>
      <c r="I1170" s="421">
        <f t="shared" si="661"/>
        <v>0</v>
      </c>
      <c r="J1170" s="422">
        <f t="shared" si="662"/>
        <v>879927.99999999988</v>
      </c>
    </row>
    <row r="1171" spans="1:15" ht="23.4" x14ac:dyDescent="0.3">
      <c r="A1171" s="274" t="s">
        <v>103</v>
      </c>
      <c r="B1171" s="1044"/>
      <c r="C1171" s="275" t="s">
        <v>323</v>
      </c>
      <c r="D1171" s="275" t="s">
        <v>318</v>
      </c>
      <c r="E1171" s="505">
        <v>13.1958</v>
      </c>
      <c r="F1171" s="402">
        <f>IFERROR(E1171*'01 Prod Physique Boites'!H1165,"-")</f>
        <v>0</v>
      </c>
      <c r="G1171" s="402">
        <f>IFERROR(E1171*'01 Prod Physique Boites'!L1165,"-")</f>
        <v>0</v>
      </c>
      <c r="H1171" s="385">
        <v>21.28</v>
      </c>
      <c r="I1171" s="421">
        <f t="shared" si="661"/>
        <v>0</v>
      </c>
      <c r="J1171" s="422">
        <f t="shared" si="662"/>
        <v>0</v>
      </c>
    </row>
    <row r="1172" spans="1:15" ht="23.4" x14ac:dyDescent="0.3">
      <c r="A1172" s="274">
        <v>1</v>
      </c>
      <c r="B1172" s="1044"/>
      <c r="C1172" s="275" t="s">
        <v>528</v>
      </c>
      <c r="D1172" s="275" t="s">
        <v>189</v>
      </c>
      <c r="E1172" s="677">
        <v>13.1958</v>
      </c>
      <c r="F1172" s="402">
        <f>IFERROR(E1172*'01 Prod Physique Boites'!H1166,"-")</f>
        <v>0</v>
      </c>
      <c r="G1172" s="402">
        <f>IFERROR(E1172*'01 Prod Physique Boites'!L1166,"-")</f>
        <v>445490.20799999998</v>
      </c>
      <c r="H1172" s="664">
        <v>21.28</v>
      </c>
      <c r="I1172" s="421">
        <f t="shared" si="661"/>
        <v>0</v>
      </c>
      <c r="J1172" s="422">
        <f t="shared" si="662"/>
        <v>718412.80000000005</v>
      </c>
    </row>
    <row r="1173" spans="1:15" ht="24" thickBot="1" x14ac:dyDescent="0.35">
      <c r="A1173" s="274" t="s">
        <v>103</v>
      </c>
      <c r="B1173" s="1045"/>
      <c r="C1173" s="279" t="s">
        <v>341</v>
      </c>
      <c r="D1173" s="279" t="s">
        <v>175</v>
      </c>
      <c r="E1173" s="501">
        <v>13.6509</v>
      </c>
      <c r="F1173" s="402">
        <f>IFERROR(E1173*'01 Prod Physique Boites'!H1167,"-")</f>
        <v>0</v>
      </c>
      <c r="G1173" s="402">
        <f>IFERROR(E1173*'01 Prod Physique Boites'!L1167,"-")</f>
        <v>0</v>
      </c>
      <c r="H1173" s="387">
        <v>21.18</v>
      </c>
      <c r="I1173" s="423">
        <f t="shared" si="661"/>
        <v>0</v>
      </c>
      <c r="J1173" s="424">
        <f>IFERROR(H1173*(G1173/E1173),"-")</f>
        <v>0</v>
      </c>
    </row>
    <row r="1174" spans="1:15" ht="24" thickBot="1" x14ac:dyDescent="0.35">
      <c r="A1174" s="274" t="s">
        <v>103</v>
      </c>
      <c r="B1174" s="1025" t="s">
        <v>45</v>
      </c>
      <c r="C1174" s="1026"/>
      <c r="D1174" s="1027"/>
      <c r="E1174" s="390"/>
      <c r="F1174" s="406">
        <f t="shared" ref="F1174" si="663">SUM(F1167:F1173)</f>
        <v>1342625.7959999999</v>
      </c>
      <c r="G1174" s="407">
        <f>SUM(G1167:G1173)</f>
        <v>12125811.004000001</v>
      </c>
      <c r="H1174" s="391"/>
      <c r="I1174" s="406">
        <f t="shared" ref="I1174" si="664">SUM(I1167:I1173)</f>
        <v>2132819.9999999995</v>
      </c>
      <c r="J1174" s="425">
        <f>SUM(J1167:J1173)</f>
        <v>19289397.199999999</v>
      </c>
      <c r="K1174" s="704"/>
      <c r="L1174" s="704"/>
      <c r="M1174" s="704"/>
      <c r="N1174" s="704"/>
      <c r="O1174" s="704"/>
    </row>
    <row r="1175" spans="1:15" ht="23.4" x14ac:dyDescent="0.3">
      <c r="A1175" s="274" t="s">
        <v>103</v>
      </c>
      <c r="B1175" s="1043" t="s">
        <v>18</v>
      </c>
      <c r="C1175" s="269" t="s">
        <v>312</v>
      </c>
      <c r="D1175" s="269" t="s">
        <v>92</v>
      </c>
      <c r="E1175" s="504">
        <v>17.8202</v>
      </c>
      <c r="F1175" s="402">
        <f>IFERROR(E1175*'01 Prod Physique Boites'!H1169,"-")</f>
        <v>0</v>
      </c>
      <c r="G1175" s="403">
        <f>IFERROR(E1175*'01 Prod Physique Boites'!L1169,"-")</f>
        <v>0</v>
      </c>
      <c r="H1175" s="381">
        <v>24.93</v>
      </c>
      <c r="I1175" s="419">
        <f t="shared" ref="I1175:I1181" si="665">IFERROR(H1175*(F1175/E1175),"-")</f>
        <v>0</v>
      </c>
      <c r="J1175" s="420">
        <f t="shared" ref="J1175:J1177" si="666">IFERROR(H1175*(G1175/E1175),"-")</f>
        <v>0</v>
      </c>
    </row>
    <row r="1176" spans="1:15" ht="23.4" x14ac:dyDescent="0.3">
      <c r="A1176" s="274" t="s">
        <v>103</v>
      </c>
      <c r="B1176" s="1044"/>
      <c r="C1176" s="275" t="s">
        <v>130</v>
      </c>
      <c r="D1176" s="275"/>
      <c r="E1176" s="505">
        <v>17.8202</v>
      </c>
      <c r="F1176" s="402">
        <f>IFERROR(E1176*'01 Prod Physique Boites'!H1170,"-")</f>
        <v>0</v>
      </c>
      <c r="G1176" s="403">
        <f>IFERROR(E1176*'01 Prod Physique Boites'!L1170,"-")</f>
        <v>0</v>
      </c>
      <c r="H1176" s="385">
        <v>0</v>
      </c>
      <c r="I1176" s="421">
        <f t="shared" si="665"/>
        <v>0</v>
      </c>
      <c r="J1176" s="422">
        <f t="shared" si="666"/>
        <v>0</v>
      </c>
    </row>
    <row r="1177" spans="1:15" ht="23.4" x14ac:dyDescent="0.3">
      <c r="A1177" s="274" t="s">
        <v>103</v>
      </c>
      <c r="B1177" s="1044"/>
      <c r="C1177" s="275" t="s">
        <v>115</v>
      </c>
      <c r="D1177" s="275"/>
      <c r="E1177" s="505">
        <v>16.4071</v>
      </c>
      <c r="F1177" s="402">
        <f>IFERROR(E1177*'01 Prod Physique Boites'!H1171,"-")</f>
        <v>0</v>
      </c>
      <c r="G1177" s="403">
        <f>IFERROR(E1177*'01 Prod Physique Boites'!L1171,"-")</f>
        <v>0</v>
      </c>
      <c r="H1177" s="385">
        <v>0</v>
      </c>
      <c r="I1177" s="421">
        <f t="shared" si="665"/>
        <v>0</v>
      </c>
      <c r="J1177" s="422">
        <f t="shared" si="666"/>
        <v>0</v>
      </c>
    </row>
    <row r="1178" spans="1:15" ht="23.4" x14ac:dyDescent="0.3">
      <c r="A1178" s="274" t="s">
        <v>103</v>
      </c>
      <c r="B1178" s="1044"/>
      <c r="C1178" s="275" t="s">
        <v>122</v>
      </c>
      <c r="D1178" s="275"/>
      <c r="E1178" s="505">
        <v>17.8202</v>
      </c>
      <c r="F1178" s="402">
        <f>IFERROR(E1178*'01 Prod Physique Boites'!H1172,"-")</f>
        <v>0</v>
      </c>
      <c r="G1178" s="403">
        <f>IFERROR(E1178*'01 Prod Physique Boites'!L1172,"-")</f>
        <v>0</v>
      </c>
      <c r="H1178" s="385">
        <v>0</v>
      </c>
      <c r="I1178" s="421">
        <f t="shared" si="665"/>
        <v>0</v>
      </c>
      <c r="J1178" s="422">
        <f>IFERROR(H1178*(G1178/E1178),"-")</f>
        <v>0</v>
      </c>
    </row>
    <row r="1179" spans="1:15" ht="23.4" x14ac:dyDescent="0.3">
      <c r="A1179" s="274" t="s">
        <v>103</v>
      </c>
      <c r="B1179" s="1044"/>
      <c r="C1179" s="275" t="s">
        <v>176</v>
      </c>
      <c r="D1179" s="275" t="s">
        <v>177</v>
      </c>
      <c r="E1179" s="505">
        <v>17.8202</v>
      </c>
      <c r="F1179" s="402">
        <f>IFERROR(E1179*'01 Prod Physique Boites'!H1173,"-")</f>
        <v>0</v>
      </c>
      <c r="G1179" s="403">
        <f>IFERROR(E1179*'01 Prod Physique Boites'!L1173,"-")</f>
        <v>0</v>
      </c>
      <c r="H1179" s="385">
        <v>0</v>
      </c>
      <c r="I1179" s="421">
        <f t="shared" si="665"/>
        <v>0</v>
      </c>
      <c r="J1179" s="422">
        <f t="shared" ref="J1179:J1181" si="667">IFERROR(H1179*(G1179/E1179),"-")</f>
        <v>0</v>
      </c>
    </row>
    <row r="1180" spans="1:15" ht="23.4" x14ac:dyDescent="0.3">
      <c r="A1180" s="274" t="s">
        <v>103</v>
      </c>
      <c r="B1180" s="1044"/>
      <c r="C1180" s="275" t="s">
        <v>179</v>
      </c>
      <c r="D1180" s="275" t="s">
        <v>178</v>
      </c>
      <c r="E1180" s="505">
        <v>16.7288</v>
      </c>
      <c r="F1180" s="402">
        <f>IFERROR(E1180*'01 Prod Physique Boites'!H1174,"-")</f>
        <v>0</v>
      </c>
      <c r="G1180" s="403">
        <f>IFERROR(E1180*'01 Prod Physique Boites'!L1174,"-")</f>
        <v>0</v>
      </c>
      <c r="H1180" s="385">
        <v>0</v>
      </c>
      <c r="I1180" s="421">
        <f t="shared" si="665"/>
        <v>0</v>
      </c>
      <c r="J1180" s="422">
        <f t="shared" si="667"/>
        <v>0</v>
      </c>
    </row>
    <row r="1181" spans="1:15" ht="24" thickBot="1" x14ac:dyDescent="0.35">
      <c r="A1181" s="274" t="s">
        <v>103</v>
      </c>
      <c r="B1181" s="1045"/>
      <c r="C1181" s="286" t="s">
        <v>180</v>
      </c>
      <c r="D1181" s="286" t="s">
        <v>107</v>
      </c>
      <c r="E1181" s="501">
        <v>17.8202</v>
      </c>
      <c r="F1181" s="402">
        <f>IFERROR(E1181*'01 Prod Physique Boites'!H1175,"-")</f>
        <v>0</v>
      </c>
      <c r="G1181" s="403">
        <f>IFERROR(E1181*'01 Prod Physique Boites'!L1175,"-")</f>
        <v>0</v>
      </c>
      <c r="H1181" s="385">
        <v>0</v>
      </c>
      <c r="I1181" s="423">
        <f t="shared" si="665"/>
        <v>0</v>
      </c>
      <c r="J1181" s="424">
        <f t="shared" si="667"/>
        <v>0</v>
      </c>
    </row>
    <row r="1182" spans="1:15" ht="24" thickBot="1" x14ac:dyDescent="0.35">
      <c r="A1182" s="274" t="s">
        <v>103</v>
      </c>
      <c r="B1182" s="1025" t="s">
        <v>29</v>
      </c>
      <c r="C1182" s="1083"/>
      <c r="D1182" s="1084"/>
      <c r="E1182" s="841"/>
      <c r="F1182" s="649">
        <f t="shared" ref="F1182:G1182" si="668">SUM(F1175:F1181)</f>
        <v>0</v>
      </c>
      <c r="G1182" s="407">
        <f t="shared" si="668"/>
        <v>0</v>
      </c>
      <c r="H1182" s="391"/>
      <c r="I1182" s="406">
        <f t="shared" ref="I1182:J1182" si="669">SUM(I1175:I1181)</f>
        <v>0</v>
      </c>
      <c r="J1182" s="425">
        <f t="shared" si="669"/>
        <v>0</v>
      </c>
    </row>
    <row r="1183" spans="1:15" ht="24" thickBot="1" x14ac:dyDescent="0.35">
      <c r="A1183" s="274"/>
      <c r="B1183" s="1037" t="s">
        <v>19</v>
      </c>
      <c r="C1183" s="669" t="s">
        <v>235</v>
      </c>
      <c r="D1183" s="669" t="s">
        <v>177</v>
      </c>
      <c r="E1183" s="914">
        <v>12.2659</v>
      </c>
      <c r="F1183" s="843">
        <f>IFERROR(E1183*'01 Prod Physique Boites'!H1177,"-")</f>
        <v>0</v>
      </c>
      <c r="G1183" s="659">
        <f>IFERROR(E1183*'01 Prod Physique Boites'!L1177,"-")</f>
        <v>0</v>
      </c>
      <c r="H1183" s="653">
        <v>14.79</v>
      </c>
      <c r="I1183" s="638">
        <f t="shared" ref="I1183:I1189" si="670">IFERROR(H1183*(F1183/E1183),"-")</f>
        <v>0</v>
      </c>
      <c r="J1183" s="638">
        <f>IFERROR(H1183*(G1183/E1183),"-")</f>
        <v>0</v>
      </c>
    </row>
    <row r="1184" spans="1:15" ht="24" thickBot="1" x14ac:dyDescent="0.35">
      <c r="A1184" s="274"/>
      <c r="B1184" s="1038"/>
      <c r="C1184" s="840" t="s">
        <v>359</v>
      </c>
      <c r="D1184" s="840" t="s">
        <v>423</v>
      </c>
      <c r="E1184" s="911">
        <v>12.2659</v>
      </c>
      <c r="F1184" s="843">
        <f>IFERROR(E1184*'01 Prod Physique Boites'!H1178,"-")</f>
        <v>0</v>
      </c>
      <c r="G1184" s="659">
        <f>IFERROR(E1184*'01 Prod Physique Boites'!L1178,"-")</f>
        <v>7046317.9775999999</v>
      </c>
      <c r="H1184" s="654">
        <v>14.55</v>
      </c>
      <c r="I1184" s="643">
        <f t="shared" si="670"/>
        <v>0</v>
      </c>
      <c r="J1184" s="643">
        <f>IFERROR(H1184*(G1184/E1184),"-")</f>
        <v>8358451.2000000002</v>
      </c>
    </row>
    <row r="1185" spans="1:10" ht="24" thickBot="1" x14ac:dyDescent="0.35">
      <c r="A1185" s="274"/>
      <c r="B1185" s="1038"/>
      <c r="C1185" s="840" t="s">
        <v>235</v>
      </c>
      <c r="D1185" s="840" t="s">
        <v>522</v>
      </c>
      <c r="E1185" s="911">
        <v>12.2659</v>
      </c>
      <c r="F1185" s="843">
        <f>IFERROR(E1185*'01 Prod Physique Boites'!H1179,"-")</f>
        <v>477683.2096</v>
      </c>
      <c r="G1185" s="659">
        <f>IFERROR(E1185*'01 Prod Physique Boites'!L1179,"-")</f>
        <v>2621370.0208000001</v>
      </c>
      <c r="H1185" s="860">
        <v>0</v>
      </c>
      <c r="I1185" s="643">
        <f t="shared" si="670"/>
        <v>0</v>
      </c>
      <c r="J1185" s="643">
        <f t="shared" ref="J1185:J1188" si="671">IFERROR(H1185*(G1185/E1185),"-")</f>
        <v>0</v>
      </c>
    </row>
    <row r="1186" spans="1:10" ht="24" thickBot="1" x14ac:dyDescent="0.35">
      <c r="A1186" s="274"/>
      <c r="B1186" s="1038"/>
      <c r="C1186" s="840" t="s">
        <v>377</v>
      </c>
      <c r="D1186" s="840" t="s">
        <v>522</v>
      </c>
      <c r="E1186" s="911">
        <v>12.2659</v>
      </c>
      <c r="F1186" s="843">
        <f>IFERROR(E1186*'01 Prod Physique Boites'!H1180,"-")</f>
        <v>103622.3232</v>
      </c>
      <c r="G1186" s="659">
        <f>IFERROR(E1186*'01 Prod Physique Boites'!L1180,"-")</f>
        <v>3523158.9887999999</v>
      </c>
      <c r="H1186" s="860">
        <v>0</v>
      </c>
      <c r="I1186" s="643">
        <f t="shared" si="670"/>
        <v>0</v>
      </c>
      <c r="J1186" s="643">
        <f t="shared" si="671"/>
        <v>0</v>
      </c>
    </row>
    <row r="1187" spans="1:10" ht="24" thickBot="1" x14ac:dyDescent="0.35">
      <c r="A1187" s="274"/>
      <c r="B1187" s="1038"/>
      <c r="C1187" s="840" t="s">
        <v>536</v>
      </c>
      <c r="D1187" s="840" t="s">
        <v>522</v>
      </c>
      <c r="E1187" s="911">
        <v>12.2659</v>
      </c>
      <c r="F1187" s="843">
        <f>IFERROR(E1187*'01 Prod Physique Boites'!H1181,"-")</f>
        <v>828978.58559999999</v>
      </c>
      <c r="G1187" s="659">
        <f>IFERROR(E1187*'01 Prod Physique Boites'!L1181,"-")</f>
        <v>1761579.4944</v>
      </c>
      <c r="H1187" s="860">
        <v>0</v>
      </c>
      <c r="I1187" s="643">
        <f t="shared" si="670"/>
        <v>0</v>
      </c>
      <c r="J1187" s="643">
        <f t="shared" si="671"/>
        <v>0</v>
      </c>
    </row>
    <row r="1188" spans="1:10" ht="24" thickBot="1" x14ac:dyDescent="0.35">
      <c r="A1188" s="274"/>
      <c r="B1188" s="1038"/>
      <c r="C1188" s="840"/>
      <c r="D1188" s="840"/>
      <c r="E1188" s="911">
        <v>12.2659</v>
      </c>
      <c r="F1188" s="843">
        <f>IFERROR(E1188*'01 Prod Physique Boites'!H1182,"-")</f>
        <v>0</v>
      </c>
      <c r="G1188" s="659">
        <f>IFERROR(E1188*'01 Prod Physique Boites'!L1182,"-")</f>
        <v>0</v>
      </c>
      <c r="H1188" s="910">
        <v>14.55</v>
      </c>
      <c r="I1188" s="643">
        <f t="shared" si="670"/>
        <v>0</v>
      </c>
      <c r="J1188" s="643">
        <f t="shared" si="671"/>
        <v>0</v>
      </c>
    </row>
    <row r="1189" spans="1:10" ht="24" thickBot="1" x14ac:dyDescent="0.35">
      <c r="A1189" s="909" t="s">
        <v>103</v>
      </c>
      <c r="B1189" s="1039"/>
      <c r="C1189" s="670" t="s">
        <v>342</v>
      </c>
      <c r="D1189" s="670"/>
      <c r="E1189" s="676">
        <v>0</v>
      </c>
      <c r="F1189" s="843">
        <f>IFERROR(E1189*'01 Prod Physique Boites'!H1183,"-")</f>
        <v>0</v>
      </c>
      <c r="G1189" s="659">
        <f>IFERROR(E1189*'01 Prod Physique Boites'!L1183,"-")</f>
        <v>0</v>
      </c>
      <c r="H1189" s="655">
        <v>0</v>
      </c>
      <c r="I1189" s="643" t="str">
        <f t="shared" si="670"/>
        <v>-</v>
      </c>
      <c r="J1189" s="427" t="str">
        <f t="shared" ref="J1189" si="672">IFERROR(I1189*(G1189/F1189),"-")</f>
        <v>-</v>
      </c>
    </row>
    <row r="1190" spans="1:10" ht="24" thickBot="1" x14ac:dyDescent="0.35">
      <c r="A1190" s="274" t="s">
        <v>103</v>
      </c>
      <c r="B1190" s="1025" t="s">
        <v>46</v>
      </c>
      <c r="C1190" s="1041"/>
      <c r="D1190" s="1042"/>
      <c r="E1190" s="842"/>
      <c r="F1190" s="406">
        <f>SUM(F1183:F1189)</f>
        <v>1410284.1184</v>
      </c>
      <c r="G1190" s="406">
        <f>SUM(G1183:G1189)</f>
        <v>14952426.4816</v>
      </c>
      <c r="H1190" s="391"/>
      <c r="I1190" s="406">
        <f>SUM(I1183:I1189)</f>
        <v>0</v>
      </c>
      <c r="J1190" s="425">
        <f>SUM(J1183:J1189)</f>
        <v>8358451.2000000002</v>
      </c>
    </row>
    <row r="1191" spans="1:10" ht="23.4" x14ac:dyDescent="0.3">
      <c r="A1191" s="274" t="s">
        <v>103</v>
      </c>
      <c r="B1191" s="1043" t="s">
        <v>20</v>
      </c>
      <c r="C1191" s="291" t="s">
        <v>317</v>
      </c>
      <c r="D1191" s="291" t="s">
        <v>289</v>
      </c>
      <c r="E1191" s="504">
        <v>26.032900000000001</v>
      </c>
      <c r="F1191" s="402">
        <f>IFERROR(E1191*'01 Prod Physique Boites'!H1185,"-")</f>
        <v>0</v>
      </c>
      <c r="G1191" s="403">
        <f>IFERROR(E1191*'01 Prod Physique Boites'!L1185,"-")</f>
        <v>0</v>
      </c>
      <c r="H1191" s="381">
        <v>36.44</v>
      </c>
      <c r="I1191" s="419">
        <f>IFERROR(H1191*(F1191/E1191),"-")</f>
        <v>0</v>
      </c>
      <c r="J1191" s="420">
        <f t="shared" ref="J1191:J1193" si="673">IFERROR(H1191*(G1191/E1191),"-")</f>
        <v>0</v>
      </c>
    </row>
    <row r="1192" spans="1:10" ht="23.4" x14ac:dyDescent="0.3">
      <c r="A1192" s="274" t="s">
        <v>103</v>
      </c>
      <c r="B1192" s="1044"/>
      <c r="C1192" s="292" t="s">
        <v>114</v>
      </c>
      <c r="D1192" s="292"/>
      <c r="E1192" s="384">
        <v>24.2607</v>
      </c>
      <c r="F1192" s="402">
        <f>IFERROR(E1192*'01 Prod Physique Boites'!H1186,"-")</f>
        <v>0</v>
      </c>
      <c r="G1192" s="403">
        <f>IFERROR(E1192*'01 Prod Physique Boites'!L1186,"-")</f>
        <v>0</v>
      </c>
      <c r="H1192" s="385">
        <v>37.369999999999997</v>
      </c>
      <c r="I1192" s="421">
        <f>IFERROR(H1192*(F1192/E1192),"-")</f>
        <v>0</v>
      </c>
      <c r="J1192" s="422">
        <f t="shared" si="673"/>
        <v>0</v>
      </c>
    </row>
    <row r="1193" spans="1:10" ht="24" thickBot="1" x14ac:dyDescent="0.35">
      <c r="A1193" s="274" t="s">
        <v>103</v>
      </c>
      <c r="B1193" s="1045"/>
      <c r="C1193" s="293" t="s">
        <v>120</v>
      </c>
      <c r="D1193" s="293"/>
      <c r="E1193" s="386">
        <v>26.035799999999998</v>
      </c>
      <c r="F1193" s="402">
        <f>IFERROR(E1193*'01 Prod Physique Boites'!H1187,"-")</f>
        <v>0</v>
      </c>
      <c r="G1193" s="403">
        <f>IFERROR(E1193*'01 Prod Physique Boites'!L1187,"-")</f>
        <v>0</v>
      </c>
      <c r="H1193" s="387">
        <v>37.11</v>
      </c>
      <c r="I1193" s="423">
        <f>IFERROR(H1193*(F1193/E1193),"-")</f>
        <v>0</v>
      </c>
      <c r="J1193" s="424">
        <f t="shared" si="673"/>
        <v>0</v>
      </c>
    </row>
    <row r="1194" spans="1:10" ht="24" thickBot="1" x14ac:dyDescent="0.35">
      <c r="A1194" s="274" t="s">
        <v>103</v>
      </c>
      <c r="B1194" s="1026" t="s">
        <v>47</v>
      </c>
      <c r="C1194" s="1026"/>
      <c r="D1194" s="1046"/>
      <c r="E1194" s="390"/>
      <c r="F1194" s="406">
        <f t="shared" ref="F1194:G1194" si="674">SUM(F1191:F1193)</f>
        <v>0</v>
      </c>
      <c r="G1194" s="407">
        <f t="shared" si="674"/>
        <v>0</v>
      </c>
      <c r="H1194" s="391"/>
      <c r="I1194" s="406">
        <f t="shared" ref="I1194:J1194" si="675">SUM(I1191:I1193)</f>
        <v>0</v>
      </c>
      <c r="J1194" s="425">
        <f t="shared" si="675"/>
        <v>0</v>
      </c>
    </row>
    <row r="1195" spans="1:10" ht="24" thickBot="1" x14ac:dyDescent="0.35">
      <c r="A1195" s="274" t="s">
        <v>103</v>
      </c>
      <c r="B1195" s="1047" t="s">
        <v>21</v>
      </c>
      <c r="C1195" s="1048"/>
      <c r="D1195" s="1049"/>
      <c r="E1195" s="393"/>
      <c r="F1195" s="410">
        <f>+F1166+F1174+F1182+F1190+F1194</f>
        <v>3195512.1223999998</v>
      </c>
      <c r="G1195" s="411">
        <f>+G1166+G1174+G1182+G1190+G1194</f>
        <v>28320450.8616</v>
      </c>
      <c r="H1195" s="394"/>
      <c r="I1195" s="410">
        <f>+I1166+I1174+I1182+I1190+I1194</f>
        <v>2912263.1999999993</v>
      </c>
      <c r="J1195" s="428">
        <f>+J1166+J1174+J1182+J1190+J1194</f>
        <v>28748238.799999997</v>
      </c>
    </row>
    <row r="1196" spans="1:10" ht="23.4" x14ac:dyDescent="0.3">
      <c r="A1196" s="274" t="s">
        <v>103</v>
      </c>
      <c r="B1196" s="1043" t="s">
        <v>400</v>
      </c>
      <c r="C1196" s="269" t="s">
        <v>125</v>
      </c>
      <c r="D1196" s="269"/>
      <c r="E1196" s="380">
        <v>22.820599999999999</v>
      </c>
      <c r="F1196" s="402">
        <f>IFERROR(E1196*'01 Prod Physique Boites'!H1190,"-")</f>
        <v>0</v>
      </c>
      <c r="G1196" s="403">
        <f>IFERROR(E1196*'01 Prod Physique Boites'!L1190,"-")</f>
        <v>0</v>
      </c>
      <c r="H1196" s="381">
        <v>27.5</v>
      </c>
      <c r="I1196" s="419">
        <f>IFERROR(H1196*(F1196/E1196),"-")</f>
        <v>0</v>
      </c>
      <c r="J1196" s="420">
        <f t="shared" ref="J1196:J1199" si="676">IFERROR(H1196*(G1196/E1196),"-")</f>
        <v>0</v>
      </c>
    </row>
    <row r="1197" spans="1:10" ht="23.4" x14ac:dyDescent="0.3">
      <c r="A1197" s="274" t="s">
        <v>103</v>
      </c>
      <c r="B1197" s="1044"/>
      <c r="C1197" s="295" t="s">
        <v>263</v>
      </c>
      <c r="D1197" s="295" t="s">
        <v>181</v>
      </c>
      <c r="E1197" s="384">
        <v>23.570699999999999</v>
      </c>
      <c r="F1197" s="402">
        <f>IFERROR(E1197*'01 Prod Physique Boites'!H1191,"-")</f>
        <v>0</v>
      </c>
      <c r="G1197" s="403">
        <f>IFERROR(E1197*'01 Prod Physique Boites'!L1191,"-")</f>
        <v>0</v>
      </c>
      <c r="H1197" s="385">
        <v>27.5</v>
      </c>
      <c r="I1197" s="421">
        <f>IFERROR(H1197*(F1197/E1197),"-")</f>
        <v>0</v>
      </c>
      <c r="J1197" s="422">
        <f t="shared" si="676"/>
        <v>0</v>
      </c>
    </row>
    <row r="1198" spans="1:10" ht="23.4" x14ac:dyDescent="0.3">
      <c r="A1198" s="274" t="s">
        <v>103</v>
      </c>
      <c r="B1198" s="1044"/>
      <c r="C1198" s="295" t="s">
        <v>362</v>
      </c>
      <c r="D1198" s="295" t="s">
        <v>181</v>
      </c>
      <c r="E1198" s="384">
        <v>22.820599999999999</v>
      </c>
      <c r="F1198" s="402">
        <f>IFERROR(E1198*'01 Prod Physique Boites'!H1192,"-")</f>
        <v>0</v>
      </c>
      <c r="G1198" s="403">
        <f>IFERROR(E1198*'01 Prod Physique Boites'!L1192,"-")</f>
        <v>0</v>
      </c>
      <c r="H1198" s="385">
        <v>27.5</v>
      </c>
      <c r="I1198" s="421">
        <f>IFERROR(H1198*(F1198/E1198),"-")</f>
        <v>0</v>
      </c>
      <c r="J1198" s="422">
        <f t="shared" si="676"/>
        <v>0</v>
      </c>
    </row>
    <row r="1199" spans="1:10" ht="24" thickBot="1" x14ac:dyDescent="0.35">
      <c r="A1199" s="274" t="s">
        <v>103</v>
      </c>
      <c r="B1199" s="1045"/>
      <c r="C1199" s="279" t="s">
        <v>182</v>
      </c>
      <c r="D1199" s="279" t="s">
        <v>93</v>
      </c>
      <c r="E1199" s="386">
        <v>22.238499999999998</v>
      </c>
      <c r="F1199" s="402">
        <f>IFERROR(E1199*'01 Prod Physique Boites'!H1193,"-")</f>
        <v>1012741.2899999999</v>
      </c>
      <c r="G1199" s="403">
        <f>IFERROR(E1199*'01 Prod Physique Boites'!L1193,"-")</f>
        <v>1893385.89</v>
      </c>
      <c r="H1199" s="387">
        <v>27</v>
      </c>
      <c r="I1199" s="423">
        <f>IFERROR(H1199*(F1199/E1199),"-")</f>
        <v>1229580</v>
      </c>
      <c r="J1199" s="424">
        <f t="shared" si="676"/>
        <v>2298780</v>
      </c>
    </row>
    <row r="1200" spans="1:10" ht="24" thickBot="1" x14ac:dyDescent="0.35">
      <c r="A1200" s="274" t="s">
        <v>103</v>
      </c>
      <c r="B1200" s="1025" t="s">
        <v>48</v>
      </c>
      <c r="C1200" s="1026"/>
      <c r="D1200" s="1027"/>
      <c r="E1200" s="390"/>
      <c r="F1200" s="406">
        <f t="shared" ref="F1200:G1200" si="677">SUM(F1196:F1199)</f>
        <v>1012741.2899999999</v>
      </c>
      <c r="G1200" s="407">
        <f t="shared" si="677"/>
        <v>1893385.89</v>
      </c>
      <c r="H1200" s="391"/>
      <c r="I1200" s="406">
        <f t="shared" ref="I1200:J1200" si="678">SUM(I1196:I1199)</f>
        <v>1229580</v>
      </c>
      <c r="J1200" s="425">
        <f t="shared" si="678"/>
        <v>2298780</v>
      </c>
    </row>
    <row r="1201" spans="1:10" ht="23.4" x14ac:dyDescent="0.3">
      <c r="A1201" s="274" t="s">
        <v>103</v>
      </c>
      <c r="B1201" s="1043" t="s">
        <v>23</v>
      </c>
      <c r="C1201" s="275" t="s">
        <v>500</v>
      </c>
      <c r="D1201" s="296" t="s">
        <v>238</v>
      </c>
      <c r="E1201" s="380">
        <v>101.4935</v>
      </c>
      <c r="F1201" s="402">
        <f>IFERROR(E1201*'01 Prod Physique Boites'!H1195,"-")</f>
        <v>0</v>
      </c>
      <c r="G1201" s="403">
        <f>IFERROR(E1201*'01 Prod Physique Boites'!L1195,"-")</f>
        <v>0</v>
      </c>
      <c r="H1201" s="385">
        <v>160.44999999999999</v>
      </c>
      <c r="I1201" s="419">
        <f t="shared" ref="I1201:I1209" si="679">IFERROR(H1201*(F1201/E1201),"-")</f>
        <v>0</v>
      </c>
      <c r="J1201" s="420">
        <f t="shared" ref="J1201:J1209" si="680">IFERROR(H1201*(G1201/E1201),"-")</f>
        <v>0</v>
      </c>
    </row>
    <row r="1202" spans="1:10" ht="23.4" x14ac:dyDescent="0.3">
      <c r="A1202" s="274" t="s">
        <v>103</v>
      </c>
      <c r="B1202" s="1044"/>
      <c r="C1202" s="275" t="s">
        <v>24</v>
      </c>
      <c r="D1202" s="275" t="s">
        <v>238</v>
      </c>
      <c r="E1202" s="384">
        <v>101.4935</v>
      </c>
      <c r="F1202" s="402">
        <f>IFERROR(E1202*'01 Prod Physique Boites'!H1196,"-")</f>
        <v>0</v>
      </c>
      <c r="G1202" s="403">
        <f>IFERROR(E1202*'01 Prod Physique Boites'!L1196,"-")</f>
        <v>0</v>
      </c>
      <c r="H1202" s="385">
        <v>160.44999999999999</v>
      </c>
      <c r="I1202" s="421">
        <f t="shared" si="679"/>
        <v>0</v>
      </c>
      <c r="J1202" s="422">
        <f t="shared" si="680"/>
        <v>0</v>
      </c>
    </row>
    <row r="1203" spans="1:10" ht="23.4" x14ac:dyDescent="0.3">
      <c r="A1203" s="274" t="s">
        <v>103</v>
      </c>
      <c r="B1203" s="1044"/>
      <c r="C1203" s="275" t="s">
        <v>236</v>
      </c>
      <c r="D1203" s="275" t="s">
        <v>238</v>
      </c>
      <c r="E1203" s="384">
        <v>101.4935</v>
      </c>
      <c r="F1203" s="402">
        <f>IFERROR(E1203*'01 Prod Physique Boites'!H1197,"-")</f>
        <v>0</v>
      </c>
      <c r="G1203" s="403">
        <f>IFERROR(E1203*'01 Prod Physique Boites'!L1197,"-")</f>
        <v>0</v>
      </c>
      <c r="H1203" s="385">
        <v>160.44999999999999</v>
      </c>
      <c r="I1203" s="421">
        <f t="shared" si="679"/>
        <v>0</v>
      </c>
      <c r="J1203" s="422">
        <f t="shared" si="680"/>
        <v>0</v>
      </c>
    </row>
    <row r="1204" spans="1:10" ht="23.4" x14ac:dyDescent="0.3">
      <c r="A1204" s="274" t="s">
        <v>103</v>
      </c>
      <c r="B1204" s="1044"/>
      <c r="C1204" s="275" t="s">
        <v>239</v>
      </c>
      <c r="D1204" s="275" t="s">
        <v>238</v>
      </c>
      <c r="E1204" s="384">
        <v>101.4935</v>
      </c>
      <c r="F1204" s="402">
        <f>IFERROR(E1204*'01 Prod Physique Boites'!H1198,"-")</f>
        <v>0</v>
      </c>
      <c r="G1204" s="403">
        <f>IFERROR(E1204*'01 Prod Physique Boites'!L1198,"-")</f>
        <v>0</v>
      </c>
      <c r="H1204" s="385">
        <v>160.44999999999999</v>
      </c>
      <c r="I1204" s="421">
        <f t="shared" si="679"/>
        <v>0</v>
      </c>
      <c r="J1204" s="422">
        <f t="shared" si="680"/>
        <v>0</v>
      </c>
    </row>
    <row r="1205" spans="1:10" ht="23.4" x14ac:dyDescent="0.3">
      <c r="A1205" s="274" t="s">
        <v>103</v>
      </c>
      <c r="B1205" s="1044"/>
      <c r="C1205" s="295" t="s">
        <v>394</v>
      </c>
      <c r="D1205" s="275" t="s">
        <v>238</v>
      </c>
      <c r="E1205" s="384">
        <v>101.4935</v>
      </c>
      <c r="F1205" s="402">
        <f>IFERROR(E1205*'01 Prod Physique Boites'!H1199,"-")</f>
        <v>0</v>
      </c>
      <c r="G1205" s="403">
        <f>IFERROR(E1205*'01 Prod Physique Boites'!L1199,"-")</f>
        <v>0</v>
      </c>
      <c r="H1205" s="385">
        <v>160.44999999999999</v>
      </c>
      <c r="I1205" s="421">
        <f t="shared" si="679"/>
        <v>0</v>
      </c>
      <c r="J1205" s="422">
        <f t="shared" si="680"/>
        <v>0</v>
      </c>
    </row>
    <row r="1206" spans="1:10" ht="23.4" x14ac:dyDescent="0.3">
      <c r="A1206" s="274" t="s">
        <v>103</v>
      </c>
      <c r="B1206" s="1044"/>
      <c r="C1206" s="295" t="s">
        <v>422</v>
      </c>
      <c r="D1206" s="275" t="s">
        <v>238</v>
      </c>
      <c r="E1206" s="384">
        <v>101.4935</v>
      </c>
      <c r="F1206" s="402">
        <f>IFERROR(E1206*'01 Prod Physique Boites'!H1200,"-")</f>
        <v>0</v>
      </c>
      <c r="G1206" s="403">
        <f>IFERROR(E1206*'01 Prod Physique Boites'!L1200,"-")</f>
        <v>0</v>
      </c>
      <c r="H1206" s="385">
        <v>160.44999999999999</v>
      </c>
      <c r="I1206" s="421">
        <f t="shared" si="679"/>
        <v>0</v>
      </c>
      <c r="J1206" s="422">
        <f t="shared" si="680"/>
        <v>0</v>
      </c>
    </row>
    <row r="1207" spans="1:10" ht="23.4" x14ac:dyDescent="0.3">
      <c r="A1207" s="274" t="s">
        <v>103</v>
      </c>
      <c r="B1207" s="1044"/>
      <c r="C1207" s="295" t="s">
        <v>241</v>
      </c>
      <c r="D1207" s="275" t="s">
        <v>547</v>
      </c>
      <c r="E1207" s="384">
        <v>101.4935</v>
      </c>
      <c r="F1207" s="402">
        <f>IFERROR(E1207*'01 Prod Physique Boites'!H1201,"-")</f>
        <v>0</v>
      </c>
      <c r="G1207" s="403">
        <f>IFERROR(E1207*'01 Prod Physique Boites'!L1201,"-")</f>
        <v>0</v>
      </c>
      <c r="H1207" s="385">
        <v>160.44999999999999</v>
      </c>
      <c r="I1207" s="421">
        <f t="shared" si="679"/>
        <v>0</v>
      </c>
      <c r="J1207" s="422">
        <f t="shared" si="680"/>
        <v>0</v>
      </c>
    </row>
    <row r="1208" spans="1:10" ht="23.4" x14ac:dyDescent="0.3">
      <c r="A1208" s="274"/>
      <c r="B1208" s="1045"/>
      <c r="C1208" s="295" t="s">
        <v>546</v>
      </c>
      <c r="D1208" s="275" t="s">
        <v>238</v>
      </c>
      <c r="E1208" s="386">
        <v>101.49</v>
      </c>
      <c r="F1208" s="402">
        <f>IFERROR(E1208*'01 Prod Physique Boites'!H1202,"-")</f>
        <v>0</v>
      </c>
      <c r="G1208" s="403">
        <f>IFERROR(E1208*'01 Prod Physique Boites'!L1202,"-")</f>
        <v>0</v>
      </c>
      <c r="H1208" s="385">
        <v>160.44999999999999</v>
      </c>
      <c r="I1208" s="421">
        <f t="shared" si="679"/>
        <v>0</v>
      </c>
      <c r="J1208" s="422">
        <f t="shared" si="680"/>
        <v>0</v>
      </c>
    </row>
    <row r="1209" spans="1:10" ht="24" thickBot="1" x14ac:dyDescent="0.35">
      <c r="A1209" s="274" t="s">
        <v>103</v>
      </c>
      <c r="B1209" s="1045"/>
      <c r="C1209" s="295" t="s">
        <v>242</v>
      </c>
      <c r="D1209" s="275" t="s">
        <v>238</v>
      </c>
      <c r="E1209" s="386">
        <v>101.4935</v>
      </c>
      <c r="F1209" s="402">
        <f>IFERROR(E1209*'01 Prod Physique Boites'!H1203,"-")</f>
        <v>0</v>
      </c>
      <c r="G1209" s="403">
        <f>IFERROR(E1209*'01 Prod Physique Boites'!L1203,"-")</f>
        <v>0</v>
      </c>
      <c r="H1209" s="385">
        <v>160.44999999999999</v>
      </c>
      <c r="I1209" s="421">
        <f t="shared" si="679"/>
        <v>0</v>
      </c>
      <c r="J1209" s="424">
        <f t="shared" si="680"/>
        <v>0</v>
      </c>
    </row>
    <row r="1210" spans="1:10" ht="24" thickBot="1" x14ac:dyDescent="0.35">
      <c r="A1210" s="274" t="s">
        <v>103</v>
      </c>
      <c r="B1210" s="1025" t="s">
        <v>49</v>
      </c>
      <c r="C1210" s="1026"/>
      <c r="D1210" s="1027"/>
      <c r="E1210" s="390"/>
      <c r="F1210" s="406">
        <f t="shared" ref="F1210" si="681">SUM(F1201:F1209)</f>
        <v>0</v>
      </c>
      <c r="G1210" s="407">
        <f>SUM(G1201:G1209)</f>
        <v>0</v>
      </c>
      <c r="H1210" s="391"/>
      <c r="I1210" s="406">
        <f t="shared" ref="I1210" si="682">SUM(I1201:I1209)</f>
        <v>0</v>
      </c>
      <c r="J1210" s="425">
        <f>SUM(J1201:J1209)</f>
        <v>0</v>
      </c>
    </row>
    <row r="1211" spans="1:10" ht="24" thickBot="1" x14ac:dyDescent="0.35">
      <c r="A1211" s="274" t="s">
        <v>103</v>
      </c>
      <c r="B1211" s="1047" t="s">
        <v>25</v>
      </c>
      <c r="C1211" s="1048"/>
      <c r="D1211" s="1049"/>
      <c r="E1211" s="393"/>
      <c r="F1211" s="410">
        <f t="shared" ref="F1211" si="683">+F1200+F1210</f>
        <v>1012741.2899999999</v>
      </c>
      <c r="G1211" s="411">
        <f>+G1200+G1210</f>
        <v>1893385.89</v>
      </c>
      <c r="H1211" s="394"/>
      <c r="I1211" s="410">
        <f t="shared" ref="I1211:J1211" si="684">+I1200+I1210</f>
        <v>1229580</v>
      </c>
      <c r="J1211" s="428">
        <f t="shared" si="684"/>
        <v>2298780</v>
      </c>
    </row>
    <row r="1212" spans="1:10" ht="24" thickBot="1" x14ac:dyDescent="0.35">
      <c r="A1212" s="274" t="s">
        <v>103</v>
      </c>
      <c r="B1212" s="1019" t="s">
        <v>172</v>
      </c>
      <c r="C1212" s="1020"/>
      <c r="D1212" s="1021"/>
      <c r="E1212" s="395"/>
      <c r="F1212" s="412">
        <f t="shared" ref="F1212" si="685">+F1195+F1211</f>
        <v>4208253.4123999998</v>
      </c>
      <c r="G1212" s="413">
        <f>+G1195+G1211</f>
        <v>30213836.751600001</v>
      </c>
      <c r="H1212" s="396"/>
      <c r="I1212" s="412">
        <f t="shared" ref="I1212:J1212" si="686">+I1195+I1211</f>
        <v>4141843.1999999993</v>
      </c>
      <c r="J1212" s="429">
        <f t="shared" si="686"/>
        <v>31047018.799999997</v>
      </c>
    </row>
    <row r="1213" spans="1:10" ht="23.4" x14ac:dyDescent="0.3">
      <c r="A1213" s="268" t="s">
        <v>101</v>
      </c>
      <c r="B1213" s="1051" t="s">
        <v>26</v>
      </c>
      <c r="C1213" s="893" t="s">
        <v>297</v>
      </c>
      <c r="D1213" s="898" t="s">
        <v>177</v>
      </c>
      <c r="E1213" s="504">
        <v>13.1272</v>
      </c>
      <c r="F1213" s="402">
        <f>IFERROR(E1213*'01 Prod Physique Boites'!H1207,"-")</f>
        <v>0</v>
      </c>
      <c r="G1213" s="403">
        <f>IFERROR(E1213*'01 Prod Physique Boites'!L1207,"-")</f>
        <v>0</v>
      </c>
      <c r="H1213" s="381">
        <v>20.76</v>
      </c>
      <c r="I1213" s="419">
        <f t="shared" ref="I1213:I1222" si="687">IFERROR(H1213*(F1213/E1213),"-")</f>
        <v>0</v>
      </c>
      <c r="J1213" s="632">
        <f t="shared" ref="J1213:J1222" si="688">IFERROR(H1213*(G1213/E1213),"-")</f>
        <v>0</v>
      </c>
    </row>
    <row r="1214" spans="1:10" ht="23.4" x14ac:dyDescent="0.3">
      <c r="A1214" s="274" t="s">
        <v>101</v>
      </c>
      <c r="B1214" s="1051"/>
      <c r="C1214" s="253" t="s">
        <v>424</v>
      </c>
      <c r="D1214" s="899" t="s">
        <v>423</v>
      </c>
      <c r="E1214" s="505">
        <v>16.7288</v>
      </c>
      <c r="F1214" s="402">
        <f>IFERROR(E1214*'01 Prod Physique Boites'!H1208,"-")</f>
        <v>0</v>
      </c>
      <c r="G1214" s="403">
        <f>IFERROR(E1214*'01 Prod Physique Boites'!L1208,"-")</f>
        <v>4392112.9824000001</v>
      </c>
      <c r="H1214" s="385">
        <v>20.76</v>
      </c>
      <c r="I1214" s="421">
        <f t="shared" si="687"/>
        <v>0</v>
      </c>
      <c r="J1214" s="633">
        <f t="shared" si="688"/>
        <v>5450496.4800000004</v>
      </c>
    </row>
    <row r="1215" spans="1:10" ht="23.4" x14ac:dyDescent="0.3">
      <c r="A1215" s="274" t="s">
        <v>101</v>
      </c>
      <c r="B1215" s="1051"/>
      <c r="C1215" s="813" t="s">
        <v>27</v>
      </c>
      <c r="D1215" s="899" t="s">
        <v>334</v>
      </c>
      <c r="E1215" s="501">
        <v>14.608000000000001</v>
      </c>
      <c r="F1215" s="402">
        <f>IFERROR(E1215*'01 Prod Physique Boites'!H1209,"-")</f>
        <v>0</v>
      </c>
      <c r="G1215" s="403">
        <f>IFERROR(E1215*'01 Prod Physique Boites'!L1209,"-")</f>
        <v>406774.36800000002</v>
      </c>
      <c r="H1215" s="385">
        <v>21.22</v>
      </c>
      <c r="I1215" s="643">
        <f t="shared" si="687"/>
        <v>0</v>
      </c>
      <c r="J1215" s="633">
        <f t="shared" si="688"/>
        <v>590892.12</v>
      </c>
    </row>
    <row r="1216" spans="1:10" ht="23.4" x14ac:dyDescent="0.3">
      <c r="A1216" s="274" t="s">
        <v>101</v>
      </c>
      <c r="B1216" s="1051"/>
      <c r="C1216" s="813" t="s">
        <v>27</v>
      </c>
      <c r="D1216" s="900" t="s">
        <v>492</v>
      </c>
      <c r="E1216" s="501">
        <v>17.8202</v>
      </c>
      <c r="F1216" s="402">
        <f>IFERROR(E1216*'01 Prod Physique Boites'!H1210,"-")</f>
        <v>0</v>
      </c>
      <c r="G1216" s="403">
        <f>IFERROR(E1216*'01 Prod Physique Boites'!L1210,"-")</f>
        <v>4820435.3808000004</v>
      </c>
      <c r="H1216" s="385">
        <v>26.75</v>
      </c>
      <c r="I1216" s="643">
        <f t="shared" si="687"/>
        <v>0</v>
      </c>
      <c r="J1216" s="633">
        <f t="shared" si="688"/>
        <v>7235982</v>
      </c>
    </row>
    <row r="1217" spans="1:10" ht="23.4" x14ac:dyDescent="0.3">
      <c r="A1217" s="274" t="s">
        <v>101</v>
      </c>
      <c r="B1217" s="1051"/>
      <c r="C1217" s="893" t="s">
        <v>521</v>
      </c>
      <c r="D1217" s="899" t="s">
        <v>234</v>
      </c>
      <c r="E1217" s="501">
        <v>14.608000000000001</v>
      </c>
      <c r="F1217" s="402">
        <f>IFERROR(E1217*'01 Prod Physique Boites'!H1211,"-")</f>
        <v>0</v>
      </c>
      <c r="G1217" s="403">
        <f>IFERROR(E1217*'01 Prod Physique Boites'!L1211,"-")</f>
        <v>813548.73600000003</v>
      </c>
      <c r="H1217" s="385">
        <v>24.93</v>
      </c>
      <c r="I1217" s="643">
        <f t="shared" si="687"/>
        <v>0</v>
      </c>
      <c r="J1217" s="633">
        <f t="shared" si="688"/>
        <v>1388401.56</v>
      </c>
    </row>
    <row r="1218" spans="1:10" ht="23.4" x14ac:dyDescent="0.3">
      <c r="A1218" s="274"/>
      <c r="B1218" s="1051"/>
      <c r="C1218" s="813" t="s">
        <v>432</v>
      </c>
      <c r="D1218" s="899" t="s">
        <v>178</v>
      </c>
      <c r="E1218" s="501">
        <v>14.608000000000001</v>
      </c>
      <c r="F1218" s="402">
        <f>IFERROR(E1218*'01 Prod Physique Boites'!H1212,"-")</f>
        <v>0</v>
      </c>
      <c r="G1218" s="403">
        <f>IFERROR(E1218*'01 Prod Physique Boites'!L1212,"-")</f>
        <v>0</v>
      </c>
      <c r="H1218" s="387">
        <v>24.93</v>
      </c>
      <c r="I1218" s="643">
        <f t="shared" si="687"/>
        <v>0</v>
      </c>
      <c r="J1218" s="634">
        <f t="shared" si="688"/>
        <v>0</v>
      </c>
    </row>
    <row r="1219" spans="1:10" ht="23.4" x14ac:dyDescent="0.3">
      <c r="A1219" s="274"/>
      <c r="B1219" s="1051"/>
      <c r="C1219" s="813" t="s">
        <v>333</v>
      </c>
      <c r="D1219" s="899" t="s">
        <v>94</v>
      </c>
      <c r="E1219" s="501">
        <v>17.8202</v>
      </c>
      <c r="F1219" s="724">
        <f>IFERROR(E1219*'01 Prod Physique Boites'!H1213,"-")</f>
        <v>0</v>
      </c>
      <c r="G1219" s="403">
        <f>IFERROR(E1219*'01 Prod Physique Boites'!L1213,"-")</f>
        <v>0</v>
      </c>
      <c r="H1219" s="387">
        <v>24.93</v>
      </c>
      <c r="I1219" s="730">
        <f t="shared" si="687"/>
        <v>0</v>
      </c>
      <c r="J1219" s="634">
        <f t="shared" si="688"/>
        <v>0</v>
      </c>
    </row>
    <row r="1220" spans="1:10" s="731" customFormat="1" ht="23.4" x14ac:dyDescent="0.3">
      <c r="A1220" s="725"/>
      <c r="B1220" s="1051"/>
      <c r="C1220" s="813" t="s">
        <v>433</v>
      </c>
      <c r="D1220" s="899" t="s">
        <v>540</v>
      </c>
      <c r="E1220" s="727">
        <v>16.7288</v>
      </c>
      <c r="F1220" s="724">
        <f>IFERROR(E1220*'01 Prod Physique Boites'!H1214,"-")</f>
        <v>1730226.3263999999</v>
      </c>
      <c r="G1220" s="728">
        <f>IFERROR(E1220*'01 Prod Physique Boites'!L1214,"-")</f>
        <v>5922697.8096000003</v>
      </c>
      <c r="H1220" s="729">
        <v>25</v>
      </c>
      <c r="I1220" s="730">
        <f t="shared" si="687"/>
        <v>2585700</v>
      </c>
      <c r="J1220" s="634">
        <f t="shared" si="688"/>
        <v>8851050</v>
      </c>
    </row>
    <row r="1221" spans="1:10" s="731" customFormat="1" ht="23.4" x14ac:dyDescent="0.3">
      <c r="A1221" s="725"/>
      <c r="B1221" s="1051"/>
      <c r="C1221" s="813" t="s">
        <v>382</v>
      </c>
      <c r="D1221" s="899" t="s">
        <v>366</v>
      </c>
      <c r="E1221" s="727">
        <v>16.7288</v>
      </c>
      <c r="F1221" s="724">
        <f>IFERROR(E1221*'01 Prod Physique Boites'!H1215,"-")</f>
        <v>0</v>
      </c>
      <c r="G1221" s="728">
        <f>IFERROR(E1221*'01 Prod Physique Boites'!L1215,"-")</f>
        <v>0</v>
      </c>
      <c r="H1221" s="729">
        <v>25.49</v>
      </c>
      <c r="I1221" s="730">
        <f t="shared" si="687"/>
        <v>0</v>
      </c>
      <c r="J1221" s="634">
        <f t="shared" si="688"/>
        <v>0</v>
      </c>
    </row>
    <row r="1222" spans="1:10" ht="24" thickBot="1" x14ac:dyDescent="0.35">
      <c r="A1222" s="274" t="s">
        <v>101</v>
      </c>
      <c r="B1222" s="1051"/>
      <c r="C1222" s="894" t="s">
        <v>290</v>
      </c>
      <c r="D1222" s="901" t="s">
        <v>289</v>
      </c>
      <c r="E1222" s="501">
        <v>12.6997</v>
      </c>
      <c r="F1222" s="402">
        <f>IFERROR(E1222*'01 Prod Physique Boites'!H1216,"-")</f>
        <v>0</v>
      </c>
      <c r="G1222" s="728">
        <f>IFERROR(E1222*'01 Prod Physique Boites'!L1216,"-")</f>
        <v>0</v>
      </c>
      <c r="H1222" s="387">
        <v>13.25</v>
      </c>
      <c r="I1222" s="730">
        <f t="shared" si="687"/>
        <v>0</v>
      </c>
      <c r="J1222" s="634">
        <f t="shared" si="688"/>
        <v>0</v>
      </c>
    </row>
    <row r="1223" spans="1:10" ht="24" thickBot="1" x14ac:dyDescent="0.35">
      <c r="A1223" s="274" t="s">
        <v>101</v>
      </c>
      <c r="B1223" s="1052"/>
      <c r="C1223" s="301"/>
      <c r="D1223" s="302" t="s">
        <v>52</v>
      </c>
      <c r="E1223" s="390"/>
      <c r="F1223" s="406">
        <f>SUM(F1213:F1222)</f>
        <v>1730226.3263999999</v>
      </c>
      <c r="G1223" s="407">
        <f>SUM(G1213:G1222)</f>
        <v>16355569.276799999</v>
      </c>
      <c r="H1223" s="391"/>
      <c r="I1223" s="406">
        <f>SUM(I1213:I1222)</f>
        <v>2585700</v>
      </c>
      <c r="J1223" s="425">
        <f>SUM(J1213:J1222)</f>
        <v>23516822.160000004</v>
      </c>
    </row>
    <row r="1224" spans="1:10" ht="23.4" x14ac:dyDescent="0.3">
      <c r="A1224" s="274" t="s">
        <v>101</v>
      </c>
      <c r="B1224" s="1053" t="s">
        <v>28</v>
      </c>
      <c r="C1224" s="299" t="s">
        <v>27</v>
      </c>
      <c r="D1224" s="297" t="s">
        <v>492</v>
      </c>
      <c r="E1224" s="504">
        <v>17.8202</v>
      </c>
      <c r="F1224" s="402">
        <f>IFERROR(E1224*'01 Prod Physique Boites'!H1218,"-")</f>
        <v>0</v>
      </c>
      <c r="G1224" s="403">
        <f>IFERROR(E1224*'01 Prod Physique Boites'!L1218,"-")</f>
        <v>2977327.7352</v>
      </c>
      <c r="H1224" s="381">
        <v>26.75</v>
      </c>
      <c r="I1224" s="419">
        <f t="shared" ref="I1224:I1230" si="689">IFERROR(H1224*(F1224/E1224),"-")</f>
        <v>0</v>
      </c>
      <c r="J1224" s="632">
        <f t="shared" ref="J1224:J1225" si="690">IFERROR(H1224*(G1224/E1224),"-")</f>
        <v>4469283</v>
      </c>
    </row>
    <row r="1225" spans="1:10" ht="23.4" x14ac:dyDescent="0.3">
      <c r="A1225" s="274" t="s">
        <v>101</v>
      </c>
      <c r="B1225" s="1051"/>
      <c r="C1225" s="299" t="s">
        <v>386</v>
      </c>
      <c r="D1225" s="299" t="s">
        <v>334</v>
      </c>
      <c r="E1225" s="711">
        <v>16.7288</v>
      </c>
      <c r="F1225" s="402">
        <f>IFERROR(E1225*'01 Prod Physique Boites'!H1219,"-")</f>
        <v>0</v>
      </c>
      <c r="G1225" s="728">
        <f>IFERROR(E1225*'01 Prod Physique Boites'!L1219,"-")</f>
        <v>1597131.9935999999</v>
      </c>
      <c r="H1225" s="708">
        <v>20.76</v>
      </c>
      <c r="I1225" s="421">
        <f t="shared" si="689"/>
        <v>0</v>
      </c>
      <c r="J1225" s="633">
        <f t="shared" si="690"/>
        <v>1981998.7200000002</v>
      </c>
    </row>
    <row r="1226" spans="1:10" ht="23.4" x14ac:dyDescent="0.3">
      <c r="A1226" s="274" t="s">
        <v>101</v>
      </c>
      <c r="B1226" s="1051"/>
      <c r="C1226" s="299" t="s">
        <v>541</v>
      </c>
      <c r="D1226" s="299" t="s">
        <v>334</v>
      </c>
      <c r="E1226" s="501">
        <v>17.8202</v>
      </c>
      <c r="F1226" s="402">
        <f>IFERROR(E1226*'01 Prod Physique Boites'!H1220,"-")</f>
        <v>0</v>
      </c>
      <c r="G1226" s="403">
        <f>IFERROR(E1226*'01 Prod Physique Boites'!L1220,"-")</f>
        <v>0</v>
      </c>
      <c r="H1226" s="385">
        <v>21.22</v>
      </c>
      <c r="I1226" s="421">
        <f t="shared" si="689"/>
        <v>0</v>
      </c>
      <c r="J1226" s="633">
        <f>IFERROR(H1226*(G1226/E1226),"-")</f>
        <v>0</v>
      </c>
    </row>
    <row r="1227" spans="1:10" ht="23.4" x14ac:dyDescent="0.3">
      <c r="A1227" s="274"/>
      <c r="B1227" s="1051"/>
      <c r="C1227" s="299" t="s">
        <v>460</v>
      </c>
      <c r="D1227" s="299" t="s">
        <v>334</v>
      </c>
      <c r="E1227" s="501">
        <v>14.608000000000001</v>
      </c>
      <c r="F1227" s="402">
        <f>IFERROR(E1227*'01 Prod Physique Boites'!H1221,"-")</f>
        <v>0</v>
      </c>
      <c r="G1227" s="403">
        <f>IFERROR(E1227*'01 Prod Physique Boites'!L1221,"-")</f>
        <v>58110.624000000003</v>
      </c>
      <c r="H1227" s="385">
        <v>21.22</v>
      </c>
      <c r="I1227" s="421">
        <f t="shared" si="689"/>
        <v>0</v>
      </c>
      <c r="J1227" s="633">
        <f>IFERROR(H1227*(G1227/E1227),"-")</f>
        <v>84413.159999999989</v>
      </c>
    </row>
    <row r="1228" spans="1:10" ht="23.4" x14ac:dyDescent="0.3">
      <c r="A1228" s="274"/>
      <c r="B1228" s="1051"/>
      <c r="C1228" s="299" t="s">
        <v>433</v>
      </c>
      <c r="D1228" s="299" t="s">
        <v>540</v>
      </c>
      <c r="E1228" s="711">
        <v>16.7288</v>
      </c>
      <c r="F1228" s="402">
        <f>IFERROR(E1228*'01 Prod Physique Boites'!H1222,"-")</f>
        <v>0</v>
      </c>
      <c r="G1228" s="403">
        <f>IFERROR(E1228*'01 Prod Physique Boites'!L1222,"-")</f>
        <v>2129509.3248000001</v>
      </c>
      <c r="H1228" s="385">
        <v>25</v>
      </c>
      <c r="I1228" s="423">
        <f t="shared" si="689"/>
        <v>0</v>
      </c>
      <c r="J1228" s="634">
        <f t="shared" ref="J1228:J1230" si="691">IFERROR(H1228*(G1228/E1228),"-")</f>
        <v>3182400</v>
      </c>
    </row>
    <row r="1229" spans="1:10" ht="23.4" x14ac:dyDescent="0.3">
      <c r="A1229" s="274"/>
      <c r="B1229" s="1051"/>
      <c r="C1229" s="299" t="s">
        <v>458</v>
      </c>
      <c r="D1229" s="300" t="s">
        <v>280</v>
      </c>
      <c r="E1229" s="711">
        <v>17.8202</v>
      </c>
      <c r="F1229" s="402">
        <f>IFERROR(E1229*'01 Prod Physique Boites'!H1223,"-")</f>
        <v>0</v>
      </c>
      <c r="G1229" s="403">
        <f>IFERROR(E1229*'01 Prod Physique Boites'!L1223,"-")</f>
        <v>0</v>
      </c>
      <c r="H1229" s="385">
        <v>24.93</v>
      </c>
      <c r="I1229" s="730">
        <f t="shared" si="689"/>
        <v>0</v>
      </c>
      <c r="J1229" s="634">
        <f t="shared" si="691"/>
        <v>0</v>
      </c>
    </row>
    <row r="1230" spans="1:10" ht="24" thickBot="1" x14ac:dyDescent="0.35">
      <c r="A1230" s="274" t="s">
        <v>101</v>
      </c>
      <c r="B1230" s="1051"/>
      <c r="C1230" s="299" t="s">
        <v>27</v>
      </c>
      <c r="D1230" s="300" t="s">
        <v>234</v>
      </c>
      <c r="E1230" s="501">
        <v>17.8202</v>
      </c>
      <c r="F1230" s="402">
        <f>IFERROR(E1230*'01 Prod Physique Boites'!H1224,"-")</f>
        <v>0</v>
      </c>
      <c r="G1230" s="403">
        <f>IFERROR(E1230*'01 Prod Physique Boites'!L1224,"-")</f>
        <v>0</v>
      </c>
      <c r="H1230" s="385">
        <v>24.93</v>
      </c>
      <c r="I1230" s="423">
        <f t="shared" si="689"/>
        <v>0</v>
      </c>
      <c r="J1230" s="634">
        <f t="shared" si="691"/>
        <v>0</v>
      </c>
    </row>
    <row r="1231" spans="1:10" ht="24" thickBot="1" x14ac:dyDescent="0.35">
      <c r="A1231" s="274" t="s">
        <v>101</v>
      </c>
      <c r="B1231" s="1051"/>
      <c r="C1231" s="304"/>
      <c r="D1231" s="305" t="s">
        <v>52</v>
      </c>
      <c r="E1231" s="397"/>
      <c r="F1231" s="414">
        <f t="shared" ref="F1231:G1231" si="692">SUM(F1224:F1230)</f>
        <v>0</v>
      </c>
      <c r="G1231" s="415">
        <f t="shared" si="692"/>
        <v>6762079.6776000001</v>
      </c>
      <c r="H1231" s="398"/>
      <c r="I1231" s="414">
        <f t="shared" ref="I1231:J1231" si="693">SUM(I1224:I1230)</f>
        <v>0</v>
      </c>
      <c r="J1231" s="430">
        <f t="shared" si="693"/>
        <v>9718094.8800000008</v>
      </c>
    </row>
    <row r="1232" spans="1:10" ht="24" thickBot="1" x14ac:dyDescent="0.35">
      <c r="A1232" s="909" t="s">
        <v>101</v>
      </c>
      <c r="B1232" s="1054" t="s">
        <v>162</v>
      </c>
      <c r="C1232" s="1055"/>
      <c r="D1232" s="1056"/>
      <c r="E1232" s="399"/>
      <c r="F1232" s="416">
        <f t="shared" ref="F1232:G1232" si="694">+F1223+F1231</f>
        <v>1730226.3263999999</v>
      </c>
      <c r="G1232" s="417">
        <f t="shared" si="694"/>
        <v>23117648.954399999</v>
      </c>
      <c r="H1232" s="400"/>
      <c r="I1232" s="416">
        <f t="shared" ref="I1232:J1232" si="695">+I1223+I1231</f>
        <v>2585700</v>
      </c>
      <c r="J1232" s="431">
        <f t="shared" si="695"/>
        <v>33234917.040000007</v>
      </c>
    </row>
    <row r="1233" spans="1:10" ht="23.4" x14ac:dyDescent="0.3">
      <c r="A1233" s="274" t="s">
        <v>101</v>
      </c>
      <c r="B1233" s="1051" t="s">
        <v>30</v>
      </c>
      <c r="C1233" s="303" t="s">
        <v>446</v>
      </c>
      <c r="D1233" s="299" t="s">
        <v>522</v>
      </c>
      <c r="E1233" s="736">
        <v>27.917000000000002</v>
      </c>
      <c r="F1233" s="402">
        <f>IFERROR(E1233*'01 Prod Physique Boites'!H1227,"-")</f>
        <v>0</v>
      </c>
      <c r="G1233" s="728">
        <f>IFERROR(E1233*'01 Prod Physique Boites'!L1227,"-")</f>
        <v>0</v>
      </c>
      <c r="H1233" s="734">
        <v>33.299999999999997</v>
      </c>
      <c r="I1233" s="419">
        <f>IFERROR(H1233*(F1233/E1233),"-")</f>
        <v>0</v>
      </c>
      <c r="J1233" s="420">
        <f t="shared" ref="J1233:J1235" si="696">IFERROR(H1233*(G1233/E1233),"-")</f>
        <v>0</v>
      </c>
    </row>
    <row r="1234" spans="1:10" ht="23.4" x14ac:dyDescent="0.3">
      <c r="A1234" s="274" t="s">
        <v>101</v>
      </c>
      <c r="B1234" s="1051"/>
      <c r="C1234" s="300" t="s">
        <v>548</v>
      </c>
      <c r="D1234" s="303" t="s">
        <v>522</v>
      </c>
      <c r="E1234" s="733">
        <v>28.526700000000002</v>
      </c>
      <c r="F1234" s="402">
        <f>IFERROR(E1234*'01 Prod Physique Boites'!H1228,"-")</f>
        <v>0</v>
      </c>
      <c r="G1234" s="728">
        <f>IFERROR(E1234*'01 Prod Physique Boites'!L1228,"-")</f>
        <v>0</v>
      </c>
      <c r="H1234" s="735">
        <v>37.89</v>
      </c>
      <c r="I1234" s="421">
        <f>IFERROR(H1234*(F1234/E1234),"-")</f>
        <v>0</v>
      </c>
      <c r="J1234" s="422">
        <f t="shared" si="696"/>
        <v>0</v>
      </c>
    </row>
    <row r="1235" spans="1:10" ht="24" thickBot="1" x14ac:dyDescent="0.35">
      <c r="A1235" s="274" t="s">
        <v>101</v>
      </c>
      <c r="B1235" s="1051"/>
      <c r="C1235" s="300" t="s">
        <v>291</v>
      </c>
      <c r="D1235" s="300" t="s">
        <v>366</v>
      </c>
      <c r="E1235" s="501">
        <v>25.751300000000001</v>
      </c>
      <c r="F1235" s="724">
        <f>IFERROR(E1235*'01 Prod Physique Boites'!H1229,"-")</f>
        <v>1301573.7072000001</v>
      </c>
      <c r="G1235" s="728">
        <f>IFERROR(E1235*'01 Prod Physique Boites'!L1229,"-")</f>
        <v>1301573.7072000001</v>
      </c>
      <c r="H1235" s="387">
        <v>37.89</v>
      </c>
      <c r="I1235" s="423">
        <f>IFERROR(H1235*(F1235/E1235),"-")</f>
        <v>1915112.16</v>
      </c>
      <c r="J1235" s="424">
        <f t="shared" si="696"/>
        <v>1915112.16</v>
      </c>
    </row>
    <row r="1236" spans="1:10" ht="24" thickBot="1" x14ac:dyDescent="0.35">
      <c r="A1236" s="274" t="s">
        <v>101</v>
      </c>
      <c r="B1236" s="1051"/>
      <c r="C1236" s="301"/>
      <c r="D1236" s="302" t="s">
        <v>50</v>
      </c>
      <c r="E1236" s="390"/>
      <c r="F1236" s="406">
        <f t="shared" ref="F1236:G1236" si="697">SUM(F1233:F1235)</f>
        <v>1301573.7072000001</v>
      </c>
      <c r="G1236" s="407">
        <f t="shared" si="697"/>
        <v>1301573.7072000001</v>
      </c>
      <c r="H1236" s="391"/>
      <c r="I1236" s="406">
        <f t="shared" ref="I1236" si="698">SUM(I1233:I1235)</f>
        <v>1915112.16</v>
      </c>
      <c r="J1236" s="425">
        <f>SUM(J1233:J1235)</f>
        <v>1915112.16</v>
      </c>
    </row>
    <row r="1237" spans="1:10" ht="23.4" x14ac:dyDescent="0.3">
      <c r="A1237" s="274" t="s">
        <v>101</v>
      </c>
      <c r="B1237" s="1051"/>
      <c r="C1237" s="297" t="s">
        <v>439</v>
      </c>
      <c r="D1237" s="297" t="s">
        <v>92</v>
      </c>
      <c r="E1237" s="504">
        <v>24.2607</v>
      </c>
      <c r="F1237" s="402">
        <f>IFERROR(E1237*'01 Prod Physique Boites'!H1231,"-")</f>
        <v>0</v>
      </c>
      <c r="G1237" s="728">
        <f>IFERROR(E1237*'01 Prod Physique Boites'!L1231,"-")</f>
        <v>0</v>
      </c>
      <c r="H1237" s="381">
        <v>28.31</v>
      </c>
      <c r="I1237" s="638">
        <f>IFERROR(H1237*(F1237/E1237),"-")</f>
        <v>0</v>
      </c>
      <c r="J1237" s="420">
        <f t="shared" ref="J1237:J1242" si="699">IFERROR(H1237*(G1237/E1237),"-")</f>
        <v>0</v>
      </c>
    </row>
    <row r="1238" spans="1:10" ht="23.4" x14ac:dyDescent="0.3">
      <c r="A1238" s="274"/>
      <c r="B1238" s="1051"/>
      <c r="C1238" s="303" t="s">
        <v>449</v>
      </c>
      <c r="D1238" s="299" t="s">
        <v>334</v>
      </c>
      <c r="E1238" s="504">
        <v>24.2607</v>
      </c>
      <c r="F1238" s="402">
        <f>IFERROR(E1238*'01 Prod Physique Boites'!H1232,"-")</f>
        <v>0</v>
      </c>
      <c r="G1238" s="728">
        <f>IFERROR(E1238*'01 Prod Physique Boites'!L1232,"-")</f>
        <v>0</v>
      </c>
      <c r="H1238" s="381">
        <v>28.88</v>
      </c>
      <c r="I1238" s="638">
        <f t="shared" ref="I1238:I1242" si="700">IFERROR(H1238*(F1238/E1238),"-")</f>
        <v>0</v>
      </c>
      <c r="J1238" s="420">
        <f t="shared" si="699"/>
        <v>0</v>
      </c>
    </row>
    <row r="1239" spans="1:10" ht="23.4" x14ac:dyDescent="0.3">
      <c r="A1239" s="274"/>
      <c r="B1239" s="1051"/>
      <c r="C1239" s="303" t="s">
        <v>452</v>
      </c>
      <c r="D1239" s="299" t="s">
        <v>334</v>
      </c>
      <c r="E1239" s="504">
        <v>25.4041</v>
      </c>
      <c r="F1239" s="402">
        <f>IFERROR(E1239*'01 Prod Physique Boites'!H1233,"-")</f>
        <v>0</v>
      </c>
      <c r="G1239" s="728">
        <f>IFERROR(E1239*'01 Prod Physique Boites'!L1233,"-")</f>
        <v>0</v>
      </c>
      <c r="H1239" s="381">
        <v>28.21</v>
      </c>
      <c r="I1239" s="638">
        <f t="shared" si="700"/>
        <v>0</v>
      </c>
      <c r="J1239" s="420">
        <f t="shared" si="699"/>
        <v>0</v>
      </c>
    </row>
    <row r="1240" spans="1:10" ht="23.4" x14ac:dyDescent="0.3">
      <c r="A1240" s="274" t="s">
        <v>101</v>
      </c>
      <c r="B1240" s="1051"/>
      <c r="C1240" s="303" t="s">
        <v>501</v>
      </c>
      <c r="D1240" s="300" t="s">
        <v>423</v>
      </c>
      <c r="E1240" s="505">
        <v>23.697399999999998</v>
      </c>
      <c r="F1240" s="724">
        <f>IFERROR(E1240*'01 Prod Physique Boites'!H1234,"-")</f>
        <v>0</v>
      </c>
      <c r="G1240" s="728">
        <f>IFERROR(E1240*'01 Prod Physique Boites'!L1234,"-")</f>
        <v>177446.13119999997</v>
      </c>
      <c r="H1240" s="385">
        <v>28.21</v>
      </c>
      <c r="I1240" s="638">
        <f t="shared" si="700"/>
        <v>0</v>
      </c>
      <c r="J1240" s="420">
        <f t="shared" si="699"/>
        <v>211236.47999999998</v>
      </c>
    </row>
    <row r="1241" spans="1:10" ht="23.4" x14ac:dyDescent="0.3">
      <c r="A1241" s="274"/>
      <c r="B1241" s="1051"/>
      <c r="C1241" s="300" t="s">
        <v>459</v>
      </c>
      <c r="D1241" s="300" t="s">
        <v>366</v>
      </c>
      <c r="E1241" s="501">
        <v>22.094999999999999</v>
      </c>
      <c r="F1241" s="724">
        <f>IFERROR(E1241*'01 Prod Physique Boites'!H1235,"-")</f>
        <v>0</v>
      </c>
      <c r="G1241" s="728">
        <f>IFERROR(E1241*'01 Prod Physique Boites'!L1235,"-")</f>
        <v>0</v>
      </c>
      <c r="H1241" s="745">
        <v>37.11</v>
      </c>
      <c r="I1241" s="638">
        <f t="shared" si="700"/>
        <v>0</v>
      </c>
      <c r="J1241" s="420">
        <f t="shared" si="699"/>
        <v>0</v>
      </c>
    </row>
    <row r="1242" spans="1:10" ht="24" thickBot="1" x14ac:dyDescent="0.35">
      <c r="A1242" s="274" t="s">
        <v>101</v>
      </c>
      <c r="B1242" s="1051"/>
      <c r="C1242" s="300" t="s">
        <v>438</v>
      </c>
      <c r="D1242" s="300" t="s">
        <v>423</v>
      </c>
      <c r="E1242" s="501">
        <v>23.697399999999998</v>
      </c>
      <c r="F1242" s="402">
        <f>IFERROR(E1242*'01 Prod Physique Boites'!H1236,"-")</f>
        <v>0</v>
      </c>
      <c r="G1242" s="403">
        <f>IFERROR(E1242*'01 Prod Physique Boites'!L1236,"-")</f>
        <v>0</v>
      </c>
      <c r="H1242" s="387">
        <v>28.21</v>
      </c>
      <c r="I1242" s="638">
        <f t="shared" si="700"/>
        <v>0</v>
      </c>
      <c r="J1242" s="420">
        <f t="shared" si="699"/>
        <v>0</v>
      </c>
    </row>
    <row r="1243" spans="1:10" ht="24" thickBot="1" x14ac:dyDescent="0.35">
      <c r="A1243" s="274" t="s">
        <v>101</v>
      </c>
      <c r="B1243" s="1051"/>
      <c r="C1243" s="304"/>
      <c r="D1243" s="305" t="s">
        <v>51</v>
      </c>
      <c r="E1243" s="397"/>
      <c r="F1243" s="414">
        <f t="shared" ref="F1243:G1243" si="701">SUM(F1237:F1242)</f>
        <v>0</v>
      </c>
      <c r="G1243" s="415">
        <f t="shared" si="701"/>
        <v>177446.13119999997</v>
      </c>
      <c r="H1243" s="398"/>
      <c r="I1243" s="414">
        <f t="shared" ref="I1243" si="702">SUM(I1237:I1242)</f>
        <v>0</v>
      </c>
      <c r="J1243" s="430">
        <f>SUM(J1237:J1242)</f>
        <v>211236.47999999998</v>
      </c>
    </row>
    <row r="1244" spans="1:10" ht="24" thickBot="1" x14ac:dyDescent="0.35">
      <c r="A1244" s="274" t="s">
        <v>101</v>
      </c>
      <c r="B1244" s="1054" t="s">
        <v>163</v>
      </c>
      <c r="C1244" s="1055"/>
      <c r="D1244" s="1056"/>
      <c r="E1244" s="399"/>
      <c r="F1244" s="416">
        <f t="shared" ref="F1244:G1244" si="703">+F1236+F1243</f>
        <v>1301573.7072000001</v>
      </c>
      <c r="G1244" s="417">
        <f t="shared" si="703"/>
        <v>1479019.8384</v>
      </c>
      <c r="H1244" s="400"/>
      <c r="I1244" s="416">
        <f t="shared" ref="I1244:J1244" si="704">+I1236+I1243</f>
        <v>1915112.16</v>
      </c>
      <c r="J1244" s="431">
        <f t="shared" si="704"/>
        <v>2126348.6399999997</v>
      </c>
    </row>
    <row r="1245" spans="1:10" ht="24" thickBot="1" x14ac:dyDescent="0.35">
      <c r="A1245" s="274" t="s">
        <v>101</v>
      </c>
      <c r="B1245" s="599" t="s">
        <v>32</v>
      </c>
      <c r="C1245" s="905"/>
      <c r="D1245" s="310"/>
      <c r="E1245" s="506">
        <v>12.2659</v>
      </c>
      <c r="F1245" s="408">
        <f>IFERROR(E1245*'01 Prod Physique Boites'!H1239,"-")</f>
        <v>0</v>
      </c>
      <c r="G1245" s="409">
        <f>IFERROR(E1245*'01 Prod Physique Boites'!L1239,"-")</f>
        <v>0</v>
      </c>
      <c r="H1245" s="392"/>
      <c r="I1245" s="426">
        <f>IFERROR(H1245*(F1245/E1245),"-")</f>
        <v>0</v>
      </c>
      <c r="J1245" s="427">
        <f>IFERROR(H1245*(G1245/E1245),"-")</f>
        <v>0</v>
      </c>
    </row>
    <row r="1246" spans="1:10" ht="24" thickBot="1" x14ac:dyDescent="0.35">
      <c r="A1246" s="274" t="s">
        <v>101</v>
      </c>
      <c r="B1246" s="1047" t="s">
        <v>21</v>
      </c>
      <c r="C1246" s="1048"/>
      <c r="D1246" s="1049"/>
      <c r="E1246" s="393"/>
      <c r="F1246" s="410">
        <f t="shared" ref="F1246" si="705">+F1232+F1244+F1245</f>
        <v>3031800.0335999997</v>
      </c>
      <c r="G1246" s="411">
        <f>+G1232+G1244+G1245</f>
        <v>24596668.792799998</v>
      </c>
      <c r="H1246" s="394"/>
      <c r="I1246" s="410">
        <f t="shared" ref="I1246:J1246" si="706">+I1232+I1244+I1245</f>
        <v>4500812.16</v>
      </c>
      <c r="J1246" s="428">
        <f t="shared" si="706"/>
        <v>35361265.680000007</v>
      </c>
    </row>
    <row r="1247" spans="1:10" ht="24" thickBot="1" x14ac:dyDescent="0.35">
      <c r="A1247" s="274" t="s">
        <v>101</v>
      </c>
      <c r="B1247" s="1019" t="s">
        <v>171</v>
      </c>
      <c r="C1247" s="1020"/>
      <c r="D1247" s="1021"/>
      <c r="E1247" s="395"/>
      <c r="F1247" s="412">
        <f t="shared" ref="F1247:G1247" si="707">+F1246</f>
        <v>3031800.0335999997</v>
      </c>
      <c r="G1247" s="413">
        <f t="shared" si="707"/>
        <v>24596668.792799998</v>
      </c>
      <c r="H1247" s="396"/>
      <c r="I1247" s="412">
        <f t="shared" ref="I1247:J1247" si="708">+I1246</f>
        <v>4500812.16</v>
      </c>
      <c r="J1247" s="429">
        <f t="shared" si="708"/>
        <v>35361265.680000007</v>
      </c>
    </row>
    <row r="1248" spans="1:10" ht="23.4" x14ac:dyDescent="0.3">
      <c r="A1248" s="268" t="s">
        <v>102</v>
      </c>
      <c r="B1248" s="1022" t="s">
        <v>401</v>
      </c>
      <c r="C1248" s="311" t="s">
        <v>113</v>
      </c>
      <c r="D1248" s="311"/>
      <c r="E1248" s="709">
        <v>254.89750000000001</v>
      </c>
      <c r="F1248" s="402">
        <f>IFERROR(E1248*'01 Prod Physique Boites'!H1242,"-")</f>
        <v>0</v>
      </c>
      <c r="G1248" s="403">
        <f>IFERROR(E1248*'01 Prod Physique Boites'!L1242,"-")</f>
        <v>0</v>
      </c>
      <c r="H1248" s="381">
        <v>445.38</v>
      </c>
      <c r="I1248" s="419">
        <f>IFERROR(H1248*(F1248/E1248),"-")</f>
        <v>0</v>
      </c>
      <c r="J1248" s="420">
        <f t="shared" ref="J1248:J1250" si="709">IFERROR(H1248*(G1248/E1248),"-")</f>
        <v>0</v>
      </c>
    </row>
    <row r="1249" spans="1:10" ht="23.4" x14ac:dyDescent="0.3">
      <c r="A1249" s="274" t="s">
        <v>102</v>
      </c>
      <c r="B1249" s="1023"/>
      <c r="C1249" s="312" t="s">
        <v>247</v>
      </c>
      <c r="D1249" s="312"/>
      <c r="E1249" s="503">
        <v>246.51390000000001</v>
      </c>
      <c r="F1249" s="402">
        <f>IFERROR(E1249*'01 Prod Physique Boites'!H1243,"-")</f>
        <v>0</v>
      </c>
      <c r="G1249" s="403">
        <f>IFERROR(E1249*'01 Prod Physique Boites'!L1243,"-")</f>
        <v>2255355.6710999999</v>
      </c>
      <c r="H1249" s="385">
        <v>430.02</v>
      </c>
      <c r="I1249" s="421">
        <f>IFERROR(H1249*(F1249/E1249),"-")</f>
        <v>0</v>
      </c>
      <c r="J1249" s="422">
        <f t="shared" si="709"/>
        <v>3934252.98</v>
      </c>
    </row>
    <row r="1250" spans="1:10" ht="24" thickBot="1" x14ac:dyDescent="0.35">
      <c r="A1250" s="274" t="s">
        <v>102</v>
      </c>
      <c r="B1250" s="1024"/>
      <c r="C1250" s="313" t="s">
        <v>33</v>
      </c>
      <c r="D1250" s="313"/>
      <c r="E1250" s="500">
        <v>225.7713</v>
      </c>
      <c r="F1250" s="402">
        <f>IFERROR(E1250*'01 Prod Physique Boites'!H1244,"-")</f>
        <v>0</v>
      </c>
      <c r="G1250" s="403">
        <f>IFERROR(E1250*'01 Prod Physique Boites'!L1244,"-")</f>
        <v>0</v>
      </c>
      <c r="H1250" s="387"/>
      <c r="I1250" s="423">
        <f>IFERROR(H1250*(F1250/E1250),"-")</f>
        <v>0</v>
      </c>
      <c r="J1250" s="424">
        <f t="shared" si="709"/>
        <v>0</v>
      </c>
    </row>
    <row r="1251" spans="1:10" ht="24" thickBot="1" x14ac:dyDescent="0.35">
      <c r="A1251" s="274" t="s">
        <v>102</v>
      </c>
      <c r="B1251" s="1025" t="s">
        <v>34</v>
      </c>
      <c r="C1251" s="1026"/>
      <c r="D1251" s="1027"/>
      <c r="E1251" s="390"/>
      <c r="F1251" s="406">
        <f t="shared" ref="F1251:G1251" si="710">SUM(F1248:F1250)</f>
        <v>0</v>
      </c>
      <c r="G1251" s="407">
        <f t="shared" si="710"/>
        <v>2255355.6710999999</v>
      </c>
      <c r="H1251" s="391"/>
      <c r="I1251" s="406">
        <f t="shared" ref="I1251:J1251" si="711">SUM(I1248:I1250)</f>
        <v>0</v>
      </c>
      <c r="J1251" s="425">
        <f t="shared" si="711"/>
        <v>3934252.98</v>
      </c>
    </row>
    <row r="1252" spans="1:10" ht="23.4" x14ac:dyDescent="0.3">
      <c r="A1252" s="274" t="s">
        <v>102</v>
      </c>
      <c r="B1252" s="1022" t="s">
        <v>35</v>
      </c>
      <c r="C1252" s="311" t="s">
        <v>113</v>
      </c>
      <c r="D1252" s="311"/>
      <c r="E1252" s="502">
        <v>254.89750000000001</v>
      </c>
      <c r="F1252" s="402">
        <f>IFERROR(E1252*'01 Prod Physique Boites'!H1246,"-")</f>
        <v>0</v>
      </c>
      <c r="G1252" s="403">
        <f>IFERROR(E1252*'01 Prod Physique Boites'!L1246,"-")</f>
        <v>0</v>
      </c>
      <c r="H1252" s="381">
        <v>445.38</v>
      </c>
      <c r="I1252" s="419">
        <f>IFERROR(H1252*(F1252/E1252),"-")</f>
        <v>0</v>
      </c>
      <c r="J1252" s="420">
        <f t="shared" ref="J1252:J1255" si="712">IFERROR(H1252*(G1252/E1252),"-")</f>
        <v>0</v>
      </c>
    </row>
    <row r="1253" spans="1:10" ht="23.4" x14ac:dyDescent="0.3">
      <c r="A1253" s="274" t="s">
        <v>102</v>
      </c>
      <c r="B1253" s="1023"/>
      <c r="C1253" s="312" t="s">
        <v>247</v>
      </c>
      <c r="D1253" s="312"/>
      <c r="E1253" s="503">
        <v>246.51390000000001</v>
      </c>
      <c r="F1253" s="402">
        <f>IFERROR(E1253*'01 Prod Physique Boites'!H1247,"-")</f>
        <v>0</v>
      </c>
      <c r="G1253" s="403">
        <f>IFERROR(E1253*'01 Prod Physique Boites'!L1247,"-")</f>
        <v>0</v>
      </c>
      <c r="H1253" s="385">
        <v>430.02</v>
      </c>
      <c r="I1253" s="421">
        <f>IFERROR(H1253*(F1253/E1253),"-")</f>
        <v>0</v>
      </c>
      <c r="J1253" s="422">
        <f t="shared" si="712"/>
        <v>0</v>
      </c>
    </row>
    <row r="1254" spans="1:10" ht="23.4" x14ac:dyDescent="0.3">
      <c r="A1254" s="274" t="s">
        <v>102</v>
      </c>
      <c r="B1254" s="1023"/>
      <c r="C1254" s="312" t="s">
        <v>184</v>
      </c>
      <c r="D1254" s="312" t="s">
        <v>183</v>
      </c>
      <c r="E1254" s="503">
        <v>254.89750000000001</v>
      </c>
      <c r="F1254" s="402">
        <f>IFERROR(E1254*'01 Prod Physique Boites'!H1248,"-")</f>
        <v>0</v>
      </c>
      <c r="G1254" s="403">
        <f>IFERROR(E1254*'01 Prod Physique Boites'!L1248,"-")</f>
        <v>0</v>
      </c>
      <c r="H1254" s="385"/>
      <c r="I1254" s="421">
        <f>IFERROR(H1254*(F1254/E1254),"-")</f>
        <v>0</v>
      </c>
      <c r="J1254" s="422">
        <f t="shared" si="712"/>
        <v>0</v>
      </c>
    </row>
    <row r="1255" spans="1:10" ht="24" thickBot="1" x14ac:dyDescent="0.35">
      <c r="A1255" s="274" t="s">
        <v>102</v>
      </c>
      <c r="B1255" s="1024"/>
      <c r="C1255" s="313" t="s">
        <v>36</v>
      </c>
      <c r="D1255" s="313"/>
      <c r="E1255" s="500">
        <v>229.99359999999999</v>
      </c>
      <c r="F1255" s="402">
        <f>IFERROR(E1255*'01 Prod Physique Boites'!H1249,"-")</f>
        <v>0</v>
      </c>
      <c r="G1255" s="403">
        <f>IFERROR(E1255*'01 Prod Physique Boites'!L1249,"-")</f>
        <v>0</v>
      </c>
      <c r="H1255" s="387"/>
      <c r="I1255" s="423">
        <f>IFERROR(H1255*(F1255/E1255),"-")</f>
        <v>0</v>
      </c>
      <c r="J1255" s="424">
        <f t="shared" si="712"/>
        <v>0</v>
      </c>
    </row>
    <row r="1256" spans="1:10" ht="24" thickBot="1" x14ac:dyDescent="0.35">
      <c r="A1256" s="274" t="s">
        <v>102</v>
      </c>
      <c r="B1256" s="1025" t="s">
        <v>37</v>
      </c>
      <c r="C1256" s="1026"/>
      <c r="D1256" s="1027"/>
      <c r="E1256" s="390"/>
      <c r="F1256" s="406">
        <f t="shared" ref="F1256:G1256" si="713">SUM(F1252:F1255)</f>
        <v>0</v>
      </c>
      <c r="G1256" s="407">
        <f t="shared" si="713"/>
        <v>0</v>
      </c>
      <c r="H1256" s="391"/>
      <c r="I1256" s="406">
        <f>SUM(I1252:I1255)</f>
        <v>0</v>
      </c>
      <c r="J1256" s="425">
        <f>SUM(J1252:J1255)</f>
        <v>0</v>
      </c>
    </row>
    <row r="1257" spans="1:10" ht="23.4" x14ac:dyDescent="0.3">
      <c r="A1257" s="274" t="s">
        <v>102</v>
      </c>
      <c r="B1257" s="1022" t="s">
        <v>402</v>
      </c>
      <c r="C1257" s="314" t="s">
        <v>116</v>
      </c>
      <c r="D1257" s="314"/>
      <c r="E1257" s="502">
        <v>195.2808</v>
      </c>
      <c r="F1257" s="402">
        <f>IFERROR(E1257*'01 Prod Physique Boites'!H1251,"-")</f>
        <v>0</v>
      </c>
      <c r="G1257" s="403">
        <f>IFERROR(E1257*'01 Prod Physique Boites'!L1251,"-")</f>
        <v>0</v>
      </c>
      <c r="H1257" s="681">
        <v>256.7</v>
      </c>
      <c r="I1257" s="419">
        <f>IFERROR(H1257*(F1257/E1257),"-")</f>
        <v>0</v>
      </c>
      <c r="J1257" s="420">
        <f t="shared" ref="J1257:J1258" si="714">IFERROR(H1257*(G1257/E1257),"-")</f>
        <v>0</v>
      </c>
    </row>
    <row r="1258" spans="1:10" ht="24" thickBot="1" x14ac:dyDescent="0.35">
      <c r="A1258" s="274" t="s">
        <v>102</v>
      </c>
      <c r="B1258" s="1024"/>
      <c r="C1258" s="286" t="s">
        <v>132</v>
      </c>
      <c r="D1258" s="286"/>
      <c r="E1258" s="500">
        <v>189.91890000000001</v>
      </c>
      <c r="F1258" s="402">
        <f>IFERROR(E1258*'01 Prod Physique Boites'!H1252,"-")</f>
        <v>0</v>
      </c>
      <c r="G1258" s="403">
        <f>IFERROR(E1258*'01 Prod Physique Boites'!L1252,"-")</f>
        <v>4138332.8310000002</v>
      </c>
      <c r="H1258" s="387">
        <v>320.35000000000002</v>
      </c>
      <c r="I1258" s="423">
        <f>IFERROR(H1258*(F1258/E1258),"-")</f>
        <v>0</v>
      </c>
      <c r="J1258" s="424">
        <f t="shared" si="714"/>
        <v>6980426.5000000009</v>
      </c>
    </row>
    <row r="1259" spans="1:10" ht="24" thickBot="1" x14ac:dyDescent="0.35">
      <c r="A1259" s="909" t="s">
        <v>102</v>
      </c>
      <c r="B1259" s="1025" t="s">
        <v>38</v>
      </c>
      <c r="C1259" s="1026"/>
      <c r="D1259" s="1027"/>
      <c r="E1259" s="390"/>
      <c r="F1259" s="406">
        <f>SUM(F1257:F1258)</f>
        <v>0</v>
      </c>
      <c r="G1259" s="407">
        <f t="shared" ref="G1259" si="715">SUM(G1257:G1258)</f>
        <v>4138332.8310000002</v>
      </c>
      <c r="H1259" s="391"/>
      <c r="I1259" s="406">
        <f t="shared" ref="I1259:J1259" si="716">SUM(I1257:I1258)</f>
        <v>0</v>
      </c>
      <c r="J1259" s="425">
        <f t="shared" si="716"/>
        <v>6980426.5000000009</v>
      </c>
    </row>
    <row r="1260" spans="1:10" ht="23.4" x14ac:dyDescent="0.3">
      <c r="A1260" s="274" t="s">
        <v>102</v>
      </c>
      <c r="B1260" s="1022" t="s">
        <v>403</v>
      </c>
      <c r="C1260" s="269" t="s">
        <v>306</v>
      </c>
      <c r="D1260" s="269" t="s">
        <v>238</v>
      </c>
      <c r="E1260" s="504">
        <v>37.248699999999999</v>
      </c>
      <c r="F1260" s="402">
        <f>IFERROR(E1260*'01 Prod Physique Boites'!H1254,"-")</f>
        <v>1782573.7871999999</v>
      </c>
      <c r="G1260" s="403">
        <f>IFERROR(E1260*'01 Prod Physique Boites'!L1254,"-")</f>
        <v>11200088.1108</v>
      </c>
      <c r="H1260" s="381">
        <v>71.44</v>
      </c>
      <c r="I1260" s="419">
        <f>IFERROR(H1260*(F1260/E1260),"-")</f>
        <v>3418832.6399999997</v>
      </c>
      <c r="J1260" s="420">
        <f>IFERROR(H1260*(G1260/E1260),"-")</f>
        <v>21480864.960000001</v>
      </c>
    </row>
    <row r="1261" spans="1:10" ht="23.4" x14ac:dyDescent="0.3">
      <c r="A1261" s="274" t="s">
        <v>102</v>
      </c>
      <c r="B1261" s="1023"/>
      <c r="C1261" s="269" t="s">
        <v>156</v>
      </c>
      <c r="D1261" s="275"/>
      <c r="E1261" s="504">
        <v>37.248699999999999</v>
      </c>
      <c r="F1261" s="402">
        <f>IFERROR(E1261*'01 Prod Physique Boites'!H1255,"-")</f>
        <v>0</v>
      </c>
      <c r="G1261" s="403">
        <f>IFERROR(E1261*'01 Prod Physique Boites'!L1255,"-")</f>
        <v>0</v>
      </c>
      <c r="H1261" s="385"/>
      <c r="I1261" s="421">
        <f>IFERROR(H1261*(F1261/E1261),"-")</f>
        <v>0</v>
      </c>
      <c r="J1261" s="422">
        <f t="shared" ref="J1261:J1263" si="717">IFERROR(H1261*(G1261/E1261),"-")</f>
        <v>0</v>
      </c>
    </row>
    <row r="1262" spans="1:10" ht="23.4" x14ac:dyDescent="0.3">
      <c r="A1262" s="274" t="s">
        <v>102</v>
      </c>
      <c r="B1262" s="1023"/>
      <c r="C1262" s="275" t="s">
        <v>345</v>
      </c>
      <c r="D1262" s="269" t="s">
        <v>238</v>
      </c>
      <c r="E1262" s="504">
        <v>37.248699999999999</v>
      </c>
      <c r="F1262" s="402">
        <f>IFERROR(E1262*'01 Prod Physique Boites'!H1256,"-")</f>
        <v>0</v>
      </c>
      <c r="G1262" s="403">
        <f>IFERROR(E1262*'01 Prod Physique Boites'!L1256,"-")</f>
        <v>1826378.2583999999</v>
      </c>
      <c r="H1262" s="385">
        <v>71.44</v>
      </c>
      <c r="I1262" s="421">
        <f>IFERROR(H1262*(F1262/E1262),"-")</f>
        <v>0</v>
      </c>
      <c r="J1262" s="422">
        <f t="shared" si="717"/>
        <v>3502846.08</v>
      </c>
    </row>
    <row r="1263" spans="1:10" ht="24" thickBot="1" x14ac:dyDescent="0.35">
      <c r="A1263" s="274" t="s">
        <v>102</v>
      </c>
      <c r="B1263" s="1023"/>
      <c r="C1263" s="275" t="s">
        <v>157</v>
      </c>
      <c r="D1263" s="275"/>
      <c r="E1263" s="505">
        <v>38.466099999999997</v>
      </c>
      <c r="F1263" s="402">
        <f>IFERROR(E1263*'01 Prod Physique Boites'!H1257,"-")</f>
        <v>0</v>
      </c>
      <c r="G1263" s="403">
        <f>IFERROR(E1263*'01 Prod Physique Boites'!L1257,"-")</f>
        <v>0</v>
      </c>
      <c r="H1263" s="385"/>
      <c r="I1263" s="421">
        <f>IFERROR(H1263*(F1263/E1263),"-")</f>
        <v>0</v>
      </c>
      <c r="J1263" s="422">
        <f t="shared" si="717"/>
        <v>0</v>
      </c>
    </row>
    <row r="1264" spans="1:10" ht="24" thickBot="1" x14ac:dyDescent="0.35">
      <c r="A1264" s="274" t="s">
        <v>102</v>
      </c>
      <c r="B1264" s="1025" t="s">
        <v>39</v>
      </c>
      <c r="C1264" s="1026"/>
      <c r="D1264" s="1027"/>
      <c r="E1264" s="390"/>
      <c r="F1264" s="406">
        <f>SUM(F1260:F1263)</f>
        <v>1782573.7871999999</v>
      </c>
      <c r="G1264" s="407">
        <f>SUM(G1260:G1263)</f>
        <v>13026466.369200001</v>
      </c>
      <c r="H1264" s="391"/>
      <c r="I1264" s="406">
        <f>SUM(I1260:I1263)</f>
        <v>3418832.6399999997</v>
      </c>
      <c r="J1264" s="406">
        <f>SUM(J1260:J1263)</f>
        <v>24983711.039999999</v>
      </c>
    </row>
    <row r="1265" spans="1:10" ht="23.4" x14ac:dyDescent="0.3">
      <c r="A1265" s="274" t="s">
        <v>102</v>
      </c>
      <c r="B1265" s="1022" t="s">
        <v>40</v>
      </c>
      <c r="C1265" s="269" t="s">
        <v>186</v>
      </c>
      <c r="D1265" s="269" t="s">
        <v>183</v>
      </c>
      <c r="E1265" s="504">
        <v>30.7499</v>
      </c>
      <c r="F1265" s="402">
        <f>IFERROR(E1265*'01 Prod Physique Boites'!H1260,"-")</f>
        <v>0</v>
      </c>
      <c r="G1265" s="402">
        <f>IFERROR(E1265*'01 Prod Physique Boites'!L1260,"-")</f>
        <v>0</v>
      </c>
      <c r="H1265" s="381"/>
      <c r="I1265" s="419">
        <f>IFERROR(H1265*(F1265/E1265),"-")</f>
        <v>0</v>
      </c>
      <c r="J1265" s="420">
        <f>IFERROR(H1265*(G1265/E1265),"-")</f>
        <v>0</v>
      </c>
    </row>
    <row r="1266" spans="1:10" ht="23.4" x14ac:dyDescent="0.3">
      <c r="A1266" s="274" t="s">
        <v>102</v>
      </c>
      <c r="B1266" s="1023"/>
      <c r="C1266" s="275" t="s">
        <v>159</v>
      </c>
      <c r="D1266" s="275"/>
      <c r="E1266" s="684">
        <v>30.073599999999999</v>
      </c>
      <c r="F1266" s="402">
        <f>IFERROR(E1266*'01 Prod Physique Boites'!H1261,"-")</f>
        <v>0</v>
      </c>
      <c r="G1266" s="403">
        <f>IFERROR(E1266*'01 Prod Physique Boites'!L1261,"-")</f>
        <v>342839.03999999998</v>
      </c>
      <c r="H1266" s="385">
        <v>59.96</v>
      </c>
      <c r="I1266" s="421">
        <f>IFERROR(H1266*(F1266/E1266),"-")</f>
        <v>0</v>
      </c>
      <c r="J1266" s="422">
        <f t="shared" ref="J1266:J1267" si="718">IFERROR(H1266*(G1266/E1266),"-")</f>
        <v>683544</v>
      </c>
    </row>
    <row r="1267" spans="1:10" ht="24" thickBot="1" x14ac:dyDescent="0.35">
      <c r="A1267" s="274" t="s">
        <v>102</v>
      </c>
      <c r="B1267" s="1024"/>
      <c r="C1267" s="279" t="s">
        <v>186</v>
      </c>
      <c r="D1267" s="279" t="s">
        <v>185</v>
      </c>
      <c r="E1267" s="501">
        <v>30.073599999999999</v>
      </c>
      <c r="F1267" s="402">
        <f>IFERROR(E1267*'01 Prod Physique Boites'!H1262,"-")</f>
        <v>0</v>
      </c>
      <c r="G1267" s="403">
        <f>IFERROR(E1267*'01 Prod Physique Boites'!L1262,"-")</f>
        <v>0</v>
      </c>
      <c r="H1267" s="387"/>
      <c r="I1267" s="423">
        <f>IFERROR(H1267*(F1267/E1267),"-")</f>
        <v>0</v>
      </c>
      <c r="J1267" s="424">
        <f t="shared" si="718"/>
        <v>0</v>
      </c>
    </row>
    <row r="1268" spans="1:10" ht="24" thickBot="1" x14ac:dyDescent="0.35">
      <c r="A1268" s="274" t="s">
        <v>102</v>
      </c>
      <c r="B1268" s="1034" t="s">
        <v>41</v>
      </c>
      <c r="C1268" s="1035"/>
      <c r="D1268" s="1036"/>
      <c r="E1268" s="390"/>
      <c r="F1268" s="406">
        <f t="shared" ref="F1268:G1268" si="719">SUM(F1265:F1267)</f>
        <v>0</v>
      </c>
      <c r="G1268" s="407">
        <f t="shared" si="719"/>
        <v>342839.03999999998</v>
      </c>
      <c r="H1268" s="391"/>
      <c r="I1268" s="406">
        <f t="shared" ref="I1268:J1268" si="720">SUM(I1265:I1267)</f>
        <v>0</v>
      </c>
      <c r="J1268" s="425">
        <f t="shared" si="720"/>
        <v>683544</v>
      </c>
    </row>
    <row r="1269" spans="1:10" ht="23.4" x14ac:dyDescent="0.3">
      <c r="A1269" s="274" t="s">
        <v>102</v>
      </c>
      <c r="B1269" s="1022" t="s">
        <v>42</v>
      </c>
      <c r="C1269" s="269" t="s">
        <v>160</v>
      </c>
      <c r="D1269" s="269"/>
      <c r="E1269" s="504">
        <v>36.684899999999999</v>
      </c>
      <c r="F1269" s="402">
        <f>IFERROR(E1269*'01 Prod Physique Boites'!H1264,"-")</f>
        <v>0</v>
      </c>
      <c r="G1269" s="402">
        <f>IFERROR(E1269*'01 Prod Physique Boites'!L1264,"-")</f>
        <v>0</v>
      </c>
      <c r="H1269" s="381"/>
      <c r="I1269" s="382" t="s">
        <v>190</v>
      </c>
      <c r="J1269" s="383" t="s">
        <v>190</v>
      </c>
    </row>
    <row r="1270" spans="1:10" ht="24" thickBot="1" x14ac:dyDescent="0.35">
      <c r="A1270" s="274" t="s">
        <v>102</v>
      </c>
      <c r="B1270" s="1024"/>
      <c r="C1270" s="279" t="s">
        <v>161</v>
      </c>
      <c r="D1270" s="279"/>
      <c r="E1270" s="501">
        <v>37.002800000000001</v>
      </c>
      <c r="F1270" s="402">
        <f>IFERROR(E1270*'01 Prod Physique Boites'!H1265,"-")</f>
        <v>0</v>
      </c>
      <c r="G1270" s="402">
        <f>IFERROR(E1270*'01 Prod Physique Boites'!L1265,"-")</f>
        <v>0</v>
      </c>
      <c r="H1270" s="387"/>
      <c r="I1270" s="388" t="s">
        <v>190</v>
      </c>
      <c r="J1270" s="389" t="s">
        <v>190</v>
      </c>
    </row>
    <row r="1271" spans="1:10" ht="24" thickBot="1" x14ac:dyDescent="0.35">
      <c r="A1271" s="274" t="s">
        <v>102</v>
      </c>
      <c r="B1271" s="1034" t="s">
        <v>43</v>
      </c>
      <c r="C1271" s="1035"/>
      <c r="D1271" s="1036"/>
      <c r="E1271" s="390"/>
      <c r="F1271" s="402">
        <f>IFERROR(E1271*'01 Prod Physique Boites'!H1265,"-")</f>
        <v>0</v>
      </c>
      <c r="G1271" s="407">
        <f>IFERROR(E1271*'01 Prod Physique Boites'!L1265,"-")</f>
        <v>0</v>
      </c>
      <c r="H1271" s="391"/>
      <c r="I1271" s="406">
        <f t="shared" ref="I1271:J1271" si="721">SUM(I1269:I1270)</f>
        <v>0</v>
      </c>
      <c r="J1271" s="425">
        <f t="shared" si="721"/>
        <v>0</v>
      </c>
    </row>
    <row r="1272" spans="1:10" ht="24" thickBot="1" x14ac:dyDescent="0.35">
      <c r="A1272" s="274" t="s">
        <v>102</v>
      </c>
      <c r="B1272" s="1028" t="s">
        <v>25</v>
      </c>
      <c r="C1272" s="1029"/>
      <c r="D1272" s="1030"/>
      <c r="E1272" s="393"/>
      <c r="F1272" s="410">
        <f>+F1251+F1256+F1259+F1264+F1268+F1271</f>
        <v>1782573.7871999999</v>
      </c>
      <c r="G1272" s="411">
        <f>+G1251+G1256+G1259+G1264+G1268+G1271</f>
        <v>19762993.9113</v>
      </c>
      <c r="H1272" s="394"/>
      <c r="I1272" s="410">
        <f>+I1251+I1256+I1259+I1264+I1268+I1271</f>
        <v>3418832.6399999997</v>
      </c>
      <c r="J1272" s="428">
        <f>+J1251+J1256+J1259+J1264+J1268+J1271</f>
        <v>36581934.519999996</v>
      </c>
    </row>
    <row r="1273" spans="1:10" ht="24" thickBot="1" x14ac:dyDescent="0.35">
      <c r="A1273" s="318" t="s">
        <v>102</v>
      </c>
      <c r="B1273" s="1020" t="s">
        <v>173</v>
      </c>
      <c r="C1273" s="1020"/>
      <c r="D1273" s="1021"/>
      <c r="E1273" s="395"/>
      <c r="F1273" s="412">
        <f t="shared" ref="F1273:G1273" si="722">+F1272</f>
        <v>1782573.7871999999</v>
      </c>
      <c r="G1273" s="413">
        <f t="shared" si="722"/>
        <v>19762993.9113</v>
      </c>
      <c r="H1273" s="396"/>
      <c r="I1273" s="412">
        <f t="shared" ref="I1273" si="723">+I1272</f>
        <v>3418832.6399999997</v>
      </c>
      <c r="J1273" s="429">
        <f>+J1272</f>
        <v>36581934.519999996</v>
      </c>
    </row>
    <row r="1274" spans="1:10" ht="24.6" thickBot="1" x14ac:dyDescent="0.35">
      <c r="A1274" s="319"/>
      <c r="B1274" s="1031" t="s">
        <v>174</v>
      </c>
      <c r="C1274" s="1032"/>
      <c r="D1274" s="1033"/>
      <c r="E1274" s="401"/>
      <c r="F1274" s="418">
        <f>+F1212+F1247+F1273</f>
        <v>9022627.2331999987</v>
      </c>
      <c r="G1274" s="418">
        <f>+G1212+G1247+G1273</f>
        <v>74573499.455699995</v>
      </c>
      <c r="H1274" s="401"/>
      <c r="I1274" s="418">
        <f>+I1212+I1247+I1273</f>
        <v>12061488</v>
      </c>
      <c r="J1274" s="432">
        <f>+J1212+J1247+J1273</f>
        <v>102990219</v>
      </c>
    </row>
    <row r="1275" spans="1:10" ht="23.4" x14ac:dyDescent="0.3">
      <c r="A1275" s="1057" t="s">
        <v>1</v>
      </c>
      <c r="B1275" s="1060" t="s">
        <v>2</v>
      </c>
      <c r="C1275" s="1063" t="s">
        <v>396</v>
      </c>
      <c r="D1275" s="1063" t="s">
        <v>397</v>
      </c>
      <c r="E1275" s="1092" t="s">
        <v>405</v>
      </c>
      <c r="F1275" s="1093"/>
      <c r="G1275" s="1093"/>
      <c r="H1275" s="442"/>
      <c r="I1275" s="442"/>
      <c r="J1275" s="443"/>
    </row>
    <row r="1276" spans="1:10" ht="23.4" x14ac:dyDescent="0.3">
      <c r="A1276" s="1058"/>
      <c r="B1276" s="1061"/>
      <c r="C1276" s="1064"/>
      <c r="D1276" s="1064"/>
      <c r="E1276" s="1094" t="s">
        <v>408</v>
      </c>
      <c r="F1276" s="1095"/>
      <c r="G1276" s="1096"/>
      <c r="H1276" s="1094" t="s">
        <v>168</v>
      </c>
      <c r="I1276" s="1095"/>
      <c r="J1276" s="1096"/>
    </row>
    <row r="1277" spans="1:10" ht="46.8" x14ac:dyDescent="0.3">
      <c r="A1277" s="1059"/>
      <c r="B1277" s="1090"/>
      <c r="C1277" s="1091"/>
      <c r="D1277" s="1091"/>
      <c r="E1277" s="379" t="s">
        <v>170</v>
      </c>
      <c r="F1277" s="924" t="s">
        <v>407</v>
      </c>
      <c r="G1277" s="925" t="s">
        <v>406</v>
      </c>
      <c r="H1277" s="1097" t="s">
        <v>170</v>
      </c>
      <c r="I1277" s="1099" t="s">
        <v>137</v>
      </c>
      <c r="J1277" s="1101" t="s">
        <v>406</v>
      </c>
    </row>
    <row r="1278" spans="1:10" ht="24" thickBot="1" x14ac:dyDescent="0.35">
      <c r="A1278" s="1059"/>
      <c r="B1278" s="1062"/>
      <c r="C1278" s="1065"/>
      <c r="D1278" s="1065"/>
      <c r="E1278" s="1103" t="s">
        <v>556</v>
      </c>
      <c r="F1278" s="1104"/>
      <c r="G1278" s="1105"/>
      <c r="H1278" s="1098"/>
      <c r="I1278" s="1100"/>
      <c r="J1278" s="1102"/>
    </row>
    <row r="1279" spans="1:10" ht="23.4" x14ac:dyDescent="0.3">
      <c r="A1279" s="268" t="s">
        <v>103</v>
      </c>
      <c r="B1279" s="1043" t="s">
        <v>16</v>
      </c>
      <c r="C1279" s="269" t="s">
        <v>368</v>
      </c>
      <c r="D1279" s="269" t="s">
        <v>369</v>
      </c>
      <c r="E1279" s="705">
        <v>81.360699999999994</v>
      </c>
      <c r="F1279" s="402">
        <f>IFERROR(E1279*'01 Prod Physique Boites'!H1273,"-")</f>
        <v>598814.75199999998</v>
      </c>
      <c r="G1279" s="402">
        <f>IFERROR(E1279*'01 Prod Physique Boites'!L1273,"-")</f>
        <v>1223664.9279999998</v>
      </c>
      <c r="H1279" s="706">
        <v>143.28</v>
      </c>
      <c r="I1279" s="419">
        <f>IFERROR(H1279*(F1279/E1279),"-")</f>
        <v>1054540.8</v>
      </c>
      <c r="J1279" s="420">
        <f t="shared" ref="J1279:J1281" si="724">IFERROR(H1279*(G1279/E1279),"-")</f>
        <v>2154931.2000000002</v>
      </c>
    </row>
    <row r="1280" spans="1:10" ht="23.4" x14ac:dyDescent="0.3">
      <c r="A1280" s="713"/>
      <c r="B1280" s="1044"/>
      <c r="C1280" s="275" t="s">
        <v>470</v>
      </c>
      <c r="D1280" s="275" t="s">
        <v>375</v>
      </c>
      <c r="E1280" s="505">
        <v>81.360699999999994</v>
      </c>
      <c r="F1280" s="402">
        <f>IFERROR(E1280*'01 Prod Physique Boites'!H1274,"-")</f>
        <v>0</v>
      </c>
      <c r="G1280" s="402">
        <f>IFERROR(E1280*'01 Prod Physique Boites'!L1274,"-")</f>
        <v>0</v>
      </c>
      <c r="H1280" s="708">
        <v>143.28</v>
      </c>
      <c r="I1280" s="419">
        <f>IFERROR(H1280*(F1280/E1280),"-")</f>
        <v>0</v>
      </c>
      <c r="J1280" s="420">
        <f t="shared" si="724"/>
        <v>0</v>
      </c>
    </row>
    <row r="1281" spans="1:10" ht="23.4" x14ac:dyDescent="0.3">
      <c r="A1281" s="274" t="s">
        <v>103</v>
      </c>
      <c r="B1281" s="1044"/>
      <c r="C1281" s="275" t="s">
        <v>430</v>
      </c>
      <c r="D1281" s="275" t="s">
        <v>384</v>
      </c>
      <c r="E1281" s="684">
        <v>77.170400000000001</v>
      </c>
      <c r="F1281" s="402">
        <f>IFERROR(E1281*'01 Prod Physique Boites'!H1275,"-")</f>
        <v>0</v>
      </c>
      <c r="G1281" s="402">
        <f>IFERROR(E1281*'01 Prod Physique Boites'!L1275,"-")</f>
        <v>617363.19999999995</v>
      </c>
      <c r="H1281" s="385">
        <v>0</v>
      </c>
      <c r="I1281" s="419">
        <f>IFERROR(H1281*(F1281/E1281),"-")</f>
        <v>0</v>
      </c>
      <c r="J1281" s="420">
        <f t="shared" si="724"/>
        <v>0</v>
      </c>
    </row>
    <row r="1282" spans="1:10" ht="24" thickBot="1" x14ac:dyDescent="0.35">
      <c r="A1282" s="274" t="s">
        <v>103</v>
      </c>
      <c r="B1282" s="1045"/>
      <c r="C1282" s="279" t="s">
        <v>262</v>
      </c>
      <c r="D1282" s="279" t="s">
        <v>231</v>
      </c>
      <c r="E1282" s="501">
        <v>60.703499999999998</v>
      </c>
      <c r="F1282" s="402">
        <f>IFERROR(E1282*'01 Prod Physique Boites'!H1276,"-")</f>
        <v>0</v>
      </c>
      <c r="G1282" s="402">
        <f>IFERROR(E1282*'01 Prod Physique Boites'!L1276,"-")</f>
        <v>0</v>
      </c>
      <c r="H1282" s="387">
        <v>111.09</v>
      </c>
      <c r="I1282" s="419">
        <f>IFERROR(H1282*(F1282/E1282),"-")</f>
        <v>0</v>
      </c>
      <c r="J1282" s="420">
        <f>IFERROR(H1282*(G1282/E1282),"-")</f>
        <v>0</v>
      </c>
    </row>
    <row r="1283" spans="1:10" ht="24" thickBot="1" x14ac:dyDescent="0.35">
      <c r="A1283" s="274" t="s">
        <v>103</v>
      </c>
      <c r="B1283" s="1025" t="s">
        <v>44</v>
      </c>
      <c r="C1283" s="1026"/>
      <c r="D1283" s="1027"/>
      <c r="E1283" s="390"/>
      <c r="F1283" s="406">
        <f t="shared" ref="F1283" si="725">SUM(F1279:F1282)</f>
        <v>598814.75199999998</v>
      </c>
      <c r="G1283" s="407">
        <f>SUM(G1279:G1282)</f>
        <v>1841028.1279999998</v>
      </c>
      <c r="H1283" s="391"/>
      <c r="I1283" s="406">
        <f t="shared" ref="I1283:J1283" si="726">SUM(I1279:I1282)</f>
        <v>1054540.8</v>
      </c>
      <c r="J1283" s="425">
        <f t="shared" si="726"/>
        <v>2154931.2000000002</v>
      </c>
    </row>
    <row r="1284" spans="1:10" ht="23.4" x14ac:dyDescent="0.3">
      <c r="A1284" s="274" t="s">
        <v>103</v>
      </c>
      <c r="B1284" s="1043" t="s">
        <v>17</v>
      </c>
      <c r="C1284" s="269" t="s">
        <v>294</v>
      </c>
      <c r="D1284" s="269"/>
      <c r="E1284" s="504">
        <v>12.5275</v>
      </c>
      <c r="F1284" s="402">
        <f>IFERROR(E1284*'01 Prod Physique Boites'!H1278,"-")</f>
        <v>0</v>
      </c>
      <c r="G1284" s="402">
        <f>IFERROR(E1284*'01 Prod Physique Boites'!L1278,"-")</f>
        <v>0</v>
      </c>
      <c r="H1284" s="681">
        <v>18.836400000000001</v>
      </c>
      <c r="I1284" s="419">
        <f t="shared" ref="I1284:I1290" si="727">IFERROR(H1284*(F1284/E1284),"-")</f>
        <v>0</v>
      </c>
      <c r="J1284" s="420">
        <f t="shared" ref="J1284:J1289" si="728">IFERROR(H1284*(G1284/E1284),"-")</f>
        <v>0</v>
      </c>
    </row>
    <row r="1285" spans="1:10" ht="23.4" x14ac:dyDescent="0.3">
      <c r="A1285" s="274" t="s">
        <v>103</v>
      </c>
      <c r="B1285" s="1044"/>
      <c r="C1285" s="275" t="s">
        <v>344</v>
      </c>
      <c r="D1285" s="275" t="s">
        <v>232</v>
      </c>
      <c r="E1285" s="677">
        <v>13.002700000000001</v>
      </c>
      <c r="F1285" s="402">
        <f>IFERROR(E1285*'01 Prod Physique Boites'!H1279,"-")</f>
        <v>0</v>
      </c>
      <c r="G1285" s="402">
        <f>IFERROR(E1285*'01 Prod Physique Boites'!L1279,"-")</f>
        <v>77756.146000000008</v>
      </c>
      <c r="H1285" s="385">
        <v>21.18</v>
      </c>
      <c r="I1285" s="421">
        <f t="shared" si="727"/>
        <v>0</v>
      </c>
      <c r="J1285" s="422">
        <f t="shared" si="728"/>
        <v>126656.4</v>
      </c>
    </row>
    <row r="1286" spans="1:10" ht="23.4" x14ac:dyDescent="0.3">
      <c r="A1286" s="274" t="s">
        <v>103</v>
      </c>
      <c r="B1286" s="1044"/>
      <c r="C1286" s="275" t="s">
        <v>351</v>
      </c>
      <c r="D1286" s="275" t="s">
        <v>187</v>
      </c>
      <c r="E1286" s="677">
        <v>12.9049</v>
      </c>
      <c r="F1286" s="402">
        <f>IFERROR(E1286*'01 Prod Physique Boites'!H1280,"-")</f>
        <v>789779.88</v>
      </c>
      <c r="G1286" s="402">
        <f>IFERROR(E1286*'01 Prod Physique Boites'!L1280,"-")</f>
        <v>11846698.199999999</v>
      </c>
      <c r="H1286" s="385">
        <v>20.5</v>
      </c>
      <c r="I1286" s="421">
        <f t="shared" si="727"/>
        <v>1254600</v>
      </c>
      <c r="J1286" s="422">
        <f t="shared" si="728"/>
        <v>18819000</v>
      </c>
    </row>
    <row r="1287" spans="1:10" ht="23.4" x14ac:dyDescent="0.3">
      <c r="A1287" s="274" t="s">
        <v>103</v>
      </c>
      <c r="B1287" s="1044"/>
      <c r="C1287" s="275" t="s">
        <v>530</v>
      </c>
      <c r="D1287" s="275" t="s">
        <v>529</v>
      </c>
      <c r="E1287" s="505">
        <v>13.1958</v>
      </c>
      <c r="F1287" s="402">
        <f>IFERROR(E1287*'01 Prod Physique Boites'!H1281,"-")</f>
        <v>0</v>
      </c>
      <c r="G1287" s="402">
        <f>IFERROR(E1287*'01 Prod Physique Boites'!L1281,"-")</f>
        <v>545646.32999999996</v>
      </c>
      <c r="H1287" s="708">
        <v>21.28</v>
      </c>
      <c r="I1287" s="421">
        <f t="shared" si="727"/>
        <v>0</v>
      </c>
      <c r="J1287" s="422">
        <f t="shared" si="728"/>
        <v>879927.99999999988</v>
      </c>
    </row>
    <row r="1288" spans="1:10" ht="23.4" x14ac:dyDescent="0.3">
      <c r="A1288" s="274" t="s">
        <v>103</v>
      </c>
      <c r="B1288" s="1044"/>
      <c r="C1288" s="275" t="s">
        <v>323</v>
      </c>
      <c r="D1288" s="275" t="s">
        <v>318</v>
      </c>
      <c r="E1288" s="505">
        <v>13.1958</v>
      </c>
      <c r="F1288" s="402">
        <f>IFERROR(E1288*'01 Prod Physique Boites'!H1282,"-")</f>
        <v>0</v>
      </c>
      <c r="G1288" s="402">
        <f>IFERROR(E1288*'01 Prod Physique Boites'!L1282,"-")</f>
        <v>0</v>
      </c>
      <c r="H1288" s="385">
        <v>21.28</v>
      </c>
      <c r="I1288" s="421">
        <f t="shared" si="727"/>
        <v>0</v>
      </c>
      <c r="J1288" s="422">
        <f t="shared" si="728"/>
        <v>0</v>
      </c>
    </row>
    <row r="1289" spans="1:10" ht="23.4" x14ac:dyDescent="0.3">
      <c r="A1289" s="274">
        <v>1</v>
      </c>
      <c r="B1289" s="1044"/>
      <c r="C1289" s="275" t="s">
        <v>528</v>
      </c>
      <c r="D1289" s="275" t="s">
        <v>189</v>
      </c>
      <c r="E1289" s="677">
        <v>13.1958</v>
      </c>
      <c r="F1289" s="402">
        <f>IFERROR(E1289*'01 Prod Physique Boites'!H1283,"-")</f>
        <v>0</v>
      </c>
      <c r="G1289" s="402">
        <f>IFERROR(E1289*'01 Prod Physique Boites'!L1283,"-")</f>
        <v>445490.20799999998</v>
      </c>
      <c r="H1289" s="664">
        <v>21.28</v>
      </c>
      <c r="I1289" s="421">
        <f t="shared" si="727"/>
        <v>0</v>
      </c>
      <c r="J1289" s="422">
        <f t="shared" si="728"/>
        <v>718412.80000000005</v>
      </c>
    </row>
    <row r="1290" spans="1:10" ht="24" thickBot="1" x14ac:dyDescent="0.35">
      <c r="A1290" s="274" t="s">
        <v>103</v>
      </c>
      <c r="B1290" s="1045"/>
      <c r="C1290" s="279" t="s">
        <v>341</v>
      </c>
      <c r="D1290" s="279" t="s">
        <v>175</v>
      </c>
      <c r="E1290" s="501">
        <v>13.6509</v>
      </c>
      <c r="F1290" s="402">
        <f>IFERROR(E1290*'01 Prod Physique Boites'!H1284,"-")</f>
        <v>0</v>
      </c>
      <c r="G1290" s="402">
        <f>IFERROR(E1290*'01 Prod Physique Boites'!L1284,"-")</f>
        <v>0</v>
      </c>
      <c r="H1290" s="387">
        <v>21.18</v>
      </c>
      <c r="I1290" s="423">
        <f t="shared" si="727"/>
        <v>0</v>
      </c>
      <c r="J1290" s="424">
        <f>IFERROR(H1290*(G1290/E1290),"-")</f>
        <v>0</v>
      </c>
    </row>
    <row r="1291" spans="1:10" ht="24" thickBot="1" x14ac:dyDescent="0.35">
      <c r="A1291" s="274" t="s">
        <v>103</v>
      </c>
      <c r="B1291" s="1025" t="s">
        <v>45</v>
      </c>
      <c r="C1291" s="1026"/>
      <c r="D1291" s="1027"/>
      <c r="E1291" s="390"/>
      <c r="F1291" s="406">
        <f t="shared" ref="F1291" si="729">SUM(F1284:F1290)</f>
        <v>789779.88</v>
      </c>
      <c r="G1291" s="407">
        <f>SUM(G1284:G1290)</f>
        <v>12915590.884</v>
      </c>
      <c r="H1291" s="391"/>
      <c r="I1291" s="406">
        <f t="shared" ref="I1291" si="730">SUM(I1284:I1290)</f>
        <v>1254600</v>
      </c>
      <c r="J1291" s="425">
        <f>SUM(J1284:J1290)</f>
        <v>20543997.199999999</v>
      </c>
    </row>
    <row r="1292" spans="1:10" ht="23.4" x14ac:dyDescent="0.3">
      <c r="A1292" s="274" t="s">
        <v>103</v>
      </c>
      <c r="B1292" s="1043" t="s">
        <v>18</v>
      </c>
      <c r="C1292" s="269" t="s">
        <v>312</v>
      </c>
      <c r="D1292" s="269" t="s">
        <v>92</v>
      </c>
      <c r="E1292" s="504">
        <v>17.8202</v>
      </c>
      <c r="F1292" s="402">
        <f>IFERROR(E1292*'01 Prod Physique Boites'!H1286,"-")</f>
        <v>0</v>
      </c>
      <c r="G1292" s="403">
        <f>IFERROR(E1292*'01 Prod Physique Boites'!L1286,"-")</f>
        <v>0</v>
      </c>
      <c r="H1292" s="381">
        <v>24.93</v>
      </c>
      <c r="I1292" s="419">
        <f t="shared" ref="I1292:I1298" si="731">IFERROR(H1292*(F1292/E1292),"-")</f>
        <v>0</v>
      </c>
      <c r="J1292" s="420">
        <f t="shared" ref="J1292:J1294" si="732">IFERROR(H1292*(G1292/E1292),"-")</f>
        <v>0</v>
      </c>
    </row>
    <row r="1293" spans="1:10" ht="23.4" x14ac:dyDescent="0.3">
      <c r="A1293" s="274" t="s">
        <v>103</v>
      </c>
      <c r="B1293" s="1044"/>
      <c r="C1293" s="275" t="s">
        <v>130</v>
      </c>
      <c r="D1293" s="275"/>
      <c r="E1293" s="505">
        <v>17.8202</v>
      </c>
      <c r="F1293" s="402">
        <f>IFERROR(E1293*'01 Prod Physique Boites'!H1287,"-")</f>
        <v>0</v>
      </c>
      <c r="G1293" s="403">
        <f>IFERROR(E1293*'01 Prod Physique Boites'!L1287,"-")</f>
        <v>0</v>
      </c>
      <c r="H1293" s="385">
        <v>0</v>
      </c>
      <c r="I1293" s="421">
        <f t="shared" si="731"/>
        <v>0</v>
      </c>
      <c r="J1293" s="422">
        <f t="shared" si="732"/>
        <v>0</v>
      </c>
    </row>
    <row r="1294" spans="1:10" ht="23.4" x14ac:dyDescent="0.3">
      <c r="A1294" s="274" t="s">
        <v>103</v>
      </c>
      <c r="B1294" s="1044"/>
      <c r="C1294" s="275" t="s">
        <v>115</v>
      </c>
      <c r="D1294" s="275"/>
      <c r="E1294" s="505">
        <v>16.4071</v>
      </c>
      <c r="F1294" s="402">
        <f>IFERROR(E1294*'01 Prod Physique Boites'!H1288,"-")</f>
        <v>0</v>
      </c>
      <c r="G1294" s="403">
        <f>IFERROR(E1294*'01 Prod Physique Boites'!L1288,"-")</f>
        <v>0</v>
      </c>
      <c r="H1294" s="385">
        <v>0</v>
      </c>
      <c r="I1294" s="421">
        <f t="shared" si="731"/>
        <v>0</v>
      </c>
      <c r="J1294" s="422">
        <f t="shared" si="732"/>
        <v>0</v>
      </c>
    </row>
    <row r="1295" spans="1:10" ht="23.4" x14ac:dyDescent="0.3">
      <c r="A1295" s="274" t="s">
        <v>103</v>
      </c>
      <c r="B1295" s="1044"/>
      <c r="C1295" s="275" t="s">
        <v>122</v>
      </c>
      <c r="D1295" s="275"/>
      <c r="E1295" s="505">
        <v>17.8202</v>
      </c>
      <c r="F1295" s="402">
        <f>IFERROR(E1295*'01 Prod Physique Boites'!H1289,"-")</f>
        <v>0</v>
      </c>
      <c r="G1295" s="403">
        <f>IFERROR(E1295*'01 Prod Physique Boites'!L1289,"-")</f>
        <v>0</v>
      </c>
      <c r="H1295" s="385">
        <v>0</v>
      </c>
      <c r="I1295" s="421">
        <f t="shared" si="731"/>
        <v>0</v>
      </c>
      <c r="J1295" s="422">
        <f>IFERROR(H1295*(G1295/E1295),"-")</f>
        <v>0</v>
      </c>
    </row>
    <row r="1296" spans="1:10" ht="23.4" x14ac:dyDescent="0.3">
      <c r="A1296" s="274" t="s">
        <v>103</v>
      </c>
      <c r="B1296" s="1044"/>
      <c r="C1296" s="275" t="s">
        <v>176</v>
      </c>
      <c r="D1296" s="275" t="s">
        <v>177</v>
      </c>
      <c r="E1296" s="505">
        <v>17.8202</v>
      </c>
      <c r="F1296" s="402">
        <f>IFERROR(E1296*'01 Prod Physique Boites'!H1290,"-")</f>
        <v>0</v>
      </c>
      <c r="G1296" s="403">
        <f>IFERROR(E1296*'01 Prod Physique Boites'!L1290,"-")</f>
        <v>0</v>
      </c>
      <c r="H1296" s="385">
        <v>0</v>
      </c>
      <c r="I1296" s="421">
        <f t="shared" si="731"/>
        <v>0</v>
      </c>
      <c r="J1296" s="422">
        <f t="shared" ref="J1296:J1298" si="733">IFERROR(H1296*(G1296/E1296),"-")</f>
        <v>0</v>
      </c>
    </row>
    <row r="1297" spans="1:10" ht="23.4" x14ac:dyDescent="0.3">
      <c r="A1297" s="274" t="s">
        <v>103</v>
      </c>
      <c r="B1297" s="1044"/>
      <c r="C1297" s="275" t="s">
        <v>179</v>
      </c>
      <c r="D1297" s="275" t="s">
        <v>178</v>
      </c>
      <c r="E1297" s="505">
        <v>16.7288</v>
      </c>
      <c r="F1297" s="402">
        <f>IFERROR(E1297*'01 Prod Physique Boites'!H1291,"-")</f>
        <v>0</v>
      </c>
      <c r="G1297" s="403">
        <f>IFERROR(E1297*'01 Prod Physique Boites'!L1291,"-")</f>
        <v>0</v>
      </c>
      <c r="H1297" s="385">
        <v>0</v>
      </c>
      <c r="I1297" s="421">
        <f t="shared" si="731"/>
        <v>0</v>
      </c>
      <c r="J1297" s="422">
        <f t="shared" si="733"/>
        <v>0</v>
      </c>
    </row>
    <row r="1298" spans="1:10" ht="24" thickBot="1" x14ac:dyDescent="0.35">
      <c r="A1298" s="274" t="s">
        <v>103</v>
      </c>
      <c r="B1298" s="1045"/>
      <c r="C1298" s="286" t="s">
        <v>180</v>
      </c>
      <c r="D1298" s="286" t="s">
        <v>107</v>
      </c>
      <c r="E1298" s="501">
        <v>17.8202</v>
      </c>
      <c r="F1298" s="402">
        <f>IFERROR(E1298*'01 Prod Physique Boites'!H1292,"-")</f>
        <v>0</v>
      </c>
      <c r="G1298" s="403">
        <f>IFERROR(E1298*'01 Prod Physique Boites'!L1292,"-")</f>
        <v>0</v>
      </c>
      <c r="H1298" s="385">
        <v>0</v>
      </c>
      <c r="I1298" s="423">
        <f t="shared" si="731"/>
        <v>0</v>
      </c>
      <c r="J1298" s="424">
        <f t="shared" si="733"/>
        <v>0</v>
      </c>
    </row>
    <row r="1299" spans="1:10" ht="24" thickBot="1" x14ac:dyDescent="0.35">
      <c r="A1299" s="274" t="s">
        <v>103</v>
      </c>
      <c r="B1299" s="1025" t="s">
        <v>29</v>
      </c>
      <c r="C1299" s="1083"/>
      <c r="D1299" s="1084"/>
      <c r="E1299" s="841"/>
      <c r="F1299" s="856">
        <f t="shared" ref="F1299:G1299" si="734">SUM(F1292:F1298)</f>
        <v>0</v>
      </c>
      <c r="G1299" s="415">
        <f t="shared" si="734"/>
        <v>0</v>
      </c>
      <c r="H1299" s="391"/>
      <c r="I1299" s="406">
        <f t="shared" ref="I1299:J1299" si="735">SUM(I1292:I1298)</f>
        <v>0</v>
      </c>
      <c r="J1299" s="425">
        <f t="shared" si="735"/>
        <v>0</v>
      </c>
    </row>
    <row r="1300" spans="1:10" ht="23.4" x14ac:dyDescent="0.3">
      <c r="A1300" s="274"/>
      <c r="B1300" s="1037" t="s">
        <v>19</v>
      </c>
      <c r="C1300" s="669" t="s">
        <v>235</v>
      </c>
      <c r="D1300" s="669" t="s">
        <v>177</v>
      </c>
      <c r="E1300" s="850">
        <v>12.2659</v>
      </c>
      <c r="F1300" s="658">
        <f>IFERROR(E1300*'01 Prod Physique Boites'!H1294,"-")</f>
        <v>1554334.848</v>
      </c>
      <c r="G1300" s="659">
        <f>IFERROR(E1300*'01 Prod Physique Boites'!L1294,"-")</f>
        <v>1554334.848</v>
      </c>
      <c r="H1300" s="653">
        <v>14.79</v>
      </c>
      <c r="I1300" s="638">
        <f t="shared" ref="I1300:I1306" si="736">IFERROR(H1300*(F1300/E1300),"-")</f>
        <v>1874188.7999999998</v>
      </c>
      <c r="J1300" s="638">
        <f>IFERROR(H1300*(G1300/E1300),"-")</f>
        <v>1874188.7999999998</v>
      </c>
    </row>
    <row r="1301" spans="1:10" ht="23.4" x14ac:dyDescent="0.3">
      <c r="A1301" s="274"/>
      <c r="B1301" s="1038"/>
      <c r="C1301" s="840" t="s">
        <v>359</v>
      </c>
      <c r="D1301" s="840" t="s">
        <v>423</v>
      </c>
      <c r="E1301" s="851">
        <v>12.2659</v>
      </c>
      <c r="F1301" s="643">
        <f>IFERROR(E1301*'01 Prod Physique Boites'!H1295,"-")</f>
        <v>0</v>
      </c>
      <c r="G1301" s="633">
        <f>IFERROR(E1301*'01 Prod Physique Boites'!L1295,"-")</f>
        <v>7046317.9775999999</v>
      </c>
      <c r="H1301" s="654">
        <v>14.55</v>
      </c>
      <c r="I1301" s="643">
        <f t="shared" si="736"/>
        <v>0</v>
      </c>
      <c r="J1301" s="643">
        <f>IFERROR(H1301*(G1301/E1301),"-")</f>
        <v>8358451.2000000002</v>
      </c>
    </row>
    <row r="1302" spans="1:10" ht="23.4" x14ac:dyDescent="0.3">
      <c r="A1302" s="274"/>
      <c r="B1302" s="1038"/>
      <c r="C1302" s="840" t="s">
        <v>235</v>
      </c>
      <c r="D1302" s="840" t="s">
        <v>522</v>
      </c>
      <c r="E1302" s="851">
        <v>12.2659</v>
      </c>
      <c r="F1302" s="643">
        <f>IFERROR(E1302*'01 Prod Physique Boites'!H1296,"-")</f>
        <v>0</v>
      </c>
      <c r="G1302" s="633">
        <f>IFERROR(E1302*'01 Prod Physique Boites'!L1296,"-")</f>
        <v>2621370.0208000001</v>
      </c>
      <c r="H1302" s="860">
        <v>0</v>
      </c>
      <c r="I1302" s="643">
        <f t="shared" si="736"/>
        <v>0</v>
      </c>
      <c r="J1302" s="643">
        <f t="shared" ref="J1302:J1305" si="737">IFERROR(H1302*(G1302/E1302),"-")</f>
        <v>0</v>
      </c>
    </row>
    <row r="1303" spans="1:10" ht="23.4" x14ac:dyDescent="0.3">
      <c r="A1303" s="274"/>
      <c r="B1303" s="1038"/>
      <c r="C1303" s="840" t="s">
        <v>377</v>
      </c>
      <c r="D1303" s="840" t="s">
        <v>522</v>
      </c>
      <c r="E1303" s="851">
        <v>12.2659</v>
      </c>
      <c r="F1303" s="643">
        <f>IFERROR(E1303*'01 Prod Physique Boites'!H1297,"-")</f>
        <v>0</v>
      </c>
      <c r="G1303" s="633">
        <f>IFERROR(E1303*'01 Prod Physique Boites'!L1297,"-")</f>
        <v>3523158.9887999999</v>
      </c>
      <c r="H1303" s="860">
        <v>0</v>
      </c>
      <c r="I1303" s="643">
        <f t="shared" si="736"/>
        <v>0</v>
      </c>
      <c r="J1303" s="643">
        <f t="shared" si="737"/>
        <v>0</v>
      </c>
    </row>
    <row r="1304" spans="1:10" ht="23.4" x14ac:dyDescent="0.3">
      <c r="A1304" s="274"/>
      <c r="B1304" s="1038"/>
      <c r="C1304" s="840" t="s">
        <v>536</v>
      </c>
      <c r="D1304" s="840" t="s">
        <v>522</v>
      </c>
      <c r="E1304" s="851">
        <v>12.2659</v>
      </c>
      <c r="F1304" s="643">
        <f>IFERROR(E1304*'01 Prod Physique Boites'!H1298,"-")</f>
        <v>77716.742400000003</v>
      </c>
      <c r="G1304" s="633">
        <f>IFERROR(E1304*'01 Prod Physique Boites'!L1298,"-")</f>
        <v>1839296.2368000001</v>
      </c>
      <c r="H1304" s="860">
        <v>0</v>
      </c>
      <c r="I1304" s="643">
        <f t="shared" si="736"/>
        <v>0</v>
      </c>
      <c r="J1304" s="643">
        <f t="shared" si="737"/>
        <v>0</v>
      </c>
    </row>
    <row r="1305" spans="1:10" ht="23.4" x14ac:dyDescent="0.3">
      <c r="A1305" s="274"/>
      <c r="B1305" s="1038"/>
      <c r="C1305" s="840"/>
      <c r="D1305" s="840"/>
      <c r="E1305" s="851">
        <v>12.2659</v>
      </c>
      <c r="F1305" s="643">
        <f>IFERROR(E1305*'01 Prod Physique Boites'!H1299,"-")</f>
        <v>0</v>
      </c>
      <c r="G1305" s="633">
        <f>IFERROR(E1305*'01 Prod Physique Boites'!L1299,"-")</f>
        <v>0</v>
      </c>
      <c r="H1305" s="910">
        <v>14.55</v>
      </c>
      <c r="I1305" s="643">
        <f t="shared" si="736"/>
        <v>0</v>
      </c>
      <c r="J1305" s="643">
        <f t="shared" si="737"/>
        <v>0</v>
      </c>
    </row>
    <row r="1306" spans="1:10" ht="24" thickBot="1" x14ac:dyDescent="0.35">
      <c r="A1306" s="926" t="s">
        <v>103</v>
      </c>
      <c r="B1306" s="1039"/>
      <c r="C1306" s="670" t="s">
        <v>342</v>
      </c>
      <c r="D1306" s="670"/>
      <c r="E1306" s="852">
        <v>0</v>
      </c>
      <c r="F1306" s="927">
        <f>IFERROR(E1306*'01 Prod Physique Boites'!H1300,"-")</f>
        <v>0</v>
      </c>
      <c r="G1306" s="858">
        <f>IFERROR(E1306*'01 Prod Physique Boites'!L1300,"-")</f>
        <v>0</v>
      </c>
      <c r="H1306" s="655">
        <v>0</v>
      </c>
      <c r="I1306" s="643" t="str">
        <f t="shared" si="736"/>
        <v>-</v>
      </c>
      <c r="J1306" s="427" t="str">
        <f t="shared" ref="J1306" si="738">IFERROR(I1306*(G1306/F1306),"-")</f>
        <v>-</v>
      </c>
    </row>
    <row r="1307" spans="1:10" ht="24" thickBot="1" x14ac:dyDescent="0.35">
      <c r="A1307" s="274" t="s">
        <v>103</v>
      </c>
      <c r="B1307" s="1025" t="s">
        <v>46</v>
      </c>
      <c r="C1307" s="1041"/>
      <c r="D1307" s="1042"/>
      <c r="E1307" s="842"/>
      <c r="F1307" s="523">
        <f>SUM(F1300:F1306)</f>
        <v>1632051.5904000001</v>
      </c>
      <c r="G1307" s="523">
        <f>SUM(G1300:G1306)</f>
        <v>16584478.072000001</v>
      </c>
      <c r="H1307" s="391"/>
      <c r="I1307" s="406">
        <f>SUM(I1300:I1306)</f>
        <v>1874188.7999999998</v>
      </c>
      <c r="J1307" s="425">
        <f>SUM(J1300:J1306)</f>
        <v>10232640</v>
      </c>
    </row>
    <row r="1308" spans="1:10" ht="23.4" x14ac:dyDescent="0.3">
      <c r="A1308" s="274" t="s">
        <v>103</v>
      </c>
      <c r="B1308" s="1043" t="s">
        <v>20</v>
      </c>
      <c r="C1308" s="291" t="s">
        <v>317</v>
      </c>
      <c r="D1308" s="291" t="s">
        <v>289</v>
      </c>
      <c r="E1308" s="504">
        <v>26.032900000000001</v>
      </c>
      <c r="F1308" s="402">
        <f>IFERROR(E1308*'01 Prod Physique Boites'!H1302,"-")</f>
        <v>0</v>
      </c>
      <c r="G1308" s="403">
        <f>IFERROR(E1308*'01 Prod Physique Boites'!L1302,"-")</f>
        <v>0</v>
      </c>
      <c r="H1308" s="381">
        <v>36.44</v>
      </c>
      <c r="I1308" s="419">
        <f>IFERROR(H1308*(F1308/E1308),"-")</f>
        <v>0</v>
      </c>
      <c r="J1308" s="420">
        <f t="shared" ref="J1308:J1310" si="739">IFERROR(H1308*(G1308/E1308),"-")</f>
        <v>0</v>
      </c>
    </row>
    <row r="1309" spans="1:10" ht="23.4" x14ac:dyDescent="0.3">
      <c r="A1309" s="274" t="s">
        <v>103</v>
      </c>
      <c r="B1309" s="1044"/>
      <c r="C1309" s="292" t="s">
        <v>114</v>
      </c>
      <c r="D1309" s="292"/>
      <c r="E1309" s="384">
        <v>24.2607</v>
      </c>
      <c r="F1309" s="402">
        <f>IFERROR(E1309*'01 Prod Physique Boites'!H1303,"-")</f>
        <v>0</v>
      </c>
      <c r="G1309" s="403">
        <f>IFERROR(E1309*'01 Prod Physique Boites'!L1303,"-")</f>
        <v>0</v>
      </c>
      <c r="H1309" s="385">
        <v>37.369999999999997</v>
      </c>
      <c r="I1309" s="421">
        <f>IFERROR(H1309*(F1309/E1309),"-")</f>
        <v>0</v>
      </c>
      <c r="J1309" s="422">
        <f t="shared" si="739"/>
        <v>0</v>
      </c>
    </row>
    <row r="1310" spans="1:10" ht="24" thickBot="1" x14ac:dyDescent="0.35">
      <c r="A1310" s="274" t="s">
        <v>103</v>
      </c>
      <c r="B1310" s="1045"/>
      <c r="C1310" s="293" t="s">
        <v>120</v>
      </c>
      <c r="D1310" s="293"/>
      <c r="E1310" s="386">
        <v>26.035799999999998</v>
      </c>
      <c r="F1310" s="402">
        <f>IFERROR(E1310*'01 Prod Physique Boites'!H1304,"-")</f>
        <v>0</v>
      </c>
      <c r="G1310" s="403">
        <f>IFERROR(E1310*'01 Prod Physique Boites'!L1304,"-")</f>
        <v>0</v>
      </c>
      <c r="H1310" s="387">
        <v>37.11</v>
      </c>
      <c r="I1310" s="423">
        <f>IFERROR(H1310*(F1310/E1310),"-")</f>
        <v>0</v>
      </c>
      <c r="J1310" s="424">
        <f t="shared" si="739"/>
        <v>0</v>
      </c>
    </row>
    <row r="1311" spans="1:10" ht="24" thickBot="1" x14ac:dyDescent="0.35">
      <c r="A1311" s="274" t="s">
        <v>103</v>
      </c>
      <c r="B1311" s="1026" t="s">
        <v>47</v>
      </c>
      <c r="C1311" s="1026"/>
      <c r="D1311" s="1046"/>
      <c r="E1311" s="390"/>
      <c r="F1311" s="406">
        <f t="shared" ref="F1311:G1311" si="740">SUM(F1308:F1310)</f>
        <v>0</v>
      </c>
      <c r="G1311" s="407">
        <f t="shared" si="740"/>
        <v>0</v>
      </c>
      <c r="H1311" s="391"/>
      <c r="I1311" s="406">
        <f t="shared" ref="I1311:J1311" si="741">SUM(I1308:I1310)</f>
        <v>0</v>
      </c>
      <c r="J1311" s="425">
        <f t="shared" si="741"/>
        <v>0</v>
      </c>
    </row>
    <row r="1312" spans="1:10" ht="24" thickBot="1" x14ac:dyDescent="0.35">
      <c r="A1312" s="274" t="s">
        <v>103</v>
      </c>
      <c r="B1312" s="1047" t="s">
        <v>21</v>
      </c>
      <c r="C1312" s="1048"/>
      <c r="D1312" s="1049"/>
      <c r="E1312" s="393"/>
      <c r="F1312" s="410">
        <f>+F1283+F1291+F1299+F1307+F1311</f>
        <v>3020646.2224000003</v>
      </c>
      <c r="G1312" s="411">
        <f>+G1283+G1291+G1299+G1307+G1311</f>
        <v>31341097.083999999</v>
      </c>
      <c r="H1312" s="394"/>
      <c r="I1312" s="410">
        <f>+I1283+I1291+I1299+I1307+I1311</f>
        <v>4183329.5999999996</v>
      </c>
      <c r="J1312" s="428">
        <f>+J1283+J1291+J1299+J1307+J1311</f>
        <v>32931568.399999999</v>
      </c>
    </row>
    <row r="1313" spans="1:10" ht="23.4" x14ac:dyDescent="0.3">
      <c r="A1313" s="274" t="s">
        <v>103</v>
      </c>
      <c r="B1313" s="1043" t="s">
        <v>400</v>
      </c>
      <c r="C1313" s="269" t="s">
        <v>125</v>
      </c>
      <c r="D1313" s="269"/>
      <c r="E1313" s="380">
        <v>22.820599999999999</v>
      </c>
      <c r="F1313" s="402">
        <f>IFERROR(E1313*'01 Prod Physique Boites'!H1307,"-")</f>
        <v>0</v>
      </c>
      <c r="G1313" s="403">
        <f>IFERROR(E1313*'01 Prod Physique Boites'!L1307,"-")</f>
        <v>0</v>
      </c>
      <c r="H1313" s="381">
        <v>27.5</v>
      </c>
      <c r="I1313" s="419">
        <f>IFERROR(H1313*(F1313/E1313),"-")</f>
        <v>0</v>
      </c>
      <c r="J1313" s="420">
        <f t="shared" ref="J1313:J1316" si="742">IFERROR(H1313*(G1313/E1313),"-")</f>
        <v>0</v>
      </c>
    </row>
    <row r="1314" spans="1:10" ht="23.4" x14ac:dyDescent="0.3">
      <c r="A1314" s="274" t="s">
        <v>103</v>
      </c>
      <c r="B1314" s="1044"/>
      <c r="C1314" s="295" t="s">
        <v>263</v>
      </c>
      <c r="D1314" s="295" t="s">
        <v>181</v>
      </c>
      <c r="E1314" s="384">
        <v>23.570699999999999</v>
      </c>
      <c r="F1314" s="402">
        <f>IFERROR(E1314*'01 Prod Physique Boites'!H1308,"-")</f>
        <v>0</v>
      </c>
      <c r="G1314" s="403">
        <f>IFERROR(E1314*'01 Prod Physique Boites'!L1308,"-")</f>
        <v>0</v>
      </c>
      <c r="H1314" s="385">
        <v>27.5</v>
      </c>
      <c r="I1314" s="421">
        <f>IFERROR(H1314*(F1314/E1314),"-")</f>
        <v>0</v>
      </c>
      <c r="J1314" s="422">
        <f t="shared" si="742"/>
        <v>0</v>
      </c>
    </row>
    <row r="1315" spans="1:10" ht="23.4" x14ac:dyDescent="0.3">
      <c r="A1315" s="274" t="s">
        <v>103</v>
      </c>
      <c r="B1315" s="1044"/>
      <c r="C1315" s="295" t="s">
        <v>362</v>
      </c>
      <c r="D1315" s="295" t="s">
        <v>181</v>
      </c>
      <c r="E1315" s="384">
        <v>22.820599999999999</v>
      </c>
      <c r="F1315" s="402">
        <f>IFERROR(E1315*'01 Prod Physique Boites'!H1309,"-")</f>
        <v>0</v>
      </c>
      <c r="G1315" s="403">
        <f>IFERROR(E1315*'01 Prod Physique Boites'!L1309,"-")</f>
        <v>0</v>
      </c>
      <c r="H1315" s="385">
        <v>27.5</v>
      </c>
      <c r="I1315" s="421">
        <f>IFERROR(H1315*(F1315/E1315),"-")</f>
        <v>0</v>
      </c>
      <c r="J1315" s="422">
        <f t="shared" si="742"/>
        <v>0</v>
      </c>
    </row>
    <row r="1316" spans="1:10" ht="24" thickBot="1" x14ac:dyDescent="0.35">
      <c r="A1316" s="274" t="s">
        <v>103</v>
      </c>
      <c r="B1316" s="1045"/>
      <c r="C1316" s="279" t="s">
        <v>182</v>
      </c>
      <c r="D1316" s="279" t="s">
        <v>93</v>
      </c>
      <c r="E1316" s="386">
        <v>22.238499999999998</v>
      </c>
      <c r="F1316" s="402">
        <f>IFERROR(E1316*'01 Prod Physique Boites'!H1310,"-")</f>
        <v>748547.90999999992</v>
      </c>
      <c r="G1316" s="403">
        <f>IFERROR(E1316*'01 Prod Physique Boites'!L1310,"-")</f>
        <v>2641933.7999999998</v>
      </c>
      <c r="H1316" s="387">
        <v>27</v>
      </c>
      <c r="I1316" s="423">
        <f>IFERROR(H1316*(F1316/E1316),"-")</f>
        <v>908820</v>
      </c>
      <c r="J1316" s="424">
        <f t="shared" si="742"/>
        <v>3207600</v>
      </c>
    </row>
    <row r="1317" spans="1:10" ht="24" thickBot="1" x14ac:dyDescent="0.35">
      <c r="A1317" s="274" t="s">
        <v>103</v>
      </c>
      <c r="B1317" s="1025" t="s">
        <v>48</v>
      </c>
      <c r="C1317" s="1026"/>
      <c r="D1317" s="1027"/>
      <c r="E1317" s="390"/>
      <c r="F1317" s="406">
        <f t="shared" ref="F1317:G1317" si="743">SUM(F1313:F1316)</f>
        <v>748547.90999999992</v>
      </c>
      <c r="G1317" s="407">
        <f t="shared" si="743"/>
        <v>2641933.7999999998</v>
      </c>
      <c r="H1317" s="391"/>
      <c r="I1317" s="406">
        <f t="shared" ref="I1317:J1317" si="744">SUM(I1313:I1316)</f>
        <v>908820</v>
      </c>
      <c r="J1317" s="425">
        <f t="shared" si="744"/>
        <v>3207600</v>
      </c>
    </row>
    <row r="1318" spans="1:10" ht="23.4" x14ac:dyDescent="0.3">
      <c r="A1318" s="274" t="s">
        <v>103</v>
      </c>
      <c r="B1318" s="1043" t="s">
        <v>23</v>
      </c>
      <c r="C1318" s="275" t="s">
        <v>500</v>
      </c>
      <c r="D1318" s="296" t="s">
        <v>238</v>
      </c>
      <c r="E1318" s="380">
        <v>101.4935</v>
      </c>
      <c r="F1318" s="402">
        <f>IFERROR(E1318*'01 Prod Physique Boites'!H1312,"-")</f>
        <v>0</v>
      </c>
      <c r="G1318" s="403">
        <f>IFERROR(E1318*'01 Prod Physique Boites'!L1312,"-")</f>
        <v>0</v>
      </c>
      <c r="H1318" s="385">
        <v>160.44999999999999</v>
      </c>
      <c r="I1318" s="419">
        <f t="shared" ref="I1318:I1326" si="745">IFERROR(H1318*(F1318/E1318),"-")</f>
        <v>0</v>
      </c>
      <c r="J1318" s="420">
        <f t="shared" ref="J1318:J1326" si="746">IFERROR(H1318*(G1318/E1318),"-")</f>
        <v>0</v>
      </c>
    </row>
    <row r="1319" spans="1:10" ht="23.4" x14ac:dyDescent="0.3">
      <c r="A1319" s="274" t="s">
        <v>103</v>
      </c>
      <c r="B1319" s="1044"/>
      <c r="C1319" s="275" t="s">
        <v>24</v>
      </c>
      <c r="D1319" s="275" t="s">
        <v>238</v>
      </c>
      <c r="E1319" s="384">
        <v>101.4935</v>
      </c>
      <c r="F1319" s="402">
        <f>IFERROR(E1319*'01 Prod Physique Boites'!H1313,"-")</f>
        <v>0</v>
      </c>
      <c r="G1319" s="403">
        <f>IFERROR(E1319*'01 Prod Physique Boites'!L1313,"-")</f>
        <v>0</v>
      </c>
      <c r="H1319" s="385">
        <v>160.44999999999999</v>
      </c>
      <c r="I1319" s="421">
        <f t="shared" si="745"/>
        <v>0</v>
      </c>
      <c r="J1319" s="422">
        <f t="shared" si="746"/>
        <v>0</v>
      </c>
    </row>
    <row r="1320" spans="1:10" ht="23.4" x14ac:dyDescent="0.3">
      <c r="A1320" s="274" t="s">
        <v>103</v>
      </c>
      <c r="B1320" s="1044"/>
      <c r="C1320" s="275" t="s">
        <v>236</v>
      </c>
      <c r="D1320" s="275" t="s">
        <v>238</v>
      </c>
      <c r="E1320" s="384">
        <v>101.4935</v>
      </c>
      <c r="F1320" s="402">
        <f>IFERROR(E1320*'01 Prod Physique Boites'!H1314,"-")</f>
        <v>0</v>
      </c>
      <c r="G1320" s="403">
        <f>IFERROR(E1320*'01 Prod Physique Boites'!L1314,"-")</f>
        <v>0</v>
      </c>
      <c r="H1320" s="385">
        <v>160.44999999999999</v>
      </c>
      <c r="I1320" s="421">
        <f t="shared" si="745"/>
        <v>0</v>
      </c>
      <c r="J1320" s="422">
        <f t="shared" si="746"/>
        <v>0</v>
      </c>
    </row>
    <row r="1321" spans="1:10" ht="23.4" x14ac:dyDescent="0.3">
      <c r="A1321" s="274" t="s">
        <v>103</v>
      </c>
      <c r="B1321" s="1044"/>
      <c r="C1321" s="275" t="s">
        <v>239</v>
      </c>
      <c r="D1321" s="275" t="s">
        <v>238</v>
      </c>
      <c r="E1321" s="384">
        <v>101.4935</v>
      </c>
      <c r="F1321" s="402">
        <f>IFERROR(E1321*'01 Prod Physique Boites'!H1315,"-")</f>
        <v>0</v>
      </c>
      <c r="G1321" s="403">
        <f>IFERROR(E1321*'01 Prod Physique Boites'!L1315,"-")</f>
        <v>0</v>
      </c>
      <c r="H1321" s="385">
        <v>160.44999999999999</v>
      </c>
      <c r="I1321" s="421">
        <f t="shared" si="745"/>
        <v>0</v>
      </c>
      <c r="J1321" s="422">
        <f t="shared" si="746"/>
        <v>0</v>
      </c>
    </row>
    <row r="1322" spans="1:10" ht="23.4" x14ac:dyDescent="0.3">
      <c r="A1322" s="274" t="s">
        <v>103</v>
      </c>
      <c r="B1322" s="1044"/>
      <c r="C1322" s="295" t="s">
        <v>394</v>
      </c>
      <c r="D1322" s="275" t="s">
        <v>238</v>
      </c>
      <c r="E1322" s="384">
        <v>101.4935</v>
      </c>
      <c r="F1322" s="402">
        <f>IFERROR(E1322*'01 Prod Physique Boites'!H1316,"-")</f>
        <v>0</v>
      </c>
      <c r="G1322" s="403">
        <f>IFERROR(E1322*'01 Prod Physique Boites'!L1316,"-")</f>
        <v>0</v>
      </c>
      <c r="H1322" s="385">
        <v>160.44999999999999</v>
      </c>
      <c r="I1322" s="421">
        <f t="shared" si="745"/>
        <v>0</v>
      </c>
      <c r="J1322" s="422">
        <f t="shared" si="746"/>
        <v>0</v>
      </c>
    </row>
    <row r="1323" spans="1:10" ht="23.4" x14ac:dyDescent="0.3">
      <c r="A1323" s="274" t="s">
        <v>103</v>
      </c>
      <c r="B1323" s="1044"/>
      <c r="C1323" s="295" t="s">
        <v>422</v>
      </c>
      <c r="D1323" s="275" t="s">
        <v>238</v>
      </c>
      <c r="E1323" s="384">
        <v>101.4935</v>
      </c>
      <c r="F1323" s="402">
        <f>IFERROR(E1323*'01 Prod Physique Boites'!H1317,"-")</f>
        <v>0</v>
      </c>
      <c r="G1323" s="403">
        <f>IFERROR(E1323*'01 Prod Physique Boites'!L1317,"-")</f>
        <v>0</v>
      </c>
      <c r="H1323" s="385">
        <v>160.44999999999999</v>
      </c>
      <c r="I1323" s="421">
        <f t="shared" si="745"/>
        <v>0</v>
      </c>
      <c r="J1323" s="422">
        <f t="shared" si="746"/>
        <v>0</v>
      </c>
    </row>
    <row r="1324" spans="1:10" ht="23.4" x14ac:dyDescent="0.3">
      <c r="A1324" s="274" t="s">
        <v>103</v>
      </c>
      <c r="B1324" s="1044"/>
      <c r="C1324" s="295" t="s">
        <v>241</v>
      </c>
      <c r="D1324" s="275" t="s">
        <v>547</v>
      </c>
      <c r="E1324" s="384">
        <v>101.4935</v>
      </c>
      <c r="F1324" s="402">
        <f>IFERROR(E1324*'01 Prod Physique Boites'!H1318,"-")</f>
        <v>0</v>
      </c>
      <c r="G1324" s="403">
        <f>IFERROR(E1324*'01 Prod Physique Boites'!L1318,"-")</f>
        <v>0</v>
      </c>
      <c r="H1324" s="385">
        <v>160.44999999999999</v>
      </c>
      <c r="I1324" s="421">
        <f t="shared" si="745"/>
        <v>0</v>
      </c>
      <c r="J1324" s="422">
        <f t="shared" si="746"/>
        <v>0</v>
      </c>
    </row>
    <row r="1325" spans="1:10" ht="23.4" x14ac:dyDescent="0.3">
      <c r="A1325" s="274"/>
      <c r="B1325" s="1045"/>
      <c r="C1325" s="295" t="s">
        <v>546</v>
      </c>
      <c r="D1325" s="275" t="s">
        <v>238</v>
      </c>
      <c r="E1325" s="386">
        <v>101.49</v>
      </c>
      <c r="F1325" s="402">
        <f>IFERROR(E1325*'01 Prod Physique Boites'!H1319,"-")</f>
        <v>0</v>
      </c>
      <c r="G1325" s="403">
        <f>IFERROR(E1325*'01 Prod Physique Boites'!L1319,"-")</f>
        <v>0</v>
      </c>
      <c r="H1325" s="385">
        <v>160.44999999999999</v>
      </c>
      <c r="I1325" s="421">
        <f t="shared" si="745"/>
        <v>0</v>
      </c>
      <c r="J1325" s="422">
        <f t="shared" si="746"/>
        <v>0</v>
      </c>
    </row>
    <row r="1326" spans="1:10" ht="24" thickBot="1" x14ac:dyDescent="0.35">
      <c r="A1326" s="274" t="s">
        <v>103</v>
      </c>
      <c r="B1326" s="1045"/>
      <c r="C1326" s="295" t="s">
        <v>242</v>
      </c>
      <c r="D1326" s="275" t="s">
        <v>238</v>
      </c>
      <c r="E1326" s="386">
        <v>101.4935</v>
      </c>
      <c r="F1326" s="402">
        <f>IFERROR(E1326*'01 Prod Physique Boites'!H1320,"-")</f>
        <v>0</v>
      </c>
      <c r="G1326" s="403">
        <f>IFERROR(E1326*'01 Prod Physique Boites'!L1320,"-")</f>
        <v>0</v>
      </c>
      <c r="H1326" s="385">
        <v>160.44999999999999</v>
      </c>
      <c r="I1326" s="421">
        <f t="shared" si="745"/>
        <v>0</v>
      </c>
      <c r="J1326" s="424">
        <f t="shared" si="746"/>
        <v>0</v>
      </c>
    </row>
    <row r="1327" spans="1:10" ht="24" thickBot="1" x14ac:dyDescent="0.35">
      <c r="A1327" s="274" t="s">
        <v>103</v>
      </c>
      <c r="B1327" s="1025" t="s">
        <v>49</v>
      </c>
      <c r="C1327" s="1026"/>
      <c r="D1327" s="1027"/>
      <c r="E1327" s="390"/>
      <c r="F1327" s="406">
        <f t="shared" ref="F1327" si="747">SUM(F1318:F1326)</f>
        <v>0</v>
      </c>
      <c r="G1327" s="407">
        <f>SUM(G1318:G1326)</f>
        <v>0</v>
      </c>
      <c r="H1327" s="391"/>
      <c r="I1327" s="406">
        <f t="shared" ref="I1327" si="748">SUM(I1318:I1326)</f>
        <v>0</v>
      </c>
      <c r="J1327" s="425">
        <f>SUM(J1318:J1326)</f>
        <v>0</v>
      </c>
    </row>
    <row r="1328" spans="1:10" ht="24" thickBot="1" x14ac:dyDescent="0.35">
      <c r="A1328" s="274" t="s">
        <v>103</v>
      </c>
      <c r="B1328" s="1047" t="s">
        <v>25</v>
      </c>
      <c r="C1328" s="1048"/>
      <c r="D1328" s="1049"/>
      <c r="E1328" s="393"/>
      <c r="F1328" s="410">
        <f t="shared" ref="F1328" si="749">+F1317+F1327</f>
        <v>748547.90999999992</v>
      </c>
      <c r="G1328" s="411">
        <f>+G1317+G1327</f>
        <v>2641933.7999999998</v>
      </c>
      <c r="H1328" s="394"/>
      <c r="I1328" s="410">
        <f t="shared" ref="I1328:J1328" si="750">+I1317+I1327</f>
        <v>908820</v>
      </c>
      <c r="J1328" s="428">
        <f t="shared" si="750"/>
        <v>3207600</v>
      </c>
    </row>
    <row r="1329" spans="1:10" ht="24" thickBot="1" x14ac:dyDescent="0.35">
      <c r="A1329" s="274" t="s">
        <v>103</v>
      </c>
      <c r="B1329" s="1019" t="s">
        <v>172</v>
      </c>
      <c r="C1329" s="1020"/>
      <c r="D1329" s="1021"/>
      <c r="E1329" s="395"/>
      <c r="F1329" s="412">
        <f t="shared" ref="F1329" si="751">+F1312+F1328</f>
        <v>3769194.1324000005</v>
      </c>
      <c r="G1329" s="413">
        <f>+G1312+G1328</f>
        <v>33983030.883999996</v>
      </c>
      <c r="H1329" s="396"/>
      <c r="I1329" s="412">
        <f t="shared" ref="I1329:J1329" si="752">+I1312+I1328</f>
        <v>5092149.5999999996</v>
      </c>
      <c r="J1329" s="429">
        <f t="shared" si="752"/>
        <v>36139168.399999999</v>
      </c>
    </row>
    <row r="1330" spans="1:10" ht="23.4" x14ac:dyDescent="0.3">
      <c r="A1330" s="268" t="s">
        <v>101</v>
      </c>
      <c r="B1330" s="1051" t="s">
        <v>26</v>
      </c>
      <c r="C1330" s="893" t="s">
        <v>297</v>
      </c>
      <c r="D1330" s="898" t="s">
        <v>177</v>
      </c>
      <c r="E1330" s="504">
        <v>13.1272</v>
      </c>
      <c r="F1330" s="402">
        <f>IFERROR(E1330*'01 Prod Physique Boites'!H1324,"-")</f>
        <v>0</v>
      </c>
      <c r="G1330" s="403">
        <f>IFERROR(E1330*'01 Prod Physique Boites'!L1324,"-")</f>
        <v>0</v>
      </c>
      <c r="H1330" s="381">
        <v>20.76</v>
      </c>
      <c r="I1330" s="419">
        <f t="shared" ref="I1330:I1339" si="753">IFERROR(H1330*(F1330/E1330),"-")</f>
        <v>0</v>
      </c>
      <c r="J1330" s="632">
        <f t="shared" ref="J1330:J1339" si="754">IFERROR(H1330*(G1330/E1330),"-")</f>
        <v>0</v>
      </c>
    </row>
    <row r="1331" spans="1:10" ht="23.4" x14ac:dyDescent="0.3">
      <c r="A1331" s="274" t="s">
        <v>101</v>
      </c>
      <c r="B1331" s="1051"/>
      <c r="C1331" s="253" t="s">
        <v>424</v>
      </c>
      <c r="D1331" s="899" t="s">
        <v>423</v>
      </c>
      <c r="E1331" s="505">
        <v>16.7288</v>
      </c>
      <c r="F1331" s="402">
        <f>IFERROR(E1331*'01 Prod Physique Boites'!H1325,"-")</f>
        <v>0</v>
      </c>
      <c r="G1331" s="403">
        <f>IFERROR(E1331*'01 Prod Physique Boites'!L1325,"-")</f>
        <v>4392112.9824000001</v>
      </c>
      <c r="H1331" s="385">
        <v>20.76</v>
      </c>
      <c r="I1331" s="421">
        <f t="shared" si="753"/>
        <v>0</v>
      </c>
      <c r="J1331" s="633">
        <f t="shared" si="754"/>
        <v>5450496.4800000004</v>
      </c>
    </row>
    <row r="1332" spans="1:10" ht="23.4" x14ac:dyDescent="0.3">
      <c r="A1332" s="274" t="s">
        <v>101</v>
      </c>
      <c r="B1332" s="1051"/>
      <c r="C1332" s="813" t="s">
        <v>27</v>
      </c>
      <c r="D1332" s="899" t="s">
        <v>334</v>
      </c>
      <c r="E1332" s="501">
        <v>14.608000000000001</v>
      </c>
      <c r="F1332" s="402">
        <f>IFERROR(E1332*'01 Prod Physique Boites'!H1326,"-")</f>
        <v>116221.24800000001</v>
      </c>
      <c r="G1332" s="403">
        <f>IFERROR(E1332*'01 Prod Physique Boites'!L1326,"-")</f>
        <v>522995.61600000004</v>
      </c>
      <c r="H1332" s="385">
        <v>21.22</v>
      </c>
      <c r="I1332" s="643">
        <f t="shared" si="753"/>
        <v>168826.31999999998</v>
      </c>
      <c r="J1332" s="633">
        <f t="shared" si="754"/>
        <v>759718.44</v>
      </c>
    </row>
    <row r="1333" spans="1:10" ht="23.4" x14ac:dyDescent="0.3">
      <c r="A1333" s="274" t="s">
        <v>101</v>
      </c>
      <c r="B1333" s="1051"/>
      <c r="C1333" s="813" t="s">
        <v>27</v>
      </c>
      <c r="D1333" s="900" t="s">
        <v>492</v>
      </c>
      <c r="E1333" s="501">
        <v>17.8202</v>
      </c>
      <c r="F1333" s="402">
        <f>IFERROR(E1333*'01 Prod Physique Boites'!H1327,"-")</f>
        <v>0</v>
      </c>
      <c r="G1333" s="403">
        <f>IFERROR(E1333*'01 Prod Physique Boites'!L1327,"-")</f>
        <v>4820435.3808000004</v>
      </c>
      <c r="H1333" s="385">
        <v>26.75</v>
      </c>
      <c r="I1333" s="643">
        <f t="shared" si="753"/>
        <v>0</v>
      </c>
      <c r="J1333" s="633">
        <f t="shared" si="754"/>
        <v>7235982</v>
      </c>
    </row>
    <row r="1334" spans="1:10" ht="23.4" x14ac:dyDescent="0.3">
      <c r="A1334" s="274" t="s">
        <v>101</v>
      </c>
      <c r="B1334" s="1051"/>
      <c r="C1334" s="893" t="s">
        <v>521</v>
      </c>
      <c r="D1334" s="899" t="s">
        <v>234</v>
      </c>
      <c r="E1334" s="501">
        <v>14.608000000000001</v>
      </c>
      <c r="F1334" s="402">
        <f>IFERROR(E1334*'01 Prod Physique Boites'!H1328,"-")</f>
        <v>0</v>
      </c>
      <c r="G1334" s="403">
        <f>IFERROR(E1334*'01 Prod Physique Boites'!L1328,"-")</f>
        <v>813548.73600000003</v>
      </c>
      <c r="H1334" s="385">
        <v>24.93</v>
      </c>
      <c r="I1334" s="643">
        <f t="shared" si="753"/>
        <v>0</v>
      </c>
      <c r="J1334" s="633">
        <f t="shared" si="754"/>
        <v>1388401.56</v>
      </c>
    </row>
    <row r="1335" spans="1:10" ht="23.4" x14ac:dyDescent="0.3">
      <c r="A1335" s="274"/>
      <c r="B1335" s="1051"/>
      <c r="C1335" s="813" t="s">
        <v>432</v>
      </c>
      <c r="D1335" s="899" t="s">
        <v>178</v>
      </c>
      <c r="E1335" s="501">
        <v>14.608000000000001</v>
      </c>
      <c r="F1335" s="402">
        <f>IFERROR(E1335*'01 Prod Physique Boites'!H1329,"-")</f>
        <v>0</v>
      </c>
      <c r="G1335" s="403">
        <f>IFERROR(E1335*'01 Prod Physique Boites'!L1329,"-")</f>
        <v>0</v>
      </c>
      <c r="H1335" s="387">
        <v>24.93</v>
      </c>
      <c r="I1335" s="643">
        <f t="shared" si="753"/>
        <v>0</v>
      </c>
      <c r="J1335" s="634">
        <f t="shared" si="754"/>
        <v>0</v>
      </c>
    </row>
    <row r="1336" spans="1:10" ht="23.4" x14ac:dyDescent="0.3">
      <c r="A1336" s="274"/>
      <c r="B1336" s="1051"/>
      <c r="C1336" s="813" t="s">
        <v>333</v>
      </c>
      <c r="D1336" s="899" t="s">
        <v>94</v>
      </c>
      <c r="E1336" s="501">
        <v>17.8202</v>
      </c>
      <c r="F1336" s="724">
        <f>IFERROR(E1336*'01 Prod Physique Boites'!H1330,"-")</f>
        <v>0</v>
      </c>
      <c r="G1336" s="403">
        <f>IFERROR(E1336*'01 Prod Physique Boites'!L1330,"-")</f>
        <v>0</v>
      </c>
      <c r="H1336" s="387">
        <v>24.93</v>
      </c>
      <c r="I1336" s="730">
        <f t="shared" si="753"/>
        <v>0</v>
      </c>
      <c r="J1336" s="634">
        <f t="shared" si="754"/>
        <v>0</v>
      </c>
    </row>
    <row r="1337" spans="1:10" ht="23.4" x14ac:dyDescent="0.3">
      <c r="A1337" s="725"/>
      <c r="B1337" s="1051"/>
      <c r="C1337" s="813" t="s">
        <v>433</v>
      </c>
      <c r="D1337" s="899" t="s">
        <v>540</v>
      </c>
      <c r="E1337" s="727">
        <v>16.7288</v>
      </c>
      <c r="F1337" s="724">
        <f>IFERROR(E1337*'01 Prod Physique Boites'!H1331,"-")</f>
        <v>0</v>
      </c>
      <c r="G1337" s="728">
        <f>IFERROR(E1337*'01 Prod Physique Boites'!L1331,"-")</f>
        <v>5922697.8096000003</v>
      </c>
      <c r="H1337" s="729">
        <v>25</v>
      </c>
      <c r="I1337" s="730">
        <f t="shared" si="753"/>
        <v>0</v>
      </c>
      <c r="J1337" s="634">
        <f t="shared" si="754"/>
        <v>8851050</v>
      </c>
    </row>
    <row r="1338" spans="1:10" ht="23.4" x14ac:dyDescent="0.3">
      <c r="A1338" s="725"/>
      <c r="B1338" s="1051"/>
      <c r="C1338" s="813" t="s">
        <v>382</v>
      </c>
      <c r="D1338" s="899" t="s">
        <v>366</v>
      </c>
      <c r="E1338" s="727">
        <v>16.7288</v>
      </c>
      <c r="F1338" s="724">
        <f>IFERROR(E1338*'01 Prod Physique Boites'!H1332,"-")</f>
        <v>0</v>
      </c>
      <c r="G1338" s="728">
        <f>IFERROR(E1338*'01 Prod Physique Boites'!L1332,"-")</f>
        <v>0</v>
      </c>
      <c r="H1338" s="729">
        <v>25.49</v>
      </c>
      <c r="I1338" s="730">
        <f t="shared" si="753"/>
        <v>0</v>
      </c>
      <c r="J1338" s="634">
        <f t="shared" si="754"/>
        <v>0</v>
      </c>
    </row>
    <row r="1339" spans="1:10" ht="24" thickBot="1" x14ac:dyDescent="0.35">
      <c r="A1339" s="274" t="s">
        <v>101</v>
      </c>
      <c r="B1339" s="1051"/>
      <c r="C1339" s="894" t="s">
        <v>290</v>
      </c>
      <c r="D1339" s="901" t="s">
        <v>289</v>
      </c>
      <c r="E1339" s="501">
        <v>12.6997</v>
      </c>
      <c r="F1339" s="402">
        <f>IFERROR(E1339*'01 Prod Physique Boites'!H1333,"-")</f>
        <v>0</v>
      </c>
      <c r="G1339" s="728">
        <f>IFERROR(E1339*'01 Prod Physique Boites'!L1333,"-")</f>
        <v>0</v>
      </c>
      <c r="H1339" s="387">
        <v>13.25</v>
      </c>
      <c r="I1339" s="730">
        <f t="shared" si="753"/>
        <v>0</v>
      </c>
      <c r="J1339" s="634">
        <f t="shared" si="754"/>
        <v>0</v>
      </c>
    </row>
    <row r="1340" spans="1:10" ht="24" thickBot="1" x14ac:dyDescent="0.35">
      <c r="A1340" s="274" t="s">
        <v>101</v>
      </c>
      <c r="B1340" s="1052"/>
      <c r="C1340" s="301"/>
      <c r="D1340" s="302" t="s">
        <v>52</v>
      </c>
      <c r="E1340" s="390"/>
      <c r="F1340" s="406">
        <f>SUM(F1330:F1339)</f>
        <v>116221.24800000001</v>
      </c>
      <c r="G1340" s="407">
        <f>SUM(G1330:G1339)</f>
        <v>16471790.524800003</v>
      </c>
      <c r="H1340" s="391"/>
      <c r="I1340" s="406">
        <f>SUM(I1330:I1339)</f>
        <v>168826.31999999998</v>
      </c>
      <c r="J1340" s="425">
        <f>SUM(J1330:J1339)</f>
        <v>23685648.48</v>
      </c>
    </row>
    <row r="1341" spans="1:10" ht="23.4" x14ac:dyDescent="0.3">
      <c r="A1341" s="274" t="s">
        <v>101</v>
      </c>
      <c r="B1341" s="1053" t="s">
        <v>28</v>
      </c>
      <c r="C1341" s="299" t="s">
        <v>27</v>
      </c>
      <c r="D1341" s="297" t="s">
        <v>492</v>
      </c>
      <c r="E1341" s="504">
        <v>17.8202</v>
      </c>
      <c r="F1341" s="402">
        <f>IFERROR(E1341*'01 Prod Physique Boites'!H1335,"-")</f>
        <v>0</v>
      </c>
      <c r="G1341" s="403">
        <f>IFERROR(E1341*'01 Prod Physique Boites'!L1335,"-")</f>
        <v>2977327.7352</v>
      </c>
      <c r="H1341" s="381">
        <v>26.75</v>
      </c>
      <c r="I1341" s="419">
        <f t="shared" ref="I1341:I1347" si="755">IFERROR(H1341*(F1341/E1341),"-")</f>
        <v>0</v>
      </c>
      <c r="J1341" s="632">
        <f t="shared" ref="J1341:J1342" si="756">IFERROR(H1341*(G1341/E1341),"-")</f>
        <v>4469283</v>
      </c>
    </row>
    <row r="1342" spans="1:10" ht="23.4" x14ac:dyDescent="0.3">
      <c r="A1342" s="274" t="s">
        <v>101</v>
      </c>
      <c r="B1342" s="1051"/>
      <c r="C1342" s="299" t="s">
        <v>386</v>
      </c>
      <c r="D1342" s="299" t="s">
        <v>334</v>
      </c>
      <c r="E1342" s="711">
        <v>16.7288</v>
      </c>
      <c r="F1342" s="402">
        <f>IFERROR(E1342*'01 Prod Physique Boites'!H1336,"-")</f>
        <v>0</v>
      </c>
      <c r="G1342" s="728">
        <f>IFERROR(E1342*'01 Prod Physique Boites'!L1336,"-")</f>
        <v>1597131.9935999999</v>
      </c>
      <c r="H1342" s="708">
        <v>20.76</v>
      </c>
      <c r="I1342" s="421">
        <f t="shared" si="755"/>
        <v>0</v>
      </c>
      <c r="J1342" s="633">
        <f t="shared" si="756"/>
        <v>1981998.7200000002</v>
      </c>
    </row>
    <row r="1343" spans="1:10" ht="23.4" x14ac:dyDescent="0.3">
      <c r="A1343" s="274" t="s">
        <v>101</v>
      </c>
      <c r="B1343" s="1051"/>
      <c r="C1343" s="299" t="s">
        <v>541</v>
      </c>
      <c r="D1343" s="299" t="s">
        <v>334</v>
      </c>
      <c r="E1343" s="501">
        <v>17.8202</v>
      </c>
      <c r="F1343" s="402">
        <f>IFERROR(E1343*'01 Prod Physique Boites'!H1337,"-")</f>
        <v>0</v>
      </c>
      <c r="G1343" s="403">
        <f>IFERROR(E1343*'01 Prod Physique Boites'!L1337,"-")</f>
        <v>0</v>
      </c>
      <c r="H1343" s="385">
        <v>21.22</v>
      </c>
      <c r="I1343" s="421">
        <f t="shared" si="755"/>
        <v>0</v>
      </c>
      <c r="J1343" s="633">
        <f>IFERROR(H1343*(G1343/E1343),"-")</f>
        <v>0</v>
      </c>
    </row>
    <row r="1344" spans="1:10" ht="23.4" x14ac:dyDescent="0.3">
      <c r="A1344" s="274"/>
      <c r="B1344" s="1051"/>
      <c r="C1344" s="299" t="s">
        <v>460</v>
      </c>
      <c r="D1344" s="299" t="s">
        <v>334</v>
      </c>
      <c r="E1344" s="501">
        <v>14.608000000000001</v>
      </c>
      <c r="F1344" s="402">
        <f>IFERROR(E1344*'01 Prod Physique Boites'!H1338,"-")</f>
        <v>0</v>
      </c>
      <c r="G1344" s="403">
        <f>IFERROR(E1344*'01 Prod Physique Boites'!L1338,"-")</f>
        <v>58110.624000000003</v>
      </c>
      <c r="H1344" s="385">
        <v>21.22</v>
      </c>
      <c r="I1344" s="421">
        <f t="shared" si="755"/>
        <v>0</v>
      </c>
      <c r="J1344" s="633">
        <f>IFERROR(H1344*(G1344/E1344),"-")</f>
        <v>84413.159999999989</v>
      </c>
    </row>
    <row r="1345" spans="1:10" ht="23.4" x14ac:dyDescent="0.3">
      <c r="A1345" s="274"/>
      <c r="B1345" s="1051"/>
      <c r="C1345" s="299" t="s">
        <v>433</v>
      </c>
      <c r="D1345" s="299" t="s">
        <v>540</v>
      </c>
      <c r="E1345" s="711">
        <v>16.7288</v>
      </c>
      <c r="F1345" s="402">
        <f>IFERROR(E1345*'01 Prod Physique Boites'!H1339,"-")</f>
        <v>0</v>
      </c>
      <c r="G1345" s="403">
        <f>IFERROR(E1345*'01 Prod Physique Boites'!L1339,"-")</f>
        <v>2129509.3248000001</v>
      </c>
      <c r="H1345" s="385">
        <v>25</v>
      </c>
      <c r="I1345" s="423">
        <f t="shared" si="755"/>
        <v>0</v>
      </c>
      <c r="J1345" s="634">
        <f t="shared" ref="J1345:J1347" si="757">IFERROR(H1345*(G1345/E1345),"-")</f>
        <v>3182400</v>
      </c>
    </row>
    <row r="1346" spans="1:10" ht="23.4" x14ac:dyDescent="0.3">
      <c r="A1346" s="274"/>
      <c r="B1346" s="1051"/>
      <c r="C1346" s="299" t="s">
        <v>458</v>
      </c>
      <c r="D1346" s="300" t="s">
        <v>280</v>
      </c>
      <c r="E1346" s="711">
        <v>17.8202</v>
      </c>
      <c r="F1346" s="402">
        <f>IFERROR(E1346*'01 Prod Physique Boites'!H1340,"-")</f>
        <v>0</v>
      </c>
      <c r="G1346" s="403">
        <f>IFERROR(E1346*'01 Prod Physique Boites'!L1340,"-")</f>
        <v>0</v>
      </c>
      <c r="H1346" s="385">
        <v>24.93</v>
      </c>
      <c r="I1346" s="730">
        <f t="shared" si="755"/>
        <v>0</v>
      </c>
      <c r="J1346" s="634">
        <f t="shared" si="757"/>
        <v>0</v>
      </c>
    </row>
    <row r="1347" spans="1:10" ht="24" thickBot="1" x14ac:dyDescent="0.35">
      <c r="A1347" s="274" t="s">
        <v>101</v>
      </c>
      <c r="B1347" s="1051"/>
      <c r="C1347" s="299" t="s">
        <v>27</v>
      </c>
      <c r="D1347" s="300" t="s">
        <v>234</v>
      </c>
      <c r="E1347" s="501">
        <v>17.8202</v>
      </c>
      <c r="F1347" s="402">
        <f>IFERROR(E1347*'01 Prod Physique Boites'!H1341,"-")</f>
        <v>0</v>
      </c>
      <c r="G1347" s="403">
        <f>IFERROR(E1347*'01 Prod Physique Boites'!L1341,"-")</f>
        <v>0</v>
      </c>
      <c r="H1347" s="385">
        <v>24.93</v>
      </c>
      <c r="I1347" s="423">
        <f t="shared" si="755"/>
        <v>0</v>
      </c>
      <c r="J1347" s="634">
        <f t="shared" si="757"/>
        <v>0</v>
      </c>
    </row>
    <row r="1348" spans="1:10" ht="24" thickBot="1" x14ac:dyDescent="0.35">
      <c r="A1348" s="274" t="s">
        <v>101</v>
      </c>
      <c r="B1348" s="1051"/>
      <c r="C1348" s="304"/>
      <c r="D1348" s="305" t="s">
        <v>52</v>
      </c>
      <c r="E1348" s="397"/>
      <c r="F1348" s="414">
        <f t="shared" ref="F1348:G1348" si="758">SUM(F1341:F1347)</f>
        <v>0</v>
      </c>
      <c r="G1348" s="415">
        <f t="shared" si="758"/>
        <v>6762079.6776000001</v>
      </c>
      <c r="H1348" s="398"/>
      <c r="I1348" s="414">
        <f t="shared" ref="I1348:J1348" si="759">SUM(I1341:I1347)</f>
        <v>0</v>
      </c>
      <c r="J1348" s="430">
        <f t="shared" si="759"/>
        <v>9718094.8800000008</v>
      </c>
    </row>
    <row r="1349" spans="1:10" ht="24" thickBot="1" x14ac:dyDescent="0.35">
      <c r="A1349" s="926" t="s">
        <v>101</v>
      </c>
      <c r="B1349" s="1054" t="s">
        <v>162</v>
      </c>
      <c r="C1349" s="1055"/>
      <c r="D1349" s="1056"/>
      <c r="E1349" s="399"/>
      <c r="F1349" s="416">
        <f t="shared" ref="F1349:G1349" si="760">+F1340+F1348</f>
        <v>116221.24800000001</v>
      </c>
      <c r="G1349" s="417">
        <f t="shared" si="760"/>
        <v>23233870.202400003</v>
      </c>
      <c r="H1349" s="400"/>
      <c r="I1349" s="416">
        <f t="shared" ref="I1349:J1349" si="761">+I1340+I1348</f>
        <v>168826.31999999998</v>
      </c>
      <c r="J1349" s="431">
        <f t="shared" si="761"/>
        <v>33403743.359999999</v>
      </c>
    </row>
    <row r="1350" spans="1:10" ht="23.4" x14ac:dyDescent="0.3">
      <c r="A1350" s="274" t="s">
        <v>101</v>
      </c>
      <c r="B1350" s="1051" t="s">
        <v>30</v>
      </c>
      <c r="C1350" s="303" t="s">
        <v>446</v>
      </c>
      <c r="D1350" s="299" t="s">
        <v>522</v>
      </c>
      <c r="E1350" s="736">
        <v>27.917000000000002</v>
      </c>
      <c r="F1350" s="402">
        <f>IFERROR(E1350*'01 Prod Physique Boites'!H1344,"-")</f>
        <v>0</v>
      </c>
      <c r="G1350" s="728">
        <f>IFERROR(E1350*'01 Prod Physique Boites'!L1344,"-")</f>
        <v>0</v>
      </c>
      <c r="H1350" s="734">
        <v>33.299999999999997</v>
      </c>
      <c r="I1350" s="419">
        <f>IFERROR(H1350*(F1350/E1350),"-")</f>
        <v>0</v>
      </c>
      <c r="J1350" s="420">
        <f t="shared" ref="J1350:J1352" si="762">IFERROR(H1350*(G1350/E1350),"-")</f>
        <v>0</v>
      </c>
    </row>
    <row r="1351" spans="1:10" ht="23.4" x14ac:dyDescent="0.3">
      <c r="A1351" s="274" t="s">
        <v>101</v>
      </c>
      <c r="B1351" s="1051"/>
      <c r="C1351" s="300" t="s">
        <v>548</v>
      </c>
      <c r="D1351" s="303" t="s">
        <v>522</v>
      </c>
      <c r="E1351" s="733">
        <v>28.526700000000002</v>
      </c>
      <c r="F1351" s="402">
        <f>IFERROR(E1351*'01 Prod Physique Boites'!H1345,"-")</f>
        <v>0</v>
      </c>
      <c r="G1351" s="728">
        <f>IFERROR(E1351*'01 Prod Physique Boites'!L1345,"-")</f>
        <v>0</v>
      </c>
      <c r="H1351" s="735">
        <v>37.89</v>
      </c>
      <c r="I1351" s="421">
        <f>IFERROR(H1351*(F1351/E1351),"-")</f>
        <v>0</v>
      </c>
      <c r="J1351" s="422">
        <f t="shared" si="762"/>
        <v>0</v>
      </c>
    </row>
    <row r="1352" spans="1:10" ht="24" thickBot="1" x14ac:dyDescent="0.35">
      <c r="A1352" s="274" t="s">
        <v>101</v>
      </c>
      <c r="B1352" s="1051"/>
      <c r="C1352" s="300" t="s">
        <v>291</v>
      </c>
      <c r="D1352" s="300" t="s">
        <v>366</v>
      </c>
      <c r="E1352" s="501">
        <v>25.751300000000001</v>
      </c>
      <c r="F1352" s="724">
        <f>IFERROR(E1352*'01 Prod Physique Boites'!H1346,"-")</f>
        <v>0</v>
      </c>
      <c r="G1352" s="728">
        <f>IFERROR(E1352*'01 Prod Physique Boites'!L1346,"-")</f>
        <v>1301573.7072000001</v>
      </c>
      <c r="H1352" s="387">
        <v>37.89</v>
      </c>
      <c r="I1352" s="423">
        <f>IFERROR(H1352*(F1352/E1352),"-")</f>
        <v>0</v>
      </c>
      <c r="J1352" s="424">
        <f t="shared" si="762"/>
        <v>1915112.16</v>
      </c>
    </row>
    <row r="1353" spans="1:10" ht="24" thickBot="1" x14ac:dyDescent="0.35">
      <c r="A1353" s="274" t="s">
        <v>101</v>
      </c>
      <c r="B1353" s="1051"/>
      <c r="C1353" s="301"/>
      <c r="D1353" s="302" t="s">
        <v>50</v>
      </c>
      <c r="E1353" s="390"/>
      <c r="F1353" s="406">
        <f t="shared" ref="F1353:G1353" si="763">SUM(F1350:F1352)</f>
        <v>0</v>
      </c>
      <c r="G1353" s="407">
        <f t="shared" si="763"/>
        <v>1301573.7072000001</v>
      </c>
      <c r="H1353" s="391"/>
      <c r="I1353" s="406">
        <f t="shared" ref="I1353" si="764">SUM(I1350:I1352)</f>
        <v>0</v>
      </c>
      <c r="J1353" s="425">
        <f>SUM(J1350:J1352)</f>
        <v>1915112.16</v>
      </c>
    </row>
    <row r="1354" spans="1:10" ht="23.4" x14ac:dyDescent="0.3">
      <c r="A1354" s="274" t="s">
        <v>101</v>
      </c>
      <c r="B1354" s="1051"/>
      <c r="C1354" s="297" t="s">
        <v>439</v>
      </c>
      <c r="D1354" s="297" t="s">
        <v>92</v>
      </c>
      <c r="E1354" s="504">
        <v>24.2607</v>
      </c>
      <c r="F1354" s="402">
        <f>IFERROR(E1354*'01 Prod Physique Boites'!H1348,"-")</f>
        <v>0</v>
      </c>
      <c r="G1354" s="728">
        <f>IFERROR(E1354*'01 Prod Physique Boites'!L1348,"-")</f>
        <v>0</v>
      </c>
      <c r="H1354" s="381">
        <v>28.31</v>
      </c>
      <c r="I1354" s="638">
        <f>IFERROR(H1354*(F1354/E1354),"-")</f>
        <v>0</v>
      </c>
      <c r="J1354" s="420">
        <f t="shared" ref="J1354:J1359" si="765">IFERROR(H1354*(G1354/E1354),"-")</f>
        <v>0</v>
      </c>
    </row>
    <row r="1355" spans="1:10" ht="23.4" x14ac:dyDescent="0.3">
      <c r="A1355" s="274"/>
      <c r="B1355" s="1051"/>
      <c r="C1355" s="303" t="s">
        <v>449</v>
      </c>
      <c r="D1355" s="299" t="s">
        <v>334</v>
      </c>
      <c r="E1355" s="504">
        <v>24.2607</v>
      </c>
      <c r="F1355" s="402">
        <f>IFERROR(E1355*'01 Prod Physique Boites'!H1349,"-")</f>
        <v>0</v>
      </c>
      <c r="G1355" s="728">
        <f>IFERROR(E1355*'01 Prod Physique Boites'!L1349,"-")</f>
        <v>0</v>
      </c>
      <c r="H1355" s="381">
        <v>28.88</v>
      </c>
      <c r="I1355" s="638">
        <f t="shared" ref="I1355:I1359" si="766">IFERROR(H1355*(F1355/E1355),"-")</f>
        <v>0</v>
      </c>
      <c r="J1355" s="420">
        <f t="shared" si="765"/>
        <v>0</v>
      </c>
    </row>
    <row r="1356" spans="1:10" ht="23.4" x14ac:dyDescent="0.3">
      <c r="A1356" s="274"/>
      <c r="B1356" s="1051"/>
      <c r="C1356" s="303" t="s">
        <v>452</v>
      </c>
      <c r="D1356" s="299" t="s">
        <v>334</v>
      </c>
      <c r="E1356" s="504">
        <v>25.4041</v>
      </c>
      <c r="F1356" s="402">
        <f>IFERROR(E1356*'01 Prod Physique Boites'!H1350,"-")</f>
        <v>0</v>
      </c>
      <c r="G1356" s="728">
        <f>IFERROR(E1356*'01 Prod Physique Boites'!L1350,"-")</f>
        <v>0</v>
      </c>
      <c r="H1356" s="381">
        <v>28.21</v>
      </c>
      <c r="I1356" s="638">
        <f t="shared" si="766"/>
        <v>0</v>
      </c>
      <c r="J1356" s="420">
        <f t="shared" si="765"/>
        <v>0</v>
      </c>
    </row>
    <row r="1357" spans="1:10" ht="23.4" x14ac:dyDescent="0.3">
      <c r="A1357" s="274" t="s">
        <v>101</v>
      </c>
      <c r="B1357" s="1051"/>
      <c r="C1357" s="303" t="s">
        <v>501</v>
      </c>
      <c r="D1357" s="300" t="s">
        <v>423</v>
      </c>
      <c r="E1357" s="505">
        <v>23.697399999999998</v>
      </c>
      <c r="F1357" s="724">
        <f>IFERROR(E1357*'01 Prod Physique Boites'!H1351,"-")</f>
        <v>0</v>
      </c>
      <c r="G1357" s="728">
        <f>IFERROR(E1357*'01 Prod Physique Boites'!L1351,"-")</f>
        <v>177446.13119999997</v>
      </c>
      <c r="H1357" s="385">
        <v>28.21</v>
      </c>
      <c r="I1357" s="638">
        <f t="shared" si="766"/>
        <v>0</v>
      </c>
      <c r="J1357" s="420">
        <f t="shared" si="765"/>
        <v>211236.47999999998</v>
      </c>
    </row>
    <row r="1358" spans="1:10" ht="23.4" x14ac:dyDescent="0.3">
      <c r="A1358" s="274"/>
      <c r="B1358" s="1051"/>
      <c r="C1358" s="300" t="s">
        <v>459</v>
      </c>
      <c r="D1358" s="300" t="s">
        <v>366</v>
      </c>
      <c r="E1358" s="501">
        <v>22.094999999999999</v>
      </c>
      <c r="F1358" s="724">
        <f>IFERROR(E1358*'01 Prod Physique Boites'!H1352,"-")</f>
        <v>1116769.68</v>
      </c>
      <c r="G1358" s="728">
        <f>IFERROR(E1358*'01 Prod Physique Boites'!L1352,"-")</f>
        <v>1116769.68</v>
      </c>
      <c r="H1358" s="745">
        <v>37.11</v>
      </c>
      <c r="I1358" s="638">
        <f t="shared" si="766"/>
        <v>1875687.84</v>
      </c>
      <c r="J1358" s="420">
        <f t="shared" si="765"/>
        <v>1875687.84</v>
      </c>
    </row>
    <row r="1359" spans="1:10" ht="24" thickBot="1" x14ac:dyDescent="0.35">
      <c r="A1359" s="274" t="s">
        <v>101</v>
      </c>
      <c r="B1359" s="1051"/>
      <c r="C1359" s="300" t="s">
        <v>438</v>
      </c>
      <c r="D1359" s="300" t="s">
        <v>423</v>
      </c>
      <c r="E1359" s="501">
        <v>23.697399999999998</v>
      </c>
      <c r="F1359" s="402">
        <f>IFERROR(E1359*'01 Prod Physique Boites'!H1353,"-")</f>
        <v>0</v>
      </c>
      <c r="G1359" s="403">
        <f>IFERROR(E1359*'01 Prod Physique Boites'!L1353,"-")</f>
        <v>0</v>
      </c>
      <c r="H1359" s="387">
        <v>28.21</v>
      </c>
      <c r="I1359" s="638">
        <f t="shared" si="766"/>
        <v>0</v>
      </c>
      <c r="J1359" s="420">
        <f t="shared" si="765"/>
        <v>0</v>
      </c>
    </row>
    <row r="1360" spans="1:10" ht="24" thickBot="1" x14ac:dyDescent="0.35">
      <c r="A1360" s="274" t="s">
        <v>101</v>
      </c>
      <c r="B1360" s="1051"/>
      <c r="C1360" s="304"/>
      <c r="D1360" s="305" t="s">
        <v>51</v>
      </c>
      <c r="E1360" s="397"/>
      <c r="F1360" s="414">
        <f t="shared" ref="F1360:G1360" si="767">SUM(F1354:F1359)</f>
        <v>1116769.68</v>
      </c>
      <c r="G1360" s="415">
        <f t="shared" si="767"/>
        <v>1294215.8111999999</v>
      </c>
      <c r="H1360" s="398"/>
      <c r="I1360" s="414">
        <f t="shared" ref="I1360" si="768">SUM(I1354:I1359)</f>
        <v>1875687.84</v>
      </c>
      <c r="J1360" s="430">
        <f>SUM(J1354:J1359)</f>
        <v>2086924.32</v>
      </c>
    </row>
    <row r="1361" spans="1:10" ht="24" thickBot="1" x14ac:dyDescent="0.35">
      <c r="A1361" s="274" t="s">
        <v>101</v>
      </c>
      <c r="B1361" s="1054" t="s">
        <v>163</v>
      </c>
      <c r="C1361" s="1055"/>
      <c r="D1361" s="1056"/>
      <c r="E1361" s="399"/>
      <c r="F1361" s="416">
        <f t="shared" ref="F1361:G1361" si="769">+F1353+F1360</f>
        <v>1116769.68</v>
      </c>
      <c r="G1361" s="417">
        <f t="shared" si="769"/>
        <v>2595789.5183999999</v>
      </c>
      <c r="H1361" s="400"/>
      <c r="I1361" s="416">
        <f t="shared" ref="I1361:J1361" si="770">+I1353+I1360</f>
        <v>1875687.84</v>
      </c>
      <c r="J1361" s="431">
        <f t="shared" si="770"/>
        <v>4002036.48</v>
      </c>
    </row>
    <row r="1362" spans="1:10" ht="24" thickBot="1" x14ac:dyDescent="0.35">
      <c r="A1362" s="274" t="s">
        <v>101</v>
      </c>
      <c r="B1362" s="599" t="s">
        <v>32</v>
      </c>
      <c r="C1362" s="922"/>
      <c r="D1362" s="310"/>
      <c r="E1362" s="506">
        <v>12.2659</v>
      </c>
      <c r="F1362" s="408">
        <f>IFERROR(E1362*'01 Prod Physique Boites'!H1356,"-")</f>
        <v>0</v>
      </c>
      <c r="G1362" s="409">
        <f>IFERROR(E1362*'01 Prod Physique Boites'!L1356,"-")</f>
        <v>0</v>
      </c>
      <c r="H1362" s="392"/>
      <c r="I1362" s="426">
        <f>IFERROR(H1362*(F1362/E1362),"-")</f>
        <v>0</v>
      </c>
      <c r="J1362" s="427">
        <f>IFERROR(H1362*(G1362/E1362),"-")</f>
        <v>0</v>
      </c>
    </row>
    <row r="1363" spans="1:10" ht="24" thickBot="1" x14ac:dyDescent="0.35">
      <c r="A1363" s="274" t="s">
        <v>101</v>
      </c>
      <c r="B1363" s="1047" t="s">
        <v>21</v>
      </c>
      <c r="C1363" s="1048"/>
      <c r="D1363" s="1049"/>
      <c r="E1363" s="393"/>
      <c r="F1363" s="410">
        <f t="shared" ref="F1363" si="771">+F1349+F1361+F1362</f>
        <v>1232990.9279999998</v>
      </c>
      <c r="G1363" s="411">
        <f>+G1349+G1361+G1362</f>
        <v>25829659.720800001</v>
      </c>
      <c r="H1363" s="394"/>
      <c r="I1363" s="410">
        <f t="shared" ref="I1363:J1363" si="772">+I1349+I1361+I1362</f>
        <v>2044514.1600000001</v>
      </c>
      <c r="J1363" s="428">
        <f t="shared" si="772"/>
        <v>37405779.839999996</v>
      </c>
    </row>
    <row r="1364" spans="1:10" ht="24" thickBot="1" x14ac:dyDescent="0.35">
      <c r="A1364" s="274" t="s">
        <v>101</v>
      </c>
      <c r="B1364" s="1019" t="s">
        <v>171</v>
      </c>
      <c r="C1364" s="1020"/>
      <c r="D1364" s="1021"/>
      <c r="E1364" s="395"/>
      <c r="F1364" s="412">
        <f t="shared" ref="F1364:G1364" si="773">+F1363</f>
        <v>1232990.9279999998</v>
      </c>
      <c r="G1364" s="413">
        <f t="shared" si="773"/>
        <v>25829659.720800001</v>
      </c>
      <c r="H1364" s="396"/>
      <c r="I1364" s="412">
        <f t="shared" ref="I1364:J1364" si="774">+I1363</f>
        <v>2044514.1600000001</v>
      </c>
      <c r="J1364" s="429">
        <f t="shared" si="774"/>
        <v>37405779.839999996</v>
      </c>
    </row>
    <row r="1365" spans="1:10" ht="23.4" x14ac:dyDescent="0.3">
      <c r="A1365" s="268" t="s">
        <v>102</v>
      </c>
      <c r="B1365" s="1022" t="s">
        <v>401</v>
      </c>
      <c r="C1365" s="311" t="s">
        <v>113</v>
      </c>
      <c r="D1365" s="311"/>
      <c r="E1365" s="709">
        <v>254.89750000000001</v>
      </c>
      <c r="F1365" s="402">
        <f>IFERROR(E1365*'01 Prod Physique Boites'!H1359,"-")</f>
        <v>0</v>
      </c>
      <c r="G1365" s="403">
        <f>IFERROR(E1365*'01 Prod Physique Boites'!L1359,"-")</f>
        <v>0</v>
      </c>
      <c r="H1365" s="381">
        <v>445.38</v>
      </c>
      <c r="I1365" s="419">
        <f>IFERROR(H1365*(F1365/E1365),"-")</f>
        <v>0</v>
      </c>
      <c r="J1365" s="420">
        <f t="shared" ref="J1365:J1367" si="775">IFERROR(H1365*(G1365/E1365),"-")</f>
        <v>0</v>
      </c>
    </row>
    <row r="1366" spans="1:10" ht="23.4" x14ac:dyDescent="0.3">
      <c r="A1366" s="274" t="s">
        <v>102</v>
      </c>
      <c r="B1366" s="1023"/>
      <c r="C1366" s="312" t="s">
        <v>247</v>
      </c>
      <c r="D1366" s="312"/>
      <c r="E1366" s="503">
        <v>246.51390000000001</v>
      </c>
      <c r="F1366" s="402">
        <f>IFERROR(E1366*'01 Prod Physique Boites'!H1360,"-")</f>
        <v>0</v>
      </c>
      <c r="G1366" s="403">
        <f>IFERROR(E1366*'01 Prod Physique Boites'!L1360,"-")</f>
        <v>2255355.6710999999</v>
      </c>
      <c r="H1366" s="385">
        <v>430.02</v>
      </c>
      <c r="I1366" s="421">
        <f>IFERROR(H1366*(F1366/E1366),"-")</f>
        <v>0</v>
      </c>
      <c r="J1366" s="422">
        <f t="shared" si="775"/>
        <v>3934252.98</v>
      </c>
    </row>
    <row r="1367" spans="1:10" ht="24" thickBot="1" x14ac:dyDescent="0.35">
      <c r="A1367" s="274" t="s">
        <v>102</v>
      </c>
      <c r="B1367" s="1024"/>
      <c r="C1367" s="313" t="s">
        <v>33</v>
      </c>
      <c r="D1367" s="313"/>
      <c r="E1367" s="500">
        <v>225.7713</v>
      </c>
      <c r="F1367" s="402">
        <f>IFERROR(E1367*'01 Prod Physique Boites'!H1361,"-")</f>
        <v>0</v>
      </c>
      <c r="G1367" s="403">
        <f>IFERROR(E1367*'01 Prod Physique Boites'!L1361,"-")</f>
        <v>0</v>
      </c>
      <c r="H1367" s="387"/>
      <c r="I1367" s="423">
        <f>IFERROR(H1367*(F1367/E1367),"-")</f>
        <v>0</v>
      </c>
      <c r="J1367" s="424">
        <f t="shared" si="775"/>
        <v>0</v>
      </c>
    </row>
    <row r="1368" spans="1:10" ht="24" thickBot="1" x14ac:dyDescent="0.35">
      <c r="A1368" s="274" t="s">
        <v>102</v>
      </c>
      <c r="B1368" s="1025" t="s">
        <v>34</v>
      </c>
      <c r="C1368" s="1026"/>
      <c r="D1368" s="1027"/>
      <c r="E1368" s="390"/>
      <c r="F1368" s="406">
        <f t="shared" ref="F1368:G1368" si="776">SUM(F1365:F1367)</f>
        <v>0</v>
      </c>
      <c r="G1368" s="407">
        <f t="shared" si="776"/>
        <v>2255355.6710999999</v>
      </c>
      <c r="H1368" s="391"/>
      <c r="I1368" s="406">
        <f t="shared" ref="I1368:J1368" si="777">SUM(I1365:I1367)</f>
        <v>0</v>
      </c>
      <c r="J1368" s="425">
        <f t="shared" si="777"/>
        <v>3934252.98</v>
      </c>
    </row>
    <row r="1369" spans="1:10" ht="23.4" x14ac:dyDescent="0.3">
      <c r="A1369" s="274" t="s">
        <v>102</v>
      </c>
      <c r="B1369" s="1022" t="s">
        <v>35</v>
      </c>
      <c r="C1369" s="311" t="s">
        <v>113</v>
      </c>
      <c r="D1369" s="311"/>
      <c r="E1369" s="502">
        <v>254.89750000000001</v>
      </c>
      <c r="F1369" s="402">
        <f>IFERROR(E1369*'01 Prod Physique Boites'!H1363,"-")</f>
        <v>0</v>
      </c>
      <c r="G1369" s="403">
        <f>IFERROR(E1369*'01 Prod Physique Boites'!L1363,"-")</f>
        <v>0</v>
      </c>
      <c r="H1369" s="381">
        <v>445.38</v>
      </c>
      <c r="I1369" s="419">
        <f>IFERROR(H1369*(F1369/E1369),"-")</f>
        <v>0</v>
      </c>
      <c r="J1369" s="420">
        <f t="shared" ref="J1369:J1372" si="778">IFERROR(H1369*(G1369/E1369),"-")</f>
        <v>0</v>
      </c>
    </row>
    <row r="1370" spans="1:10" ht="23.4" x14ac:dyDescent="0.3">
      <c r="A1370" s="274" t="s">
        <v>102</v>
      </c>
      <c r="B1370" s="1023"/>
      <c r="C1370" s="312" t="s">
        <v>247</v>
      </c>
      <c r="D1370" s="312"/>
      <c r="E1370" s="503">
        <v>246.51390000000001</v>
      </c>
      <c r="F1370" s="402">
        <f>IFERROR(E1370*'01 Prod Physique Boites'!H1364,"-")</f>
        <v>0</v>
      </c>
      <c r="G1370" s="403">
        <f>IFERROR(E1370*'01 Prod Physique Boites'!L1364,"-")</f>
        <v>0</v>
      </c>
      <c r="H1370" s="385">
        <v>430.02</v>
      </c>
      <c r="I1370" s="421">
        <f>IFERROR(H1370*(F1370/E1370),"-")</f>
        <v>0</v>
      </c>
      <c r="J1370" s="422">
        <f t="shared" si="778"/>
        <v>0</v>
      </c>
    </row>
    <row r="1371" spans="1:10" ht="23.4" x14ac:dyDescent="0.3">
      <c r="A1371" s="274" t="s">
        <v>102</v>
      </c>
      <c r="B1371" s="1023"/>
      <c r="C1371" s="312" t="s">
        <v>184</v>
      </c>
      <c r="D1371" s="312" t="s">
        <v>183</v>
      </c>
      <c r="E1371" s="503">
        <v>254.89750000000001</v>
      </c>
      <c r="F1371" s="402">
        <f>IFERROR(E1371*'01 Prod Physique Boites'!H1365,"-")</f>
        <v>0</v>
      </c>
      <c r="G1371" s="403">
        <f>IFERROR(E1371*'01 Prod Physique Boites'!L1365,"-")</f>
        <v>0</v>
      </c>
      <c r="H1371" s="385"/>
      <c r="I1371" s="421">
        <f>IFERROR(H1371*(F1371/E1371),"-")</f>
        <v>0</v>
      </c>
      <c r="J1371" s="422">
        <f t="shared" si="778"/>
        <v>0</v>
      </c>
    </row>
    <row r="1372" spans="1:10" ht="24" thickBot="1" x14ac:dyDescent="0.35">
      <c r="A1372" s="274" t="s">
        <v>102</v>
      </c>
      <c r="B1372" s="1024"/>
      <c r="C1372" s="313" t="s">
        <v>36</v>
      </c>
      <c r="D1372" s="313"/>
      <c r="E1372" s="500">
        <v>229.99359999999999</v>
      </c>
      <c r="F1372" s="402">
        <f>IFERROR(E1372*'01 Prod Physique Boites'!H1366,"-")</f>
        <v>0</v>
      </c>
      <c r="G1372" s="403">
        <f>IFERROR(E1372*'01 Prod Physique Boites'!L1366,"-")</f>
        <v>0</v>
      </c>
      <c r="H1372" s="387"/>
      <c r="I1372" s="423">
        <f>IFERROR(H1372*(F1372/E1372),"-")</f>
        <v>0</v>
      </c>
      <c r="J1372" s="424">
        <f t="shared" si="778"/>
        <v>0</v>
      </c>
    </row>
    <row r="1373" spans="1:10" ht="24" thickBot="1" x14ac:dyDescent="0.35">
      <c r="A1373" s="274" t="s">
        <v>102</v>
      </c>
      <c r="B1373" s="1025" t="s">
        <v>37</v>
      </c>
      <c r="C1373" s="1026"/>
      <c r="D1373" s="1027"/>
      <c r="E1373" s="390"/>
      <c r="F1373" s="406">
        <f t="shared" ref="F1373:G1373" si="779">SUM(F1369:F1372)</f>
        <v>0</v>
      </c>
      <c r="G1373" s="407">
        <f t="shared" si="779"/>
        <v>0</v>
      </c>
      <c r="H1373" s="391"/>
      <c r="I1373" s="406">
        <f>SUM(I1369:I1372)</f>
        <v>0</v>
      </c>
      <c r="J1373" s="425">
        <f>SUM(J1369:J1372)</f>
        <v>0</v>
      </c>
    </row>
    <row r="1374" spans="1:10" ht="23.4" x14ac:dyDescent="0.3">
      <c r="A1374" s="274" t="s">
        <v>102</v>
      </c>
      <c r="B1374" s="1022" t="s">
        <v>402</v>
      </c>
      <c r="C1374" s="314" t="s">
        <v>116</v>
      </c>
      <c r="D1374" s="314"/>
      <c r="E1374" s="502">
        <v>195.2808</v>
      </c>
      <c r="F1374" s="402">
        <f>IFERROR(E1374*'01 Prod Physique Boites'!H1368,"-")</f>
        <v>0</v>
      </c>
      <c r="G1374" s="403">
        <f>IFERROR(E1374*'01 Prod Physique Boites'!L1368,"-")</f>
        <v>0</v>
      </c>
      <c r="H1374" s="681">
        <v>256.7</v>
      </c>
      <c r="I1374" s="419">
        <f>IFERROR(H1374*(F1374/E1374),"-")</f>
        <v>0</v>
      </c>
      <c r="J1374" s="420">
        <f t="shared" ref="J1374:J1375" si="780">IFERROR(H1374*(G1374/E1374),"-")</f>
        <v>0</v>
      </c>
    </row>
    <row r="1375" spans="1:10" ht="24" thickBot="1" x14ac:dyDescent="0.35">
      <c r="A1375" s="274" t="s">
        <v>102</v>
      </c>
      <c r="B1375" s="1024"/>
      <c r="C1375" s="286" t="s">
        <v>132</v>
      </c>
      <c r="D1375" s="286"/>
      <c r="E1375" s="500">
        <v>189.91890000000001</v>
      </c>
      <c r="F1375" s="402">
        <f>IFERROR(E1375*'01 Prod Physique Boites'!H1369,"-")</f>
        <v>0</v>
      </c>
      <c r="G1375" s="403">
        <f>IFERROR(E1375*'01 Prod Physique Boites'!L1369,"-")</f>
        <v>4138332.8310000002</v>
      </c>
      <c r="H1375" s="387">
        <v>320.35000000000002</v>
      </c>
      <c r="I1375" s="423">
        <f>IFERROR(H1375*(F1375/E1375),"-")</f>
        <v>0</v>
      </c>
      <c r="J1375" s="424">
        <f t="shared" si="780"/>
        <v>6980426.5000000009</v>
      </c>
    </row>
    <row r="1376" spans="1:10" ht="24" thickBot="1" x14ac:dyDescent="0.35">
      <c r="A1376" s="926" t="s">
        <v>102</v>
      </c>
      <c r="B1376" s="1025" t="s">
        <v>38</v>
      </c>
      <c r="C1376" s="1026"/>
      <c r="D1376" s="1027"/>
      <c r="E1376" s="390"/>
      <c r="F1376" s="406">
        <f>SUM(F1374:F1375)</f>
        <v>0</v>
      </c>
      <c r="G1376" s="407">
        <f t="shared" ref="G1376" si="781">SUM(G1374:G1375)</f>
        <v>4138332.8310000002</v>
      </c>
      <c r="H1376" s="391"/>
      <c r="I1376" s="406">
        <f t="shared" ref="I1376:J1376" si="782">SUM(I1374:I1375)</f>
        <v>0</v>
      </c>
      <c r="J1376" s="425">
        <f t="shared" si="782"/>
        <v>6980426.5000000009</v>
      </c>
    </row>
    <row r="1377" spans="1:10" ht="23.4" x14ac:dyDescent="0.3">
      <c r="A1377" s="274" t="s">
        <v>102</v>
      </c>
      <c r="B1377" s="1022" t="s">
        <v>403</v>
      </c>
      <c r="C1377" s="269" t="s">
        <v>306</v>
      </c>
      <c r="D1377" s="269" t="s">
        <v>238</v>
      </c>
      <c r="E1377" s="504">
        <v>37.248699999999999</v>
      </c>
      <c r="F1377" s="402">
        <f>IFERROR(E1377*'01 Prod Physique Boites'!H1371,"-")</f>
        <v>1501867.584</v>
      </c>
      <c r="G1377" s="403">
        <f>IFERROR(E1377*'01 Prod Physique Boites'!L1371,"-")</f>
        <v>12701955.694800001</v>
      </c>
      <c r="H1377" s="381">
        <v>71.44</v>
      </c>
      <c r="I1377" s="419">
        <f>IFERROR(H1377*(F1377/E1377),"-")</f>
        <v>2880460.7999999998</v>
      </c>
      <c r="J1377" s="420">
        <f>IFERROR(H1377*(G1377/E1377),"-")</f>
        <v>24361325.759999998</v>
      </c>
    </row>
    <row r="1378" spans="1:10" ht="23.4" x14ac:dyDescent="0.3">
      <c r="A1378" s="274" t="s">
        <v>102</v>
      </c>
      <c r="B1378" s="1023"/>
      <c r="C1378" s="269" t="s">
        <v>156</v>
      </c>
      <c r="D1378" s="275"/>
      <c r="E1378" s="504">
        <v>37.248699999999999</v>
      </c>
      <c r="F1378" s="402">
        <f>IFERROR(E1378*'01 Prod Physique Boites'!H1372,"-")</f>
        <v>0</v>
      </c>
      <c r="G1378" s="403">
        <f>IFERROR(E1378*'01 Prod Physique Boites'!L1372,"-")</f>
        <v>0</v>
      </c>
      <c r="H1378" s="385"/>
      <c r="I1378" s="421">
        <f>IFERROR(H1378*(F1378/E1378),"-")</f>
        <v>0</v>
      </c>
      <c r="J1378" s="422">
        <f t="shared" ref="J1378:J1380" si="783">IFERROR(H1378*(G1378/E1378),"-")</f>
        <v>0</v>
      </c>
    </row>
    <row r="1379" spans="1:10" ht="23.4" x14ac:dyDescent="0.3">
      <c r="A1379" s="274" t="s">
        <v>102</v>
      </c>
      <c r="B1379" s="1023"/>
      <c r="C1379" s="275" t="s">
        <v>345</v>
      </c>
      <c r="D1379" s="269" t="s">
        <v>238</v>
      </c>
      <c r="E1379" s="504">
        <v>37.248699999999999</v>
      </c>
      <c r="F1379" s="402">
        <f>IFERROR(E1379*'01 Prod Physique Boites'!H1373,"-")</f>
        <v>0</v>
      </c>
      <c r="G1379" s="403">
        <f>IFERROR(E1379*'01 Prod Physique Boites'!L1373,"-")</f>
        <v>1826378.2583999999</v>
      </c>
      <c r="H1379" s="385">
        <v>71.44</v>
      </c>
      <c r="I1379" s="421">
        <f>IFERROR(H1379*(F1379/E1379),"-")</f>
        <v>0</v>
      </c>
      <c r="J1379" s="422">
        <f t="shared" si="783"/>
        <v>3502846.08</v>
      </c>
    </row>
    <row r="1380" spans="1:10" ht="24" thickBot="1" x14ac:dyDescent="0.35">
      <c r="A1380" s="274" t="s">
        <v>102</v>
      </c>
      <c r="B1380" s="1023"/>
      <c r="C1380" s="275" t="s">
        <v>157</v>
      </c>
      <c r="D1380" s="275"/>
      <c r="E1380" s="505">
        <v>38.466099999999997</v>
      </c>
      <c r="F1380" s="402">
        <f>IFERROR(E1380*'01 Prod Physique Boites'!H1374,"-")</f>
        <v>0</v>
      </c>
      <c r="G1380" s="403">
        <f>IFERROR(E1380*'01 Prod Physique Boites'!L1374,"-")</f>
        <v>0</v>
      </c>
      <c r="H1380" s="385"/>
      <c r="I1380" s="421">
        <f>IFERROR(H1380*(F1380/E1380),"-")</f>
        <v>0</v>
      </c>
      <c r="J1380" s="422">
        <f t="shared" si="783"/>
        <v>0</v>
      </c>
    </row>
    <row r="1381" spans="1:10" ht="24" thickBot="1" x14ac:dyDescent="0.35">
      <c r="A1381" s="274" t="s">
        <v>102</v>
      </c>
      <c r="B1381" s="1025" t="s">
        <v>39</v>
      </c>
      <c r="C1381" s="1026"/>
      <c r="D1381" s="1027"/>
      <c r="E1381" s="390"/>
      <c r="F1381" s="406">
        <f>SUM(F1377:F1380)</f>
        <v>1501867.584</v>
      </c>
      <c r="G1381" s="407">
        <f>SUM(G1377:G1380)</f>
        <v>14528333.953200001</v>
      </c>
      <c r="H1381" s="391"/>
      <c r="I1381" s="406">
        <f>SUM(I1377:I1380)</f>
        <v>2880460.7999999998</v>
      </c>
      <c r="J1381" s="406">
        <f>SUM(J1377:J1380)</f>
        <v>27864171.839999996</v>
      </c>
    </row>
    <row r="1382" spans="1:10" ht="23.4" x14ac:dyDescent="0.3">
      <c r="A1382" s="274" t="s">
        <v>102</v>
      </c>
      <c r="B1382" s="1022" t="s">
        <v>40</v>
      </c>
      <c r="C1382" s="269" t="s">
        <v>186</v>
      </c>
      <c r="D1382" s="269" t="s">
        <v>183</v>
      </c>
      <c r="E1382" s="504">
        <v>30.7499</v>
      </c>
      <c r="F1382" s="402">
        <f>IFERROR(E1382*'01 Prod Physique Boites'!H1377,"-")</f>
        <v>0</v>
      </c>
      <c r="G1382" s="402">
        <f>IFERROR(E1382*'01 Prod Physique Boites'!L1377,"-")</f>
        <v>0</v>
      </c>
      <c r="H1382" s="381"/>
      <c r="I1382" s="419">
        <f>IFERROR(H1382*(F1382/E1382),"-")</f>
        <v>0</v>
      </c>
      <c r="J1382" s="420">
        <f>IFERROR(H1382*(G1382/E1382),"-")</f>
        <v>0</v>
      </c>
    </row>
    <row r="1383" spans="1:10" ht="23.4" x14ac:dyDescent="0.3">
      <c r="A1383" s="274" t="s">
        <v>102</v>
      </c>
      <c r="B1383" s="1023"/>
      <c r="C1383" s="275" t="s">
        <v>159</v>
      </c>
      <c r="D1383" s="275"/>
      <c r="E1383" s="684">
        <v>30.073599999999999</v>
      </c>
      <c r="F1383" s="402">
        <f>IFERROR(E1383*'01 Prod Physique Boites'!H1378,"-")</f>
        <v>0</v>
      </c>
      <c r="G1383" s="403">
        <f>IFERROR(E1383*'01 Prod Physique Boites'!L1378,"-")</f>
        <v>342839.03999999998</v>
      </c>
      <c r="H1383" s="385">
        <v>59.96</v>
      </c>
      <c r="I1383" s="421">
        <f>IFERROR(H1383*(F1383/E1383),"-")</f>
        <v>0</v>
      </c>
      <c r="J1383" s="422">
        <f t="shared" ref="J1383:J1384" si="784">IFERROR(H1383*(G1383/E1383),"-")</f>
        <v>683544</v>
      </c>
    </row>
    <row r="1384" spans="1:10" ht="24" thickBot="1" x14ac:dyDescent="0.35">
      <c r="A1384" s="274" t="s">
        <v>102</v>
      </c>
      <c r="B1384" s="1024"/>
      <c r="C1384" s="279" t="s">
        <v>186</v>
      </c>
      <c r="D1384" s="279" t="s">
        <v>185</v>
      </c>
      <c r="E1384" s="501">
        <v>30.073599999999999</v>
      </c>
      <c r="F1384" s="402">
        <f>IFERROR(E1384*'01 Prod Physique Boites'!H1379,"-")</f>
        <v>0</v>
      </c>
      <c r="G1384" s="403">
        <f>IFERROR(E1384*'01 Prod Physique Boites'!L1379,"-")</f>
        <v>0</v>
      </c>
      <c r="H1384" s="387"/>
      <c r="I1384" s="423">
        <f>IFERROR(H1384*(F1384/E1384),"-")</f>
        <v>0</v>
      </c>
      <c r="J1384" s="424">
        <f t="shared" si="784"/>
        <v>0</v>
      </c>
    </row>
    <row r="1385" spans="1:10" ht="24" thickBot="1" x14ac:dyDescent="0.35">
      <c r="A1385" s="274" t="s">
        <v>102</v>
      </c>
      <c r="B1385" s="1034" t="s">
        <v>41</v>
      </c>
      <c r="C1385" s="1035"/>
      <c r="D1385" s="1036"/>
      <c r="E1385" s="390"/>
      <c r="F1385" s="406">
        <f t="shared" ref="F1385:G1385" si="785">SUM(F1382:F1384)</f>
        <v>0</v>
      </c>
      <c r="G1385" s="407">
        <f t="shared" si="785"/>
        <v>342839.03999999998</v>
      </c>
      <c r="H1385" s="391"/>
      <c r="I1385" s="406">
        <f t="shared" ref="I1385:J1385" si="786">SUM(I1382:I1384)</f>
        <v>0</v>
      </c>
      <c r="J1385" s="425">
        <f t="shared" si="786"/>
        <v>683544</v>
      </c>
    </row>
    <row r="1386" spans="1:10" ht="23.4" x14ac:dyDescent="0.3">
      <c r="A1386" s="274" t="s">
        <v>102</v>
      </c>
      <c r="B1386" s="1022" t="s">
        <v>42</v>
      </c>
      <c r="C1386" s="269" t="s">
        <v>160</v>
      </c>
      <c r="D1386" s="269"/>
      <c r="E1386" s="504">
        <v>36.684899999999999</v>
      </c>
      <c r="F1386" s="402">
        <f>IFERROR(E1386*'01 Prod Physique Boites'!H1381,"-")</f>
        <v>0</v>
      </c>
      <c r="G1386" s="402">
        <f>IFERROR(E1386*'01 Prod Physique Boites'!L1381,"-")</f>
        <v>0</v>
      </c>
      <c r="H1386" s="381"/>
      <c r="I1386" s="382" t="s">
        <v>190</v>
      </c>
      <c r="J1386" s="383" t="s">
        <v>190</v>
      </c>
    </row>
    <row r="1387" spans="1:10" ht="24" thickBot="1" x14ac:dyDescent="0.35">
      <c r="A1387" s="274" t="s">
        <v>102</v>
      </c>
      <c r="B1387" s="1024"/>
      <c r="C1387" s="279" t="s">
        <v>161</v>
      </c>
      <c r="D1387" s="279"/>
      <c r="E1387" s="501">
        <v>37.002800000000001</v>
      </c>
      <c r="F1387" s="402">
        <f>IFERROR(E1387*'01 Prod Physique Boites'!H1382,"-")</f>
        <v>0</v>
      </c>
      <c r="G1387" s="402">
        <f>IFERROR(E1387*'01 Prod Physique Boites'!L1382,"-")</f>
        <v>0</v>
      </c>
      <c r="H1387" s="387"/>
      <c r="I1387" s="388" t="s">
        <v>190</v>
      </c>
      <c r="J1387" s="389" t="s">
        <v>190</v>
      </c>
    </row>
    <row r="1388" spans="1:10" ht="24" thickBot="1" x14ac:dyDescent="0.35">
      <c r="A1388" s="274" t="s">
        <v>102</v>
      </c>
      <c r="B1388" s="1034" t="s">
        <v>43</v>
      </c>
      <c r="C1388" s="1035"/>
      <c r="D1388" s="1036"/>
      <c r="E1388" s="390"/>
      <c r="F1388" s="402">
        <f>IFERROR(E1388*'01 Prod Physique Boites'!H1382,"-")</f>
        <v>0</v>
      </c>
      <c r="G1388" s="407">
        <f>IFERROR(E1388*'01 Prod Physique Boites'!L1382,"-")</f>
        <v>0</v>
      </c>
      <c r="H1388" s="391"/>
      <c r="I1388" s="406">
        <f t="shared" ref="I1388:J1388" si="787">SUM(I1386:I1387)</f>
        <v>0</v>
      </c>
      <c r="J1388" s="425">
        <f t="shared" si="787"/>
        <v>0</v>
      </c>
    </row>
    <row r="1389" spans="1:10" ht="24" thickBot="1" x14ac:dyDescent="0.35">
      <c r="A1389" s="274" t="s">
        <v>102</v>
      </c>
      <c r="B1389" s="1028" t="s">
        <v>25</v>
      </c>
      <c r="C1389" s="1029"/>
      <c r="D1389" s="1030"/>
      <c r="E1389" s="393"/>
      <c r="F1389" s="410">
        <f>+F1368+F1373+F1376+F1381+F1385+F1388</f>
        <v>1501867.584</v>
      </c>
      <c r="G1389" s="411">
        <f>+G1368+G1373+G1376+G1381+G1385+G1388</f>
        <v>21264861.495300002</v>
      </c>
      <c r="H1389" s="394"/>
      <c r="I1389" s="410">
        <f>+I1368+I1373+I1376+I1381+I1385+I1388</f>
        <v>2880460.7999999998</v>
      </c>
      <c r="J1389" s="428">
        <f>+J1368+J1373+J1376+J1381+J1385+J1388</f>
        <v>39462395.319999993</v>
      </c>
    </row>
    <row r="1390" spans="1:10" ht="24" thickBot="1" x14ac:dyDescent="0.35">
      <c r="A1390" s="318" t="s">
        <v>102</v>
      </c>
      <c r="B1390" s="1020" t="s">
        <v>173</v>
      </c>
      <c r="C1390" s="1020"/>
      <c r="D1390" s="1021"/>
      <c r="E1390" s="395"/>
      <c r="F1390" s="412">
        <f t="shared" ref="F1390:G1390" si="788">+F1389</f>
        <v>1501867.584</v>
      </c>
      <c r="G1390" s="413">
        <f t="shared" si="788"/>
        <v>21264861.495300002</v>
      </c>
      <c r="H1390" s="396"/>
      <c r="I1390" s="412">
        <f t="shared" ref="I1390" si="789">+I1389</f>
        <v>2880460.7999999998</v>
      </c>
      <c r="J1390" s="429">
        <f>+J1389</f>
        <v>39462395.319999993</v>
      </c>
    </row>
    <row r="1391" spans="1:10" ht="24.6" thickBot="1" x14ac:dyDescent="0.35">
      <c r="A1391" s="319"/>
      <c r="B1391" s="1031" t="s">
        <v>174</v>
      </c>
      <c r="C1391" s="1032"/>
      <c r="D1391" s="1033"/>
      <c r="E1391" s="401"/>
      <c r="F1391" s="418">
        <f>+F1329+F1364+F1390</f>
        <v>6504052.6443999996</v>
      </c>
      <c r="G1391" s="418">
        <f>+G1329+G1364+G1390</f>
        <v>81077552.100100011</v>
      </c>
      <c r="H1391" s="401"/>
      <c r="I1391" s="418">
        <f>+I1329+I1364+I1390</f>
        <v>10017124.559999999</v>
      </c>
      <c r="J1391" s="432">
        <f>+J1329+J1364+J1390</f>
        <v>113007343.55999999</v>
      </c>
    </row>
    <row r="1392" spans="1:10" ht="23.4" x14ac:dyDescent="0.3">
      <c r="A1392" s="1057" t="s">
        <v>1</v>
      </c>
      <c r="B1392" s="1060" t="s">
        <v>2</v>
      </c>
      <c r="C1392" s="1063" t="s">
        <v>396</v>
      </c>
      <c r="D1392" s="1063" t="s">
        <v>397</v>
      </c>
      <c r="E1392" s="1092" t="s">
        <v>405</v>
      </c>
      <c r="F1392" s="1093"/>
      <c r="G1392" s="1093"/>
      <c r="H1392" s="442"/>
      <c r="I1392" s="442"/>
      <c r="J1392" s="443"/>
    </row>
    <row r="1393" spans="1:10" ht="23.4" x14ac:dyDescent="0.3">
      <c r="A1393" s="1058"/>
      <c r="B1393" s="1061"/>
      <c r="C1393" s="1064"/>
      <c r="D1393" s="1064"/>
      <c r="E1393" s="1094" t="s">
        <v>408</v>
      </c>
      <c r="F1393" s="1095"/>
      <c r="G1393" s="1096"/>
      <c r="H1393" s="1094" t="s">
        <v>168</v>
      </c>
      <c r="I1393" s="1095"/>
      <c r="J1393" s="1096"/>
    </row>
    <row r="1394" spans="1:10" ht="46.8" x14ac:dyDescent="0.3">
      <c r="A1394" s="1059"/>
      <c r="B1394" s="1090"/>
      <c r="C1394" s="1091"/>
      <c r="D1394" s="1091"/>
      <c r="E1394" s="379" t="s">
        <v>170</v>
      </c>
      <c r="F1394" s="943" t="s">
        <v>407</v>
      </c>
      <c r="G1394" s="944" t="s">
        <v>406</v>
      </c>
      <c r="H1394" s="1097" t="s">
        <v>170</v>
      </c>
      <c r="I1394" s="1099" t="s">
        <v>137</v>
      </c>
      <c r="J1394" s="1101" t="s">
        <v>406</v>
      </c>
    </row>
    <row r="1395" spans="1:10" ht="24" thickBot="1" x14ac:dyDescent="0.35">
      <c r="A1395" s="1059"/>
      <c r="B1395" s="1062"/>
      <c r="C1395" s="1065"/>
      <c r="D1395" s="1065"/>
      <c r="E1395" s="1103" t="s">
        <v>561</v>
      </c>
      <c r="F1395" s="1104"/>
      <c r="G1395" s="1105"/>
      <c r="H1395" s="1098"/>
      <c r="I1395" s="1100"/>
      <c r="J1395" s="1102"/>
    </row>
    <row r="1396" spans="1:10" ht="23.4" x14ac:dyDescent="0.3">
      <c r="A1396" s="268" t="s">
        <v>103</v>
      </c>
      <c r="B1396" s="1043" t="s">
        <v>16</v>
      </c>
      <c r="C1396" s="269" t="s">
        <v>368</v>
      </c>
      <c r="D1396" s="269" t="s">
        <v>369</v>
      </c>
      <c r="E1396" s="705">
        <v>81.360699999999994</v>
      </c>
      <c r="F1396" s="402">
        <f>IFERROR(E1396*'01 Prod Physique Boites'!H1390,"-")</f>
        <v>291271.30599999998</v>
      </c>
      <c r="G1396" s="402">
        <f>IFERROR(E1396*'01 Prod Physique Boites'!L1390,"-")</f>
        <v>1514936.2339999999</v>
      </c>
      <c r="H1396" s="706">
        <v>143.28</v>
      </c>
      <c r="I1396" s="419">
        <f>IFERROR(H1396*(F1396/E1396),"-")</f>
        <v>512942.4</v>
      </c>
      <c r="J1396" s="420">
        <f t="shared" ref="J1396:J1398" si="790">IFERROR(H1396*(G1396/E1396),"-")</f>
        <v>2667873.6</v>
      </c>
    </row>
    <row r="1397" spans="1:10" ht="23.4" x14ac:dyDescent="0.3">
      <c r="A1397" s="713"/>
      <c r="B1397" s="1044"/>
      <c r="C1397" s="275" t="s">
        <v>470</v>
      </c>
      <c r="D1397" s="275" t="s">
        <v>375</v>
      </c>
      <c r="E1397" s="505">
        <v>81.360699999999994</v>
      </c>
      <c r="F1397" s="402">
        <f>IFERROR(E1397*'01 Prod Physique Boites'!H1391,"-")</f>
        <v>0</v>
      </c>
      <c r="G1397" s="402">
        <f>IFERROR(E1397*'01 Prod Physique Boites'!L1391,"-")</f>
        <v>0</v>
      </c>
      <c r="H1397" s="708">
        <v>143.28</v>
      </c>
      <c r="I1397" s="419">
        <f>IFERROR(H1397*(F1397/E1397),"-")</f>
        <v>0</v>
      </c>
      <c r="J1397" s="420">
        <f t="shared" si="790"/>
        <v>0</v>
      </c>
    </row>
    <row r="1398" spans="1:10" ht="23.4" x14ac:dyDescent="0.3">
      <c r="A1398" s="274" t="s">
        <v>103</v>
      </c>
      <c r="B1398" s="1044"/>
      <c r="C1398" s="275" t="s">
        <v>430</v>
      </c>
      <c r="D1398" s="275" t="s">
        <v>384</v>
      </c>
      <c r="E1398" s="684">
        <v>77.170400000000001</v>
      </c>
      <c r="F1398" s="402">
        <f>IFERROR(E1398*'01 Prod Physique Boites'!H1392,"-")</f>
        <v>0</v>
      </c>
      <c r="G1398" s="402">
        <f>IFERROR(E1398*'01 Prod Physique Boites'!L1392,"-")</f>
        <v>617363.19999999995</v>
      </c>
      <c r="H1398" s="385">
        <v>0</v>
      </c>
      <c r="I1398" s="419">
        <f>IFERROR(H1398*(F1398/E1398),"-")</f>
        <v>0</v>
      </c>
      <c r="J1398" s="420">
        <f t="shared" si="790"/>
        <v>0</v>
      </c>
    </row>
    <row r="1399" spans="1:10" ht="24" thickBot="1" x14ac:dyDescent="0.35">
      <c r="A1399" s="274" t="s">
        <v>103</v>
      </c>
      <c r="B1399" s="1045"/>
      <c r="C1399" s="279" t="s">
        <v>262</v>
      </c>
      <c r="D1399" s="279" t="s">
        <v>231</v>
      </c>
      <c r="E1399" s="501">
        <v>60.703499999999998</v>
      </c>
      <c r="F1399" s="402">
        <f>IFERROR(E1399*'01 Prod Physique Boites'!H1393,"-")</f>
        <v>0</v>
      </c>
      <c r="G1399" s="402">
        <f>IFERROR(E1399*'01 Prod Physique Boites'!L1393,"-")</f>
        <v>0</v>
      </c>
      <c r="H1399" s="387">
        <v>111.09</v>
      </c>
      <c r="I1399" s="419">
        <f>IFERROR(H1399*(F1399/E1399),"-")</f>
        <v>0</v>
      </c>
      <c r="J1399" s="420">
        <f>IFERROR(H1399*(G1399/E1399),"-")</f>
        <v>0</v>
      </c>
    </row>
    <row r="1400" spans="1:10" ht="24" thickBot="1" x14ac:dyDescent="0.35">
      <c r="A1400" s="274" t="s">
        <v>103</v>
      </c>
      <c r="B1400" s="1025" t="s">
        <v>44</v>
      </c>
      <c r="C1400" s="1026"/>
      <c r="D1400" s="1027"/>
      <c r="E1400" s="390"/>
      <c r="F1400" s="406">
        <f t="shared" ref="F1400" si="791">SUM(F1396:F1399)</f>
        <v>291271.30599999998</v>
      </c>
      <c r="G1400" s="407">
        <f>SUM(G1396:G1399)</f>
        <v>2132299.4339999999</v>
      </c>
      <c r="H1400" s="391"/>
      <c r="I1400" s="406">
        <f t="shared" ref="I1400:J1400" si="792">SUM(I1396:I1399)</f>
        <v>512942.4</v>
      </c>
      <c r="J1400" s="425">
        <f t="shared" si="792"/>
        <v>2667873.6</v>
      </c>
    </row>
    <row r="1401" spans="1:10" ht="23.4" x14ac:dyDescent="0.3">
      <c r="A1401" s="274" t="s">
        <v>103</v>
      </c>
      <c r="B1401" s="1043" t="s">
        <v>17</v>
      </c>
      <c r="C1401" s="269" t="s">
        <v>294</v>
      </c>
      <c r="D1401" s="269"/>
      <c r="E1401" s="504">
        <v>12.5275</v>
      </c>
      <c r="F1401" s="402">
        <f>IFERROR(E1401*'01 Prod Physique Boites'!H1395,"-")</f>
        <v>0</v>
      </c>
      <c r="G1401" s="402">
        <f>IFERROR(E1401*'01 Prod Physique Boites'!L1395,"-")</f>
        <v>0</v>
      </c>
      <c r="H1401" s="681">
        <v>18.836400000000001</v>
      </c>
      <c r="I1401" s="419">
        <f t="shared" ref="I1401:I1407" si="793">IFERROR(H1401*(F1401/E1401),"-")</f>
        <v>0</v>
      </c>
      <c r="J1401" s="420">
        <f t="shared" ref="J1401:J1406" si="794">IFERROR(H1401*(G1401/E1401),"-")</f>
        <v>0</v>
      </c>
    </row>
    <row r="1402" spans="1:10" ht="23.4" x14ac:dyDescent="0.3">
      <c r="A1402" s="274" t="s">
        <v>103</v>
      </c>
      <c r="B1402" s="1044"/>
      <c r="C1402" s="275" t="s">
        <v>344</v>
      </c>
      <c r="D1402" s="275" t="s">
        <v>232</v>
      </c>
      <c r="E1402" s="677">
        <v>13.002700000000001</v>
      </c>
      <c r="F1402" s="402">
        <f>IFERROR(E1402*'01 Prod Physique Boites'!H1396,"-")</f>
        <v>0</v>
      </c>
      <c r="G1402" s="402">
        <f>IFERROR(E1402*'01 Prod Physique Boites'!L1396,"-")</f>
        <v>77756.146000000008</v>
      </c>
      <c r="H1402" s="385">
        <v>21.18</v>
      </c>
      <c r="I1402" s="421">
        <f t="shared" si="793"/>
        <v>0</v>
      </c>
      <c r="J1402" s="422">
        <f t="shared" si="794"/>
        <v>126656.4</v>
      </c>
    </row>
    <row r="1403" spans="1:10" ht="23.4" x14ac:dyDescent="0.3">
      <c r="A1403" s="274" t="s">
        <v>103</v>
      </c>
      <c r="B1403" s="1044"/>
      <c r="C1403" s="275" t="s">
        <v>351</v>
      </c>
      <c r="D1403" s="275" t="s">
        <v>187</v>
      </c>
      <c r="E1403" s="677">
        <v>12.9049</v>
      </c>
      <c r="F1403" s="402">
        <f>IFERROR(E1403*'01 Prod Physique Boites'!H1397,"-")</f>
        <v>1184669.82</v>
      </c>
      <c r="G1403" s="402">
        <f>IFERROR(E1403*'01 Prod Physique Boites'!L1397,"-")</f>
        <v>13031368.02</v>
      </c>
      <c r="H1403" s="385">
        <v>20.5</v>
      </c>
      <c r="I1403" s="421">
        <f t="shared" si="793"/>
        <v>1881900.0000000002</v>
      </c>
      <c r="J1403" s="422">
        <f t="shared" si="794"/>
        <v>20700900</v>
      </c>
    </row>
    <row r="1404" spans="1:10" ht="23.4" x14ac:dyDescent="0.3">
      <c r="A1404" s="274" t="s">
        <v>103</v>
      </c>
      <c r="B1404" s="1044"/>
      <c r="C1404" s="275" t="s">
        <v>530</v>
      </c>
      <c r="D1404" s="275" t="s">
        <v>529</v>
      </c>
      <c r="E1404" s="505">
        <v>13.1958</v>
      </c>
      <c r="F1404" s="402">
        <f>IFERROR(E1404*'01 Prod Physique Boites'!H1398,"-")</f>
        <v>0</v>
      </c>
      <c r="G1404" s="402">
        <f>IFERROR(E1404*'01 Prod Physique Boites'!L1398,"-")</f>
        <v>545646.32999999996</v>
      </c>
      <c r="H1404" s="708">
        <v>21.28</v>
      </c>
      <c r="I1404" s="421">
        <f t="shared" si="793"/>
        <v>0</v>
      </c>
      <c r="J1404" s="422">
        <f t="shared" si="794"/>
        <v>879927.99999999988</v>
      </c>
    </row>
    <row r="1405" spans="1:10" ht="23.4" x14ac:dyDescent="0.3">
      <c r="A1405" s="274" t="s">
        <v>103</v>
      </c>
      <c r="B1405" s="1044"/>
      <c r="C1405" s="275" t="s">
        <v>323</v>
      </c>
      <c r="D1405" s="275" t="s">
        <v>318</v>
      </c>
      <c r="E1405" s="505">
        <v>13.1958</v>
      </c>
      <c r="F1405" s="402">
        <f>IFERROR(E1405*'01 Prod Physique Boites'!H1399,"-")</f>
        <v>0</v>
      </c>
      <c r="G1405" s="402">
        <f>IFERROR(E1405*'01 Prod Physique Boites'!L1399,"-")</f>
        <v>0</v>
      </c>
      <c r="H1405" s="385">
        <v>21.28</v>
      </c>
      <c r="I1405" s="421">
        <f t="shared" si="793"/>
        <v>0</v>
      </c>
      <c r="J1405" s="422">
        <f t="shared" si="794"/>
        <v>0</v>
      </c>
    </row>
    <row r="1406" spans="1:10" ht="23.4" x14ac:dyDescent="0.3">
      <c r="A1406" s="274">
        <v>1</v>
      </c>
      <c r="B1406" s="1044"/>
      <c r="C1406" s="275" t="s">
        <v>528</v>
      </c>
      <c r="D1406" s="275" t="s">
        <v>189</v>
      </c>
      <c r="E1406" s="677">
        <v>13.1958</v>
      </c>
      <c r="F1406" s="402">
        <f>IFERROR(E1406*'01 Prod Physique Boites'!H1400,"-")</f>
        <v>0</v>
      </c>
      <c r="G1406" s="402">
        <f>IFERROR(E1406*'01 Prod Physique Boites'!L1400,"-")</f>
        <v>445490.20799999998</v>
      </c>
      <c r="H1406" s="664">
        <v>21.28</v>
      </c>
      <c r="I1406" s="421">
        <f t="shared" si="793"/>
        <v>0</v>
      </c>
      <c r="J1406" s="422">
        <f t="shared" si="794"/>
        <v>718412.80000000005</v>
      </c>
    </row>
    <row r="1407" spans="1:10" ht="24" thickBot="1" x14ac:dyDescent="0.35">
      <c r="A1407" s="274" t="s">
        <v>103</v>
      </c>
      <c r="B1407" s="1045"/>
      <c r="C1407" s="279" t="s">
        <v>341</v>
      </c>
      <c r="D1407" s="279" t="s">
        <v>175</v>
      </c>
      <c r="E1407" s="501">
        <v>13.6509</v>
      </c>
      <c r="F1407" s="402">
        <f>IFERROR(E1407*'01 Prod Physique Boites'!H1401,"-")</f>
        <v>0</v>
      </c>
      <c r="G1407" s="402">
        <f>IFERROR(E1407*'01 Prod Physique Boites'!L1401,"-")</f>
        <v>0</v>
      </c>
      <c r="H1407" s="387">
        <v>21.18</v>
      </c>
      <c r="I1407" s="423">
        <f t="shared" si="793"/>
        <v>0</v>
      </c>
      <c r="J1407" s="424">
        <f>IFERROR(H1407*(G1407/E1407),"-")</f>
        <v>0</v>
      </c>
    </row>
    <row r="1408" spans="1:10" ht="24" thickBot="1" x14ac:dyDescent="0.35">
      <c r="A1408" s="274" t="s">
        <v>103</v>
      </c>
      <c r="B1408" s="1025" t="s">
        <v>45</v>
      </c>
      <c r="C1408" s="1026"/>
      <c r="D1408" s="1027"/>
      <c r="E1408" s="390"/>
      <c r="F1408" s="406">
        <f t="shared" ref="F1408" si="795">SUM(F1401:F1407)</f>
        <v>1184669.82</v>
      </c>
      <c r="G1408" s="407">
        <f>SUM(G1401:G1407)</f>
        <v>14100260.704</v>
      </c>
      <c r="H1408" s="391"/>
      <c r="I1408" s="406">
        <f t="shared" ref="I1408" si="796">SUM(I1401:I1407)</f>
        <v>1881900.0000000002</v>
      </c>
      <c r="J1408" s="425">
        <f>SUM(J1401:J1407)</f>
        <v>22425897.199999999</v>
      </c>
    </row>
    <row r="1409" spans="1:10" ht="23.4" x14ac:dyDescent="0.3">
      <c r="A1409" s="274" t="s">
        <v>103</v>
      </c>
      <c r="B1409" s="1043" t="s">
        <v>18</v>
      </c>
      <c r="C1409" s="269" t="s">
        <v>312</v>
      </c>
      <c r="D1409" s="269" t="s">
        <v>92</v>
      </c>
      <c r="E1409" s="504">
        <v>17.8202</v>
      </c>
      <c r="F1409" s="402">
        <f>IFERROR(E1409*'01 Prod Physique Boites'!H1403,"-")</f>
        <v>0</v>
      </c>
      <c r="G1409" s="403">
        <f>IFERROR(E1409*'01 Prod Physique Boites'!L1403,"-")</f>
        <v>0</v>
      </c>
      <c r="H1409" s="381">
        <v>24.93</v>
      </c>
      <c r="I1409" s="419">
        <f t="shared" ref="I1409:I1415" si="797">IFERROR(H1409*(F1409/E1409),"-")</f>
        <v>0</v>
      </c>
      <c r="J1409" s="420">
        <f t="shared" ref="J1409:J1411" si="798">IFERROR(H1409*(G1409/E1409),"-")</f>
        <v>0</v>
      </c>
    </row>
    <row r="1410" spans="1:10" ht="23.4" x14ac:dyDescent="0.3">
      <c r="A1410" s="274" t="s">
        <v>103</v>
      </c>
      <c r="B1410" s="1044"/>
      <c r="C1410" s="275" t="s">
        <v>130</v>
      </c>
      <c r="D1410" s="275"/>
      <c r="E1410" s="505">
        <v>17.8202</v>
      </c>
      <c r="F1410" s="402">
        <f>IFERROR(E1410*'01 Prod Physique Boites'!H1404,"-")</f>
        <v>0</v>
      </c>
      <c r="G1410" s="403">
        <f>IFERROR(E1410*'01 Prod Physique Boites'!L1404,"-")</f>
        <v>0</v>
      </c>
      <c r="H1410" s="385">
        <v>0</v>
      </c>
      <c r="I1410" s="421">
        <f t="shared" si="797"/>
        <v>0</v>
      </c>
      <c r="J1410" s="422">
        <f t="shared" si="798"/>
        <v>0</v>
      </c>
    </row>
    <row r="1411" spans="1:10" ht="23.4" x14ac:dyDescent="0.3">
      <c r="A1411" s="274" t="s">
        <v>103</v>
      </c>
      <c r="B1411" s="1044"/>
      <c r="C1411" s="275" t="s">
        <v>115</v>
      </c>
      <c r="D1411" s="275"/>
      <c r="E1411" s="505">
        <v>16.4071</v>
      </c>
      <c r="F1411" s="402">
        <f>IFERROR(E1411*'01 Prod Physique Boites'!H1405,"-")</f>
        <v>0</v>
      </c>
      <c r="G1411" s="403">
        <f>IFERROR(E1411*'01 Prod Physique Boites'!L1405,"-")</f>
        <v>0</v>
      </c>
      <c r="H1411" s="385">
        <v>0</v>
      </c>
      <c r="I1411" s="421">
        <f t="shared" si="797"/>
        <v>0</v>
      </c>
      <c r="J1411" s="422">
        <f t="shared" si="798"/>
        <v>0</v>
      </c>
    </row>
    <row r="1412" spans="1:10" ht="23.4" x14ac:dyDescent="0.3">
      <c r="A1412" s="274" t="s">
        <v>103</v>
      </c>
      <c r="B1412" s="1044"/>
      <c r="C1412" s="275" t="s">
        <v>122</v>
      </c>
      <c r="D1412" s="275"/>
      <c r="E1412" s="505">
        <v>17.8202</v>
      </c>
      <c r="F1412" s="402">
        <f>IFERROR(E1412*'01 Prod Physique Boites'!H1406,"-")</f>
        <v>0</v>
      </c>
      <c r="G1412" s="403">
        <f>IFERROR(E1412*'01 Prod Physique Boites'!L1406,"-")</f>
        <v>0</v>
      </c>
      <c r="H1412" s="385">
        <v>0</v>
      </c>
      <c r="I1412" s="421">
        <f t="shared" si="797"/>
        <v>0</v>
      </c>
      <c r="J1412" s="422">
        <f>IFERROR(H1412*(G1412/E1412),"-")</f>
        <v>0</v>
      </c>
    </row>
    <row r="1413" spans="1:10" ht="23.4" x14ac:dyDescent="0.3">
      <c r="A1413" s="274" t="s">
        <v>103</v>
      </c>
      <c r="B1413" s="1044"/>
      <c r="C1413" s="275" t="s">
        <v>176</v>
      </c>
      <c r="D1413" s="275" t="s">
        <v>177</v>
      </c>
      <c r="E1413" s="505">
        <v>17.8202</v>
      </c>
      <c r="F1413" s="402">
        <f>IFERROR(E1413*'01 Prod Physique Boites'!H1407,"-")</f>
        <v>0</v>
      </c>
      <c r="G1413" s="403">
        <f>IFERROR(E1413*'01 Prod Physique Boites'!L1407,"-")</f>
        <v>0</v>
      </c>
      <c r="H1413" s="385">
        <v>0</v>
      </c>
      <c r="I1413" s="421">
        <f t="shared" si="797"/>
        <v>0</v>
      </c>
      <c r="J1413" s="422">
        <f t="shared" ref="J1413:J1415" si="799">IFERROR(H1413*(G1413/E1413),"-")</f>
        <v>0</v>
      </c>
    </row>
    <row r="1414" spans="1:10" ht="23.4" x14ac:dyDescent="0.3">
      <c r="A1414" s="274" t="s">
        <v>103</v>
      </c>
      <c r="B1414" s="1044"/>
      <c r="C1414" s="275" t="s">
        <v>179</v>
      </c>
      <c r="D1414" s="275" t="s">
        <v>178</v>
      </c>
      <c r="E1414" s="505">
        <v>16.7288</v>
      </c>
      <c r="F1414" s="402">
        <f>IFERROR(E1414*'01 Prod Physique Boites'!H1408,"-")</f>
        <v>0</v>
      </c>
      <c r="G1414" s="403">
        <f>IFERROR(E1414*'01 Prod Physique Boites'!L1408,"-")</f>
        <v>0</v>
      </c>
      <c r="H1414" s="385">
        <v>0</v>
      </c>
      <c r="I1414" s="421">
        <f t="shared" si="797"/>
        <v>0</v>
      </c>
      <c r="J1414" s="422">
        <f t="shared" si="799"/>
        <v>0</v>
      </c>
    </row>
    <row r="1415" spans="1:10" ht="24" thickBot="1" x14ac:dyDescent="0.35">
      <c r="A1415" s="274" t="s">
        <v>103</v>
      </c>
      <c r="B1415" s="1045"/>
      <c r="C1415" s="286" t="s">
        <v>180</v>
      </c>
      <c r="D1415" s="286" t="s">
        <v>107</v>
      </c>
      <c r="E1415" s="501">
        <v>17.8202</v>
      </c>
      <c r="F1415" s="402">
        <f>IFERROR(E1415*'01 Prod Physique Boites'!H1409,"-")</f>
        <v>0</v>
      </c>
      <c r="G1415" s="403">
        <f>IFERROR(E1415*'01 Prod Physique Boites'!L1409,"-")</f>
        <v>0</v>
      </c>
      <c r="H1415" s="385">
        <v>0</v>
      </c>
      <c r="I1415" s="423">
        <f t="shared" si="797"/>
        <v>0</v>
      </c>
      <c r="J1415" s="424">
        <f t="shared" si="799"/>
        <v>0</v>
      </c>
    </row>
    <row r="1416" spans="1:10" ht="24" thickBot="1" x14ac:dyDescent="0.35">
      <c r="A1416" s="274" t="s">
        <v>103</v>
      </c>
      <c r="B1416" s="1025" t="s">
        <v>29</v>
      </c>
      <c r="C1416" s="1083"/>
      <c r="D1416" s="1084"/>
      <c r="E1416" s="841"/>
      <c r="F1416" s="856">
        <f t="shared" ref="F1416:G1416" si="800">SUM(F1409:F1415)</f>
        <v>0</v>
      </c>
      <c r="G1416" s="415">
        <f t="shared" si="800"/>
        <v>0</v>
      </c>
      <c r="H1416" s="391"/>
      <c r="I1416" s="406">
        <f t="shared" ref="I1416:J1416" si="801">SUM(I1409:I1415)</f>
        <v>0</v>
      </c>
      <c r="J1416" s="425">
        <f t="shared" si="801"/>
        <v>0</v>
      </c>
    </row>
    <row r="1417" spans="1:10" ht="23.4" x14ac:dyDescent="0.3">
      <c r="A1417" s="274"/>
      <c r="B1417" s="1037" t="s">
        <v>19</v>
      </c>
      <c r="C1417" s="669" t="s">
        <v>235</v>
      </c>
      <c r="D1417" s="669" t="s">
        <v>177</v>
      </c>
      <c r="E1417" s="850">
        <v>12.2659</v>
      </c>
      <c r="F1417" s="658">
        <f>IFERROR(E1417*'01 Prod Physique Boites'!H1411,"-")</f>
        <v>1865201.8176</v>
      </c>
      <c r="G1417" s="659">
        <f>IFERROR(E1417*'01 Prod Physique Boites'!L1411,"-")</f>
        <v>3419536.6655999999</v>
      </c>
      <c r="H1417" s="653">
        <v>14.79</v>
      </c>
      <c r="I1417" s="638">
        <f t="shared" ref="I1417:I1423" si="802">IFERROR(H1417*(F1417/E1417),"-")</f>
        <v>2249026.5600000001</v>
      </c>
      <c r="J1417" s="638">
        <f>IFERROR(H1417*(G1417/E1417),"-")</f>
        <v>4123215.36</v>
      </c>
    </row>
    <row r="1418" spans="1:10" ht="23.4" x14ac:dyDescent="0.3">
      <c r="A1418" s="274"/>
      <c r="B1418" s="1038"/>
      <c r="C1418" s="840" t="s">
        <v>359</v>
      </c>
      <c r="D1418" s="840" t="s">
        <v>423</v>
      </c>
      <c r="E1418" s="851">
        <v>12.2659</v>
      </c>
      <c r="F1418" s="643">
        <f>IFERROR(E1418*'01 Prod Physique Boites'!H1412,"-")</f>
        <v>0</v>
      </c>
      <c r="G1418" s="633">
        <f>IFERROR(E1418*'01 Prod Physique Boites'!L1412,"-")</f>
        <v>7046317.9775999999</v>
      </c>
      <c r="H1418" s="654">
        <v>14.55</v>
      </c>
      <c r="I1418" s="643">
        <f t="shared" si="802"/>
        <v>0</v>
      </c>
      <c r="J1418" s="643">
        <f>IFERROR(H1418*(G1418/E1418),"-")</f>
        <v>8358451.2000000002</v>
      </c>
    </row>
    <row r="1419" spans="1:10" ht="23.4" x14ac:dyDescent="0.3">
      <c r="A1419" s="274"/>
      <c r="B1419" s="1038"/>
      <c r="C1419" s="840" t="s">
        <v>235</v>
      </c>
      <c r="D1419" s="840" t="s">
        <v>522</v>
      </c>
      <c r="E1419" s="851">
        <v>12.2659</v>
      </c>
      <c r="F1419" s="643">
        <f>IFERROR(E1419*'01 Prod Physique Boites'!H1413,"-")</f>
        <v>0</v>
      </c>
      <c r="G1419" s="633">
        <f>IFERROR(E1419*'01 Prod Physique Boites'!L1413,"-")</f>
        <v>2621370.0208000001</v>
      </c>
      <c r="H1419" s="860">
        <v>0</v>
      </c>
      <c r="I1419" s="643">
        <f t="shared" si="802"/>
        <v>0</v>
      </c>
      <c r="J1419" s="643">
        <f t="shared" ref="J1419:J1422" si="803">IFERROR(H1419*(G1419/E1419),"-")</f>
        <v>0</v>
      </c>
    </row>
    <row r="1420" spans="1:10" ht="23.4" x14ac:dyDescent="0.3">
      <c r="A1420" s="274"/>
      <c r="B1420" s="1038"/>
      <c r="C1420" s="840" t="s">
        <v>377</v>
      </c>
      <c r="D1420" s="840" t="s">
        <v>522</v>
      </c>
      <c r="E1420" s="851">
        <v>12.2659</v>
      </c>
      <c r="F1420" s="643">
        <f>IFERROR(E1420*'01 Prod Physique Boites'!H1414,"-")</f>
        <v>0</v>
      </c>
      <c r="G1420" s="633">
        <f>IFERROR(E1420*'01 Prod Physique Boites'!L1414,"-")</f>
        <v>3523158.9887999999</v>
      </c>
      <c r="H1420" s="860">
        <v>0</v>
      </c>
      <c r="I1420" s="643">
        <f t="shared" si="802"/>
        <v>0</v>
      </c>
      <c r="J1420" s="643">
        <f t="shared" si="803"/>
        <v>0</v>
      </c>
    </row>
    <row r="1421" spans="1:10" ht="23.4" x14ac:dyDescent="0.3">
      <c r="A1421" s="274"/>
      <c r="B1421" s="1038"/>
      <c r="C1421" s="840" t="s">
        <v>536</v>
      </c>
      <c r="D1421" s="840" t="s">
        <v>522</v>
      </c>
      <c r="E1421" s="851">
        <v>12.2659</v>
      </c>
      <c r="F1421" s="643">
        <f>IFERROR(E1421*'01 Prod Physique Boites'!H1415,"-")</f>
        <v>0</v>
      </c>
      <c r="G1421" s="633">
        <f>IFERROR(E1421*'01 Prod Physique Boites'!L1415,"-")</f>
        <v>1839296.2368000001</v>
      </c>
      <c r="H1421" s="860">
        <v>0</v>
      </c>
      <c r="I1421" s="643">
        <f t="shared" si="802"/>
        <v>0</v>
      </c>
      <c r="J1421" s="643">
        <f t="shared" si="803"/>
        <v>0</v>
      </c>
    </row>
    <row r="1422" spans="1:10" ht="23.4" x14ac:dyDescent="0.3">
      <c r="A1422" s="274"/>
      <c r="B1422" s="1038"/>
      <c r="C1422" s="840"/>
      <c r="D1422" s="840"/>
      <c r="E1422" s="851">
        <v>12.2659</v>
      </c>
      <c r="F1422" s="643">
        <f>IFERROR(E1422*'01 Prod Physique Boites'!H1416,"-")</f>
        <v>0</v>
      </c>
      <c r="G1422" s="633">
        <f>IFERROR(E1422*'01 Prod Physique Boites'!L1416,"-")</f>
        <v>0</v>
      </c>
      <c r="H1422" s="910">
        <v>14.55</v>
      </c>
      <c r="I1422" s="643">
        <f t="shared" si="802"/>
        <v>0</v>
      </c>
      <c r="J1422" s="643">
        <f t="shared" si="803"/>
        <v>0</v>
      </c>
    </row>
    <row r="1423" spans="1:10" ht="24" thickBot="1" x14ac:dyDescent="0.35">
      <c r="A1423" s="945" t="s">
        <v>103</v>
      </c>
      <c r="B1423" s="1039"/>
      <c r="C1423" s="670" t="s">
        <v>342</v>
      </c>
      <c r="D1423" s="670"/>
      <c r="E1423" s="852">
        <v>0</v>
      </c>
      <c r="F1423" s="927">
        <f>IFERROR(E1423*'01 Prod Physique Boites'!H1417,"-")</f>
        <v>0</v>
      </c>
      <c r="G1423" s="858">
        <f>IFERROR(E1423*'01 Prod Physique Boites'!L1417,"-")</f>
        <v>0</v>
      </c>
      <c r="H1423" s="655">
        <v>0</v>
      </c>
      <c r="I1423" s="643" t="str">
        <f t="shared" si="802"/>
        <v>-</v>
      </c>
      <c r="J1423" s="427" t="str">
        <f t="shared" ref="J1423" si="804">IFERROR(I1423*(G1423/F1423),"-")</f>
        <v>-</v>
      </c>
    </row>
    <row r="1424" spans="1:10" ht="24" thickBot="1" x14ac:dyDescent="0.35">
      <c r="A1424" s="274" t="s">
        <v>103</v>
      </c>
      <c r="B1424" s="1025" t="s">
        <v>46</v>
      </c>
      <c r="C1424" s="1041"/>
      <c r="D1424" s="1042"/>
      <c r="E1424" s="842"/>
      <c r="F1424" s="523">
        <f>SUM(F1417:F1423)</f>
        <v>1865201.8176</v>
      </c>
      <c r="G1424" s="523">
        <f>SUM(G1417:G1423)</f>
        <v>18449679.889600001</v>
      </c>
      <c r="H1424" s="391"/>
      <c r="I1424" s="406">
        <f>SUM(I1417:I1423)</f>
        <v>2249026.5600000001</v>
      </c>
      <c r="J1424" s="425">
        <f>SUM(J1417:J1423)</f>
        <v>12481666.560000001</v>
      </c>
    </row>
    <row r="1425" spans="1:10" ht="23.4" x14ac:dyDescent="0.3">
      <c r="A1425" s="274" t="s">
        <v>103</v>
      </c>
      <c r="B1425" s="1043" t="s">
        <v>20</v>
      </c>
      <c r="C1425" s="291" t="s">
        <v>317</v>
      </c>
      <c r="D1425" s="291" t="s">
        <v>289</v>
      </c>
      <c r="E1425" s="504">
        <v>26.032900000000001</v>
      </c>
      <c r="F1425" s="402">
        <f>IFERROR(E1425*'01 Prod Physique Boites'!H1419,"-")</f>
        <v>0</v>
      </c>
      <c r="G1425" s="403">
        <f>IFERROR(E1425*'01 Prod Physique Boites'!L1419,"-")</f>
        <v>0</v>
      </c>
      <c r="H1425" s="381">
        <v>36.44</v>
      </c>
      <c r="I1425" s="419">
        <f>IFERROR(H1425*(F1425/E1425),"-")</f>
        <v>0</v>
      </c>
      <c r="J1425" s="420">
        <f t="shared" ref="J1425:J1427" si="805">IFERROR(H1425*(G1425/E1425),"-")</f>
        <v>0</v>
      </c>
    </row>
    <row r="1426" spans="1:10" ht="23.4" x14ac:dyDescent="0.3">
      <c r="A1426" s="274" t="s">
        <v>103</v>
      </c>
      <c r="B1426" s="1044"/>
      <c r="C1426" s="292" t="s">
        <v>114</v>
      </c>
      <c r="D1426" s="292"/>
      <c r="E1426" s="384">
        <v>24.2607</v>
      </c>
      <c r="F1426" s="402">
        <f>IFERROR(E1426*'01 Prod Physique Boites'!H1420,"-")</f>
        <v>0</v>
      </c>
      <c r="G1426" s="403">
        <f>IFERROR(E1426*'01 Prod Physique Boites'!L1420,"-")</f>
        <v>0</v>
      </c>
      <c r="H1426" s="385">
        <v>37.369999999999997</v>
      </c>
      <c r="I1426" s="421">
        <f>IFERROR(H1426*(F1426/E1426),"-")</f>
        <v>0</v>
      </c>
      <c r="J1426" s="422">
        <f t="shared" si="805"/>
        <v>0</v>
      </c>
    </row>
    <row r="1427" spans="1:10" ht="24" thickBot="1" x14ac:dyDescent="0.35">
      <c r="A1427" s="274" t="s">
        <v>103</v>
      </c>
      <c r="B1427" s="1045"/>
      <c r="C1427" s="293" t="s">
        <v>120</v>
      </c>
      <c r="D1427" s="293"/>
      <c r="E1427" s="386">
        <v>26.035799999999998</v>
      </c>
      <c r="F1427" s="402">
        <f>IFERROR(E1427*'01 Prod Physique Boites'!H1421,"-")</f>
        <v>0</v>
      </c>
      <c r="G1427" s="403">
        <f>IFERROR(E1427*'01 Prod Physique Boites'!L1421,"-")</f>
        <v>0</v>
      </c>
      <c r="H1427" s="387">
        <v>37.11</v>
      </c>
      <c r="I1427" s="423">
        <f>IFERROR(H1427*(F1427/E1427),"-")</f>
        <v>0</v>
      </c>
      <c r="J1427" s="424">
        <f t="shared" si="805"/>
        <v>0</v>
      </c>
    </row>
    <row r="1428" spans="1:10" ht="24" thickBot="1" x14ac:dyDescent="0.35">
      <c r="A1428" s="274" t="s">
        <v>103</v>
      </c>
      <c r="B1428" s="1026" t="s">
        <v>47</v>
      </c>
      <c r="C1428" s="1026"/>
      <c r="D1428" s="1046"/>
      <c r="E1428" s="390"/>
      <c r="F1428" s="406">
        <f t="shared" ref="F1428:G1428" si="806">SUM(F1425:F1427)</f>
        <v>0</v>
      </c>
      <c r="G1428" s="407">
        <f t="shared" si="806"/>
        <v>0</v>
      </c>
      <c r="H1428" s="391"/>
      <c r="I1428" s="406">
        <f t="shared" ref="I1428:J1428" si="807">SUM(I1425:I1427)</f>
        <v>0</v>
      </c>
      <c r="J1428" s="425">
        <f t="shared" si="807"/>
        <v>0</v>
      </c>
    </row>
    <row r="1429" spans="1:10" ht="24" thickBot="1" x14ac:dyDescent="0.35">
      <c r="A1429" s="274" t="s">
        <v>103</v>
      </c>
      <c r="B1429" s="1047" t="s">
        <v>21</v>
      </c>
      <c r="C1429" s="1048"/>
      <c r="D1429" s="1049"/>
      <c r="E1429" s="393"/>
      <c r="F1429" s="410">
        <f>+F1400+F1408+F1416+F1424+F1428</f>
        <v>3341142.9435999999</v>
      </c>
      <c r="G1429" s="411">
        <f>+G1400+G1408+G1416+G1424+G1428</f>
        <v>34682240.027600005</v>
      </c>
      <c r="H1429" s="394"/>
      <c r="I1429" s="410">
        <f>+I1400+I1408+I1416+I1424+I1428</f>
        <v>4643868.9600000009</v>
      </c>
      <c r="J1429" s="428">
        <f>+J1400+J1408+J1416+J1424+J1428</f>
        <v>37575437.359999999</v>
      </c>
    </row>
    <row r="1430" spans="1:10" ht="23.4" x14ac:dyDescent="0.3">
      <c r="A1430" s="274" t="s">
        <v>103</v>
      </c>
      <c r="B1430" s="1043" t="s">
        <v>400</v>
      </c>
      <c r="C1430" s="269" t="s">
        <v>125</v>
      </c>
      <c r="D1430" s="269"/>
      <c r="E1430" s="380">
        <v>22.820599999999999</v>
      </c>
      <c r="F1430" s="402">
        <f>IFERROR(E1430*'01 Prod Physique Boites'!H1424,"-")</f>
        <v>0</v>
      </c>
      <c r="G1430" s="403">
        <f>IFERROR(E1430*'01 Prod Physique Boites'!L1424,"-")</f>
        <v>0</v>
      </c>
      <c r="H1430" s="381">
        <v>27.5</v>
      </c>
      <c r="I1430" s="419">
        <f>IFERROR(H1430*(F1430/E1430),"-")</f>
        <v>0</v>
      </c>
      <c r="J1430" s="420">
        <f t="shared" ref="J1430:J1433" si="808">IFERROR(H1430*(G1430/E1430),"-")</f>
        <v>0</v>
      </c>
    </row>
    <row r="1431" spans="1:10" ht="23.4" x14ac:dyDescent="0.3">
      <c r="A1431" s="274" t="s">
        <v>103</v>
      </c>
      <c r="B1431" s="1044"/>
      <c r="C1431" s="295" t="s">
        <v>263</v>
      </c>
      <c r="D1431" s="295" t="s">
        <v>181</v>
      </c>
      <c r="E1431" s="384">
        <v>23.570699999999999</v>
      </c>
      <c r="F1431" s="402">
        <f>IFERROR(E1431*'01 Prod Physique Boites'!H1425,"-")</f>
        <v>0</v>
      </c>
      <c r="G1431" s="403">
        <f>IFERROR(E1431*'01 Prod Physique Boites'!L1425,"-")</f>
        <v>0</v>
      </c>
      <c r="H1431" s="385">
        <v>27.5</v>
      </c>
      <c r="I1431" s="421">
        <f>IFERROR(H1431*(F1431/E1431),"-")</f>
        <v>0</v>
      </c>
      <c r="J1431" s="422">
        <f t="shared" si="808"/>
        <v>0</v>
      </c>
    </row>
    <row r="1432" spans="1:10" ht="23.4" x14ac:dyDescent="0.3">
      <c r="A1432" s="274" t="s">
        <v>103</v>
      </c>
      <c r="B1432" s="1044"/>
      <c r="C1432" s="295" t="s">
        <v>362</v>
      </c>
      <c r="D1432" s="295" t="s">
        <v>181</v>
      </c>
      <c r="E1432" s="384">
        <v>22.820599999999999</v>
      </c>
      <c r="F1432" s="402">
        <f>IFERROR(E1432*'01 Prod Physique Boites'!H1426,"-")</f>
        <v>0</v>
      </c>
      <c r="G1432" s="403">
        <f>IFERROR(E1432*'01 Prod Physique Boites'!L1426,"-")</f>
        <v>0</v>
      </c>
      <c r="H1432" s="385">
        <v>27.5</v>
      </c>
      <c r="I1432" s="421">
        <f>IFERROR(H1432*(F1432/E1432),"-")</f>
        <v>0</v>
      </c>
      <c r="J1432" s="422">
        <f t="shared" si="808"/>
        <v>0</v>
      </c>
    </row>
    <row r="1433" spans="1:10" ht="24" thickBot="1" x14ac:dyDescent="0.35">
      <c r="A1433" s="274" t="s">
        <v>103</v>
      </c>
      <c r="B1433" s="1045"/>
      <c r="C1433" s="279" t="s">
        <v>182</v>
      </c>
      <c r="D1433" s="279" t="s">
        <v>93</v>
      </c>
      <c r="E1433" s="386">
        <v>22.238499999999998</v>
      </c>
      <c r="F1433" s="402">
        <f>IFERROR(E1433*'01 Prod Physique Boites'!H1427,"-")</f>
        <v>132096.69</v>
      </c>
      <c r="G1433" s="403">
        <f>IFERROR(E1433*'01 Prod Physique Boites'!L1427,"-")</f>
        <v>2774030.4899999998</v>
      </c>
      <c r="H1433" s="387">
        <v>27</v>
      </c>
      <c r="I1433" s="423">
        <f>IFERROR(H1433*(F1433/E1433),"-")</f>
        <v>160380.00000000003</v>
      </c>
      <c r="J1433" s="424">
        <f t="shared" si="808"/>
        <v>3367980</v>
      </c>
    </row>
    <row r="1434" spans="1:10" ht="24" thickBot="1" x14ac:dyDescent="0.35">
      <c r="A1434" s="274" t="s">
        <v>103</v>
      </c>
      <c r="B1434" s="1025" t="s">
        <v>48</v>
      </c>
      <c r="C1434" s="1026"/>
      <c r="D1434" s="1027"/>
      <c r="E1434" s="390"/>
      <c r="F1434" s="406">
        <f t="shared" ref="F1434:G1434" si="809">SUM(F1430:F1433)</f>
        <v>132096.69</v>
      </c>
      <c r="G1434" s="407">
        <f t="shared" si="809"/>
        <v>2774030.4899999998</v>
      </c>
      <c r="H1434" s="391"/>
      <c r="I1434" s="406">
        <f t="shared" ref="I1434:J1434" si="810">SUM(I1430:I1433)</f>
        <v>160380.00000000003</v>
      </c>
      <c r="J1434" s="425">
        <f t="shared" si="810"/>
        <v>3367980</v>
      </c>
    </row>
    <row r="1435" spans="1:10" ht="23.4" x14ac:dyDescent="0.3">
      <c r="A1435" s="274" t="s">
        <v>103</v>
      </c>
      <c r="B1435" s="1043" t="s">
        <v>23</v>
      </c>
      <c r="C1435" s="275" t="s">
        <v>500</v>
      </c>
      <c r="D1435" s="296" t="s">
        <v>238</v>
      </c>
      <c r="E1435" s="380">
        <v>101.4935</v>
      </c>
      <c r="F1435" s="402">
        <f>IFERROR(E1435*'01 Prod Physique Boites'!H1429,"-")</f>
        <v>0</v>
      </c>
      <c r="G1435" s="403">
        <f>IFERROR(E1435*'01 Prod Physique Boites'!L1429,"-")</f>
        <v>0</v>
      </c>
      <c r="H1435" s="385">
        <v>160.44999999999999</v>
      </c>
      <c r="I1435" s="419">
        <f t="shared" ref="I1435:I1443" si="811">IFERROR(H1435*(F1435/E1435),"-")</f>
        <v>0</v>
      </c>
      <c r="J1435" s="420">
        <f t="shared" ref="J1435:J1443" si="812">IFERROR(H1435*(G1435/E1435),"-")</f>
        <v>0</v>
      </c>
    </row>
    <row r="1436" spans="1:10" ht="23.4" x14ac:dyDescent="0.3">
      <c r="A1436" s="274" t="s">
        <v>103</v>
      </c>
      <c r="B1436" s="1044"/>
      <c r="C1436" s="275" t="s">
        <v>24</v>
      </c>
      <c r="D1436" s="275" t="s">
        <v>238</v>
      </c>
      <c r="E1436" s="384">
        <v>101.4935</v>
      </c>
      <c r="F1436" s="402">
        <f>IFERROR(E1436*'01 Prod Physique Boites'!H1430,"-")</f>
        <v>0</v>
      </c>
      <c r="G1436" s="403">
        <f>IFERROR(E1436*'01 Prod Physique Boites'!L1430,"-")</f>
        <v>0</v>
      </c>
      <c r="H1436" s="385">
        <v>160.44999999999999</v>
      </c>
      <c r="I1436" s="421">
        <f t="shared" si="811"/>
        <v>0</v>
      </c>
      <c r="J1436" s="422">
        <f t="shared" si="812"/>
        <v>0</v>
      </c>
    </row>
    <row r="1437" spans="1:10" ht="23.4" x14ac:dyDescent="0.3">
      <c r="A1437" s="274" t="s">
        <v>103</v>
      </c>
      <c r="B1437" s="1044"/>
      <c r="C1437" s="275" t="s">
        <v>236</v>
      </c>
      <c r="D1437" s="275" t="s">
        <v>238</v>
      </c>
      <c r="E1437" s="384">
        <v>101.4935</v>
      </c>
      <c r="F1437" s="402">
        <f>IFERROR(E1437*'01 Prod Physique Boites'!H1431,"-")</f>
        <v>0</v>
      </c>
      <c r="G1437" s="403">
        <f>IFERROR(E1437*'01 Prod Physique Boites'!L1431,"-")</f>
        <v>0</v>
      </c>
      <c r="H1437" s="385">
        <v>160.44999999999999</v>
      </c>
      <c r="I1437" s="421">
        <f t="shared" si="811"/>
        <v>0</v>
      </c>
      <c r="J1437" s="422">
        <f t="shared" si="812"/>
        <v>0</v>
      </c>
    </row>
    <row r="1438" spans="1:10" ht="23.4" x14ac:dyDescent="0.3">
      <c r="A1438" s="274" t="s">
        <v>103</v>
      </c>
      <c r="B1438" s="1044"/>
      <c r="C1438" s="275" t="s">
        <v>239</v>
      </c>
      <c r="D1438" s="275" t="s">
        <v>238</v>
      </c>
      <c r="E1438" s="384">
        <v>101.4935</v>
      </c>
      <c r="F1438" s="402">
        <f>IFERROR(E1438*'01 Prod Physique Boites'!H1432,"-")</f>
        <v>0</v>
      </c>
      <c r="G1438" s="403">
        <f>IFERROR(E1438*'01 Prod Physique Boites'!L1432,"-")</f>
        <v>0</v>
      </c>
      <c r="H1438" s="385">
        <v>160.44999999999999</v>
      </c>
      <c r="I1438" s="421">
        <f t="shared" si="811"/>
        <v>0</v>
      </c>
      <c r="J1438" s="422">
        <f t="shared" si="812"/>
        <v>0</v>
      </c>
    </row>
    <row r="1439" spans="1:10" ht="23.4" x14ac:dyDescent="0.3">
      <c r="A1439" s="274" t="s">
        <v>103</v>
      </c>
      <c r="B1439" s="1044"/>
      <c r="C1439" s="295" t="s">
        <v>394</v>
      </c>
      <c r="D1439" s="275" t="s">
        <v>238</v>
      </c>
      <c r="E1439" s="384">
        <v>101.4935</v>
      </c>
      <c r="F1439" s="402">
        <f>IFERROR(E1439*'01 Prod Physique Boites'!H1433,"-")</f>
        <v>0</v>
      </c>
      <c r="G1439" s="403">
        <f>IFERROR(E1439*'01 Prod Physique Boites'!L1433,"-")</f>
        <v>0</v>
      </c>
      <c r="H1439" s="385">
        <v>160.44999999999999</v>
      </c>
      <c r="I1439" s="421">
        <f t="shared" si="811"/>
        <v>0</v>
      </c>
      <c r="J1439" s="422">
        <f t="shared" si="812"/>
        <v>0</v>
      </c>
    </row>
    <row r="1440" spans="1:10" ht="23.4" x14ac:dyDescent="0.3">
      <c r="A1440" s="274" t="s">
        <v>103</v>
      </c>
      <c r="B1440" s="1044"/>
      <c r="C1440" s="295" t="s">
        <v>422</v>
      </c>
      <c r="D1440" s="275" t="s">
        <v>238</v>
      </c>
      <c r="E1440" s="384">
        <v>101.4935</v>
      </c>
      <c r="F1440" s="402">
        <f>IFERROR(E1440*'01 Prod Physique Boites'!H1434,"-")</f>
        <v>0</v>
      </c>
      <c r="G1440" s="403">
        <f>IFERROR(E1440*'01 Prod Physique Boites'!L1434,"-")</f>
        <v>0</v>
      </c>
      <c r="H1440" s="385">
        <v>160.44999999999999</v>
      </c>
      <c r="I1440" s="421">
        <f t="shared" si="811"/>
        <v>0</v>
      </c>
      <c r="J1440" s="422">
        <f t="shared" si="812"/>
        <v>0</v>
      </c>
    </row>
    <row r="1441" spans="1:10" ht="23.4" x14ac:dyDescent="0.3">
      <c r="A1441" s="274" t="s">
        <v>103</v>
      </c>
      <c r="B1441" s="1044"/>
      <c r="C1441" s="295" t="s">
        <v>241</v>
      </c>
      <c r="D1441" s="275" t="s">
        <v>547</v>
      </c>
      <c r="E1441" s="384">
        <v>101.4935</v>
      </c>
      <c r="F1441" s="402">
        <f>IFERROR(E1441*'01 Prod Physique Boites'!H1435,"-")</f>
        <v>0</v>
      </c>
      <c r="G1441" s="403">
        <f>IFERROR(E1441*'01 Prod Physique Boites'!L1435,"-")</f>
        <v>0</v>
      </c>
      <c r="H1441" s="385">
        <v>160.44999999999999</v>
      </c>
      <c r="I1441" s="421">
        <f t="shared" si="811"/>
        <v>0</v>
      </c>
      <c r="J1441" s="422">
        <f t="shared" si="812"/>
        <v>0</v>
      </c>
    </row>
    <row r="1442" spans="1:10" ht="23.4" x14ac:dyDescent="0.3">
      <c r="A1442" s="274"/>
      <c r="B1442" s="1045"/>
      <c r="C1442" s="295" t="s">
        <v>546</v>
      </c>
      <c r="D1442" s="275" t="s">
        <v>238</v>
      </c>
      <c r="E1442" s="386">
        <v>101.49</v>
      </c>
      <c r="F1442" s="402">
        <f>IFERROR(E1442*'01 Prod Physique Boites'!H1436,"-")</f>
        <v>0</v>
      </c>
      <c r="G1442" s="403">
        <f>IFERROR(E1442*'01 Prod Physique Boites'!L1436,"-")</f>
        <v>0</v>
      </c>
      <c r="H1442" s="385">
        <v>160.44999999999999</v>
      </c>
      <c r="I1442" s="421">
        <f t="shared" si="811"/>
        <v>0</v>
      </c>
      <c r="J1442" s="422">
        <f t="shared" si="812"/>
        <v>0</v>
      </c>
    </row>
    <row r="1443" spans="1:10" ht="24" thickBot="1" x14ac:dyDescent="0.35">
      <c r="A1443" s="274" t="s">
        <v>103</v>
      </c>
      <c r="B1443" s="1045"/>
      <c r="C1443" s="295" t="s">
        <v>242</v>
      </c>
      <c r="D1443" s="275" t="s">
        <v>238</v>
      </c>
      <c r="E1443" s="386">
        <v>101.4935</v>
      </c>
      <c r="F1443" s="402">
        <f>IFERROR(E1443*'01 Prod Physique Boites'!H1437,"-")</f>
        <v>0</v>
      </c>
      <c r="G1443" s="403">
        <f>IFERROR(E1443*'01 Prod Physique Boites'!L1437,"-")</f>
        <v>0</v>
      </c>
      <c r="H1443" s="385">
        <v>160.44999999999999</v>
      </c>
      <c r="I1443" s="421">
        <f t="shared" si="811"/>
        <v>0</v>
      </c>
      <c r="J1443" s="424">
        <f t="shared" si="812"/>
        <v>0</v>
      </c>
    </row>
    <row r="1444" spans="1:10" ht="24" thickBot="1" x14ac:dyDescent="0.35">
      <c r="A1444" s="274" t="s">
        <v>103</v>
      </c>
      <c r="B1444" s="1025" t="s">
        <v>49</v>
      </c>
      <c r="C1444" s="1026"/>
      <c r="D1444" s="1027"/>
      <c r="E1444" s="390"/>
      <c r="F1444" s="406">
        <f t="shared" ref="F1444" si="813">SUM(F1435:F1443)</f>
        <v>0</v>
      </c>
      <c r="G1444" s="407">
        <f>SUM(G1435:G1443)</f>
        <v>0</v>
      </c>
      <c r="H1444" s="391"/>
      <c r="I1444" s="406">
        <f t="shared" ref="I1444" si="814">SUM(I1435:I1443)</f>
        <v>0</v>
      </c>
      <c r="J1444" s="425">
        <f>SUM(J1435:J1443)</f>
        <v>0</v>
      </c>
    </row>
    <row r="1445" spans="1:10" ht="24" thickBot="1" x14ac:dyDescent="0.35">
      <c r="A1445" s="274" t="s">
        <v>103</v>
      </c>
      <c r="B1445" s="1047" t="s">
        <v>25</v>
      </c>
      <c r="C1445" s="1048"/>
      <c r="D1445" s="1049"/>
      <c r="E1445" s="393"/>
      <c r="F1445" s="410">
        <f t="shared" ref="F1445" si="815">+F1434+F1444</f>
        <v>132096.69</v>
      </c>
      <c r="G1445" s="411">
        <f>+G1434+G1444</f>
        <v>2774030.4899999998</v>
      </c>
      <c r="H1445" s="394"/>
      <c r="I1445" s="410">
        <f t="shared" ref="I1445:J1445" si="816">+I1434+I1444</f>
        <v>160380.00000000003</v>
      </c>
      <c r="J1445" s="428">
        <f t="shared" si="816"/>
        <v>3367980</v>
      </c>
    </row>
    <row r="1446" spans="1:10" ht="24" thickBot="1" x14ac:dyDescent="0.35">
      <c r="A1446" s="274" t="s">
        <v>103</v>
      </c>
      <c r="B1446" s="1019" t="s">
        <v>172</v>
      </c>
      <c r="C1446" s="1020"/>
      <c r="D1446" s="1021"/>
      <c r="E1446" s="395"/>
      <c r="F1446" s="412">
        <f t="shared" ref="F1446" si="817">+F1429+F1445</f>
        <v>3473239.6335999998</v>
      </c>
      <c r="G1446" s="413">
        <f>+G1429+G1445</f>
        <v>37456270.517600007</v>
      </c>
      <c r="H1446" s="396"/>
      <c r="I1446" s="412">
        <f t="shared" ref="I1446:J1446" si="818">+I1429+I1445</f>
        <v>4804248.9600000009</v>
      </c>
      <c r="J1446" s="429">
        <f t="shared" si="818"/>
        <v>40943417.359999999</v>
      </c>
    </row>
    <row r="1447" spans="1:10" ht="23.4" x14ac:dyDescent="0.3">
      <c r="A1447" s="268" t="s">
        <v>101</v>
      </c>
      <c r="B1447" s="1051" t="s">
        <v>26</v>
      </c>
      <c r="C1447" s="893" t="s">
        <v>297</v>
      </c>
      <c r="D1447" s="898" t="s">
        <v>177</v>
      </c>
      <c r="E1447" s="504">
        <v>13.1272</v>
      </c>
      <c r="F1447" s="402">
        <f>IFERROR(E1447*'01 Prod Physique Boites'!H1441,"-")</f>
        <v>0</v>
      </c>
      <c r="G1447" s="403">
        <f>IFERROR(E1447*'01 Prod Physique Boites'!L1441,"-")</f>
        <v>0</v>
      </c>
      <c r="H1447" s="381">
        <v>20.76</v>
      </c>
      <c r="I1447" s="419">
        <f t="shared" ref="I1447:I1456" si="819">IFERROR(H1447*(F1447/E1447),"-")</f>
        <v>0</v>
      </c>
      <c r="J1447" s="632">
        <f t="shared" ref="J1447:J1456" si="820">IFERROR(H1447*(G1447/E1447),"-")</f>
        <v>0</v>
      </c>
    </row>
    <row r="1448" spans="1:10" ht="23.4" x14ac:dyDescent="0.3">
      <c r="A1448" s="274" t="s">
        <v>101</v>
      </c>
      <c r="B1448" s="1051"/>
      <c r="C1448" s="253" t="s">
        <v>424</v>
      </c>
      <c r="D1448" s="899" t="s">
        <v>423</v>
      </c>
      <c r="E1448" s="505">
        <v>16.7288</v>
      </c>
      <c r="F1448" s="402">
        <f>IFERROR(E1448*'01 Prod Physique Boites'!H1442,"-")</f>
        <v>0</v>
      </c>
      <c r="G1448" s="403">
        <f>IFERROR(E1448*'01 Prod Physique Boites'!L1442,"-")</f>
        <v>4392112.9824000001</v>
      </c>
      <c r="H1448" s="385">
        <v>20.76</v>
      </c>
      <c r="I1448" s="421">
        <f t="shared" si="819"/>
        <v>0</v>
      </c>
      <c r="J1448" s="633">
        <f t="shared" si="820"/>
        <v>5450496.4800000004</v>
      </c>
    </row>
    <row r="1449" spans="1:10" ht="23.4" x14ac:dyDescent="0.3">
      <c r="A1449" s="274" t="s">
        <v>101</v>
      </c>
      <c r="B1449" s="1051"/>
      <c r="C1449" s="813" t="s">
        <v>27</v>
      </c>
      <c r="D1449" s="899" t="s">
        <v>334</v>
      </c>
      <c r="E1449" s="501">
        <v>14.608000000000001</v>
      </c>
      <c r="F1449" s="402">
        <f>IFERROR(E1449*'01 Prod Physique Boites'!H1443,"-")</f>
        <v>0</v>
      </c>
      <c r="G1449" s="403">
        <f>IFERROR(E1449*'01 Prod Physique Boites'!L1443,"-")</f>
        <v>522995.61600000004</v>
      </c>
      <c r="H1449" s="385">
        <v>21.22</v>
      </c>
      <c r="I1449" s="643">
        <f t="shared" si="819"/>
        <v>0</v>
      </c>
      <c r="J1449" s="633">
        <f t="shared" si="820"/>
        <v>759718.44</v>
      </c>
    </row>
    <row r="1450" spans="1:10" ht="23.4" x14ac:dyDescent="0.3">
      <c r="A1450" s="274" t="s">
        <v>101</v>
      </c>
      <c r="B1450" s="1051"/>
      <c r="C1450" s="813" t="s">
        <v>27</v>
      </c>
      <c r="D1450" s="900" t="s">
        <v>492</v>
      </c>
      <c r="E1450" s="501">
        <v>17.8202</v>
      </c>
      <c r="F1450" s="402">
        <f>IFERROR(E1450*'01 Prod Physique Boites'!H1444,"-")</f>
        <v>0</v>
      </c>
      <c r="G1450" s="403">
        <f>IFERROR(E1450*'01 Prod Physique Boites'!L1444,"-")</f>
        <v>4820435.3808000004</v>
      </c>
      <c r="H1450" s="385">
        <v>26.75</v>
      </c>
      <c r="I1450" s="643">
        <f t="shared" si="819"/>
        <v>0</v>
      </c>
      <c r="J1450" s="633">
        <f t="shared" si="820"/>
        <v>7235982</v>
      </c>
    </row>
    <row r="1451" spans="1:10" ht="23.4" x14ac:dyDescent="0.3">
      <c r="A1451" s="274" t="s">
        <v>101</v>
      </c>
      <c r="B1451" s="1051"/>
      <c r="C1451" s="893" t="s">
        <v>521</v>
      </c>
      <c r="D1451" s="899" t="s">
        <v>234</v>
      </c>
      <c r="E1451" s="501">
        <v>14.608000000000001</v>
      </c>
      <c r="F1451" s="402">
        <f>IFERROR(E1451*'01 Prod Physique Boites'!H1445,"-")</f>
        <v>0</v>
      </c>
      <c r="G1451" s="403">
        <f>IFERROR(E1451*'01 Prod Physique Boites'!L1445,"-")</f>
        <v>813548.73600000003</v>
      </c>
      <c r="H1451" s="385">
        <v>24.93</v>
      </c>
      <c r="I1451" s="643">
        <f t="shared" si="819"/>
        <v>0</v>
      </c>
      <c r="J1451" s="633">
        <f t="shared" si="820"/>
        <v>1388401.56</v>
      </c>
    </row>
    <row r="1452" spans="1:10" ht="23.4" x14ac:dyDescent="0.3">
      <c r="A1452" s="274"/>
      <c r="B1452" s="1051"/>
      <c r="C1452" s="813" t="s">
        <v>432</v>
      </c>
      <c r="D1452" s="899" t="s">
        <v>178</v>
      </c>
      <c r="E1452" s="501">
        <v>14.608000000000001</v>
      </c>
      <c r="F1452" s="402">
        <f>IFERROR(E1452*'01 Prod Physique Boites'!H1446,"-")</f>
        <v>0</v>
      </c>
      <c r="G1452" s="403">
        <f>IFERROR(E1452*'01 Prod Physique Boites'!L1446,"-")</f>
        <v>0</v>
      </c>
      <c r="H1452" s="387">
        <v>24.93</v>
      </c>
      <c r="I1452" s="643">
        <f t="shared" si="819"/>
        <v>0</v>
      </c>
      <c r="J1452" s="634">
        <f t="shared" si="820"/>
        <v>0</v>
      </c>
    </row>
    <row r="1453" spans="1:10" ht="23.4" x14ac:dyDescent="0.3">
      <c r="A1453" s="274"/>
      <c r="B1453" s="1051"/>
      <c r="C1453" s="813" t="s">
        <v>333</v>
      </c>
      <c r="D1453" s="899" t="s">
        <v>94</v>
      </c>
      <c r="E1453" s="501">
        <v>17.8202</v>
      </c>
      <c r="F1453" s="724">
        <f>IFERROR(E1453*'01 Prod Physique Boites'!H1447,"-")</f>
        <v>0</v>
      </c>
      <c r="G1453" s="403">
        <f>IFERROR(E1453*'01 Prod Physique Boites'!L1447,"-")</f>
        <v>0</v>
      </c>
      <c r="H1453" s="387">
        <v>24.93</v>
      </c>
      <c r="I1453" s="730">
        <f t="shared" si="819"/>
        <v>0</v>
      </c>
      <c r="J1453" s="634">
        <f t="shared" si="820"/>
        <v>0</v>
      </c>
    </row>
    <row r="1454" spans="1:10" ht="23.4" x14ac:dyDescent="0.3">
      <c r="A1454" s="725"/>
      <c r="B1454" s="1051"/>
      <c r="C1454" s="813" t="s">
        <v>433</v>
      </c>
      <c r="D1454" s="899" t="s">
        <v>540</v>
      </c>
      <c r="E1454" s="727">
        <v>16.7288</v>
      </c>
      <c r="F1454" s="724">
        <f>IFERROR(E1454*'01 Prod Physique Boites'!H1448,"-")</f>
        <v>0</v>
      </c>
      <c r="G1454" s="728">
        <f>IFERROR(E1454*'01 Prod Physique Boites'!L1448,"-")</f>
        <v>5922697.8096000003</v>
      </c>
      <c r="H1454" s="729">
        <v>25</v>
      </c>
      <c r="I1454" s="730">
        <f t="shared" si="819"/>
        <v>0</v>
      </c>
      <c r="J1454" s="634">
        <f t="shared" si="820"/>
        <v>8851050</v>
      </c>
    </row>
    <row r="1455" spans="1:10" ht="23.4" x14ac:dyDescent="0.3">
      <c r="A1455" s="725"/>
      <c r="B1455" s="1051"/>
      <c r="C1455" s="813" t="s">
        <v>382</v>
      </c>
      <c r="D1455" s="899" t="s">
        <v>366</v>
      </c>
      <c r="E1455" s="727">
        <v>16.345199999999998</v>
      </c>
      <c r="F1455" s="724">
        <f>IFERROR(E1455*'01 Prod Physique Boites'!H1449,"-")</f>
        <v>2730890.6351999999</v>
      </c>
      <c r="G1455" s="728">
        <f>IFERROR(E1455*'01 Prod Physique Boites'!L1449,"-")</f>
        <v>2730890.6351999999</v>
      </c>
      <c r="H1455" s="729">
        <v>23.78</v>
      </c>
      <c r="I1455" s="730">
        <f t="shared" si="819"/>
        <v>3973067.2800000003</v>
      </c>
      <c r="J1455" s="634">
        <f t="shared" si="820"/>
        <v>3973067.2800000003</v>
      </c>
    </row>
    <row r="1456" spans="1:10" ht="24" thickBot="1" x14ac:dyDescent="0.35">
      <c r="A1456" s="274" t="s">
        <v>101</v>
      </c>
      <c r="B1456" s="1051"/>
      <c r="C1456" s="894" t="s">
        <v>290</v>
      </c>
      <c r="D1456" s="901" t="s">
        <v>289</v>
      </c>
      <c r="E1456" s="501">
        <v>12.6997</v>
      </c>
      <c r="F1456" s="402">
        <f>IFERROR(E1456*'01 Prod Physique Boites'!H1450,"-")</f>
        <v>0</v>
      </c>
      <c r="G1456" s="728">
        <f>IFERROR(E1456*'01 Prod Physique Boites'!L1450,"-")</f>
        <v>0</v>
      </c>
      <c r="H1456" s="387">
        <v>13.25</v>
      </c>
      <c r="I1456" s="730">
        <f t="shared" si="819"/>
        <v>0</v>
      </c>
      <c r="J1456" s="634">
        <f t="shared" si="820"/>
        <v>0</v>
      </c>
    </row>
    <row r="1457" spans="1:10" ht="24" thickBot="1" x14ac:dyDescent="0.35">
      <c r="A1457" s="274" t="s">
        <v>101</v>
      </c>
      <c r="B1457" s="1052"/>
      <c r="C1457" s="301"/>
      <c r="D1457" s="302" t="s">
        <v>52</v>
      </c>
      <c r="E1457" s="390"/>
      <c r="F1457" s="406">
        <f>SUM(F1447:F1456)</f>
        <v>2730890.6351999999</v>
      </c>
      <c r="G1457" s="407">
        <f>SUM(G1447:G1456)</f>
        <v>19202681.160000004</v>
      </c>
      <c r="H1457" s="391"/>
      <c r="I1457" s="406">
        <f>SUM(I1447:I1456)</f>
        <v>3973067.2800000003</v>
      </c>
      <c r="J1457" s="425">
        <f>SUM(J1447:J1456)</f>
        <v>27658715.760000002</v>
      </c>
    </row>
    <row r="1458" spans="1:10" ht="23.4" x14ac:dyDescent="0.3">
      <c r="A1458" s="274" t="s">
        <v>101</v>
      </c>
      <c r="B1458" s="1053" t="s">
        <v>28</v>
      </c>
      <c r="C1458" s="299" t="s">
        <v>27</v>
      </c>
      <c r="D1458" s="297" t="s">
        <v>492</v>
      </c>
      <c r="E1458" s="504">
        <v>17.8202</v>
      </c>
      <c r="F1458" s="402">
        <f>IFERROR(E1458*'01 Prod Physique Boites'!H1452,"-")</f>
        <v>0</v>
      </c>
      <c r="G1458" s="403">
        <f>IFERROR(E1458*'01 Prod Physique Boites'!L1452,"-")</f>
        <v>2977327.7352</v>
      </c>
      <c r="H1458" s="381">
        <v>26.75</v>
      </c>
      <c r="I1458" s="419">
        <f t="shared" ref="I1458:I1464" si="821">IFERROR(H1458*(F1458/E1458),"-")</f>
        <v>0</v>
      </c>
      <c r="J1458" s="632">
        <f t="shared" ref="J1458:J1459" si="822">IFERROR(H1458*(G1458/E1458),"-")</f>
        <v>4469283</v>
      </c>
    </row>
    <row r="1459" spans="1:10" ht="23.4" x14ac:dyDescent="0.3">
      <c r="A1459" s="274" t="s">
        <v>101</v>
      </c>
      <c r="B1459" s="1051"/>
      <c r="C1459" s="299" t="s">
        <v>386</v>
      </c>
      <c r="D1459" s="299" t="s">
        <v>334</v>
      </c>
      <c r="E1459" s="711">
        <v>16.7288</v>
      </c>
      <c r="F1459" s="402">
        <f>IFERROR(E1459*'01 Prod Physique Boites'!H1453,"-")</f>
        <v>0</v>
      </c>
      <c r="G1459" s="728">
        <f>IFERROR(E1459*'01 Prod Physique Boites'!L1453,"-")</f>
        <v>1597131.9935999999</v>
      </c>
      <c r="H1459" s="708">
        <v>20.76</v>
      </c>
      <c r="I1459" s="421">
        <f t="shared" si="821"/>
        <v>0</v>
      </c>
      <c r="J1459" s="633">
        <f t="shared" si="822"/>
        <v>1981998.7200000002</v>
      </c>
    </row>
    <row r="1460" spans="1:10" ht="23.4" x14ac:dyDescent="0.3">
      <c r="A1460" s="274" t="s">
        <v>101</v>
      </c>
      <c r="B1460" s="1051"/>
      <c r="C1460" s="299" t="s">
        <v>541</v>
      </c>
      <c r="D1460" s="299" t="s">
        <v>334</v>
      </c>
      <c r="E1460" s="501">
        <v>17.8202</v>
      </c>
      <c r="F1460" s="402">
        <f>IFERROR(E1460*'01 Prod Physique Boites'!H1454,"-")</f>
        <v>0</v>
      </c>
      <c r="G1460" s="403">
        <f>IFERROR(E1460*'01 Prod Physique Boites'!L1454,"-")</f>
        <v>0</v>
      </c>
      <c r="H1460" s="385">
        <v>21.22</v>
      </c>
      <c r="I1460" s="421">
        <f t="shared" si="821"/>
        <v>0</v>
      </c>
      <c r="J1460" s="633">
        <f>IFERROR(H1460*(G1460/E1460),"-")</f>
        <v>0</v>
      </c>
    </row>
    <row r="1461" spans="1:10" ht="23.4" x14ac:dyDescent="0.3">
      <c r="A1461" s="274"/>
      <c r="B1461" s="1051"/>
      <c r="C1461" s="299" t="s">
        <v>460</v>
      </c>
      <c r="D1461" s="299" t="s">
        <v>334</v>
      </c>
      <c r="E1461" s="501">
        <v>14.608000000000001</v>
      </c>
      <c r="F1461" s="402">
        <f>IFERROR(E1461*'01 Prod Physique Boites'!H1455,"-")</f>
        <v>0</v>
      </c>
      <c r="G1461" s="403">
        <f>IFERROR(E1461*'01 Prod Physique Boites'!L1455,"-")</f>
        <v>58110.624000000003</v>
      </c>
      <c r="H1461" s="385">
        <v>21.22</v>
      </c>
      <c r="I1461" s="421">
        <f t="shared" si="821"/>
        <v>0</v>
      </c>
      <c r="J1461" s="633">
        <f>IFERROR(H1461*(G1461/E1461),"-")</f>
        <v>84413.159999999989</v>
      </c>
    </row>
    <row r="1462" spans="1:10" ht="23.4" x14ac:dyDescent="0.3">
      <c r="A1462" s="274"/>
      <c r="B1462" s="1051"/>
      <c r="C1462" s="299" t="s">
        <v>433</v>
      </c>
      <c r="D1462" s="299" t="s">
        <v>540</v>
      </c>
      <c r="E1462" s="711">
        <v>16.7288</v>
      </c>
      <c r="F1462" s="402">
        <f>IFERROR(E1462*'01 Prod Physique Boites'!H1456,"-")</f>
        <v>0</v>
      </c>
      <c r="G1462" s="403">
        <f>IFERROR(E1462*'01 Prod Physique Boites'!L1456,"-")</f>
        <v>2129509.3248000001</v>
      </c>
      <c r="H1462" s="385">
        <v>25</v>
      </c>
      <c r="I1462" s="423">
        <f t="shared" si="821"/>
        <v>0</v>
      </c>
      <c r="J1462" s="634">
        <f t="shared" ref="J1462:J1464" si="823">IFERROR(H1462*(G1462/E1462),"-")</f>
        <v>3182400</v>
      </c>
    </row>
    <row r="1463" spans="1:10" ht="23.4" x14ac:dyDescent="0.3">
      <c r="A1463" s="274"/>
      <c r="B1463" s="1051"/>
      <c r="C1463" s="299" t="s">
        <v>458</v>
      </c>
      <c r="D1463" s="300" t="s">
        <v>280</v>
      </c>
      <c r="E1463" s="711">
        <v>17.8202</v>
      </c>
      <c r="F1463" s="402">
        <f>IFERROR(E1463*'01 Prod Physique Boites'!H1457,"-")</f>
        <v>0</v>
      </c>
      <c r="G1463" s="403">
        <f>IFERROR(E1463*'01 Prod Physique Boites'!L1457,"-")</f>
        <v>0</v>
      </c>
      <c r="H1463" s="385">
        <v>24.93</v>
      </c>
      <c r="I1463" s="730">
        <f t="shared" si="821"/>
        <v>0</v>
      </c>
      <c r="J1463" s="634">
        <f t="shared" si="823"/>
        <v>0</v>
      </c>
    </row>
    <row r="1464" spans="1:10" ht="24" thickBot="1" x14ac:dyDescent="0.35">
      <c r="A1464" s="274" t="s">
        <v>101</v>
      </c>
      <c r="B1464" s="1051"/>
      <c r="C1464" s="299" t="s">
        <v>27</v>
      </c>
      <c r="D1464" s="300" t="s">
        <v>234</v>
      </c>
      <c r="E1464" s="501">
        <v>17.8202</v>
      </c>
      <c r="F1464" s="402">
        <f>IFERROR(E1464*'01 Prod Physique Boites'!H1458,"-")</f>
        <v>0</v>
      </c>
      <c r="G1464" s="403">
        <f>IFERROR(E1464*'01 Prod Physique Boites'!L1458,"-")</f>
        <v>0</v>
      </c>
      <c r="H1464" s="385">
        <v>24.93</v>
      </c>
      <c r="I1464" s="423">
        <f t="shared" si="821"/>
        <v>0</v>
      </c>
      <c r="J1464" s="634">
        <f t="shared" si="823"/>
        <v>0</v>
      </c>
    </row>
    <row r="1465" spans="1:10" ht="24" thickBot="1" x14ac:dyDescent="0.35">
      <c r="A1465" s="274" t="s">
        <v>101</v>
      </c>
      <c r="B1465" s="1051"/>
      <c r="C1465" s="304"/>
      <c r="D1465" s="305" t="s">
        <v>52</v>
      </c>
      <c r="E1465" s="397"/>
      <c r="F1465" s="414">
        <f t="shared" ref="F1465:G1465" si="824">SUM(F1458:F1464)</f>
        <v>0</v>
      </c>
      <c r="G1465" s="415">
        <f t="shared" si="824"/>
        <v>6762079.6776000001</v>
      </c>
      <c r="H1465" s="398"/>
      <c r="I1465" s="414">
        <f t="shared" ref="I1465:J1465" si="825">SUM(I1458:I1464)</f>
        <v>0</v>
      </c>
      <c r="J1465" s="430">
        <f t="shared" si="825"/>
        <v>9718094.8800000008</v>
      </c>
    </row>
    <row r="1466" spans="1:10" ht="24" thickBot="1" x14ac:dyDescent="0.35">
      <c r="A1466" s="945" t="s">
        <v>101</v>
      </c>
      <c r="B1466" s="1054" t="s">
        <v>162</v>
      </c>
      <c r="C1466" s="1055"/>
      <c r="D1466" s="1056"/>
      <c r="E1466" s="399"/>
      <c r="F1466" s="416">
        <f t="shared" ref="F1466:G1466" si="826">+F1457+F1465</f>
        <v>2730890.6351999999</v>
      </c>
      <c r="G1466" s="417">
        <f t="shared" si="826"/>
        <v>25964760.837600004</v>
      </c>
      <c r="H1466" s="400"/>
      <c r="I1466" s="416">
        <f t="shared" ref="I1466:J1466" si="827">+I1457+I1465</f>
        <v>3973067.2800000003</v>
      </c>
      <c r="J1466" s="431">
        <f t="shared" si="827"/>
        <v>37376810.640000001</v>
      </c>
    </row>
    <row r="1467" spans="1:10" ht="23.4" x14ac:dyDescent="0.3">
      <c r="A1467" s="274" t="s">
        <v>101</v>
      </c>
      <c r="B1467" s="1051" t="s">
        <v>30</v>
      </c>
      <c r="C1467" s="303" t="s">
        <v>446</v>
      </c>
      <c r="D1467" s="299" t="s">
        <v>492</v>
      </c>
      <c r="E1467" s="736">
        <v>27.917000000000002</v>
      </c>
      <c r="F1467" s="402">
        <f>IFERROR(E1467*'01 Prod Physique Boites'!H1461,"-")</f>
        <v>992951.85600000003</v>
      </c>
      <c r="G1467" s="728">
        <f>IFERROR(E1467*'01 Prod Physique Boites'!L1461,"-")</f>
        <v>992951.85600000003</v>
      </c>
      <c r="H1467" s="734">
        <v>42.28</v>
      </c>
      <c r="I1467" s="419">
        <f>IFERROR(H1467*(F1467/E1467),"-")</f>
        <v>1503815.04</v>
      </c>
      <c r="J1467" s="420">
        <f t="shared" ref="J1467:J1469" si="828">IFERROR(H1467*(G1467/E1467),"-")</f>
        <v>1503815.04</v>
      </c>
    </row>
    <row r="1468" spans="1:10" ht="23.4" x14ac:dyDescent="0.3">
      <c r="A1468" s="274" t="s">
        <v>101</v>
      </c>
      <c r="B1468" s="1051"/>
      <c r="C1468" s="300" t="s">
        <v>548</v>
      </c>
      <c r="D1468" s="303" t="s">
        <v>522</v>
      </c>
      <c r="E1468" s="733">
        <v>28.526700000000002</v>
      </c>
      <c r="F1468" s="402">
        <f>IFERROR(E1468*'01 Prod Physique Boites'!H1462,"-")</f>
        <v>0</v>
      </c>
      <c r="G1468" s="728">
        <f>IFERROR(E1468*'01 Prod Physique Boites'!L1462,"-")</f>
        <v>0</v>
      </c>
      <c r="H1468" s="735">
        <v>37.89</v>
      </c>
      <c r="I1468" s="421">
        <f>IFERROR(H1468*(F1468/E1468),"-")</f>
        <v>0</v>
      </c>
      <c r="J1468" s="422">
        <f t="shared" si="828"/>
        <v>0</v>
      </c>
    </row>
    <row r="1469" spans="1:10" ht="24" thickBot="1" x14ac:dyDescent="0.35">
      <c r="A1469" s="274" t="s">
        <v>101</v>
      </c>
      <c r="B1469" s="1051"/>
      <c r="C1469" s="300" t="s">
        <v>291</v>
      </c>
      <c r="D1469" s="300" t="s">
        <v>366</v>
      </c>
      <c r="E1469" s="501">
        <v>25.751300000000001</v>
      </c>
      <c r="F1469" s="724">
        <f>IFERROR(E1469*'01 Prod Physique Boites'!H1463,"-")</f>
        <v>0</v>
      </c>
      <c r="G1469" s="728">
        <f>IFERROR(E1469*'01 Prod Physique Boites'!L1463,"-")</f>
        <v>1301573.7072000001</v>
      </c>
      <c r="H1469" s="387">
        <v>37.89</v>
      </c>
      <c r="I1469" s="423">
        <f>IFERROR(H1469*(F1469/E1469),"-")</f>
        <v>0</v>
      </c>
      <c r="J1469" s="424">
        <f t="shared" si="828"/>
        <v>1915112.16</v>
      </c>
    </row>
    <row r="1470" spans="1:10" ht="24" thickBot="1" x14ac:dyDescent="0.35">
      <c r="A1470" s="274" t="s">
        <v>101</v>
      </c>
      <c r="B1470" s="1051"/>
      <c r="C1470" s="301"/>
      <c r="D1470" s="302" t="s">
        <v>50</v>
      </c>
      <c r="E1470" s="390"/>
      <c r="F1470" s="406">
        <f t="shared" ref="F1470:G1470" si="829">SUM(F1467:F1469)</f>
        <v>992951.85600000003</v>
      </c>
      <c r="G1470" s="407">
        <f t="shared" si="829"/>
        <v>2294525.5632000002</v>
      </c>
      <c r="H1470" s="391"/>
      <c r="I1470" s="406">
        <f t="shared" ref="I1470" si="830">SUM(I1467:I1469)</f>
        <v>1503815.04</v>
      </c>
      <c r="J1470" s="425">
        <f>SUM(J1467:J1469)</f>
        <v>3418927.2</v>
      </c>
    </row>
    <row r="1471" spans="1:10" ht="23.4" x14ac:dyDescent="0.3">
      <c r="A1471" s="274" t="s">
        <v>101</v>
      </c>
      <c r="B1471" s="1051"/>
      <c r="C1471" s="297" t="s">
        <v>439</v>
      </c>
      <c r="D1471" s="297" t="s">
        <v>92</v>
      </c>
      <c r="E1471" s="504">
        <v>24.2607</v>
      </c>
      <c r="F1471" s="402">
        <f>IFERROR(E1471*'01 Prod Physique Boites'!H1465,"-")</f>
        <v>0</v>
      </c>
      <c r="G1471" s="728">
        <f>IFERROR(E1471*'01 Prod Physique Boites'!L1465,"-")</f>
        <v>0</v>
      </c>
      <c r="H1471" s="381">
        <v>28.31</v>
      </c>
      <c r="I1471" s="638">
        <f>IFERROR(H1471*(F1471/E1471),"-")</f>
        <v>0</v>
      </c>
      <c r="J1471" s="420">
        <f t="shared" ref="J1471:J1476" si="831">IFERROR(H1471*(G1471/E1471),"-")</f>
        <v>0</v>
      </c>
    </row>
    <row r="1472" spans="1:10" ht="23.4" x14ac:dyDescent="0.3">
      <c r="A1472" s="274"/>
      <c r="B1472" s="1051"/>
      <c r="C1472" s="303" t="s">
        <v>449</v>
      </c>
      <c r="D1472" s="299" t="s">
        <v>334</v>
      </c>
      <c r="E1472" s="504">
        <v>24.2607</v>
      </c>
      <c r="F1472" s="402">
        <f>IFERROR(E1472*'01 Prod Physique Boites'!H1466,"-")</f>
        <v>0</v>
      </c>
      <c r="G1472" s="728">
        <f>IFERROR(E1472*'01 Prod Physique Boites'!L1466,"-")</f>
        <v>0</v>
      </c>
      <c r="H1472" s="381">
        <v>28.88</v>
      </c>
      <c r="I1472" s="638">
        <f t="shared" ref="I1472:I1476" si="832">IFERROR(H1472*(F1472/E1472),"-")</f>
        <v>0</v>
      </c>
      <c r="J1472" s="420">
        <f t="shared" si="831"/>
        <v>0</v>
      </c>
    </row>
    <row r="1473" spans="1:10" ht="23.4" x14ac:dyDescent="0.3">
      <c r="A1473" s="274"/>
      <c r="B1473" s="1051"/>
      <c r="C1473" s="303" t="s">
        <v>452</v>
      </c>
      <c r="D1473" s="299" t="s">
        <v>334</v>
      </c>
      <c r="E1473" s="504">
        <v>25.4041</v>
      </c>
      <c r="F1473" s="402">
        <f>IFERROR(E1473*'01 Prod Physique Boites'!H1467,"-")</f>
        <v>0</v>
      </c>
      <c r="G1473" s="728">
        <f>IFERROR(E1473*'01 Prod Physique Boites'!L1467,"-")</f>
        <v>0</v>
      </c>
      <c r="H1473" s="381">
        <v>28.21</v>
      </c>
      <c r="I1473" s="638">
        <f t="shared" si="832"/>
        <v>0</v>
      </c>
      <c r="J1473" s="420">
        <f t="shared" si="831"/>
        <v>0</v>
      </c>
    </row>
    <row r="1474" spans="1:10" ht="23.4" x14ac:dyDescent="0.3">
      <c r="A1474" s="274" t="s">
        <v>101</v>
      </c>
      <c r="B1474" s="1051"/>
      <c r="C1474" s="303" t="s">
        <v>501</v>
      </c>
      <c r="D1474" s="300" t="s">
        <v>423</v>
      </c>
      <c r="E1474" s="505">
        <v>23.697399999999998</v>
      </c>
      <c r="F1474" s="724">
        <f>IFERROR(E1474*'01 Prod Physique Boites'!H1468,"-")</f>
        <v>0</v>
      </c>
      <c r="G1474" s="728">
        <f>IFERROR(E1474*'01 Prod Physique Boites'!L1468,"-")</f>
        <v>177446.13119999997</v>
      </c>
      <c r="H1474" s="385">
        <v>28.21</v>
      </c>
      <c r="I1474" s="638">
        <f t="shared" si="832"/>
        <v>0</v>
      </c>
      <c r="J1474" s="420">
        <f t="shared" si="831"/>
        <v>211236.47999999998</v>
      </c>
    </row>
    <row r="1475" spans="1:10" ht="23.4" x14ac:dyDescent="0.3">
      <c r="A1475" s="274"/>
      <c r="B1475" s="1051"/>
      <c r="C1475" s="300" t="s">
        <v>459</v>
      </c>
      <c r="D1475" s="300" t="s">
        <v>366</v>
      </c>
      <c r="E1475" s="501">
        <v>22.094999999999999</v>
      </c>
      <c r="F1475" s="724">
        <f>IFERROR(E1475*'01 Prod Physique Boites'!H1469,"-")</f>
        <v>579065.76</v>
      </c>
      <c r="G1475" s="728">
        <f>IFERROR(E1475*'01 Prod Physique Boites'!L1469,"-")</f>
        <v>1695835.44</v>
      </c>
      <c r="H1475" s="745">
        <v>37.11</v>
      </c>
      <c r="I1475" s="638">
        <f t="shared" si="832"/>
        <v>972578.88</v>
      </c>
      <c r="J1475" s="420">
        <f t="shared" si="831"/>
        <v>2848266.7199999997</v>
      </c>
    </row>
    <row r="1476" spans="1:10" ht="24" thickBot="1" x14ac:dyDescent="0.35">
      <c r="A1476" s="274" t="s">
        <v>101</v>
      </c>
      <c r="B1476" s="1051"/>
      <c r="C1476" s="300" t="s">
        <v>438</v>
      </c>
      <c r="D1476" s="300" t="s">
        <v>423</v>
      </c>
      <c r="E1476" s="501">
        <v>23.697399999999998</v>
      </c>
      <c r="F1476" s="402">
        <f>IFERROR(E1476*'01 Prod Physique Boites'!H1470,"-")</f>
        <v>0</v>
      </c>
      <c r="G1476" s="403">
        <f>IFERROR(E1476*'01 Prod Physique Boites'!L1470,"-")</f>
        <v>0</v>
      </c>
      <c r="H1476" s="387">
        <v>28.21</v>
      </c>
      <c r="I1476" s="638">
        <f t="shared" si="832"/>
        <v>0</v>
      </c>
      <c r="J1476" s="420">
        <f t="shared" si="831"/>
        <v>0</v>
      </c>
    </row>
    <row r="1477" spans="1:10" ht="24" thickBot="1" x14ac:dyDescent="0.35">
      <c r="A1477" s="274" t="s">
        <v>101</v>
      </c>
      <c r="B1477" s="1051"/>
      <c r="C1477" s="304"/>
      <c r="D1477" s="305" t="s">
        <v>51</v>
      </c>
      <c r="E1477" s="397"/>
      <c r="F1477" s="414">
        <f t="shared" ref="F1477:G1477" si="833">SUM(F1471:F1476)</f>
        <v>579065.76</v>
      </c>
      <c r="G1477" s="415">
        <f t="shared" si="833"/>
        <v>1873281.5711999999</v>
      </c>
      <c r="H1477" s="398"/>
      <c r="I1477" s="414">
        <f t="shared" ref="I1477" si="834">SUM(I1471:I1476)</f>
        <v>972578.88</v>
      </c>
      <c r="J1477" s="430">
        <f>SUM(J1471:J1476)</f>
        <v>3059503.1999999997</v>
      </c>
    </row>
    <row r="1478" spans="1:10" ht="24" thickBot="1" x14ac:dyDescent="0.35">
      <c r="A1478" s="274" t="s">
        <v>101</v>
      </c>
      <c r="B1478" s="1054" t="s">
        <v>163</v>
      </c>
      <c r="C1478" s="1055"/>
      <c r="D1478" s="1056"/>
      <c r="E1478" s="399"/>
      <c r="F1478" s="416">
        <f t="shared" ref="F1478:G1478" si="835">+F1470+F1477</f>
        <v>1572017.6159999999</v>
      </c>
      <c r="G1478" s="417">
        <f t="shared" si="835"/>
        <v>4167807.1343999999</v>
      </c>
      <c r="H1478" s="400"/>
      <c r="I1478" s="416">
        <f t="shared" ref="I1478:J1478" si="836">+I1470+I1477</f>
        <v>2476393.92</v>
      </c>
      <c r="J1478" s="431">
        <f t="shared" si="836"/>
        <v>6478430.4000000004</v>
      </c>
    </row>
    <row r="1479" spans="1:10" ht="24" thickBot="1" x14ac:dyDescent="0.35">
      <c r="A1479" s="274" t="s">
        <v>101</v>
      </c>
      <c r="B1479" s="599" t="s">
        <v>32</v>
      </c>
      <c r="C1479" s="941"/>
      <c r="D1479" s="310"/>
      <c r="E1479" s="506">
        <v>12.2659</v>
      </c>
      <c r="F1479" s="408">
        <f>IFERROR(E1479*'01 Prod Physique Boites'!H1473,"-")</f>
        <v>0</v>
      </c>
      <c r="G1479" s="409">
        <f>IFERROR(E1479*'01 Prod Physique Boites'!L1473,"-")</f>
        <v>0</v>
      </c>
      <c r="H1479" s="392"/>
      <c r="I1479" s="426">
        <f>IFERROR(H1479*(F1479/E1479),"-")</f>
        <v>0</v>
      </c>
      <c r="J1479" s="427">
        <f>IFERROR(H1479*(G1479/E1479),"-")</f>
        <v>0</v>
      </c>
    </row>
    <row r="1480" spans="1:10" ht="24" thickBot="1" x14ac:dyDescent="0.35">
      <c r="A1480" s="274" t="s">
        <v>101</v>
      </c>
      <c r="B1480" s="1047" t="s">
        <v>21</v>
      </c>
      <c r="C1480" s="1048"/>
      <c r="D1480" s="1049"/>
      <c r="E1480" s="393"/>
      <c r="F1480" s="410">
        <f t="shared" ref="F1480" si="837">+F1466+F1478+F1479</f>
        <v>4302908.2511999998</v>
      </c>
      <c r="G1480" s="411">
        <f>+G1466+G1478+G1479</f>
        <v>30132567.972000003</v>
      </c>
      <c r="H1480" s="394"/>
      <c r="I1480" s="410">
        <f t="shared" ref="I1480:J1480" si="838">+I1466+I1478+I1479</f>
        <v>6449461.2000000002</v>
      </c>
      <c r="J1480" s="428">
        <f t="shared" si="838"/>
        <v>43855241.039999999</v>
      </c>
    </row>
    <row r="1481" spans="1:10" ht="24" thickBot="1" x14ac:dyDescent="0.35">
      <c r="A1481" s="274" t="s">
        <v>101</v>
      </c>
      <c r="B1481" s="1019" t="s">
        <v>171</v>
      </c>
      <c r="C1481" s="1020"/>
      <c r="D1481" s="1021"/>
      <c r="E1481" s="395"/>
      <c r="F1481" s="412">
        <f t="shared" ref="F1481:G1481" si="839">+F1480</f>
        <v>4302908.2511999998</v>
      </c>
      <c r="G1481" s="413">
        <f t="shared" si="839"/>
        <v>30132567.972000003</v>
      </c>
      <c r="H1481" s="396"/>
      <c r="I1481" s="412">
        <f t="shared" ref="I1481:J1481" si="840">+I1480</f>
        <v>6449461.2000000002</v>
      </c>
      <c r="J1481" s="429">
        <f t="shared" si="840"/>
        <v>43855241.039999999</v>
      </c>
    </row>
    <row r="1482" spans="1:10" ht="23.4" x14ac:dyDescent="0.3">
      <c r="A1482" s="268" t="s">
        <v>102</v>
      </c>
      <c r="B1482" s="1022" t="s">
        <v>401</v>
      </c>
      <c r="C1482" s="311" t="s">
        <v>113</v>
      </c>
      <c r="D1482" s="311"/>
      <c r="E1482" s="709">
        <v>254.89750000000001</v>
      </c>
      <c r="F1482" s="402">
        <f>IFERROR(E1482*'01 Prod Physique Boites'!H1476,"-")</f>
        <v>0</v>
      </c>
      <c r="G1482" s="403">
        <f>IFERROR(E1482*'01 Prod Physique Boites'!L1476,"-")</f>
        <v>0</v>
      </c>
      <c r="H1482" s="381">
        <v>445.38</v>
      </c>
      <c r="I1482" s="419">
        <f>IFERROR(H1482*(F1482/E1482),"-")</f>
        <v>0</v>
      </c>
      <c r="J1482" s="420">
        <f t="shared" ref="J1482:J1484" si="841">IFERROR(H1482*(G1482/E1482),"-")</f>
        <v>0</v>
      </c>
    </row>
    <row r="1483" spans="1:10" ht="23.4" x14ac:dyDescent="0.3">
      <c r="A1483" s="274" t="s">
        <v>102</v>
      </c>
      <c r="B1483" s="1023"/>
      <c r="C1483" s="312" t="s">
        <v>247</v>
      </c>
      <c r="D1483" s="312"/>
      <c r="E1483" s="503">
        <v>246.51390000000001</v>
      </c>
      <c r="F1483" s="402">
        <f>IFERROR(E1483*'01 Prod Physique Boites'!H1477,"-")</f>
        <v>0</v>
      </c>
      <c r="G1483" s="403">
        <f>IFERROR(E1483*'01 Prod Physique Boites'!L1477,"-")</f>
        <v>2255355.6710999999</v>
      </c>
      <c r="H1483" s="385">
        <v>430.02</v>
      </c>
      <c r="I1483" s="421">
        <f>IFERROR(H1483*(F1483/E1483),"-")</f>
        <v>0</v>
      </c>
      <c r="J1483" s="422">
        <f t="shared" si="841"/>
        <v>3934252.98</v>
      </c>
    </row>
    <row r="1484" spans="1:10" ht="24" thickBot="1" x14ac:dyDescent="0.35">
      <c r="A1484" s="274" t="s">
        <v>102</v>
      </c>
      <c r="B1484" s="1024"/>
      <c r="C1484" s="313" t="s">
        <v>33</v>
      </c>
      <c r="D1484" s="313"/>
      <c r="E1484" s="500">
        <v>225.7713</v>
      </c>
      <c r="F1484" s="402">
        <f>IFERROR(E1484*'01 Prod Physique Boites'!H1478,"-")</f>
        <v>0</v>
      </c>
      <c r="G1484" s="403">
        <f>IFERROR(E1484*'01 Prod Physique Boites'!L1478,"-")</f>
        <v>0</v>
      </c>
      <c r="H1484" s="387"/>
      <c r="I1484" s="423">
        <f>IFERROR(H1484*(F1484/E1484),"-")</f>
        <v>0</v>
      </c>
      <c r="J1484" s="424">
        <f t="shared" si="841"/>
        <v>0</v>
      </c>
    </row>
    <row r="1485" spans="1:10" ht="24" thickBot="1" x14ac:dyDescent="0.35">
      <c r="A1485" s="274" t="s">
        <v>102</v>
      </c>
      <c r="B1485" s="1025" t="s">
        <v>34</v>
      </c>
      <c r="C1485" s="1026"/>
      <c r="D1485" s="1027"/>
      <c r="E1485" s="390"/>
      <c r="F1485" s="406">
        <f t="shared" ref="F1485:G1485" si="842">SUM(F1482:F1484)</f>
        <v>0</v>
      </c>
      <c r="G1485" s="407">
        <f t="shared" si="842"/>
        <v>2255355.6710999999</v>
      </c>
      <c r="H1485" s="391"/>
      <c r="I1485" s="406">
        <f t="shared" ref="I1485:J1485" si="843">SUM(I1482:I1484)</f>
        <v>0</v>
      </c>
      <c r="J1485" s="425">
        <f t="shared" si="843"/>
        <v>3934252.98</v>
      </c>
    </row>
    <row r="1486" spans="1:10" ht="23.4" x14ac:dyDescent="0.3">
      <c r="A1486" s="274" t="s">
        <v>102</v>
      </c>
      <c r="B1486" s="1022" t="s">
        <v>35</v>
      </c>
      <c r="C1486" s="311" t="s">
        <v>113</v>
      </c>
      <c r="D1486" s="311"/>
      <c r="E1486" s="502">
        <v>254.89750000000001</v>
      </c>
      <c r="F1486" s="402">
        <f>IFERROR(E1486*'01 Prod Physique Boites'!H1480,"-")</f>
        <v>0</v>
      </c>
      <c r="G1486" s="403">
        <f>IFERROR(E1486*'01 Prod Physique Boites'!L1480,"-")</f>
        <v>0</v>
      </c>
      <c r="H1486" s="381">
        <v>445.38</v>
      </c>
      <c r="I1486" s="419">
        <f>IFERROR(H1486*(F1486/E1486),"-")</f>
        <v>0</v>
      </c>
      <c r="J1486" s="420">
        <f t="shared" ref="J1486:J1489" si="844">IFERROR(H1486*(G1486/E1486),"-")</f>
        <v>0</v>
      </c>
    </row>
    <row r="1487" spans="1:10" ht="23.4" x14ac:dyDescent="0.3">
      <c r="A1487" s="274" t="s">
        <v>102</v>
      </c>
      <c r="B1487" s="1023"/>
      <c r="C1487" s="312" t="s">
        <v>247</v>
      </c>
      <c r="D1487" s="312"/>
      <c r="E1487" s="503">
        <v>246.51390000000001</v>
      </c>
      <c r="F1487" s="402">
        <f>IFERROR(E1487*'01 Prod Physique Boites'!H1481,"-")</f>
        <v>394422.24</v>
      </c>
      <c r="G1487" s="403">
        <f>IFERROR(E1487*'01 Prod Physique Boites'!L1481,"-")</f>
        <v>394422.24</v>
      </c>
      <c r="H1487" s="385">
        <v>430.02</v>
      </c>
      <c r="I1487" s="421">
        <f>IFERROR(H1487*(F1487/E1487),"-")</f>
        <v>688032</v>
      </c>
      <c r="J1487" s="422">
        <f t="shared" si="844"/>
        <v>688032</v>
      </c>
    </row>
    <row r="1488" spans="1:10" ht="23.4" x14ac:dyDescent="0.3">
      <c r="A1488" s="274" t="s">
        <v>102</v>
      </c>
      <c r="B1488" s="1023"/>
      <c r="C1488" s="312" t="s">
        <v>184</v>
      </c>
      <c r="D1488" s="312" t="s">
        <v>183</v>
      </c>
      <c r="E1488" s="503">
        <v>254.89750000000001</v>
      </c>
      <c r="F1488" s="402">
        <f>IFERROR(E1488*'01 Prod Physique Boites'!H1482,"-")</f>
        <v>0</v>
      </c>
      <c r="G1488" s="403">
        <f>IFERROR(E1488*'01 Prod Physique Boites'!L1482,"-")</f>
        <v>0</v>
      </c>
      <c r="H1488" s="385"/>
      <c r="I1488" s="421">
        <f>IFERROR(H1488*(F1488/E1488),"-")</f>
        <v>0</v>
      </c>
      <c r="J1488" s="422">
        <f t="shared" si="844"/>
        <v>0</v>
      </c>
    </row>
    <row r="1489" spans="1:10" ht="24" thickBot="1" x14ac:dyDescent="0.35">
      <c r="A1489" s="274" t="s">
        <v>102</v>
      </c>
      <c r="B1489" s="1024"/>
      <c r="C1489" s="313" t="s">
        <v>36</v>
      </c>
      <c r="D1489" s="313"/>
      <c r="E1489" s="500">
        <v>229.99359999999999</v>
      </c>
      <c r="F1489" s="402">
        <f>IFERROR(E1489*'01 Prod Physique Boites'!H1483,"-")</f>
        <v>0</v>
      </c>
      <c r="G1489" s="403">
        <f>IFERROR(E1489*'01 Prod Physique Boites'!L1483,"-")</f>
        <v>0</v>
      </c>
      <c r="H1489" s="387"/>
      <c r="I1489" s="423">
        <f>IFERROR(H1489*(F1489/E1489),"-")</f>
        <v>0</v>
      </c>
      <c r="J1489" s="424">
        <f t="shared" si="844"/>
        <v>0</v>
      </c>
    </row>
    <row r="1490" spans="1:10" ht="24" thickBot="1" x14ac:dyDescent="0.35">
      <c r="A1490" s="274" t="s">
        <v>102</v>
      </c>
      <c r="B1490" s="1025" t="s">
        <v>37</v>
      </c>
      <c r="C1490" s="1026"/>
      <c r="D1490" s="1027"/>
      <c r="E1490" s="390"/>
      <c r="F1490" s="406">
        <f t="shared" ref="F1490:G1490" si="845">SUM(F1486:F1489)</f>
        <v>394422.24</v>
      </c>
      <c r="G1490" s="407">
        <f t="shared" si="845"/>
        <v>394422.24</v>
      </c>
      <c r="H1490" s="391"/>
      <c r="I1490" s="406">
        <f>SUM(I1486:I1489)</f>
        <v>688032</v>
      </c>
      <c r="J1490" s="425">
        <f>SUM(J1486:J1489)</f>
        <v>688032</v>
      </c>
    </row>
    <row r="1491" spans="1:10" ht="23.4" x14ac:dyDescent="0.3">
      <c r="A1491" s="274" t="s">
        <v>102</v>
      </c>
      <c r="B1491" s="1022" t="s">
        <v>402</v>
      </c>
      <c r="C1491" s="314" t="s">
        <v>116</v>
      </c>
      <c r="D1491" s="314"/>
      <c r="E1491" s="502">
        <v>195.2808</v>
      </c>
      <c r="F1491" s="402">
        <f>IFERROR(E1491*'01 Prod Physique Boites'!H1485,"-")</f>
        <v>0</v>
      </c>
      <c r="G1491" s="403">
        <f>IFERROR(E1491*'01 Prod Physique Boites'!L1485,"-")</f>
        <v>0</v>
      </c>
      <c r="H1491" s="681">
        <v>256.7</v>
      </c>
      <c r="I1491" s="419">
        <f>IFERROR(H1491*(F1491/E1491),"-")</f>
        <v>0</v>
      </c>
      <c r="J1491" s="420">
        <f t="shared" ref="J1491:J1492" si="846">IFERROR(H1491*(G1491/E1491),"-")</f>
        <v>0</v>
      </c>
    </row>
    <row r="1492" spans="1:10" ht="24" thickBot="1" x14ac:dyDescent="0.35">
      <c r="A1492" s="274" t="s">
        <v>102</v>
      </c>
      <c r="B1492" s="1024"/>
      <c r="C1492" s="286" t="s">
        <v>132</v>
      </c>
      <c r="D1492" s="286"/>
      <c r="E1492" s="500">
        <v>189.91890000000001</v>
      </c>
      <c r="F1492" s="402">
        <f>IFERROR(E1492*'01 Prod Physique Boites'!H1486,"-")</f>
        <v>0</v>
      </c>
      <c r="G1492" s="403">
        <f>IFERROR(E1492*'01 Prod Physique Boites'!L1486,"-")</f>
        <v>4138332.8310000002</v>
      </c>
      <c r="H1492" s="387">
        <v>320.35000000000002</v>
      </c>
      <c r="I1492" s="423">
        <f>IFERROR(H1492*(F1492/E1492),"-")</f>
        <v>0</v>
      </c>
      <c r="J1492" s="424">
        <f t="shared" si="846"/>
        <v>6980426.5000000009</v>
      </c>
    </row>
    <row r="1493" spans="1:10" ht="24" thickBot="1" x14ac:dyDescent="0.35">
      <c r="A1493" s="945" t="s">
        <v>102</v>
      </c>
      <c r="B1493" s="1025" t="s">
        <v>38</v>
      </c>
      <c r="C1493" s="1026"/>
      <c r="D1493" s="1027"/>
      <c r="E1493" s="390"/>
      <c r="F1493" s="406">
        <f>SUM(F1491:F1492)</f>
        <v>0</v>
      </c>
      <c r="G1493" s="407">
        <f t="shared" ref="G1493" si="847">SUM(G1491:G1492)</f>
        <v>4138332.8310000002</v>
      </c>
      <c r="H1493" s="391"/>
      <c r="I1493" s="406">
        <f t="shared" ref="I1493:J1493" si="848">SUM(I1491:I1492)</f>
        <v>0</v>
      </c>
      <c r="J1493" s="425">
        <f t="shared" si="848"/>
        <v>6980426.5000000009</v>
      </c>
    </row>
    <row r="1494" spans="1:10" ht="23.4" x14ac:dyDescent="0.3">
      <c r="A1494" s="274" t="s">
        <v>102</v>
      </c>
      <c r="B1494" s="1022" t="s">
        <v>403</v>
      </c>
      <c r="C1494" s="269" t="s">
        <v>306</v>
      </c>
      <c r="D1494" s="269" t="s">
        <v>238</v>
      </c>
      <c r="E1494" s="504">
        <v>37.248699999999999</v>
      </c>
      <c r="F1494" s="402">
        <f>IFERROR(E1494*'01 Prod Physique Boites'!H1488,"-")</f>
        <v>296350.65720000002</v>
      </c>
      <c r="G1494" s="403">
        <f>IFERROR(E1494*'01 Prod Physique Boites'!L1488,"-")</f>
        <v>12998306.352</v>
      </c>
      <c r="H1494" s="381">
        <v>71.44</v>
      </c>
      <c r="I1494" s="419">
        <f>IFERROR(H1494*(F1494/E1494),"-")</f>
        <v>568376.64</v>
      </c>
      <c r="J1494" s="420">
        <f>IFERROR(H1494*(G1494/E1494),"-")</f>
        <v>24929702.399999999</v>
      </c>
    </row>
    <row r="1495" spans="1:10" ht="23.4" x14ac:dyDescent="0.3">
      <c r="A1495" s="274" t="s">
        <v>102</v>
      </c>
      <c r="B1495" s="1023"/>
      <c r="C1495" s="269" t="s">
        <v>156</v>
      </c>
      <c r="D1495" s="275"/>
      <c r="E1495" s="504">
        <v>37.248699999999999</v>
      </c>
      <c r="F1495" s="402">
        <f>IFERROR(E1495*'01 Prod Physique Boites'!H1489,"-")</f>
        <v>0</v>
      </c>
      <c r="G1495" s="403">
        <f>IFERROR(E1495*'01 Prod Physique Boites'!L1489,"-")</f>
        <v>0</v>
      </c>
      <c r="H1495" s="385"/>
      <c r="I1495" s="421">
        <f>IFERROR(H1495*(F1495/E1495),"-")</f>
        <v>0</v>
      </c>
      <c r="J1495" s="422">
        <f t="shared" ref="J1495:J1497" si="849">IFERROR(H1495*(G1495/E1495),"-")</f>
        <v>0</v>
      </c>
    </row>
    <row r="1496" spans="1:10" ht="23.4" x14ac:dyDescent="0.3">
      <c r="A1496" s="274" t="s">
        <v>102</v>
      </c>
      <c r="B1496" s="1023"/>
      <c r="C1496" s="275" t="s">
        <v>345</v>
      </c>
      <c r="D1496" s="269" t="s">
        <v>238</v>
      </c>
      <c r="E1496" s="504">
        <v>37.248699999999999</v>
      </c>
      <c r="F1496" s="402">
        <f>IFERROR(E1496*'01 Prod Physique Boites'!H1490,"-")</f>
        <v>0</v>
      </c>
      <c r="G1496" s="403">
        <f>IFERROR(E1496*'01 Prod Physique Boites'!L1490,"-")</f>
        <v>1826378.2583999999</v>
      </c>
      <c r="H1496" s="385">
        <v>71.44</v>
      </c>
      <c r="I1496" s="421">
        <f>IFERROR(H1496*(F1496/E1496),"-")</f>
        <v>0</v>
      </c>
      <c r="J1496" s="422">
        <f t="shared" si="849"/>
        <v>3502846.08</v>
      </c>
    </row>
    <row r="1497" spans="1:10" ht="24" thickBot="1" x14ac:dyDescent="0.35">
      <c r="A1497" s="274" t="s">
        <v>102</v>
      </c>
      <c r="B1497" s="1023"/>
      <c r="C1497" s="275" t="s">
        <v>157</v>
      </c>
      <c r="D1497" s="275"/>
      <c r="E1497" s="505">
        <v>38.466099999999997</v>
      </c>
      <c r="F1497" s="402">
        <f>IFERROR(E1497*'01 Prod Physique Boites'!H1491,"-")</f>
        <v>0</v>
      </c>
      <c r="G1497" s="403">
        <f>IFERROR(E1497*'01 Prod Physique Boites'!L1491,"-")</f>
        <v>0</v>
      </c>
      <c r="H1497" s="385"/>
      <c r="I1497" s="421">
        <f>IFERROR(H1497*(F1497/E1497),"-")</f>
        <v>0</v>
      </c>
      <c r="J1497" s="422">
        <f t="shared" si="849"/>
        <v>0</v>
      </c>
    </row>
    <row r="1498" spans="1:10" ht="24" thickBot="1" x14ac:dyDescent="0.35">
      <c r="A1498" s="274" t="s">
        <v>102</v>
      </c>
      <c r="B1498" s="1025" t="s">
        <v>39</v>
      </c>
      <c r="C1498" s="1026"/>
      <c r="D1498" s="1027"/>
      <c r="E1498" s="390"/>
      <c r="F1498" s="406">
        <f>SUM(F1494:F1497)</f>
        <v>296350.65720000002</v>
      </c>
      <c r="G1498" s="407">
        <f>SUM(G1494:G1497)</f>
        <v>14824684.610400001</v>
      </c>
      <c r="H1498" s="391"/>
      <c r="I1498" s="406">
        <f>SUM(I1494:I1497)</f>
        <v>568376.64</v>
      </c>
      <c r="J1498" s="406">
        <f>SUM(J1494:J1497)</f>
        <v>28432548.479999997</v>
      </c>
    </row>
    <row r="1499" spans="1:10" ht="23.4" x14ac:dyDescent="0.3">
      <c r="A1499" s="274" t="s">
        <v>102</v>
      </c>
      <c r="B1499" s="1022" t="s">
        <v>40</v>
      </c>
      <c r="C1499" s="269" t="s">
        <v>186</v>
      </c>
      <c r="D1499" s="269" t="s">
        <v>183</v>
      </c>
      <c r="E1499" s="504">
        <v>30.7499</v>
      </c>
      <c r="F1499" s="402">
        <f>IFERROR(E1499*'01 Prod Physique Boites'!H1494,"-")</f>
        <v>0</v>
      </c>
      <c r="G1499" s="402">
        <f>IFERROR(E1499*'01 Prod Physique Boites'!L1494,"-")</f>
        <v>0</v>
      </c>
      <c r="H1499" s="381"/>
      <c r="I1499" s="419">
        <f>IFERROR(H1499*(F1499/E1499),"-")</f>
        <v>0</v>
      </c>
      <c r="J1499" s="420">
        <f>IFERROR(H1499*(G1499/E1499),"-")</f>
        <v>0</v>
      </c>
    </row>
    <row r="1500" spans="1:10" ht="23.4" x14ac:dyDescent="0.3">
      <c r="A1500" s="274" t="s">
        <v>102</v>
      </c>
      <c r="B1500" s="1023"/>
      <c r="C1500" s="275" t="s">
        <v>159</v>
      </c>
      <c r="D1500" s="275"/>
      <c r="E1500" s="684">
        <v>30.073599999999999</v>
      </c>
      <c r="F1500" s="402">
        <f>IFERROR(E1500*'01 Prod Physique Boites'!H1495,"-")</f>
        <v>0</v>
      </c>
      <c r="G1500" s="403">
        <f>IFERROR(E1500*'01 Prod Physique Boites'!L1495,"-")</f>
        <v>342839.03999999998</v>
      </c>
      <c r="H1500" s="385">
        <v>59.96</v>
      </c>
      <c r="I1500" s="421">
        <f>IFERROR(H1500*(F1500/E1500),"-")</f>
        <v>0</v>
      </c>
      <c r="J1500" s="422">
        <f t="shared" ref="J1500:J1501" si="850">IFERROR(H1500*(G1500/E1500),"-")</f>
        <v>683544</v>
      </c>
    </row>
    <row r="1501" spans="1:10" ht="24" thickBot="1" x14ac:dyDescent="0.35">
      <c r="A1501" s="274" t="s">
        <v>102</v>
      </c>
      <c r="B1501" s="1024"/>
      <c r="C1501" s="279" t="s">
        <v>186</v>
      </c>
      <c r="D1501" s="279" t="s">
        <v>185</v>
      </c>
      <c r="E1501" s="501">
        <v>30.073599999999999</v>
      </c>
      <c r="F1501" s="402">
        <f>IFERROR(E1501*'01 Prod Physique Boites'!H1496,"-")</f>
        <v>0</v>
      </c>
      <c r="G1501" s="403">
        <f>IFERROR(E1501*'01 Prod Physique Boites'!L1496,"-")</f>
        <v>0</v>
      </c>
      <c r="H1501" s="387"/>
      <c r="I1501" s="423">
        <f>IFERROR(H1501*(F1501/E1501),"-")</f>
        <v>0</v>
      </c>
      <c r="J1501" s="424">
        <f t="shared" si="850"/>
        <v>0</v>
      </c>
    </row>
    <row r="1502" spans="1:10" ht="24" thickBot="1" x14ac:dyDescent="0.35">
      <c r="A1502" s="274" t="s">
        <v>102</v>
      </c>
      <c r="B1502" s="1034" t="s">
        <v>41</v>
      </c>
      <c r="C1502" s="1035"/>
      <c r="D1502" s="1036"/>
      <c r="E1502" s="390"/>
      <c r="F1502" s="406">
        <f t="shared" ref="F1502:G1502" si="851">SUM(F1499:F1501)</f>
        <v>0</v>
      </c>
      <c r="G1502" s="407">
        <f t="shared" si="851"/>
        <v>342839.03999999998</v>
      </c>
      <c r="H1502" s="391"/>
      <c r="I1502" s="406">
        <f t="shared" ref="I1502:J1502" si="852">SUM(I1499:I1501)</f>
        <v>0</v>
      </c>
      <c r="J1502" s="425">
        <f t="shared" si="852"/>
        <v>683544</v>
      </c>
    </row>
    <row r="1503" spans="1:10" ht="23.4" x14ac:dyDescent="0.3">
      <c r="A1503" s="274" t="s">
        <v>102</v>
      </c>
      <c r="B1503" s="1022" t="s">
        <v>42</v>
      </c>
      <c r="C1503" s="269" t="s">
        <v>160</v>
      </c>
      <c r="D1503" s="269"/>
      <c r="E1503" s="504">
        <v>36.684899999999999</v>
      </c>
      <c r="F1503" s="402">
        <f>IFERROR(E1503*'01 Prod Physique Boites'!H1498,"-")</f>
        <v>0</v>
      </c>
      <c r="G1503" s="402">
        <f>IFERROR(E1503*'01 Prod Physique Boites'!L1498,"-")</f>
        <v>0</v>
      </c>
      <c r="H1503" s="381"/>
      <c r="I1503" s="382" t="s">
        <v>190</v>
      </c>
      <c r="J1503" s="383" t="s">
        <v>190</v>
      </c>
    </row>
    <row r="1504" spans="1:10" ht="24" thickBot="1" x14ac:dyDescent="0.35">
      <c r="A1504" s="274" t="s">
        <v>102</v>
      </c>
      <c r="B1504" s="1024"/>
      <c r="C1504" s="279" t="s">
        <v>161</v>
      </c>
      <c r="D1504" s="279"/>
      <c r="E1504" s="501">
        <v>37.002800000000001</v>
      </c>
      <c r="F1504" s="402">
        <f>IFERROR(E1504*'01 Prod Physique Boites'!H1499,"-")</f>
        <v>0</v>
      </c>
      <c r="G1504" s="402">
        <f>IFERROR(E1504*'01 Prod Physique Boites'!L1499,"-")</f>
        <v>0</v>
      </c>
      <c r="H1504" s="387"/>
      <c r="I1504" s="388" t="s">
        <v>190</v>
      </c>
      <c r="J1504" s="389" t="s">
        <v>190</v>
      </c>
    </row>
    <row r="1505" spans="1:10" ht="24" thickBot="1" x14ac:dyDescent="0.35">
      <c r="A1505" s="274" t="s">
        <v>102</v>
      </c>
      <c r="B1505" s="1034" t="s">
        <v>43</v>
      </c>
      <c r="C1505" s="1035"/>
      <c r="D1505" s="1036"/>
      <c r="E1505" s="390"/>
      <c r="F1505" s="402">
        <f>IFERROR(E1505*'01 Prod Physique Boites'!H1499,"-")</f>
        <v>0</v>
      </c>
      <c r="G1505" s="407">
        <f>IFERROR(E1505*'01 Prod Physique Boites'!L1499,"-")</f>
        <v>0</v>
      </c>
      <c r="H1505" s="391"/>
      <c r="I1505" s="406">
        <f t="shared" ref="I1505:J1505" si="853">SUM(I1503:I1504)</f>
        <v>0</v>
      </c>
      <c r="J1505" s="425">
        <f t="shared" si="853"/>
        <v>0</v>
      </c>
    </row>
    <row r="1506" spans="1:10" ht="24" thickBot="1" x14ac:dyDescent="0.35">
      <c r="A1506" s="274" t="s">
        <v>102</v>
      </c>
      <c r="B1506" s="1028" t="s">
        <v>25</v>
      </c>
      <c r="C1506" s="1029"/>
      <c r="D1506" s="1030"/>
      <c r="E1506" s="393"/>
      <c r="F1506" s="410">
        <f>+F1485+F1490+F1493+F1498+F1502+F1505</f>
        <v>690772.89720000001</v>
      </c>
      <c r="G1506" s="411">
        <f>+G1485+G1490+G1493+G1498+G1502+G1505</f>
        <v>21955634.392499998</v>
      </c>
      <c r="H1506" s="394"/>
      <c r="I1506" s="410">
        <f>+I1485+I1490+I1493+I1498+I1502+I1505</f>
        <v>1256408.6400000001</v>
      </c>
      <c r="J1506" s="428">
        <f>+J1485+J1490+J1493+J1498+J1502+J1505</f>
        <v>40718803.959999993</v>
      </c>
    </row>
    <row r="1507" spans="1:10" ht="24" thickBot="1" x14ac:dyDescent="0.35">
      <c r="A1507" s="318" t="s">
        <v>102</v>
      </c>
      <c r="B1507" s="1020" t="s">
        <v>173</v>
      </c>
      <c r="C1507" s="1020"/>
      <c r="D1507" s="1021"/>
      <c r="E1507" s="395"/>
      <c r="F1507" s="412">
        <f t="shared" ref="F1507:G1507" si="854">+F1506</f>
        <v>690772.89720000001</v>
      </c>
      <c r="G1507" s="413">
        <f t="shared" si="854"/>
        <v>21955634.392499998</v>
      </c>
      <c r="H1507" s="396"/>
      <c r="I1507" s="412">
        <f t="shared" ref="I1507" si="855">+I1506</f>
        <v>1256408.6400000001</v>
      </c>
      <c r="J1507" s="429">
        <f>+J1506</f>
        <v>40718803.959999993</v>
      </c>
    </row>
    <row r="1508" spans="1:10" ht="24.6" thickBot="1" x14ac:dyDescent="0.35">
      <c r="A1508" s="319"/>
      <c r="B1508" s="1031" t="s">
        <v>174</v>
      </c>
      <c r="C1508" s="1032"/>
      <c r="D1508" s="1033"/>
      <c r="E1508" s="401"/>
      <c r="F1508" s="418">
        <f>+F1446+F1481+F1507</f>
        <v>8466920.7819999997</v>
      </c>
      <c r="G1508" s="418">
        <f>+G1446+G1481+G1507</f>
        <v>89544472.882100001</v>
      </c>
      <c r="H1508" s="401"/>
      <c r="I1508" s="418">
        <f>+I1446+I1481+I1507</f>
        <v>12510118.800000001</v>
      </c>
      <c r="J1508" s="432">
        <f>+J1446+J1481+J1507</f>
        <v>125517462.36</v>
      </c>
    </row>
    <row r="1509" spans="1:10" ht="23.4" x14ac:dyDescent="0.3">
      <c r="A1509" s="1057" t="s">
        <v>1</v>
      </c>
      <c r="B1509" s="1060" t="s">
        <v>2</v>
      </c>
      <c r="C1509" s="1063" t="s">
        <v>396</v>
      </c>
      <c r="D1509" s="1063" t="s">
        <v>397</v>
      </c>
      <c r="E1509" s="1092" t="s">
        <v>405</v>
      </c>
      <c r="F1509" s="1093"/>
      <c r="G1509" s="1093"/>
      <c r="H1509" s="442"/>
      <c r="I1509" s="442"/>
      <c r="J1509" s="443"/>
    </row>
    <row r="1510" spans="1:10" ht="23.4" x14ac:dyDescent="0.3">
      <c r="A1510" s="1058"/>
      <c r="B1510" s="1061"/>
      <c r="C1510" s="1064"/>
      <c r="D1510" s="1064"/>
      <c r="E1510" s="1094" t="s">
        <v>408</v>
      </c>
      <c r="F1510" s="1095"/>
      <c r="G1510" s="1096"/>
      <c r="H1510" s="1094" t="s">
        <v>168</v>
      </c>
      <c r="I1510" s="1095"/>
      <c r="J1510" s="1096"/>
    </row>
    <row r="1511" spans="1:10" ht="46.8" x14ac:dyDescent="0.3">
      <c r="A1511" s="1059"/>
      <c r="B1511" s="1090"/>
      <c r="C1511" s="1091"/>
      <c r="D1511" s="1091"/>
      <c r="E1511" s="379" t="s">
        <v>170</v>
      </c>
      <c r="F1511" s="951" t="s">
        <v>407</v>
      </c>
      <c r="G1511" s="952" t="s">
        <v>406</v>
      </c>
      <c r="H1511" s="1097" t="s">
        <v>170</v>
      </c>
      <c r="I1511" s="1099" t="s">
        <v>137</v>
      </c>
      <c r="J1511" s="1101" t="s">
        <v>406</v>
      </c>
    </row>
    <row r="1512" spans="1:10" ht="24" thickBot="1" x14ac:dyDescent="0.35">
      <c r="A1512" s="1059"/>
      <c r="B1512" s="1062"/>
      <c r="C1512" s="1065"/>
      <c r="D1512" s="1065"/>
      <c r="E1512" s="1103" t="s">
        <v>565</v>
      </c>
      <c r="F1512" s="1104"/>
      <c r="G1512" s="1105"/>
      <c r="H1512" s="1098"/>
      <c r="I1512" s="1100"/>
      <c r="J1512" s="1102"/>
    </row>
    <row r="1513" spans="1:10" ht="23.4" x14ac:dyDescent="0.3">
      <c r="A1513" s="268" t="s">
        <v>103</v>
      </c>
      <c r="B1513" s="1043" t="s">
        <v>16</v>
      </c>
      <c r="C1513" s="269" t="s">
        <v>368</v>
      </c>
      <c r="D1513" s="269" t="s">
        <v>369</v>
      </c>
      <c r="E1513" s="705">
        <v>81.360699999999994</v>
      </c>
      <c r="F1513" s="402">
        <f>IFERROR(E1513*'01 Prod Physique Boites'!H1507,"-")</f>
        <v>0</v>
      </c>
      <c r="G1513" s="402">
        <f>IFERROR(E1513*'01 Prod Physique Boites'!L1507,"-")</f>
        <v>1514936.2339999999</v>
      </c>
      <c r="H1513" s="706">
        <v>143.28</v>
      </c>
      <c r="I1513" s="419">
        <f>IFERROR(H1513*(F1513/E1513),"-")</f>
        <v>0</v>
      </c>
      <c r="J1513" s="420">
        <f t="shared" ref="J1513:J1515" si="856">IFERROR(H1513*(G1513/E1513),"-")</f>
        <v>2667873.6</v>
      </c>
    </row>
    <row r="1514" spans="1:10" ht="23.4" x14ac:dyDescent="0.3">
      <c r="A1514" s="713"/>
      <c r="B1514" s="1044"/>
      <c r="C1514" s="275" t="s">
        <v>470</v>
      </c>
      <c r="D1514" s="275" t="s">
        <v>375</v>
      </c>
      <c r="E1514" s="505">
        <v>81.360699999999994</v>
      </c>
      <c r="F1514" s="402">
        <f>IFERROR(E1514*'01 Prod Physique Boites'!H1508,"-")</f>
        <v>0</v>
      </c>
      <c r="G1514" s="402">
        <f>IFERROR(E1514*'01 Prod Physique Boites'!L1508,"-")</f>
        <v>0</v>
      </c>
      <c r="H1514" s="708">
        <v>143.28</v>
      </c>
      <c r="I1514" s="419">
        <f>IFERROR(H1514*(F1514/E1514),"-")</f>
        <v>0</v>
      </c>
      <c r="J1514" s="420">
        <f t="shared" si="856"/>
        <v>0</v>
      </c>
    </row>
    <row r="1515" spans="1:10" ht="23.4" x14ac:dyDescent="0.3">
      <c r="A1515" s="274" t="s">
        <v>103</v>
      </c>
      <c r="B1515" s="1044"/>
      <c r="C1515" s="275" t="s">
        <v>430</v>
      </c>
      <c r="D1515" s="275" t="s">
        <v>384</v>
      </c>
      <c r="E1515" s="684">
        <v>77.170400000000001</v>
      </c>
      <c r="F1515" s="402">
        <f>IFERROR(E1515*'01 Prod Physique Boites'!H1509,"-")</f>
        <v>0</v>
      </c>
      <c r="G1515" s="402">
        <f>IFERROR(E1515*'01 Prod Physique Boites'!L1509,"-")</f>
        <v>617363.19999999995</v>
      </c>
      <c r="H1515" s="385">
        <v>0</v>
      </c>
      <c r="I1515" s="419">
        <f>IFERROR(H1515*(F1515/E1515),"-")</f>
        <v>0</v>
      </c>
      <c r="J1515" s="420">
        <f t="shared" si="856"/>
        <v>0</v>
      </c>
    </row>
    <row r="1516" spans="1:10" ht="24" thickBot="1" x14ac:dyDescent="0.35">
      <c r="A1516" s="274" t="s">
        <v>103</v>
      </c>
      <c r="B1516" s="1045"/>
      <c r="C1516" s="279" t="s">
        <v>262</v>
      </c>
      <c r="D1516" s="279" t="s">
        <v>231</v>
      </c>
      <c r="E1516" s="501">
        <v>60.703499999999998</v>
      </c>
      <c r="F1516" s="402">
        <f>IFERROR(E1516*'01 Prod Physique Boites'!H1510,"-")</f>
        <v>0</v>
      </c>
      <c r="G1516" s="402">
        <f>IFERROR(E1516*'01 Prod Physique Boites'!L1510,"-")</f>
        <v>0</v>
      </c>
      <c r="H1516" s="387">
        <v>111.09</v>
      </c>
      <c r="I1516" s="419">
        <f>IFERROR(H1516*(F1516/E1516),"-")</f>
        <v>0</v>
      </c>
      <c r="J1516" s="420">
        <f>IFERROR(H1516*(G1516/E1516),"-")</f>
        <v>0</v>
      </c>
    </row>
    <row r="1517" spans="1:10" ht="24" thickBot="1" x14ac:dyDescent="0.35">
      <c r="A1517" s="274" t="s">
        <v>103</v>
      </c>
      <c r="B1517" s="1025" t="s">
        <v>44</v>
      </c>
      <c r="C1517" s="1026"/>
      <c r="D1517" s="1027"/>
      <c r="E1517" s="390"/>
      <c r="F1517" s="406">
        <f t="shared" ref="F1517" si="857">SUM(F1513:F1516)</f>
        <v>0</v>
      </c>
      <c r="G1517" s="407">
        <f>SUM(G1513:G1516)</f>
        <v>2132299.4339999999</v>
      </c>
      <c r="H1517" s="391"/>
      <c r="I1517" s="406">
        <f t="shared" ref="I1517:J1517" si="858">SUM(I1513:I1516)</f>
        <v>0</v>
      </c>
      <c r="J1517" s="425">
        <f t="shared" si="858"/>
        <v>2667873.6</v>
      </c>
    </row>
    <row r="1518" spans="1:10" ht="23.4" x14ac:dyDescent="0.3">
      <c r="A1518" s="274" t="s">
        <v>103</v>
      </c>
      <c r="B1518" s="1043" t="s">
        <v>17</v>
      </c>
      <c r="C1518" s="269" t="s">
        <v>294</v>
      </c>
      <c r="D1518" s="269"/>
      <c r="E1518" s="504">
        <v>12.5275</v>
      </c>
      <c r="F1518" s="402">
        <f>IFERROR(E1518*'01 Prod Physique Boites'!H1512,"-")</f>
        <v>0</v>
      </c>
      <c r="G1518" s="402">
        <f>IFERROR(E1518*'01 Prod Physique Boites'!L1512,"-")</f>
        <v>0</v>
      </c>
      <c r="H1518" s="681">
        <v>18.836400000000001</v>
      </c>
      <c r="I1518" s="419">
        <f t="shared" ref="I1518:I1524" si="859">IFERROR(H1518*(F1518/E1518),"-")</f>
        <v>0</v>
      </c>
      <c r="J1518" s="420">
        <f t="shared" ref="J1518:J1523" si="860">IFERROR(H1518*(G1518/E1518),"-")</f>
        <v>0</v>
      </c>
    </row>
    <row r="1519" spans="1:10" ht="23.4" x14ac:dyDescent="0.3">
      <c r="A1519" s="274" t="s">
        <v>103</v>
      </c>
      <c r="B1519" s="1044"/>
      <c r="C1519" s="275" t="s">
        <v>344</v>
      </c>
      <c r="D1519" s="275" t="s">
        <v>232</v>
      </c>
      <c r="E1519" s="677">
        <v>13.002700000000001</v>
      </c>
      <c r="F1519" s="402">
        <f>IFERROR(E1519*'01 Prod Physique Boites'!H1513,"-")</f>
        <v>0</v>
      </c>
      <c r="G1519" s="402">
        <f>IFERROR(E1519*'01 Prod Physique Boites'!L1513,"-")</f>
        <v>77756.146000000008</v>
      </c>
      <c r="H1519" s="385">
        <v>21.18</v>
      </c>
      <c r="I1519" s="421">
        <f t="shared" si="859"/>
        <v>0</v>
      </c>
      <c r="J1519" s="422">
        <f t="shared" si="860"/>
        <v>126656.4</v>
      </c>
    </row>
    <row r="1520" spans="1:10" ht="23.4" x14ac:dyDescent="0.3">
      <c r="A1520" s="274" t="s">
        <v>103</v>
      </c>
      <c r="B1520" s="1044"/>
      <c r="C1520" s="275" t="s">
        <v>351</v>
      </c>
      <c r="D1520" s="275" t="s">
        <v>187</v>
      </c>
      <c r="E1520" s="677">
        <v>12.9049</v>
      </c>
      <c r="F1520" s="402">
        <f>IFERROR(E1520*'01 Prod Physique Boites'!H1514,"-")</f>
        <v>1184669.82</v>
      </c>
      <c r="G1520" s="402">
        <f>IFERROR(E1520*'01 Prod Physique Boites'!L1514,"-")</f>
        <v>14216037.84</v>
      </c>
      <c r="H1520" s="385">
        <v>20.5</v>
      </c>
      <c r="I1520" s="421">
        <f t="shared" si="859"/>
        <v>1881900.0000000002</v>
      </c>
      <c r="J1520" s="422">
        <f t="shared" si="860"/>
        <v>22582800</v>
      </c>
    </row>
    <row r="1521" spans="1:10" ht="23.4" x14ac:dyDescent="0.3">
      <c r="A1521" s="274" t="s">
        <v>103</v>
      </c>
      <c r="B1521" s="1044"/>
      <c r="C1521" s="275" t="s">
        <v>530</v>
      </c>
      <c r="D1521" s="275" t="s">
        <v>529</v>
      </c>
      <c r="E1521" s="505">
        <v>13.1958</v>
      </c>
      <c r="F1521" s="402">
        <f>IFERROR(E1521*'01 Prod Physique Boites'!H1515,"-")</f>
        <v>0</v>
      </c>
      <c r="G1521" s="402">
        <f>IFERROR(E1521*'01 Prod Physique Boites'!L1515,"-")</f>
        <v>545646.32999999996</v>
      </c>
      <c r="H1521" s="708">
        <v>21.28</v>
      </c>
      <c r="I1521" s="421">
        <f t="shared" si="859"/>
        <v>0</v>
      </c>
      <c r="J1521" s="422">
        <f t="shared" si="860"/>
        <v>879927.99999999988</v>
      </c>
    </row>
    <row r="1522" spans="1:10" ht="23.4" x14ac:dyDescent="0.3">
      <c r="A1522" s="274" t="s">
        <v>103</v>
      </c>
      <c r="B1522" s="1044"/>
      <c r="C1522" s="275" t="s">
        <v>323</v>
      </c>
      <c r="D1522" s="275" t="s">
        <v>318</v>
      </c>
      <c r="E1522" s="505">
        <v>13.1958</v>
      </c>
      <c r="F1522" s="402">
        <f>IFERROR(E1522*'01 Prod Physique Boites'!H1516,"-")</f>
        <v>0</v>
      </c>
      <c r="G1522" s="402">
        <f>IFERROR(E1522*'01 Prod Physique Boites'!L1516,"-")</f>
        <v>0</v>
      </c>
      <c r="H1522" s="385">
        <v>21.28</v>
      </c>
      <c r="I1522" s="421">
        <f t="shared" si="859"/>
        <v>0</v>
      </c>
      <c r="J1522" s="422">
        <f t="shared" si="860"/>
        <v>0</v>
      </c>
    </row>
    <row r="1523" spans="1:10" ht="23.4" x14ac:dyDescent="0.3">
      <c r="A1523" s="274">
        <v>1</v>
      </c>
      <c r="B1523" s="1044"/>
      <c r="C1523" s="275" t="s">
        <v>528</v>
      </c>
      <c r="D1523" s="275" t="s">
        <v>189</v>
      </c>
      <c r="E1523" s="677">
        <v>13.1958</v>
      </c>
      <c r="F1523" s="402">
        <f>IFERROR(E1523*'01 Prod Physique Boites'!H1517,"-")</f>
        <v>0</v>
      </c>
      <c r="G1523" s="402">
        <f>IFERROR(E1523*'01 Prod Physique Boites'!L1517,"-")</f>
        <v>445490.20799999998</v>
      </c>
      <c r="H1523" s="664">
        <v>21.28</v>
      </c>
      <c r="I1523" s="421">
        <f t="shared" si="859"/>
        <v>0</v>
      </c>
      <c r="J1523" s="422">
        <f t="shared" si="860"/>
        <v>718412.80000000005</v>
      </c>
    </row>
    <row r="1524" spans="1:10" ht="24" thickBot="1" x14ac:dyDescent="0.35">
      <c r="A1524" s="274" t="s">
        <v>103</v>
      </c>
      <c r="B1524" s="1045"/>
      <c r="C1524" s="279" t="s">
        <v>341</v>
      </c>
      <c r="D1524" s="279" t="s">
        <v>175</v>
      </c>
      <c r="E1524" s="501">
        <v>13.6509</v>
      </c>
      <c r="F1524" s="402">
        <f>IFERROR(E1524*'01 Prod Physique Boites'!H1518,"-")</f>
        <v>0</v>
      </c>
      <c r="G1524" s="402">
        <f>IFERROR(E1524*'01 Prod Physique Boites'!L1518,"-")</f>
        <v>0</v>
      </c>
      <c r="H1524" s="387">
        <v>21.18</v>
      </c>
      <c r="I1524" s="423">
        <f t="shared" si="859"/>
        <v>0</v>
      </c>
      <c r="J1524" s="424">
        <f>IFERROR(H1524*(G1524/E1524),"-")</f>
        <v>0</v>
      </c>
    </row>
    <row r="1525" spans="1:10" ht="24" thickBot="1" x14ac:dyDescent="0.35">
      <c r="A1525" s="274" t="s">
        <v>103</v>
      </c>
      <c r="B1525" s="1025" t="s">
        <v>45</v>
      </c>
      <c r="C1525" s="1026"/>
      <c r="D1525" s="1027"/>
      <c r="E1525" s="390"/>
      <c r="F1525" s="406">
        <f t="shared" ref="F1525" si="861">SUM(F1518:F1524)</f>
        <v>1184669.82</v>
      </c>
      <c r="G1525" s="407">
        <f>SUM(G1518:G1524)</f>
        <v>15284930.524</v>
      </c>
      <c r="H1525" s="391"/>
      <c r="I1525" s="406">
        <f t="shared" ref="I1525" si="862">SUM(I1518:I1524)</f>
        <v>1881900.0000000002</v>
      </c>
      <c r="J1525" s="425">
        <f>SUM(J1518:J1524)</f>
        <v>24307797.199999999</v>
      </c>
    </row>
    <row r="1526" spans="1:10" ht="23.4" x14ac:dyDescent="0.3">
      <c r="A1526" s="274" t="s">
        <v>103</v>
      </c>
      <c r="B1526" s="1043" t="s">
        <v>18</v>
      </c>
      <c r="C1526" s="269" t="s">
        <v>312</v>
      </c>
      <c r="D1526" s="269" t="s">
        <v>92</v>
      </c>
      <c r="E1526" s="504">
        <v>17.8202</v>
      </c>
      <c r="F1526" s="402">
        <f>IFERROR(E1526*'01 Prod Physique Boites'!H1520,"-")</f>
        <v>0</v>
      </c>
      <c r="G1526" s="403">
        <f>IFERROR(E1526*'01 Prod Physique Boites'!L1520,"-")</f>
        <v>0</v>
      </c>
      <c r="H1526" s="381">
        <v>24.93</v>
      </c>
      <c r="I1526" s="419">
        <f t="shared" ref="I1526:I1532" si="863">IFERROR(H1526*(F1526/E1526),"-")</f>
        <v>0</v>
      </c>
      <c r="J1526" s="420">
        <f t="shared" ref="J1526:J1528" si="864">IFERROR(H1526*(G1526/E1526),"-")</f>
        <v>0</v>
      </c>
    </row>
    <row r="1527" spans="1:10" ht="23.4" x14ac:dyDescent="0.3">
      <c r="A1527" s="274" t="s">
        <v>103</v>
      </c>
      <c r="B1527" s="1044"/>
      <c r="C1527" s="275" t="s">
        <v>130</v>
      </c>
      <c r="D1527" s="275"/>
      <c r="E1527" s="505">
        <v>17.8202</v>
      </c>
      <c r="F1527" s="402">
        <f>IFERROR(E1527*'01 Prod Physique Boites'!H1521,"-")</f>
        <v>0</v>
      </c>
      <c r="G1527" s="403">
        <f>IFERROR(E1527*'01 Prod Physique Boites'!L1521,"-")</f>
        <v>0</v>
      </c>
      <c r="H1527" s="385">
        <v>0</v>
      </c>
      <c r="I1527" s="421">
        <f t="shared" si="863"/>
        <v>0</v>
      </c>
      <c r="J1527" s="422">
        <f t="shared" si="864"/>
        <v>0</v>
      </c>
    </row>
    <row r="1528" spans="1:10" ht="23.4" x14ac:dyDescent="0.3">
      <c r="A1528" s="274" t="s">
        <v>103</v>
      </c>
      <c r="B1528" s="1044"/>
      <c r="C1528" s="275" t="s">
        <v>115</v>
      </c>
      <c r="D1528" s="275"/>
      <c r="E1528" s="505">
        <v>16.4071</v>
      </c>
      <c r="F1528" s="402">
        <f>IFERROR(E1528*'01 Prod Physique Boites'!H1522,"-")</f>
        <v>0</v>
      </c>
      <c r="G1528" s="403">
        <f>IFERROR(E1528*'01 Prod Physique Boites'!L1522,"-")</f>
        <v>0</v>
      </c>
      <c r="H1528" s="385">
        <v>0</v>
      </c>
      <c r="I1528" s="421">
        <f t="shared" si="863"/>
        <v>0</v>
      </c>
      <c r="J1528" s="422">
        <f t="shared" si="864"/>
        <v>0</v>
      </c>
    </row>
    <row r="1529" spans="1:10" ht="23.4" x14ac:dyDescent="0.3">
      <c r="A1529" s="274" t="s">
        <v>103</v>
      </c>
      <c r="B1529" s="1044"/>
      <c r="C1529" s="275" t="s">
        <v>122</v>
      </c>
      <c r="D1529" s="275"/>
      <c r="E1529" s="505">
        <v>17.8202</v>
      </c>
      <c r="F1529" s="402">
        <f>IFERROR(E1529*'01 Prod Physique Boites'!H1523,"-")</f>
        <v>0</v>
      </c>
      <c r="G1529" s="403">
        <f>IFERROR(E1529*'01 Prod Physique Boites'!L1523,"-")</f>
        <v>0</v>
      </c>
      <c r="H1529" s="385">
        <v>0</v>
      </c>
      <c r="I1529" s="421">
        <f t="shared" si="863"/>
        <v>0</v>
      </c>
      <c r="J1529" s="422">
        <f>IFERROR(H1529*(G1529/E1529),"-")</f>
        <v>0</v>
      </c>
    </row>
    <row r="1530" spans="1:10" ht="23.4" x14ac:dyDescent="0.3">
      <c r="A1530" s="274" t="s">
        <v>103</v>
      </c>
      <c r="B1530" s="1044"/>
      <c r="C1530" s="275" t="s">
        <v>176</v>
      </c>
      <c r="D1530" s="275" t="s">
        <v>177</v>
      </c>
      <c r="E1530" s="505">
        <v>17.8202</v>
      </c>
      <c r="F1530" s="402">
        <f>IFERROR(E1530*'01 Prod Physique Boites'!H1524,"-")</f>
        <v>0</v>
      </c>
      <c r="G1530" s="403">
        <f>IFERROR(E1530*'01 Prod Physique Boites'!L1524,"-")</f>
        <v>0</v>
      </c>
      <c r="H1530" s="385">
        <v>0</v>
      </c>
      <c r="I1530" s="421">
        <f t="shared" si="863"/>
        <v>0</v>
      </c>
      <c r="J1530" s="422">
        <f t="shared" ref="J1530:J1532" si="865">IFERROR(H1530*(G1530/E1530),"-")</f>
        <v>0</v>
      </c>
    </row>
    <row r="1531" spans="1:10" ht="23.4" x14ac:dyDescent="0.3">
      <c r="A1531" s="274" t="s">
        <v>103</v>
      </c>
      <c r="B1531" s="1044"/>
      <c r="C1531" s="275" t="s">
        <v>179</v>
      </c>
      <c r="D1531" s="275" t="s">
        <v>178</v>
      </c>
      <c r="E1531" s="505">
        <v>16.7288</v>
      </c>
      <c r="F1531" s="402">
        <f>IFERROR(E1531*'01 Prod Physique Boites'!H1525,"-")</f>
        <v>0</v>
      </c>
      <c r="G1531" s="403">
        <f>IFERROR(E1531*'01 Prod Physique Boites'!L1525,"-")</f>
        <v>0</v>
      </c>
      <c r="H1531" s="385">
        <v>0</v>
      </c>
      <c r="I1531" s="421">
        <f t="shared" si="863"/>
        <v>0</v>
      </c>
      <c r="J1531" s="422">
        <f t="shared" si="865"/>
        <v>0</v>
      </c>
    </row>
    <row r="1532" spans="1:10" ht="24" thickBot="1" x14ac:dyDescent="0.35">
      <c r="A1532" s="274" t="s">
        <v>103</v>
      </c>
      <c r="B1532" s="1045"/>
      <c r="C1532" s="286" t="s">
        <v>180</v>
      </c>
      <c r="D1532" s="286" t="s">
        <v>107</v>
      </c>
      <c r="E1532" s="501">
        <v>17.8202</v>
      </c>
      <c r="F1532" s="402">
        <f>IFERROR(E1532*'01 Prod Physique Boites'!H1526,"-")</f>
        <v>0</v>
      </c>
      <c r="G1532" s="403">
        <f>IFERROR(E1532*'01 Prod Physique Boites'!L1526,"-")</f>
        <v>0</v>
      </c>
      <c r="H1532" s="385">
        <v>0</v>
      </c>
      <c r="I1532" s="423">
        <f t="shared" si="863"/>
        <v>0</v>
      </c>
      <c r="J1532" s="424">
        <f t="shared" si="865"/>
        <v>0</v>
      </c>
    </row>
    <row r="1533" spans="1:10" ht="24" thickBot="1" x14ac:dyDescent="0.35">
      <c r="A1533" s="274" t="s">
        <v>103</v>
      </c>
      <c r="B1533" s="1025" t="s">
        <v>29</v>
      </c>
      <c r="C1533" s="1083"/>
      <c r="D1533" s="1084"/>
      <c r="E1533" s="841"/>
      <c r="F1533" s="856">
        <f t="shared" ref="F1533:G1533" si="866">SUM(F1526:F1532)</f>
        <v>0</v>
      </c>
      <c r="G1533" s="415">
        <f t="shared" si="866"/>
        <v>0</v>
      </c>
      <c r="H1533" s="391"/>
      <c r="I1533" s="406">
        <f t="shared" ref="I1533:J1533" si="867">SUM(I1526:I1532)</f>
        <v>0</v>
      </c>
      <c r="J1533" s="425">
        <f t="shared" si="867"/>
        <v>0</v>
      </c>
    </row>
    <row r="1534" spans="1:10" ht="23.4" x14ac:dyDescent="0.3">
      <c r="A1534" s="274"/>
      <c r="B1534" s="1037" t="s">
        <v>19</v>
      </c>
      <c r="C1534" s="669" t="s">
        <v>235</v>
      </c>
      <c r="D1534" s="669" t="s">
        <v>177</v>
      </c>
      <c r="E1534" s="850">
        <v>12.2659</v>
      </c>
      <c r="F1534" s="658">
        <f>IFERROR(E1534*'01 Prod Physique Boites'!H1528,"-")</f>
        <v>414489.2928</v>
      </c>
      <c r="G1534" s="659">
        <f>IFERROR(E1534*'01 Prod Physique Boites'!L1528,"-")</f>
        <v>3834025.9583999999</v>
      </c>
      <c r="H1534" s="653">
        <v>14.79</v>
      </c>
      <c r="I1534" s="638">
        <f t="shared" ref="I1534:I1540" si="868">IFERROR(H1534*(F1534/E1534),"-")</f>
        <v>499783.67999999999</v>
      </c>
      <c r="J1534" s="638">
        <f>IFERROR(H1534*(G1534/E1534),"-")</f>
        <v>4622999.04</v>
      </c>
    </row>
    <row r="1535" spans="1:10" ht="23.4" x14ac:dyDescent="0.3">
      <c r="A1535" s="274"/>
      <c r="B1535" s="1038"/>
      <c r="C1535" s="840" t="s">
        <v>359</v>
      </c>
      <c r="D1535" s="840" t="s">
        <v>423</v>
      </c>
      <c r="E1535" s="851">
        <v>12.2659</v>
      </c>
      <c r="F1535" s="643">
        <f>IFERROR(E1535*'01 Prod Physique Boites'!H1529,"-")</f>
        <v>0</v>
      </c>
      <c r="G1535" s="633">
        <f>IFERROR(E1535*'01 Prod Physique Boites'!L1529,"-")</f>
        <v>7046317.9775999999</v>
      </c>
      <c r="H1535" s="654">
        <v>14.55</v>
      </c>
      <c r="I1535" s="643">
        <f t="shared" si="868"/>
        <v>0</v>
      </c>
      <c r="J1535" s="643">
        <f>IFERROR(H1535*(G1535/E1535),"-")</f>
        <v>8358451.2000000002</v>
      </c>
    </row>
    <row r="1536" spans="1:10" ht="23.4" x14ac:dyDescent="0.3">
      <c r="A1536" s="274"/>
      <c r="B1536" s="1038"/>
      <c r="C1536" s="840" t="s">
        <v>235</v>
      </c>
      <c r="D1536" s="840" t="s">
        <v>522</v>
      </c>
      <c r="E1536" s="851">
        <v>12.2659</v>
      </c>
      <c r="F1536" s="643">
        <f>IFERROR(E1536*'01 Prod Physique Boites'!H1530,"-")</f>
        <v>0</v>
      </c>
      <c r="G1536" s="633">
        <f>IFERROR(E1536*'01 Prod Physique Boites'!L1530,"-")</f>
        <v>2621370.0208000001</v>
      </c>
      <c r="H1536" s="860">
        <v>0</v>
      </c>
      <c r="I1536" s="643">
        <f t="shared" si="868"/>
        <v>0</v>
      </c>
      <c r="J1536" s="643">
        <f t="shared" ref="J1536:J1539" si="869">IFERROR(H1536*(G1536/E1536),"-")</f>
        <v>0</v>
      </c>
    </row>
    <row r="1537" spans="1:10" ht="23.4" x14ac:dyDescent="0.3">
      <c r="A1537" s="274"/>
      <c r="B1537" s="1038"/>
      <c r="C1537" s="840" t="s">
        <v>377</v>
      </c>
      <c r="D1537" s="840" t="s">
        <v>522</v>
      </c>
      <c r="E1537" s="851">
        <v>12.2659</v>
      </c>
      <c r="F1537" s="643">
        <f>IFERROR(E1537*'01 Prod Physique Boites'!H1531,"-")</f>
        <v>0</v>
      </c>
      <c r="G1537" s="633">
        <f>IFERROR(E1537*'01 Prod Physique Boites'!L1531,"-")</f>
        <v>3523158.9887999999</v>
      </c>
      <c r="H1537" s="860">
        <v>0</v>
      </c>
      <c r="I1537" s="643">
        <f t="shared" si="868"/>
        <v>0</v>
      </c>
      <c r="J1537" s="643">
        <f t="shared" si="869"/>
        <v>0</v>
      </c>
    </row>
    <row r="1538" spans="1:10" ht="23.4" x14ac:dyDescent="0.3">
      <c r="A1538" s="274"/>
      <c r="B1538" s="1038"/>
      <c r="C1538" s="840" t="s">
        <v>536</v>
      </c>
      <c r="D1538" s="840" t="s">
        <v>522</v>
      </c>
      <c r="E1538" s="851">
        <v>12.2659</v>
      </c>
      <c r="F1538" s="643">
        <f>IFERROR(E1538*'01 Prod Physique Boites'!H1532,"-")</f>
        <v>0</v>
      </c>
      <c r="G1538" s="633">
        <f>IFERROR(E1538*'01 Prod Physique Boites'!L1532,"-")</f>
        <v>1839296.2368000001</v>
      </c>
      <c r="H1538" s="860">
        <v>0</v>
      </c>
      <c r="I1538" s="643">
        <f t="shared" si="868"/>
        <v>0</v>
      </c>
      <c r="J1538" s="643">
        <f t="shared" si="869"/>
        <v>0</v>
      </c>
    </row>
    <row r="1539" spans="1:10" ht="23.4" x14ac:dyDescent="0.3">
      <c r="A1539" s="274"/>
      <c r="B1539" s="1038"/>
      <c r="C1539" s="840"/>
      <c r="D1539" s="840"/>
      <c r="E1539" s="851">
        <v>12.2659</v>
      </c>
      <c r="F1539" s="643">
        <f>IFERROR(E1539*'01 Prod Physique Boites'!H1533,"-")</f>
        <v>0</v>
      </c>
      <c r="G1539" s="633">
        <f>IFERROR(E1539*'01 Prod Physique Boites'!L1533,"-")</f>
        <v>0</v>
      </c>
      <c r="H1539" s="910">
        <v>14.55</v>
      </c>
      <c r="I1539" s="643">
        <f t="shared" si="868"/>
        <v>0</v>
      </c>
      <c r="J1539" s="643">
        <f t="shared" si="869"/>
        <v>0</v>
      </c>
    </row>
    <row r="1540" spans="1:10" ht="24" thickBot="1" x14ac:dyDescent="0.35">
      <c r="A1540" s="953" t="s">
        <v>103</v>
      </c>
      <c r="B1540" s="1039"/>
      <c r="C1540" s="670" t="s">
        <v>342</v>
      </c>
      <c r="D1540" s="670"/>
      <c r="E1540" s="852">
        <v>0</v>
      </c>
      <c r="F1540" s="927">
        <f>IFERROR(E1540*'01 Prod Physique Boites'!H1534,"-")</f>
        <v>0</v>
      </c>
      <c r="G1540" s="858">
        <f>IFERROR(E1540*'01 Prod Physique Boites'!L1534,"-")</f>
        <v>0</v>
      </c>
      <c r="H1540" s="655">
        <v>0</v>
      </c>
      <c r="I1540" s="643" t="str">
        <f t="shared" si="868"/>
        <v>-</v>
      </c>
      <c r="J1540" s="427" t="str">
        <f t="shared" ref="J1540" si="870">IFERROR(I1540*(G1540/F1540),"-")</f>
        <v>-</v>
      </c>
    </row>
    <row r="1541" spans="1:10" ht="24" thickBot="1" x14ac:dyDescent="0.35">
      <c r="A1541" s="274" t="s">
        <v>103</v>
      </c>
      <c r="B1541" s="1025" t="s">
        <v>46</v>
      </c>
      <c r="C1541" s="1041"/>
      <c r="D1541" s="1042"/>
      <c r="E1541" s="842"/>
      <c r="F1541" s="523">
        <f>SUM(F1534:F1540)</f>
        <v>414489.2928</v>
      </c>
      <c r="G1541" s="523">
        <f>SUM(G1534:G1540)</f>
        <v>18864169.182399999</v>
      </c>
      <c r="H1541" s="391"/>
      <c r="I1541" s="406">
        <f>SUM(I1534:I1540)</f>
        <v>499783.67999999999</v>
      </c>
      <c r="J1541" s="425">
        <f>SUM(J1534:J1540)</f>
        <v>12981450.24</v>
      </c>
    </row>
    <row r="1542" spans="1:10" ht="23.4" x14ac:dyDescent="0.3">
      <c r="A1542" s="274" t="s">
        <v>103</v>
      </c>
      <c r="B1542" s="1043" t="s">
        <v>20</v>
      </c>
      <c r="C1542" s="291" t="s">
        <v>317</v>
      </c>
      <c r="D1542" s="291" t="s">
        <v>289</v>
      </c>
      <c r="E1542" s="504">
        <v>26.032900000000001</v>
      </c>
      <c r="F1542" s="402">
        <f>IFERROR(E1542*'01 Prod Physique Boites'!H1536,"-")</f>
        <v>0</v>
      </c>
      <c r="G1542" s="403">
        <f>IFERROR(E1542*'01 Prod Physique Boites'!L1536,"-")</f>
        <v>0</v>
      </c>
      <c r="H1542" s="381">
        <v>36.44</v>
      </c>
      <c r="I1542" s="419">
        <f>IFERROR(H1542*(F1542/E1542),"-")</f>
        <v>0</v>
      </c>
      <c r="J1542" s="420">
        <f t="shared" ref="J1542:J1544" si="871">IFERROR(H1542*(G1542/E1542),"-")</f>
        <v>0</v>
      </c>
    </row>
    <row r="1543" spans="1:10" ht="23.4" x14ac:dyDescent="0.3">
      <c r="A1543" s="274" t="s">
        <v>103</v>
      </c>
      <c r="B1543" s="1044"/>
      <c r="C1543" s="292" t="s">
        <v>114</v>
      </c>
      <c r="D1543" s="292"/>
      <c r="E1543" s="384">
        <v>24.2607</v>
      </c>
      <c r="F1543" s="402">
        <f>IFERROR(E1543*'01 Prod Physique Boites'!H1537,"-")</f>
        <v>0</v>
      </c>
      <c r="G1543" s="403">
        <f>IFERROR(E1543*'01 Prod Physique Boites'!L1537,"-")</f>
        <v>0</v>
      </c>
      <c r="H1543" s="385">
        <v>37.369999999999997</v>
      </c>
      <c r="I1543" s="421">
        <f>IFERROR(H1543*(F1543/E1543),"-")</f>
        <v>0</v>
      </c>
      <c r="J1543" s="422">
        <f t="shared" si="871"/>
        <v>0</v>
      </c>
    </row>
    <row r="1544" spans="1:10" ht="24" thickBot="1" x14ac:dyDescent="0.35">
      <c r="A1544" s="274" t="s">
        <v>103</v>
      </c>
      <c r="B1544" s="1045"/>
      <c r="C1544" s="293" t="s">
        <v>120</v>
      </c>
      <c r="D1544" s="293"/>
      <c r="E1544" s="386">
        <v>26.035799999999998</v>
      </c>
      <c r="F1544" s="402">
        <f>IFERROR(E1544*'01 Prod Physique Boites'!H1538,"-")</f>
        <v>0</v>
      </c>
      <c r="G1544" s="403">
        <f>IFERROR(E1544*'01 Prod Physique Boites'!L1538,"-")</f>
        <v>0</v>
      </c>
      <c r="H1544" s="387">
        <v>37.11</v>
      </c>
      <c r="I1544" s="423">
        <f>IFERROR(H1544*(F1544/E1544),"-")</f>
        <v>0</v>
      </c>
      <c r="J1544" s="424">
        <f t="shared" si="871"/>
        <v>0</v>
      </c>
    </row>
    <row r="1545" spans="1:10" ht="24" thickBot="1" x14ac:dyDescent="0.35">
      <c r="A1545" s="274" t="s">
        <v>103</v>
      </c>
      <c r="B1545" s="1026" t="s">
        <v>47</v>
      </c>
      <c r="C1545" s="1026"/>
      <c r="D1545" s="1046"/>
      <c r="E1545" s="390"/>
      <c r="F1545" s="406">
        <f t="shared" ref="F1545:G1545" si="872">SUM(F1542:F1544)</f>
        <v>0</v>
      </c>
      <c r="G1545" s="407">
        <f t="shared" si="872"/>
        <v>0</v>
      </c>
      <c r="H1545" s="391"/>
      <c r="I1545" s="406">
        <f t="shared" ref="I1545:J1545" si="873">SUM(I1542:I1544)</f>
        <v>0</v>
      </c>
      <c r="J1545" s="425">
        <f t="shared" si="873"/>
        <v>0</v>
      </c>
    </row>
    <row r="1546" spans="1:10" ht="24" thickBot="1" x14ac:dyDescent="0.35">
      <c r="A1546" s="274" t="s">
        <v>103</v>
      </c>
      <c r="B1546" s="1047" t="s">
        <v>21</v>
      </c>
      <c r="C1546" s="1048"/>
      <c r="D1546" s="1049"/>
      <c r="E1546" s="393"/>
      <c r="F1546" s="410">
        <f>+F1517+F1525+F1533+F1541+F1545</f>
        <v>1599159.1128</v>
      </c>
      <c r="G1546" s="411">
        <f>+G1517+G1525+G1533+G1541+G1545</f>
        <v>36281399.1404</v>
      </c>
      <c r="H1546" s="394"/>
      <c r="I1546" s="410">
        <f>+I1517+I1525+I1533+I1541+I1545</f>
        <v>2381683.6800000002</v>
      </c>
      <c r="J1546" s="428">
        <f>+J1517+J1525+J1533+J1541+J1545</f>
        <v>39957121.039999999</v>
      </c>
    </row>
    <row r="1547" spans="1:10" ht="23.4" x14ac:dyDescent="0.3">
      <c r="A1547" s="274" t="s">
        <v>103</v>
      </c>
      <c r="B1547" s="1043" t="s">
        <v>400</v>
      </c>
      <c r="C1547" s="269" t="s">
        <v>125</v>
      </c>
      <c r="D1547" s="269"/>
      <c r="E1547" s="380">
        <v>22.820599999999999</v>
      </c>
      <c r="F1547" s="402">
        <f>IFERROR(E1547*'01 Prod Physique Boites'!H1541,"-")</f>
        <v>0</v>
      </c>
      <c r="G1547" s="403">
        <f>IFERROR(E1547*'01 Prod Physique Boites'!L1541,"-")</f>
        <v>0</v>
      </c>
      <c r="H1547" s="381">
        <v>27.5</v>
      </c>
      <c r="I1547" s="419">
        <f>IFERROR(H1547*(F1547/E1547),"-")</f>
        <v>0</v>
      </c>
      <c r="J1547" s="420">
        <f t="shared" ref="J1547:J1550" si="874">IFERROR(H1547*(G1547/E1547),"-")</f>
        <v>0</v>
      </c>
    </row>
    <row r="1548" spans="1:10" ht="23.4" x14ac:dyDescent="0.3">
      <c r="A1548" s="274" t="s">
        <v>103</v>
      </c>
      <c r="B1548" s="1044"/>
      <c r="C1548" s="295" t="s">
        <v>263</v>
      </c>
      <c r="D1548" s="295" t="s">
        <v>181</v>
      </c>
      <c r="E1548" s="384">
        <v>23.570699999999999</v>
      </c>
      <c r="F1548" s="402">
        <f>IFERROR(E1548*'01 Prod Physique Boites'!H1542,"-")</f>
        <v>0</v>
      </c>
      <c r="G1548" s="403">
        <f>IFERROR(E1548*'01 Prod Physique Boites'!L1542,"-")</f>
        <v>0</v>
      </c>
      <c r="H1548" s="385">
        <v>27.5</v>
      </c>
      <c r="I1548" s="421">
        <f>IFERROR(H1548*(F1548/E1548),"-")</f>
        <v>0</v>
      </c>
      <c r="J1548" s="422">
        <f t="shared" si="874"/>
        <v>0</v>
      </c>
    </row>
    <row r="1549" spans="1:10" ht="23.4" x14ac:dyDescent="0.3">
      <c r="A1549" s="274" t="s">
        <v>103</v>
      </c>
      <c r="B1549" s="1044"/>
      <c r="C1549" s="295" t="s">
        <v>362</v>
      </c>
      <c r="D1549" s="295" t="s">
        <v>181</v>
      </c>
      <c r="E1549" s="384">
        <v>22.820599999999999</v>
      </c>
      <c r="F1549" s="402">
        <f>IFERROR(E1549*'01 Prod Physique Boites'!H1543,"-")</f>
        <v>0</v>
      </c>
      <c r="G1549" s="403">
        <f>IFERROR(E1549*'01 Prod Physique Boites'!L1543,"-")</f>
        <v>0</v>
      </c>
      <c r="H1549" s="385">
        <v>27.5</v>
      </c>
      <c r="I1549" s="421">
        <f>IFERROR(H1549*(F1549/E1549),"-")</f>
        <v>0</v>
      </c>
      <c r="J1549" s="422">
        <f t="shared" si="874"/>
        <v>0</v>
      </c>
    </row>
    <row r="1550" spans="1:10" ht="24" thickBot="1" x14ac:dyDescent="0.35">
      <c r="A1550" s="274" t="s">
        <v>103</v>
      </c>
      <c r="B1550" s="1045"/>
      <c r="C1550" s="279" t="s">
        <v>182</v>
      </c>
      <c r="D1550" s="279" t="s">
        <v>93</v>
      </c>
      <c r="E1550" s="386">
        <v>22.238499999999998</v>
      </c>
      <c r="F1550" s="402">
        <f>IFERROR(E1550*'01 Prod Physique Boites'!H1544,"-")</f>
        <v>352257.83999999997</v>
      </c>
      <c r="G1550" s="403">
        <f>IFERROR(E1550*'01 Prod Physique Boites'!L1544,"-")</f>
        <v>3126288.3299999996</v>
      </c>
      <c r="H1550" s="387">
        <v>27</v>
      </c>
      <c r="I1550" s="423">
        <f>IFERROR(H1550*(F1550/E1550),"-")</f>
        <v>427680</v>
      </c>
      <c r="J1550" s="424">
        <f t="shared" si="874"/>
        <v>3795660</v>
      </c>
    </row>
    <row r="1551" spans="1:10" ht="24" thickBot="1" x14ac:dyDescent="0.35">
      <c r="A1551" s="274" t="s">
        <v>103</v>
      </c>
      <c r="B1551" s="1025" t="s">
        <v>48</v>
      </c>
      <c r="C1551" s="1026"/>
      <c r="D1551" s="1027"/>
      <c r="E1551" s="390"/>
      <c r="F1551" s="406">
        <f t="shared" ref="F1551:G1551" si="875">SUM(F1547:F1550)</f>
        <v>352257.83999999997</v>
      </c>
      <c r="G1551" s="407">
        <f t="shared" si="875"/>
        <v>3126288.3299999996</v>
      </c>
      <c r="H1551" s="391"/>
      <c r="I1551" s="406">
        <f t="shared" ref="I1551:J1551" si="876">SUM(I1547:I1550)</f>
        <v>427680</v>
      </c>
      <c r="J1551" s="425">
        <f t="shared" si="876"/>
        <v>3795660</v>
      </c>
    </row>
    <row r="1552" spans="1:10" ht="23.4" x14ac:dyDescent="0.3">
      <c r="A1552" s="274" t="s">
        <v>103</v>
      </c>
      <c r="B1552" s="1043" t="s">
        <v>23</v>
      </c>
      <c r="C1552" s="275" t="s">
        <v>500</v>
      </c>
      <c r="D1552" s="296" t="s">
        <v>238</v>
      </c>
      <c r="E1552" s="380">
        <v>101.4935</v>
      </c>
      <c r="F1552" s="402">
        <f>IFERROR(E1552*'01 Prod Physique Boites'!H1546,"-")</f>
        <v>0</v>
      </c>
      <c r="G1552" s="403">
        <f>IFERROR(E1552*'01 Prod Physique Boites'!L1546,"-")</f>
        <v>0</v>
      </c>
      <c r="H1552" s="385">
        <v>160.44999999999999</v>
      </c>
      <c r="I1552" s="419">
        <f t="shared" ref="I1552:I1560" si="877">IFERROR(H1552*(F1552/E1552),"-")</f>
        <v>0</v>
      </c>
      <c r="J1552" s="420">
        <f t="shared" ref="J1552:J1560" si="878">IFERROR(H1552*(G1552/E1552),"-")</f>
        <v>0</v>
      </c>
    </row>
    <row r="1553" spans="1:10" ht="23.4" x14ac:dyDescent="0.3">
      <c r="A1553" s="274" t="s">
        <v>103</v>
      </c>
      <c r="B1553" s="1044"/>
      <c r="C1553" s="275" t="s">
        <v>24</v>
      </c>
      <c r="D1553" s="275" t="s">
        <v>238</v>
      </c>
      <c r="E1553" s="384">
        <v>101.4935</v>
      </c>
      <c r="F1553" s="402">
        <f>IFERROR(E1553*'01 Prod Physique Boites'!H1547,"-")</f>
        <v>0</v>
      </c>
      <c r="G1553" s="403">
        <f>IFERROR(E1553*'01 Prod Physique Boites'!L1547,"-")</f>
        <v>0</v>
      </c>
      <c r="H1553" s="385">
        <v>160.44999999999999</v>
      </c>
      <c r="I1553" s="421">
        <f t="shared" si="877"/>
        <v>0</v>
      </c>
      <c r="J1553" s="422">
        <f t="shared" si="878"/>
        <v>0</v>
      </c>
    </row>
    <row r="1554" spans="1:10" ht="23.4" x14ac:dyDescent="0.3">
      <c r="A1554" s="274" t="s">
        <v>103</v>
      </c>
      <c r="B1554" s="1044"/>
      <c r="C1554" s="275" t="s">
        <v>236</v>
      </c>
      <c r="D1554" s="275" t="s">
        <v>238</v>
      </c>
      <c r="E1554" s="384">
        <v>101.4935</v>
      </c>
      <c r="F1554" s="402">
        <f>IFERROR(E1554*'01 Prod Physique Boites'!H1548,"-")</f>
        <v>0</v>
      </c>
      <c r="G1554" s="403">
        <f>IFERROR(E1554*'01 Prod Physique Boites'!L1548,"-")</f>
        <v>0</v>
      </c>
      <c r="H1554" s="385">
        <v>160.44999999999999</v>
      </c>
      <c r="I1554" s="421">
        <f t="shared" si="877"/>
        <v>0</v>
      </c>
      <c r="J1554" s="422">
        <f t="shared" si="878"/>
        <v>0</v>
      </c>
    </row>
    <row r="1555" spans="1:10" ht="23.4" x14ac:dyDescent="0.3">
      <c r="A1555" s="274" t="s">
        <v>103</v>
      </c>
      <c r="B1555" s="1044"/>
      <c r="C1555" s="275" t="s">
        <v>239</v>
      </c>
      <c r="D1555" s="275" t="s">
        <v>238</v>
      </c>
      <c r="E1555" s="384">
        <v>101.4935</v>
      </c>
      <c r="F1555" s="402">
        <f>IFERROR(E1555*'01 Prod Physique Boites'!H1549,"-")</f>
        <v>0</v>
      </c>
      <c r="G1555" s="403">
        <f>IFERROR(E1555*'01 Prod Physique Boites'!L1549,"-")</f>
        <v>0</v>
      </c>
      <c r="H1555" s="385">
        <v>160.44999999999999</v>
      </c>
      <c r="I1555" s="421">
        <f t="shared" si="877"/>
        <v>0</v>
      </c>
      <c r="J1555" s="422">
        <f t="shared" si="878"/>
        <v>0</v>
      </c>
    </row>
    <row r="1556" spans="1:10" ht="23.4" x14ac:dyDescent="0.3">
      <c r="A1556" s="274" t="s">
        <v>103</v>
      </c>
      <c r="B1556" s="1044"/>
      <c r="C1556" s="295" t="s">
        <v>394</v>
      </c>
      <c r="D1556" s="275" t="s">
        <v>238</v>
      </c>
      <c r="E1556" s="384">
        <v>101.4935</v>
      </c>
      <c r="F1556" s="402">
        <f>IFERROR(E1556*'01 Prod Physique Boites'!H1550,"-")</f>
        <v>0</v>
      </c>
      <c r="G1556" s="403">
        <f>IFERROR(E1556*'01 Prod Physique Boites'!L1550,"-")</f>
        <v>0</v>
      </c>
      <c r="H1556" s="385">
        <v>160.44999999999999</v>
      </c>
      <c r="I1556" s="421">
        <f t="shared" si="877"/>
        <v>0</v>
      </c>
      <c r="J1556" s="422">
        <f t="shared" si="878"/>
        <v>0</v>
      </c>
    </row>
    <row r="1557" spans="1:10" ht="23.4" x14ac:dyDescent="0.3">
      <c r="A1557" s="274" t="s">
        <v>103</v>
      </c>
      <c r="B1557" s="1044"/>
      <c r="C1557" s="295" t="s">
        <v>422</v>
      </c>
      <c r="D1557" s="275" t="s">
        <v>238</v>
      </c>
      <c r="E1557" s="384">
        <v>101.4935</v>
      </c>
      <c r="F1557" s="402">
        <f>IFERROR(E1557*'01 Prod Physique Boites'!H1551,"-")</f>
        <v>0</v>
      </c>
      <c r="G1557" s="403">
        <f>IFERROR(E1557*'01 Prod Physique Boites'!L1551,"-")</f>
        <v>0</v>
      </c>
      <c r="H1557" s="385">
        <v>160.44999999999999</v>
      </c>
      <c r="I1557" s="421">
        <f t="shared" si="877"/>
        <v>0</v>
      </c>
      <c r="J1557" s="422">
        <f t="shared" si="878"/>
        <v>0</v>
      </c>
    </row>
    <row r="1558" spans="1:10" ht="23.4" x14ac:dyDescent="0.3">
      <c r="A1558" s="274" t="s">
        <v>103</v>
      </c>
      <c r="B1558" s="1044"/>
      <c r="C1558" s="295" t="s">
        <v>241</v>
      </c>
      <c r="D1558" s="275" t="s">
        <v>547</v>
      </c>
      <c r="E1558" s="384">
        <v>101.4935</v>
      </c>
      <c r="F1558" s="402">
        <f>IFERROR(E1558*'01 Prod Physique Boites'!H1552,"-")</f>
        <v>0</v>
      </c>
      <c r="G1558" s="403">
        <f>IFERROR(E1558*'01 Prod Physique Boites'!L1552,"-")</f>
        <v>0</v>
      </c>
      <c r="H1558" s="385">
        <v>160.44999999999999</v>
      </c>
      <c r="I1558" s="421">
        <f t="shared" si="877"/>
        <v>0</v>
      </c>
      <c r="J1558" s="422">
        <f t="shared" si="878"/>
        <v>0</v>
      </c>
    </row>
    <row r="1559" spans="1:10" ht="23.4" x14ac:dyDescent="0.3">
      <c r="A1559" s="274"/>
      <c r="B1559" s="1045"/>
      <c r="C1559" s="295" t="s">
        <v>546</v>
      </c>
      <c r="D1559" s="275" t="s">
        <v>238</v>
      </c>
      <c r="E1559" s="386">
        <v>101.49</v>
      </c>
      <c r="F1559" s="402">
        <f>IFERROR(E1559*'01 Prod Physique Boites'!H1553,"-")</f>
        <v>0</v>
      </c>
      <c r="G1559" s="403">
        <f>IFERROR(E1559*'01 Prod Physique Boites'!L1553,"-")</f>
        <v>0</v>
      </c>
      <c r="H1559" s="385">
        <v>160.44999999999999</v>
      </c>
      <c r="I1559" s="421">
        <f t="shared" si="877"/>
        <v>0</v>
      </c>
      <c r="J1559" s="422">
        <f t="shared" si="878"/>
        <v>0</v>
      </c>
    </row>
    <row r="1560" spans="1:10" ht="24" thickBot="1" x14ac:dyDescent="0.35">
      <c r="A1560" s="274" t="s">
        <v>103</v>
      </c>
      <c r="B1560" s="1045"/>
      <c r="C1560" s="295" t="s">
        <v>242</v>
      </c>
      <c r="D1560" s="275" t="s">
        <v>238</v>
      </c>
      <c r="E1560" s="386">
        <v>101.4935</v>
      </c>
      <c r="F1560" s="402">
        <f>IFERROR(E1560*'01 Prod Physique Boites'!H1554,"-")</f>
        <v>0</v>
      </c>
      <c r="G1560" s="403">
        <f>IFERROR(E1560*'01 Prod Physique Boites'!L1554,"-")</f>
        <v>0</v>
      </c>
      <c r="H1560" s="385">
        <v>160.44999999999999</v>
      </c>
      <c r="I1560" s="421">
        <f t="shared" si="877"/>
        <v>0</v>
      </c>
      <c r="J1560" s="424">
        <f t="shared" si="878"/>
        <v>0</v>
      </c>
    </row>
    <row r="1561" spans="1:10" ht="24" thickBot="1" x14ac:dyDescent="0.35">
      <c r="A1561" s="274" t="s">
        <v>103</v>
      </c>
      <c r="B1561" s="1025" t="s">
        <v>49</v>
      </c>
      <c r="C1561" s="1026"/>
      <c r="D1561" s="1027"/>
      <c r="E1561" s="390"/>
      <c r="F1561" s="406">
        <f t="shared" ref="F1561" si="879">SUM(F1552:F1560)</f>
        <v>0</v>
      </c>
      <c r="G1561" s="407">
        <f>SUM(G1552:G1560)</f>
        <v>0</v>
      </c>
      <c r="H1561" s="391"/>
      <c r="I1561" s="406">
        <f t="shared" ref="I1561" si="880">SUM(I1552:I1560)</f>
        <v>0</v>
      </c>
      <c r="J1561" s="425">
        <f>SUM(J1552:J1560)</f>
        <v>0</v>
      </c>
    </row>
    <row r="1562" spans="1:10" ht="24" thickBot="1" x14ac:dyDescent="0.35">
      <c r="A1562" s="274" t="s">
        <v>103</v>
      </c>
      <c r="B1562" s="1047" t="s">
        <v>25</v>
      </c>
      <c r="C1562" s="1048"/>
      <c r="D1562" s="1049"/>
      <c r="E1562" s="393"/>
      <c r="F1562" s="410">
        <f t="shared" ref="F1562" si="881">+F1551+F1561</f>
        <v>352257.83999999997</v>
      </c>
      <c r="G1562" s="411">
        <f>+G1551+G1561</f>
        <v>3126288.3299999996</v>
      </c>
      <c r="H1562" s="394"/>
      <c r="I1562" s="410">
        <f t="shared" ref="I1562:J1562" si="882">+I1551+I1561</f>
        <v>427680</v>
      </c>
      <c r="J1562" s="428">
        <f t="shared" si="882"/>
        <v>3795660</v>
      </c>
    </row>
    <row r="1563" spans="1:10" ht="24" thickBot="1" x14ac:dyDescent="0.35">
      <c r="A1563" s="274" t="s">
        <v>103</v>
      </c>
      <c r="B1563" s="1019" t="s">
        <v>172</v>
      </c>
      <c r="C1563" s="1020"/>
      <c r="D1563" s="1021"/>
      <c r="E1563" s="395"/>
      <c r="F1563" s="412">
        <f t="shared" ref="F1563" si="883">+F1546+F1562</f>
        <v>1951416.9528000001</v>
      </c>
      <c r="G1563" s="413">
        <f>+G1546+G1562</f>
        <v>39407687.470399998</v>
      </c>
      <c r="H1563" s="396"/>
      <c r="I1563" s="412">
        <f t="shared" ref="I1563:J1563" si="884">+I1546+I1562</f>
        <v>2809363.68</v>
      </c>
      <c r="J1563" s="429">
        <f t="shared" si="884"/>
        <v>43752781.039999999</v>
      </c>
    </row>
    <row r="1564" spans="1:10" ht="23.4" x14ac:dyDescent="0.3">
      <c r="A1564" s="268" t="s">
        <v>101</v>
      </c>
      <c r="B1564" s="1051" t="s">
        <v>26</v>
      </c>
      <c r="C1564" s="893" t="s">
        <v>297</v>
      </c>
      <c r="D1564" s="898" t="s">
        <v>177</v>
      </c>
      <c r="E1564" s="504">
        <v>13.1272</v>
      </c>
      <c r="F1564" s="402">
        <f>IFERROR(E1564*'01 Prod Physique Boites'!H1558,"-")</f>
        <v>0</v>
      </c>
      <c r="G1564" s="403">
        <f>IFERROR(E1564*'01 Prod Physique Boites'!L1558,"-")</f>
        <v>0</v>
      </c>
      <c r="H1564" s="381">
        <v>20.76</v>
      </c>
      <c r="I1564" s="419">
        <f t="shared" ref="I1564:I1573" si="885">IFERROR(H1564*(F1564/E1564),"-")</f>
        <v>0</v>
      </c>
      <c r="J1564" s="632">
        <f t="shared" ref="J1564:J1573" si="886">IFERROR(H1564*(G1564/E1564),"-")</f>
        <v>0</v>
      </c>
    </row>
    <row r="1565" spans="1:10" ht="23.4" x14ac:dyDescent="0.3">
      <c r="A1565" s="274" t="s">
        <v>101</v>
      </c>
      <c r="B1565" s="1051"/>
      <c r="C1565" s="253" t="s">
        <v>424</v>
      </c>
      <c r="D1565" s="899" t="s">
        <v>423</v>
      </c>
      <c r="E1565" s="505">
        <v>16.7288</v>
      </c>
      <c r="F1565" s="402">
        <f>IFERROR(E1565*'01 Prod Physique Boites'!H1559,"-")</f>
        <v>0</v>
      </c>
      <c r="G1565" s="403">
        <f>IFERROR(E1565*'01 Prod Physique Boites'!L1559,"-")</f>
        <v>4392112.9824000001</v>
      </c>
      <c r="H1565" s="385">
        <v>20.76</v>
      </c>
      <c r="I1565" s="421">
        <f t="shared" si="885"/>
        <v>0</v>
      </c>
      <c r="J1565" s="633">
        <f t="shared" si="886"/>
        <v>5450496.4800000004</v>
      </c>
    </row>
    <row r="1566" spans="1:10" ht="23.4" x14ac:dyDescent="0.3">
      <c r="A1566" s="274" t="s">
        <v>101</v>
      </c>
      <c r="B1566" s="1051"/>
      <c r="C1566" s="813" t="s">
        <v>27</v>
      </c>
      <c r="D1566" s="899" t="s">
        <v>334</v>
      </c>
      <c r="E1566" s="501">
        <v>14.608000000000001</v>
      </c>
      <c r="F1566" s="402">
        <f>IFERROR(E1566*'01 Prod Physique Boites'!H1560,"-")</f>
        <v>0</v>
      </c>
      <c r="G1566" s="403">
        <f>IFERROR(E1566*'01 Prod Physique Boites'!L1560,"-")</f>
        <v>522995.61600000004</v>
      </c>
      <c r="H1566" s="385">
        <v>21.22</v>
      </c>
      <c r="I1566" s="643">
        <f t="shared" si="885"/>
        <v>0</v>
      </c>
      <c r="J1566" s="633">
        <f t="shared" si="886"/>
        <v>759718.44</v>
      </c>
    </row>
    <row r="1567" spans="1:10" ht="23.4" x14ac:dyDescent="0.3">
      <c r="A1567" s="274" t="s">
        <v>101</v>
      </c>
      <c r="B1567" s="1051"/>
      <c r="C1567" s="813" t="s">
        <v>27</v>
      </c>
      <c r="D1567" s="900" t="s">
        <v>492</v>
      </c>
      <c r="E1567" s="501">
        <v>17.8202</v>
      </c>
      <c r="F1567" s="402">
        <f>IFERROR(E1567*'01 Prod Physique Boites'!H1561,"-")</f>
        <v>0</v>
      </c>
      <c r="G1567" s="403">
        <f>IFERROR(E1567*'01 Prod Physique Boites'!L1561,"-")</f>
        <v>4820435.3808000004</v>
      </c>
      <c r="H1567" s="385">
        <v>26.75</v>
      </c>
      <c r="I1567" s="643">
        <f t="shared" si="885"/>
        <v>0</v>
      </c>
      <c r="J1567" s="633">
        <f t="shared" si="886"/>
        <v>7235982</v>
      </c>
    </row>
    <row r="1568" spans="1:10" ht="23.4" x14ac:dyDescent="0.3">
      <c r="A1568" s="274" t="s">
        <v>101</v>
      </c>
      <c r="B1568" s="1051"/>
      <c r="C1568" s="893" t="s">
        <v>521</v>
      </c>
      <c r="D1568" s="899" t="s">
        <v>234</v>
      </c>
      <c r="E1568" s="501">
        <v>14.608000000000001</v>
      </c>
      <c r="F1568" s="402">
        <f>IFERROR(E1568*'01 Prod Physique Boites'!H1562,"-")</f>
        <v>0</v>
      </c>
      <c r="G1568" s="403">
        <f>IFERROR(E1568*'01 Prod Physique Boites'!L1562,"-")</f>
        <v>813548.73600000003</v>
      </c>
      <c r="H1568" s="385">
        <v>24.93</v>
      </c>
      <c r="I1568" s="643">
        <f t="shared" si="885"/>
        <v>0</v>
      </c>
      <c r="J1568" s="633">
        <f t="shared" si="886"/>
        <v>1388401.56</v>
      </c>
    </row>
    <row r="1569" spans="1:10" ht="23.4" x14ac:dyDescent="0.3">
      <c r="A1569" s="274"/>
      <c r="B1569" s="1051"/>
      <c r="C1569" s="813" t="s">
        <v>432</v>
      </c>
      <c r="D1569" s="899" t="s">
        <v>178</v>
      </c>
      <c r="E1569" s="501">
        <v>14.608000000000001</v>
      </c>
      <c r="F1569" s="402">
        <f>IFERROR(E1569*'01 Prod Physique Boites'!H1563,"-")</f>
        <v>0</v>
      </c>
      <c r="G1569" s="403">
        <f>IFERROR(E1569*'01 Prod Physique Boites'!L1563,"-")</f>
        <v>0</v>
      </c>
      <c r="H1569" s="387">
        <v>24.93</v>
      </c>
      <c r="I1569" s="643">
        <f t="shared" si="885"/>
        <v>0</v>
      </c>
      <c r="J1569" s="634">
        <f t="shared" si="886"/>
        <v>0</v>
      </c>
    </row>
    <row r="1570" spans="1:10" ht="23.4" x14ac:dyDescent="0.3">
      <c r="A1570" s="274"/>
      <c r="B1570" s="1051"/>
      <c r="C1570" s="813" t="s">
        <v>333</v>
      </c>
      <c r="D1570" s="899" t="s">
        <v>94</v>
      </c>
      <c r="E1570" s="501">
        <v>17.8202</v>
      </c>
      <c r="F1570" s="724">
        <f>IFERROR(E1570*'01 Prod Physique Boites'!H1564,"-")</f>
        <v>0</v>
      </c>
      <c r="G1570" s="403">
        <f>IFERROR(E1570*'01 Prod Physique Boites'!L1564,"-")</f>
        <v>0</v>
      </c>
      <c r="H1570" s="387">
        <v>24.93</v>
      </c>
      <c r="I1570" s="730">
        <f t="shared" si="885"/>
        <v>0</v>
      </c>
      <c r="J1570" s="634">
        <f t="shared" si="886"/>
        <v>0</v>
      </c>
    </row>
    <row r="1571" spans="1:10" ht="23.4" x14ac:dyDescent="0.3">
      <c r="A1571" s="725"/>
      <c r="B1571" s="1051"/>
      <c r="C1571" s="813" t="s">
        <v>433</v>
      </c>
      <c r="D1571" s="899" t="s">
        <v>540</v>
      </c>
      <c r="E1571" s="727">
        <v>16.7288</v>
      </c>
      <c r="F1571" s="724">
        <f>IFERROR(E1571*'01 Prod Physique Boites'!H1565,"-")</f>
        <v>0</v>
      </c>
      <c r="G1571" s="728">
        <f>IFERROR(E1571*'01 Prod Physique Boites'!L1565,"-")</f>
        <v>5922697.8096000003</v>
      </c>
      <c r="H1571" s="729">
        <v>25</v>
      </c>
      <c r="I1571" s="730">
        <f t="shared" si="885"/>
        <v>0</v>
      </c>
      <c r="J1571" s="634">
        <f t="shared" si="886"/>
        <v>8851050</v>
      </c>
    </row>
    <row r="1572" spans="1:10" ht="23.4" x14ac:dyDescent="0.3">
      <c r="A1572" s="725"/>
      <c r="B1572" s="1051"/>
      <c r="C1572" s="813" t="s">
        <v>382</v>
      </c>
      <c r="D1572" s="899" t="s">
        <v>366</v>
      </c>
      <c r="E1572" s="727">
        <v>16.345199999999998</v>
      </c>
      <c r="F1572" s="724">
        <f>IFERROR(E1572*'01 Prod Physique Boites'!H1566,"-")</f>
        <v>520169.64479999995</v>
      </c>
      <c r="G1572" s="728">
        <f>IFERROR(E1572*'01 Prod Physique Boites'!L1566,"-")</f>
        <v>3251060.28</v>
      </c>
      <c r="H1572" s="729">
        <v>23.78</v>
      </c>
      <c r="I1572" s="730">
        <f t="shared" si="885"/>
        <v>756774.72000000009</v>
      </c>
      <c r="J1572" s="634">
        <f t="shared" si="886"/>
        <v>4729842</v>
      </c>
    </row>
    <row r="1573" spans="1:10" ht="24" thickBot="1" x14ac:dyDescent="0.35">
      <c r="A1573" s="274" t="s">
        <v>101</v>
      </c>
      <c r="B1573" s="1051"/>
      <c r="C1573" s="894" t="s">
        <v>290</v>
      </c>
      <c r="D1573" s="901" t="s">
        <v>289</v>
      </c>
      <c r="E1573" s="501">
        <v>12.6997</v>
      </c>
      <c r="F1573" s="402">
        <f>IFERROR(E1573*'01 Prod Physique Boites'!H1567,"-")</f>
        <v>0</v>
      </c>
      <c r="G1573" s="728">
        <f>IFERROR(E1573*'01 Prod Physique Boites'!L1567,"-")</f>
        <v>0</v>
      </c>
      <c r="H1573" s="387">
        <v>13.25</v>
      </c>
      <c r="I1573" s="730">
        <f t="shared" si="885"/>
        <v>0</v>
      </c>
      <c r="J1573" s="634">
        <f t="shared" si="886"/>
        <v>0</v>
      </c>
    </row>
    <row r="1574" spans="1:10" ht="24" thickBot="1" x14ac:dyDescent="0.35">
      <c r="A1574" s="274" t="s">
        <v>101</v>
      </c>
      <c r="B1574" s="1052"/>
      <c r="C1574" s="301"/>
      <c r="D1574" s="302" t="s">
        <v>52</v>
      </c>
      <c r="E1574" s="390"/>
      <c r="F1574" s="406">
        <f>SUM(F1564:F1573)</f>
        <v>520169.64479999995</v>
      </c>
      <c r="G1574" s="407">
        <f>SUM(G1564:G1573)</f>
        <v>19722850.804800004</v>
      </c>
      <c r="H1574" s="391"/>
      <c r="I1574" s="406">
        <f>SUM(I1564:I1573)</f>
        <v>756774.72000000009</v>
      </c>
      <c r="J1574" s="425">
        <f>SUM(J1564:J1573)</f>
        <v>28415490.48</v>
      </c>
    </row>
    <row r="1575" spans="1:10" ht="23.4" x14ac:dyDescent="0.3">
      <c r="A1575" s="274" t="s">
        <v>101</v>
      </c>
      <c r="B1575" s="1053" t="s">
        <v>28</v>
      </c>
      <c r="C1575" s="299" t="s">
        <v>27</v>
      </c>
      <c r="D1575" s="297" t="s">
        <v>492</v>
      </c>
      <c r="E1575" s="504">
        <v>17.8202</v>
      </c>
      <c r="F1575" s="402">
        <f>IFERROR(E1575*'01 Prod Physique Boites'!H1569,"-")</f>
        <v>0</v>
      </c>
      <c r="G1575" s="403">
        <f>IFERROR(E1575*'01 Prod Physique Boites'!L1569,"-")</f>
        <v>2977327.7352</v>
      </c>
      <c r="H1575" s="381">
        <v>26.75</v>
      </c>
      <c r="I1575" s="419">
        <f t="shared" ref="I1575:I1581" si="887">IFERROR(H1575*(F1575/E1575),"-")</f>
        <v>0</v>
      </c>
      <c r="J1575" s="632">
        <f t="shared" ref="J1575:J1576" si="888">IFERROR(H1575*(G1575/E1575),"-")</f>
        <v>4469283</v>
      </c>
    </row>
    <row r="1576" spans="1:10" ht="23.4" x14ac:dyDescent="0.3">
      <c r="A1576" s="274" t="s">
        <v>101</v>
      </c>
      <c r="B1576" s="1051"/>
      <c r="C1576" s="299" t="s">
        <v>386</v>
      </c>
      <c r="D1576" s="299" t="s">
        <v>334</v>
      </c>
      <c r="E1576" s="711">
        <v>16.7288</v>
      </c>
      <c r="F1576" s="402">
        <f>IFERROR(E1576*'01 Prod Physique Boites'!H1570,"-")</f>
        <v>0</v>
      </c>
      <c r="G1576" s="728">
        <f>IFERROR(E1576*'01 Prod Physique Boites'!L1570,"-")</f>
        <v>1597131.9935999999</v>
      </c>
      <c r="H1576" s="708">
        <v>20.76</v>
      </c>
      <c r="I1576" s="421">
        <f t="shared" si="887"/>
        <v>0</v>
      </c>
      <c r="J1576" s="633">
        <f t="shared" si="888"/>
        <v>1981998.7200000002</v>
      </c>
    </row>
    <row r="1577" spans="1:10" ht="23.4" x14ac:dyDescent="0.3">
      <c r="A1577" s="274" t="s">
        <v>101</v>
      </c>
      <c r="B1577" s="1051"/>
      <c r="C1577" s="299" t="s">
        <v>541</v>
      </c>
      <c r="D1577" s="299" t="s">
        <v>334</v>
      </c>
      <c r="E1577" s="501">
        <v>17.8202</v>
      </c>
      <c r="F1577" s="402">
        <f>IFERROR(E1577*'01 Prod Physique Boites'!H1571,"-")</f>
        <v>0</v>
      </c>
      <c r="G1577" s="403">
        <f>IFERROR(E1577*'01 Prod Physique Boites'!L1571,"-")</f>
        <v>0</v>
      </c>
      <c r="H1577" s="385">
        <v>21.22</v>
      </c>
      <c r="I1577" s="421">
        <f t="shared" si="887"/>
        <v>0</v>
      </c>
      <c r="J1577" s="633">
        <f>IFERROR(H1577*(G1577/E1577),"-")</f>
        <v>0</v>
      </c>
    </row>
    <row r="1578" spans="1:10" ht="23.4" x14ac:dyDescent="0.3">
      <c r="A1578" s="274"/>
      <c r="B1578" s="1051"/>
      <c r="C1578" s="299" t="s">
        <v>460</v>
      </c>
      <c r="D1578" s="299" t="s">
        <v>334</v>
      </c>
      <c r="E1578" s="501">
        <v>14.608000000000001</v>
      </c>
      <c r="F1578" s="402">
        <f>IFERROR(E1578*'01 Prod Physique Boites'!H1572,"-")</f>
        <v>0</v>
      </c>
      <c r="G1578" s="403">
        <f>IFERROR(E1578*'01 Prod Physique Boites'!L1572,"-")</f>
        <v>58110.624000000003</v>
      </c>
      <c r="H1578" s="385">
        <v>21.22</v>
      </c>
      <c r="I1578" s="421">
        <f t="shared" si="887"/>
        <v>0</v>
      </c>
      <c r="J1578" s="633">
        <f>IFERROR(H1578*(G1578/E1578),"-")</f>
        <v>84413.159999999989</v>
      </c>
    </row>
    <row r="1579" spans="1:10" ht="23.4" x14ac:dyDescent="0.3">
      <c r="A1579" s="274"/>
      <c r="B1579" s="1051"/>
      <c r="C1579" s="299" t="s">
        <v>433</v>
      </c>
      <c r="D1579" s="299" t="s">
        <v>540</v>
      </c>
      <c r="E1579" s="711">
        <v>16.7288</v>
      </c>
      <c r="F1579" s="402">
        <f>IFERROR(E1579*'01 Prod Physique Boites'!H1573,"-")</f>
        <v>0</v>
      </c>
      <c r="G1579" s="403">
        <f>IFERROR(E1579*'01 Prod Physique Boites'!L1573,"-")</f>
        <v>2129509.3248000001</v>
      </c>
      <c r="H1579" s="385">
        <v>25</v>
      </c>
      <c r="I1579" s="423">
        <f t="shared" si="887"/>
        <v>0</v>
      </c>
      <c r="J1579" s="634">
        <f t="shared" ref="J1579:J1581" si="889">IFERROR(H1579*(G1579/E1579),"-")</f>
        <v>3182400</v>
      </c>
    </row>
    <row r="1580" spans="1:10" ht="23.4" x14ac:dyDescent="0.3">
      <c r="A1580" s="274"/>
      <c r="B1580" s="1051"/>
      <c r="C1580" s="299" t="s">
        <v>458</v>
      </c>
      <c r="D1580" s="300" t="s">
        <v>280</v>
      </c>
      <c r="E1580" s="711">
        <v>17.8202</v>
      </c>
      <c r="F1580" s="402">
        <f>IFERROR(E1580*'01 Prod Physique Boites'!H1574,"-")</f>
        <v>0</v>
      </c>
      <c r="G1580" s="403">
        <f>IFERROR(E1580*'01 Prod Physique Boites'!L1574,"-")</f>
        <v>0</v>
      </c>
      <c r="H1580" s="385">
        <v>24.93</v>
      </c>
      <c r="I1580" s="730">
        <f t="shared" si="887"/>
        <v>0</v>
      </c>
      <c r="J1580" s="634">
        <f t="shared" si="889"/>
        <v>0</v>
      </c>
    </row>
    <row r="1581" spans="1:10" ht="24" thickBot="1" x14ac:dyDescent="0.35">
      <c r="A1581" s="274" t="s">
        <v>101</v>
      </c>
      <c r="B1581" s="1051"/>
      <c r="C1581" s="299" t="s">
        <v>27</v>
      </c>
      <c r="D1581" s="300" t="s">
        <v>234</v>
      </c>
      <c r="E1581" s="501">
        <v>17.8202</v>
      </c>
      <c r="F1581" s="402">
        <f>IFERROR(E1581*'01 Prod Physique Boites'!H1575,"-")</f>
        <v>0</v>
      </c>
      <c r="G1581" s="403">
        <f>IFERROR(E1581*'01 Prod Physique Boites'!L1575,"-")</f>
        <v>0</v>
      </c>
      <c r="H1581" s="385">
        <v>24.93</v>
      </c>
      <c r="I1581" s="423">
        <f t="shared" si="887"/>
        <v>0</v>
      </c>
      <c r="J1581" s="634">
        <f t="shared" si="889"/>
        <v>0</v>
      </c>
    </row>
    <row r="1582" spans="1:10" ht="24" thickBot="1" x14ac:dyDescent="0.35">
      <c r="A1582" s="274" t="s">
        <v>101</v>
      </c>
      <c r="B1582" s="1051"/>
      <c r="C1582" s="304"/>
      <c r="D1582" s="305" t="s">
        <v>52</v>
      </c>
      <c r="E1582" s="397"/>
      <c r="F1582" s="414">
        <f t="shared" ref="F1582:G1582" si="890">SUM(F1575:F1581)</f>
        <v>0</v>
      </c>
      <c r="G1582" s="415">
        <f t="shared" si="890"/>
        <v>6762079.6776000001</v>
      </c>
      <c r="H1582" s="398"/>
      <c r="I1582" s="414">
        <f t="shared" ref="I1582:J1582" si="891">SUM(I1575:I1581)</f>
        <v>0</v>
      </c>
      <c r="J1582" s="430">
        <f t="shared" si="891"/>
        <v>9718094.8800000008</v>
      </c>
    </row>
    <row r="1583" spans="1:10" ht="24" thickBot="1" x14ac:dyDescent="0.35">
      <c r="A1583" s="953" t="s">
        <v>101</v>
      </c>
      <c r="B1583" s="1054" t="s">
        <v>162</v>
      </c>
      <c r="C1583" s="1055"/>
      <c r="D1583" s="1056"/>
      <c r="E1583" s="399"/>
      <c r="F1583" s="416">
        <f t="shared" ref="F1583:G1583" si="892">+F1574+F1582</f>
        <v>520169.64479999995</v>
      </c>
      <c r="G1583" s="417">
        <f t="shared" si="892"/>
        <v>26484930.482400004</v>
      </c>
      <c r="H1583" s="400"/>
      <c r="I1583" s="416">
        <f t="shared" ref="I1583:J1583" si="893">+I1574+I1582</f>
        <v>756774.72000000009</v>
      </c>
      <c r="J1583" s="431">
        <f t="shared" si="893"/>
        <v>38133585.359999999</v>
      </c>
    </row>
    <row r="1584" spans="1:10" ht="23.4" x14ac:dyDescent="0.3">
      <c r="A1584" s="274" t="s">
        <v>101</v>
      </c>
      <c r="B1584" s="1051" t="s">
        <v>30</v>
      </c>
      <c r="C1584" s="303" t="s">
        <v>446</v>
      </c>
      <c r="D1584" s="299" t="s">
        <v>492</v>
      </c>
      <c r="E1584" s="736">
        <v>27.917000000000002</v>
      </c>
      <c r="F1584" s="402">
        <f>IFERROR(E1584*'01 Prod Physique Boites'!H1578,"-")</f>
        <v>1881382.4640000002</v>
      </c>
      <c r="G1584" s="728">
        <f>IFERROR(E1584*'01 Prod Physique Boites'!L1578,"-")</f>
        <v>2874334.3200000003</v>
      </c>
      <c r="H1584" s="734">
        <v>42.28</v>
      </c>
      <c r="I1584" s="419">
        <f>IFERROR(H1584*(F1584/E1584),"-")</f>
        <v>2849333.7600000002</v>
      </c>
      <c r="J1584" s="420">
        <f t="shared" ref="J1584:J1586" si="894">IFERROR(H1584*(G1584/E1584),"-")</f>
        <v>4353148.8</v>
      </c>
    </row>
    <row r="1585" spans="1:10" ht="23.4" x14ac:dyDescent="0.3">
      <c r="A1585" s="274" t="s">
        <v>101</v>
      </c>
      <c r="B1585" s="1051"/>
      <c r="C1585" s="300" t="s">
        <v>548</v>
      </c>
      <c r="D1585" s="303" t="s">
        <v>522</v>
      </c>
      <c r="E1585" s="733">
        <v>28.526700000000002</v>
      </c>
      <c r="F1585" s="402">
        <f>IFERROR(E1585*'01 Prod Physique Boites'!H1579,"-")</f>
        <v>0</v>
      </c>
      <c r="G1585" s="728">
        <f>IFERROR(E1585*'01 Prod Physique Boites'!L1579,"-")</f>
        <v>0</v>
      </c>
      <c r="H1585" s="735">
        <v>37.89</v>
      </c>
      <c r="I1585" s="421">
        <f>IFERROR(H1585*(F1585/E1585),"-")</f>
        <v>0</v>
      </c>
      <c r="J1585" s="422">
        <f t="shared" si="894"/>
        <v>0</v>
      </c>
    </row>
    <row r="1586" spans="1:10" ht="24" thickBot="1" x14ac:dyDescent="0.35">
      <c r="A1586" s="274" t="s">
        <v>101</v>
      </c>
      <c r="B1586" s="1051"/>
      <c r="C1586" s="300" t="s">
        <v>291</v>
      </c>
      <c r="D1586" s="300" t="s">
        <v>366</v>
      </c>
      <c r="E1586" s="501">
        <v>25.751300000000001</v>
      </c>
      <c r="F1586" s="724">
        <f>IFERROR(E1586*'01 Prod Physique Boites'!H1580,"-")</f>
        <v>0</v>
      </c>
      <c r="G1586" s="728">
        <f>IFERROR(E1586*'01 Prod Physique Boites'!L1580,"-")</f>
        <v>1301573.7072000001</v>
      </c>
      <c r="H1586" s="387">
        <v>37.89</v>
      </c>
      <c r="I1586" s="423">
        <f>IFERROR(H1586*(F1586/E1586),"-")</f>
        <v>0</v>
      </c>
      <c r="J1586" s="424">
        <f t="shared" si="894"/>
        <v>1915112.16</v>
      </c>
    </row>
    <row r="1587" spans="1:10" ht="24" thickBot="1" x14ac:dyDescent="0.35">
      <c r="A1587" s="274" t="s">
        <v>101</v>
      </c>
      <c r="B1587" s="1051"/>
      <c r="C1587" s="301"/>
      <c r="D1587" s="302" t="s">
        <v>50</v>
      </c>
      <c r="E1587" s="390"/>
      <c r="F1587" s="406">
        <f t="shared" ref="F1587:G1587" si="895">SUM(F1584:F1586)</f>
        <v>1881382.4640000002</v>
      </c>
      <c r="G1587" s="407">
        <f t="shared" si="895"/>
        <v>4175908.0272000004</v>
      </c>
      <c r="H1587" s="391"/>
      <c r="I1587" s="406">
        <f t="shared" ref="I1587" si="896">SUM(I1584:I1586)</f>
        <v>2849333.7600000002</v>
      </c>
      <c r="J1587" s="425">
        <f>SUM(J1584:J1586)</f>
        <v>6268260.96</v>
      </c>
    </row>
    <row r="1588" spans="1:10" ht="23.4" x14ac:dyDescent="0.3">
      <c r="A1588" s="274" t="s">
        <v>101</v>
      </c>
      <c r="B1588" s="1051"/>
      <c r="C1588" s="297" t="s">
        <v>439</v>
      </c>
      <c r="D1588" s="297" t="s">
        <v>92</v>
      </c>
      <c r="E1588" s="504">
        <v>24.2607</v>
      </c>
      <c r="F1588" s="402">
        <f>IFERROR(E1588*'01 Prod Physique Boites'!H1582,"-")</f>
        <v>0</v>
      </c>
      <c r="G1588" s="728">
        <f>IFERROR(E1588*'01 Prod Physique Boites'!L1582,"-")</f>
        <v>0</v>
      </c>
      <c r="H1588" s="381">
        <v>28.31</v>
      </c>
      <c r="I1588" s="638">
        <f>IFERROR(H1588*(F1588/E1588),"-")</f>
        <v>0</v>
      </c>
      <c r="J1588" s="420">
        <f t="shared" ref="J1588:J1593" si="897">IFERROR(H1588*(G1588/E1588),"-")</f>
        <v>0</v>
      </c>
    </row>
    <row r="1589" spans="1:10" ht="23.4" x14ac:dyDescent="0.3">
      <c r="A1589" s="274"/>
      <c r="B1589" s="1051"/>
      <c r="C1589" s="303" t="s">
        <v>449</v>
      </c>
      <c r="D1589" s="299" t="s">
        <v>334</v>
      </c>
      <c r="E1589" s="504">
        <v>24.2607</v>
      </c>
      <c r="F1589" s="402">
        <f>IFERROR(E1589*'01 Prod Physique Boites'!H1583,"-")</f>
        <v>0</v>
      </c>
      <c r="G1589" s="728">
        <f>IFERROR(E1589*'01 Prod Physique Boites'!L1583,"-")</f>
        <v>0</v>
      </c>
      <c r="H1589" s="381">
        <v>28.88</v>
      </c>
      <c r="I1589" s="638">
        <f t="shared" ref="I1589:I1593" si="898">IFERROR(H1589*(F1589/E1589),"-")</f>
        <v>0</v>
      </c>
      <c r="J1589" s="420">
        <f t="shared" si="897"/>
        <v>0</v>
      </c>
    </row>
    <row r="1590" spans="1:10" ht="23.4" x14ac:dyDescent="0.3">
      <c r="A1590" s="274"/>
      <c r="B1590" s="1051"/>
      <c r="C1590" s="303" t="s">
        <v>452</v>
      </c>
      <c r="D1590" s="299" t="s">
        <v>334</v>
      </c>
      <c r="E1590" s="504">
        <v>25.4041</v>
      </c>
      <c r="F1590" s="402">
        <f>IFERROR(E1590*'01 Prod Physique Boites'!H1584,"-")</f>
        <v>0</v>
      </c>
      <c r="G1590" s="728">
        <f>IFERROR(E1590*'01 Prod Physique Boites'!L1584,"-")</f>
        <v>0</v>
      </c>
      <c r="H1590" s="381">
        <v>28.21</v>
      </c>
      <c r="I1590" s="638">
        <f t="shared" si="898"/>
        <v>0</v>
      </c>
      <c r="J1590" s="420">
        <f t="shared" si="897"/>
        <v>0</v>
      </c>
    </row>
    <row r="1591" spans="1:10" ht="23.4" x14ac:dyDescent="0.3">
      <c r="A1591" s="274" t="s">
        <v>101</v>
      </c>
      <c r="B1591" s="1051"/>
      <c r="C1591" s="303" t="s">
        <v>501</v>
      </c>
      <c r="D1591" s="300" t="s">
        <v>423</v>
      </c>
      <c r="E1591" s="505">
        <v>23.697399999999998</v>
      </c>
      <c r="F1591" s="724">
        <f>IFERROR(E1591*'01 Prod Physique Boites'!H1585,"-")</f>
        <v>0</v>
      </c>
      <c r="G1591" s="728">
        <f>IFERROR(E1591*'01 Prod Physique Boites'!L1585,"-")</f>
        <v>177446.13119999997</v>
      </c>
      <c r="H1591" s="385">
        <v>28.21</v>
      </c>
      <c r="I1591" s="638">
        <f t="shared" si="898"/>
        <v>0</v>
      </c>
      <c r="J1591" s="420">
        <f t="shared" si="897"/>
        <v>211236.47999999998</v>
      </c>
    </row>
    <row r="1592" spans="1:10" ht="23.4" x14ac:dyDescent="0.3">
      <c r="A1592" s="274"/>
      <c r="B1592" s="1051"/>
      <c r="C1592" s="300" t="s">
        <v>459</v>
      </c>
      <c r="D1592" s="300" t="s">
        <v>366</v>
      </c>
      <c r="E1592" s="501">
        <v>22.094999999999999</v>
      </c>
      <c r="F1592" s="724">
        <f>IFERROR(E1592*'01 Prod Physique Boites'!H1586,"-")</f>
        <v>0</v>
      </c>
      <c r="G1592" s="728">
        <f>IFERROR(E1592*'01 Prod Physique Boites'!L1586,"-")</f>
        <v>1695835.44</v>
      </c>
      <c r="H1592" s="745">
        <v>37.11</v>
      </c>
      <c r="I1592" s="638">
        <f t="shared" si="898"/>
        <v>0</v>
      </c>
      <c r="J1592" s="420">
        <f t="shared" si="897"/>
        <v>2848266.7199999997</v>
      </c>
    </row>
    <row r="1593" spans="1:10" ht="24" thickBot="1" x14ac:dyDescent="0.35">
      <c r="A1593" s="274" t="s">
        <v>101</v>
      </c>
      <c r="B1593" s="1051"/>
      <c r="C1593" s="300" t="s">
        <v>438</v>
      </c>
      <c r="D1593" s="300" t="s">
        <v>423</v>
      </c>
      <c r="E1593" s="501">
        <v>23.697399999999998</v>
      </c>
      <c r="F1593" s="402">
        <f>IFERROR(E1593*'01 Prod Physique Boites'!H1587,"-")</f>
        <v>0</v>
      </c>
      <c r="G1593" s="403">
        <f>IFERROR(E1593*'01 Prod Physique Boites'!L1587,"-")</f>
        <v>0</v>
      </c>
      <c r="H1593" s="387">
        <v>28.21</v>
      </c>
      <c r="I1593" s="638">
        <f t="shared" si="898"/>
        <v>0</v>
      </c>
      <c r="J1593" s="420">
        <f t="shared" si="897"/>
        <v>0</v>
      </c>
    </row>
    <row r="1594" spans="1:10" ht="24" thickBot="1" x14ac:dyDescent="0.35">
      <c r="A1594" s="274" t="s">
        <v>101</v>
      </c>
      <c r="B1594" s="1051"/>
      <c r="C1594" s="304"/>
      <c r="D1594" s="305" t="s">
        <v>51</v>
      </c>
      <c r="E1594" s="397"/>
      <c r="F1594" s="414">
        <f t="shared" ref="F1594:G1594" si="899">SUM(F1588:F1593)</f>
        <v>0</v>
      </c>
      <c r="G1594" s="415">
        <f t="shared" si="899"/>
        <v>1873281.5711999999</v>
      </c>
      <c r="H1594" s="398"/>
      <c r="I1594" s="414">
        <f t="shared" ref="I1594" si="900">SUM(I1588:I1593)</f>
        <v>0</v>
      </c>
      <c r="J1594" s="430">
        <f>SUM(J1588:J1593)</f>
        <v>3059503.1999999997</v>
      </c>
    </row>
    <row r="1595" spans="1:10" ht="24" thickBot="1" x14ac:dyDescent="0.35">
      <c r="A1595" s="274" t="s">
        <v>101</v>
      </c>
      <c r="B1595" s="1054" t="s">
        <v>163</v>
      </c>
      <c r="C1595" s="1055"/>
      <c r="D1595" s="1056"/>
      <c r="E1595" s="399"/>
      <c r="F1595" s="416">
        <f t="shared" ref="F1595:G1595" si="901">+F1587+F1594</f>
        <v>1881382.4640000002</v>
      </c>
      <c r="G1595" s="417">
        <f t="shared" si="901"/>
        <v>6049189.5984000005</v>
      </c>
      <c r="H1595" s="400"/>
      <c r="I1595" s="416">
        <f t="shared" ref="I1595:J1595" si="902">+I1587+I1594</f>
        <v>2849333.7600000002</v>
      </c>
      <c r="J1595" s="431">
        <f t="shared" si="902"/>
        <v>9327764.1600000001</v>
      </c>
    </row>
    <row r="1596" spans="1:10" ht="24" thickBot="1" x14ac:dyDescent="0.35">
      <c r="A1596" s="274" t="s">
        <v>101</v>
      </c>
      <c r="B1596" s="599" t="s">
        <v>32</v>
      </c>
      <c r="C1596" s="949"/>
      <c r="D1596" s="310"/>
      <c r="E1596" s="506">
        <v>12.2659</v>
      </c>
      <c r="F1596" s="408">
        <f>IFERROR(E1596*'01 Prod Physique Boites'!H1590,"-")</f>
        <v>0</v>
      </c>
      <c r="G1596" s="409">
        <f>IFERROR(E1596*'01 Prod Physique Boites'!L1590,"-")</f>
        <v>0</v>
      </c>
      <c r="H1596" s="392"/>
      <c r="I1596" s="426">
        <f>IFERROR(H1596*(F1596/E1596),"-")</f>
        <v>0</v>
      </c>
      <c r="J1596" s="427">
        <f>IFERROR(H1596*(G1596/E1596),"-")</f>
        <v>0</v>
      </c>
    </row>
    <row r="1597" spans="1:10" ht="24" thickBot="1" x14ac:dyDescent="0.35">
      <c r="A1597" s="274" t="s">
        <v>101</v>
      </c>
      <c r="B1597" s="1047" t="s">
        <v>21</v>
      </c>
      <c r="C1597" s="1048"/>
      <c r="D1597" s="1049"/>
      <c r="E1597" s="393"/>
      <c r="F1597" s="410">
        <f t="shared" ref="F1597" si="903">+F1583+F1595+F1596</f>
        <v>2401552.1088</v>
      </c>
      <c r="G1597" s="411">
        <f>+G1583+G1595+G1596</f>
        <v>32534120.080800004</v>
      </c>
      <c r="H1597" s="394"/>
      <c r="I1597" s="410">
        <f t="shared" ref="I1597:J1597" si="904">+I1583+I1595+I1596</f>
        <v>3606108.4800000004</v>
      </c>
      <c r="J1597" s="428">
        <f t="shared" si="904"/>
        <v>47461349.519999996</v>
      </c>
    </row>
    <row r="1598" spans="1:10" ht="24" thickBot="1" x14ac:dyDescent="0.35">
      <c r="A1598" s="274" t="s">
        <v>101</v>
      </c>
      <c r="B1598" s="1019" t="s">
        <v>171</v>
      </c>
      <c r="C1598" s="1020"/>
      <c r="D1598" s="1021"/>
      <c r="E1598" s="395"/>
      <c r="F1598" s="412">
        <f t="shared" ref="F1598:G1598" si="905">+F1597</f>
        <v>2401552.1088</v>
      </c>
      <c r="G1598" s="413">
        <f t="shared" si="905"/>
        <v>32534120.080800004</v>
      </c>
      <c r="H1598" s="396"/>
      <c r="I1598" s="412">
        <f t="shared" ref="I1598:J1598" si="906">+I1597</f>
        <v>3606108.4800000004</v>
      </c>
      <c r="J1598" s="429">
        <f t="shared" si="906"/>
        <v>47461349.519999996</v>
      </c>
    </row>
    <row r="1599" spans="1:10" ht="23.4" x14ac:dyDescent="0.3">
      <c r="A1599" s="268" t="s">
        <v>102</v>
      </c>
      <c r="B1599" s="1022" t="s">
        <v>401</v>
      </c>
      <c r="C1599" s="311" t="s">
        <v>113</v>
      </c>
      <c r="D1599" s="311"/>
      <c r="E1599" s="709">
        <v>254.89750000000001</v>
      </c>
      <c r="F1599" s="402">
        <f>IFERROR(E1599*'01 Prod Physique Boites'!H1593,"-")</f>
        <v>0</v>
      </c>
      <c r="G1599" s="403">
        <f>IFERROR(E1599*'01 Prod Physique Boites'!L1593,"-")</f>
        <v>0</v>
      </c>
      <c r="H1599" s="381">
        <v>445.38</v>
      </c>
      <c r="I1599" s="419">
        <f>IFERROR(H1599*(F1599/E1599),"-")</f>
        <v>0</v>
      </c>
      <c r="J1599" s="420">
        <f t="shared" ref="J1599:J1601" si="907">IFERROR(H1599*(G1599/E1599),"-")</f>
        <v>0</v>
      </c>
    </row>
    <row r="1600" spans="1:10" ht="23.4" x14ac:dyDescent="0.3">
      <c r="A1600" s="274" t="s">
        <v>102</v>
      </c>
      <c r="B1600" s="1023"/>
      <c r="C1600" s="312" t="s">
        <v>247</v>
      </c>
      <c r="D1600" s="312"/>
      <c r="E1600" s="503">
        <v>246.51390000000001</v>
      </c>
      <c r="F1600" s="402">
        <f>IFERROR(E1600*'01 Prod Physique Boites'!H1594,"-")</f>
        <v>0</v>
      </c>
      <c r="G1600" s="403">
        <f>IFERROR(E1600*'01 Prod Physique Boites'!L1594,"-")</f>
        <v>2255355.6710999999</v>
      </c>
      <c r="H1600" s="385">
        <v>430.02</v>
      </c>
      <c r="I1600" s="421">
        <f>IFERROR(H1600*(F1600/E1600),"-")</f>
        <v>0</v>
      </c>
      <c r="J1600" s="422">
        <f t="shared" si="907"/>
        <v>3934252.98</v>
      </c>
    </row>
    <row r="1601" spans="1:10" ht="24" thickBot="1" x14ac:dyDescent="0.35">
      <c r="A1601" s="274" t="s">
        <v>102</v>
      </c>
      <c r="B1601" s="1024"/>
      <c r="C1601" s="313" t="s">
        <v>33</v>
      </c>
      <c r="D1601" s="313"/>
      <c r="E1601" s="500">
        <v>225.7713</v>
      </c>
      <c r="F1601" s="402">
        <f>IFERROR(E1601*'01 Prod Physique Boites'!H1595,"-")</f>
        <v>0</v>
      </c>
      <c r="G1601" s="403">
        <f>IFERROR(E1601*'01 Prod Physique Boites'!L1595,"-")</f>
        <v>0</v>
      </c>
      <c r="H1601" s="387"/>
      <c r="I1601" s="423">
        <f>IFERROR(H1601*(F1601/E1601),"-")</f>
        <v>0</v>
      </c>
      <c r="J1601" s="424">
        <f t="shared" si="907"/>
        <v>0</v>
      </c>
    </row>
    <row r="1602" spans="1:10" ht="24" thickBot="1" x14ac:dyDescent="0.35">
      <c r="A1602" s="274" t="s">
        <v>102</v>
      </c>
      <c r="B1602" s="1025" t="s">
        <v>34</v>
      </c>
      <c r="C1602" s="1026"/>
      <c r="D1602" s="1027"/>
      <c r="E1602" s="390"/>
      <c r="F1602" s="406">
        <f t="shared" ref="F1602:G1602" si="908">SUM(F1599:F1601)</f>
        <v>0</v>
      </c>
      <c r="G1602" s="407">
        <f t="shared" si="908"/>
        <v>2255355.6710999999</v>
      </c>
      <c r="H1602" s="391"/>
      <c r="I1602" s="406">
        <f t="shared" ref="I1602:J1602" si="909">SUM(I1599:I1601)</f>
        <v>0</v>
      </c>
      <c r="J1602" s="425">
        <f t="shared" si="909"/>
        <v>3934252.98</v>
      </c>
    </row>
    <row r="1603" spans="1:10" ht="23.4" x14ac:dyDescent="0.3">
      <c r="A1603" s="274" t="s">
        <v>102</v>
      </c>
      <c r="B1603" s="1022" t="s">
        <v>35</v>
      </c>
      <c r="C1603" s="311" t="s">
        <v>113</v>
      </c>
      <c r="D1603" s="311"/>
      <c r="E1603" s="502">
        <v>254.89750000000001</v>
      </c>
      <c r="F1603" s="402">
        <f>IFERROR(E1603*'01 Prod Physique Boites'!H1597,"-")</f>
        <v>0</v>
      </c>
      <c r="G1603" s="403">
        <f>IFERROR(E1603*'01 Prod Physique Boites'!L1597,"-")</f>
        <v>0</v>
      </c>
      <c r="H1603" s="381">
        <v>445.38</v>
      </c>
      <c r="I1603" s="419">
        <f>IFERROR(H1603*(F1603/E1603),"-")</f>
        <v>0</v>
      </c>
      <c r="J1603" s="420">
        <f t="shared" ref="J1603:J1606" si="910">IFERROR(H1603*(G1603/E1603),"-")</f>
        <v>0</v>
      </c>
    </row>
    <row r="1604" spans="1:10" ht="23.4" x14ac:dyDescent="0.3">
      <c r="A1604" s="274" t="s">
        <v>102</v>
      </c>
      <c r="B1604" s="1023"/>
      <c r="C1604" s="312" t="s">
        <v>247</v>
      </c>
      <c r="D1604" s="312"/>
      <c r="E1604" s="503">
        <v>246.51390000000001</v>
      </c>
      <c r="F1604" s="402">
        <f>IFERROR(E1604*'01 Prod Physique Boites'!H1598,"-")</f>
        <v>631075.58400000003</v>
      </c>
      <c r="G1604" s="403">
        <f>IFERROR(E1604*'01 Prod Physique Boites'!L1598,"-")</f>
        <v>1025497.824</v>
      </c>
      <c r="H1604" s="385">
        <v>430.02</v>
      </c>
      <c r="I1604" s="421">
        <f>IFERROR(H1604*(F1604/E1604),"-")</f>
        <v>1100851.2</v>
      </c>
      <c r="J1604" s="422">
        <f t="shared" si="910"/>
        <v>1788883.2</v>
      </c>
    </row>
    <row r="1605" spans="1:10" ht="23.4" x14ac:dyDescent="0.3">
      <c r="A1605" s="274" t="s">
        <v>102</v>
      </c>
      <c r="B1605" s="1023"/>
      <c r="C1605" s="312" t="s">
        <v>184</v>
      </c>
      <c r="D1605" s="312" t="s">
        <v>183</v>
      </c>
      <c r="E1605" s="503">
        <v>254.89750000000001</v>
      </c>
      <c r="F1605" s="402">
        <f>IFERROR(E1605*'01 Prod Physique Boites'!H1599,"-")</f>
        <v>0</v>
      </c>
      <c r="G1605" s="403">
        <f>IFERROR(E1605*'01 Prod Physique Boites'!L1599,"-")</f>
        <v>0</v>
      </c>
      <c r="H1605" s="385"/>
      <c r="I1605" s="421">
        <f>IFERROR(H1605*(F1605/E1605),"-")</f>
        <v>0</v>
      </c>
      <c r="J1605" s="422">
        <f t="shared" si="910"/>
        <v>0</v>
      </c>
    </row>
    <row r="1606" spans="1:10" ht="24" thickBot="1" x14ac:dyDescent="0.35">
      <c r="A1606" s="274" t="s">
        <v>102</v>
      </c>
      <c r="B1606" s="1024"/>
      <c r="C1606" s="313" t="s">
        <v>36</v>
      </c>
      <c r="D1606" s="313"/>
      <c r="E1606" s="500">
        <v>229.99359999999999</v>
      </c>
      <c r="F1606" s="402">
        <f>IFERROR(E1606*'01 Prod Physique Boites'!H1600,"-")</f>
        <v>0</v>
      </c>
      <c r="G1606" s="403">
        <f>IFERROR(E1606*'01 Prod Physique Boites'!L1600,"-")</f>
        <v>0</v>
      </c>
      <c r="H1606" s="387"/>
      <c r="I1606" s="423">
        <f>IFERROR(H1606*(F1606/E1606),"-")</f>
        <v>0</v>
      </c>
      <c r="J1606" s="424">
        <f t="shared" si="910"/>
        <v>0</v>
      </c>
    </row>
    <row r="1607" spans="1:10" ht="24" thickBot="1" x14ac:dyDescent="0.35">
      <c r="A1607" s="274" t="s">
        <v>102</v>
      </c>
      <c r="B1607" s="1025" t="s">
        <v>37</v>
      </c>
      <c r="C1607" s="1026"/>
      <c r="D1607" s="1027"/>
      <c r="E1607" s="390"/>
      <c r="F1607" s="406">
        <f t="shared" ref="F1607:G1607" si="911">SUM(F1603:F1606)</f>
        <v>631075.58400000003</v>
      </c>
      <c r="G1607" s="407">
        <f t="shared" si="911"/>
        <v>1025497.824</v>
      </c>
      <c r="H1607" s="391"/>
      <c r="I1607" s="406">
        <f>SUM(I1603:I1606)</f>
        <v>1100851.2</v>
      </c>
      <c r="J1607" s="425">
        <f>SUM(J1603:J1606)</f>
        <v>1788883.2</v>
      </c>
    </row>
    <row r="1608" spans="1:10" ht="23.4" x14ac:dyDescent="0.3">
      <c r="A1608" s="274" t="s">
        <v>102</v>
      </c>
      <c r="B1608" s="1022" t="s">
        <v>402</v>
      </c>
      <c r="C1608" s="314" t="s">
        <v>116</v>
      </c>
      <c r="D1608" s="314"/>
      <c r="E1608" s="502">
        <v>195.2808</v>
      </c>
      <c r="F1608" s="402">
        <f>IFERROR(E1608*'01 Prod Physique Boites'!H1602,"-")</f>
        <v>0</v>
      </c>
      <c r="G1608" s="403">
        <f>IFERROR(E1608*'01 Prod Physique Boites'!L1602,"-")</f>
        <v>0</v>
      </c>
      <c r="H1608" s="681">
        <v>256.7</v>
      </c>
      <c r="I1608" s="419">
        <f>IFERROR(H1608*(F1608/E1608),"-")</f>
        <v>0</v>
      </c>
      <c r="J1608" s="420">
        <f t="shared" ref="J1608:J1609" si="912">IFERROR(H1608*(G1608/E1608),"-")</f>
        <v>0</v>
      </c>
    </row>
    <row r="1609" spans="1:10" ht="24" thickBot="1" x14ac:dyDescent="0.35">
      <c r="A1609" s="274" t="s">
        <v>102</v>
      </c>
      <c r="B1609" s="1024"/>
      <c r="C1609" s="286" t="s">
        <v>132</v>
      </c>
      <c r="D1609" s="286"/>
      <c r="E1609" s="500">
        <v>189.91890000000001</v>
      </c>
      <c r="F1609" s="402">
        <f>IFERROR(E1609*'01 Prod Physique Boites'!H1603,"-")</f>
        <v>0</v>
      </c>
      <c r="G1609" s="403">
        <f>IFERROR(E1609*'01 Prod Physique Boites'!L1603,"-")</f>
        <v>4138332.8310000002</v>
      </c>
      <c r="H1609" s="387">
        <v>320.35000000000002</v>
      </c>
      <c r="I1609" s="423">
        <f>IFERROR(H1609*(F1609/E1609),"-")</f>
        <v>0</v>
      </c>
      <c r="J1609" s="424">
        <f t="shared" si="912"/>
        <v>6980426.5000000009</v>
      </c>
    </row>
    <row r="1610" spans="1:10" ht="24" thickBot="1" x14ac:dyDescent="0.35">
      <c r="A1610" s="953" t="s">
        <v>102</v>
      </c>
      <c r="B1610" s="1025" t="s">
        <v>38</v>
      </c>
      <c r="C1610" s="1026"/>
      <c r="D1610" s="1027"/>
      <c r="E1610" s="390"/>
      <c r="F1610" s="406">
        <f>SUM(F1608:F1609)</f>
        <v>0</v>
      </c>
      <c r="G1610" s="407">
        <f t="shared" ref="G1610" si="913">SUM(G1608:G1609)</f>
        <v>4138332.8310000002</v>
      </c>
      <c r="H1610" s="391"/>
      <c r="I1610" s="406">
        <f t="shared" ref="I1610:J1610" si="914">SUM(I1608:I1609)</f>
        <v>0</v>
      </c>
      <c r="J1610" s="425">
        <f t="shared" si="914"/>
        <v>6980426.5000000009</v>
      </c>
    </row>
    <row r="1611" spans="1:10" ht="23.4" x14ac:dyDescent="0.3">
      <c r="A1611" s="274" t="s">
        <v>102</v>
      </c>
      <c r="B1611" s="1022" t="s">
        <v>403</v>
      </c>
      <c r="C1611" s="269" t="s">
        <v>306</v>
      </c>
      <c r="D1611" s="269" t="s">
        <v>238</v>
      </c>
      <c r="E1611" s="504">
        <v>37.248699999999999</v>
      </c>
      <c r="F1611" s="402">
        <f>IFERROR(E1611*'01 Prod Physique Boites'!H1605,"-")</f>
        <v>0</v>
      </c>
      <c r="G1611" s="403">
        <f>IFERROR(E1611*'01 Prod Physique Boites'!L1605,"-")</f>
        <v>12998306.352</v>
      </c>
      <c r="H1611" s="381">
        <v>71.44</v>
      </c>
      <c r="I1611" s="419">
        <f>IFERROR(H1611*(F1611/E1611),"-")</f>
        <v>0</v>
      </c>
      <c r="J1611" s="420">
        <f>IFERROR(H1611*(G1611/E1611),"-")</f>
        <v>24929702.399999999</v>
      </c>
    </row>
    <row r="1612" spans="1:10" ht="23.4" x14ac:dyDescent="0.3">
      <c r="A1612" s="274" t="s">
        <v>102</v>
      </c>
      <c r="B1612" s="1023"/>
      <c r="C1612" s="269" t="s">
        <v>156</v>
      </c>
      <c r="D1612" s="275"/>
      <c r="E1612" s="504">
        <v>37.248699999999999</v>
      </c>
      <c r="F1612" s="402">
        <f>IFERROR(E1612*'01 Prod Physique Boites'!H1606,"-")</f>
        <v>0</v>
      </c>
      <c r="G1612" s="403">
        <f>IFERROR(E1612*'01 Prod Physique Boites'!L1606,"-")</f>
        <v>0</v>
      </c>
      <c r="H1612" s="385"/>
      <c r="I1612" s="421">
        <f>IFERROR(H1612*(F1612/E1612),"-")</f>
        <v>0</v>
      </c>
      <c r="J1612" s="422">
        <f t="shared" ref="J1612:J1614" si="915">IFERROR(H1612*(G1612/E1612),"-")</f>
        <v>0</v>
      </c>
    </row>
    <row r="1613" spans="1:10" ht="23.4" x14ac:dyDescent="0.3">
      <c r="A1613" s="274" t="s">
        <v>102</v>
      </c>
      <c r="B1613" s="1023"/>
      <c r="C1613" s="275" t="s">
        <v>345</v>
      </c>
      <c r="D1613" s="269" t="s">
        <v>238</v>
      </c>
      <c r="E1613" s="504">
        <v>37.248699999999999</v>
      </c>
      <c r="F1613" s="402">
        <f>IFERROR(E1613*'01 Prod Physique Boites'!H1607,"-")</f>
        <v>0</v>
      </c>
      <c r="G1613" s="403">
        <f>IFERROR(E1613*'01 Prod Physique Boites'!L1607,"-")</f>
        <v>1826378.2583999999</v>
      </c>
      <c r="H1613" s="385">
        <v>71.44</v>
      </c>
      <c r="I1613" s="421">
        <f>IFERROR(H1613*(F1613/E1613),"-")</f>
        <v>0</v>
      </c>
      <c r="J1613" s="422">
        <f t="shared" si="915"/>
        <v>3502846.08</v>
      </c>
    </row>
    <row r="1614" spans="1:10" ht="24" thickBot="1" x14ac:dyDescent="0.35">
      <c r="A1614" s="274" t="s">
        <v>102</v>
      </c>
      <c r="B1614" s="1023"/>
      <c r="C1614" s="275" t="s">
        <v>157</v>
      </c>
      <c r="D1614" s="275"/>
      <c r="E1614" s="505">
        <v>38.466099999999997</v>
      </c>
      <c r="F1614" s="402">
        <f>IFERROR(E1614*'01 Prod Physique Boites'!H1608,"-")</f>
        <v>0</v>
      </c>
      <c r="G1614" s="403">
        <f>IFERROR(E1614*'01 Prod Physique Boites'!L1608,"-")</f>
        <v>0</v>
      </c>
      <c r="H1614" s="385"/>
      <c r="I1614" s="421">
        <f>IFERROR(H1614*(F1614/E1614),"-")</f>
        <v>0</v>
      </c>
      <c r="J1614" s="422">
        <f t="shared" si="915"/>
        <v>0</v>
      </c>
    </row>
    <row r="1615" spans="1:10" ht="24" thickBot="1" x14ac:dyDescent="0.35">
      <c r="A1615" s="274" t="s">
        <v>102</v>
      </c>
      <c r="B1615" s="1025" t="s">
        <v>39</v>
      </c>
      <c r="C1615" s="1026"/>
      <c r="D1615" s="1027"/>
      <c r="E1615" s="390"/>
      <c r="F1615" s="406">
        <f>SUM(F1611:F1614)</f>
        <v>0</v>
      </c>
      <c r="G1615" s="407">
        <f>SUM(G1611:G1614)</f>
        <v>14824684.610400001</v>
      </c>
      <c r="H1615" s="391"/>
      <c r="I1615" s="406">
        <f>SUM(I1611:I1614)</f>
        <v>0</v>
      </c>
      <c r="J1615" s="406">
        <f>SUM(J1611:J1614)</f>
        <v>28432548.479999997</v>
      </c>
    </row>
    <row r="1616" spans="1:10" ht="23.4" x14ac:dyDescent="0.3">
      <c r="A1616" s="274" t="s">
        <v>102</v>
      </c>
      <c r="B1616" s="1022" t="s">
        <v>40</v>
      </c>
      <c r="C1616" s="269" t="s">
        <v>186</v>
      </c>
      <c r="D1616" s="269" t="s">
        <v>183</v>
      </c>
      <c r="E1616" s="504">
        <v>30.7499</v>
      </c>
      <c r="F1616" s="402">
        <f>IFERROR(E1616*'01 Prod Physique Boites'!H1611,"-")</f>
        <v>0</v>
      </c>
      <c r="G1616" s="402">
        <f>IFERROR(E1616*'01 Prod Physique Boites'!L1611,"-")</f>
        <v>0</v>
      </c>
      <c r="H1616" s="381"/>
      <c r="I1616" s="419">
        <f>IFERROR(H1616*(F1616/E1616),"-")</f>
        <v>0</v>
      </c>
      <c r="J1616" s="420">
        <f>IFERROR(H1616*(G1616/E1616),"-")</f>
        <v>0</v>
      </c>
    </row>
    <row r="1617" spans="1:10" ht="23.4" x14ac:dyDescent="0.3">
      <c r="A1617" s="274" t="s">
        <v>102</v>
      </c>
      <c r="B1617" s="1023"/>
      <c r="C1617" s="275" t="s">
        <v>159</v>
      </c>
      <c r="D1617" s="275"/>
      <c r="E1617" s="684">
        <v>30.073599999999999</v>
      </c>
      <c r="F1617" s="402">
        <f>IFERROR(E1617*'01 Prod Physique Boites'!H1612,"-")</f>
        <v>0</v>
      </c>
      <c r="G1617" s="403">
        <f>IFERROR(E1617*'01 Prod Physique Boites'!L1612,"-")</f>
        <v>342839.03999999998</v>
      </c>
      <c r="H1617" s="385">
        <v>59.96</v>
      </c>
      <c r="I1617" s="421">
        <f>IFERROR(H1617*(F1617/E1617),"-")</f>
        <v>0</v>
      </c>
      <c r="J1617" s="422">
        <f t="shared" ref="J1617:J1618" si="916">IFERROR(H1617*(G1617/E1617),"-")</f>
        <v>683544</v>
      </c>
    </row>
    <row r="1618" spans="1:10" ht="24" thickBot="1" x14ac:dyDescent="0.35">
      <c r="A1618" s="274" t="s">
        <v>102</v>
      </c>
      <c r="B1618" s="1024"/>
      <c r="C1618" s="279" t="s">
        <v>186</v>
      </c>
      <c r="D1618" s="279" t="s">
        <v>185</v>
      </c>
      <c r="E1618" s="501">
        <v>30.073599999999999</v>
      </c>
      <c r="F1618" s="402">
        <f>IFERROR(E1618*'01 Prod Physique Boites'!H1613,"-")</f>
        <v>0</v>
      </c>
      <c r="G1618" s="403">
        <f>IFERROR(E1618*'01 Prod Physique Boites'!L1613,"-")</f>
        <v>0</v>
      </c>
      <c r="H1618" s="387"/>
      <c r="I1618" s="423">
        <f>IFERROR(H1618*(F1618/E1618),"-")</f>
        <v>0</v>
      </c>
      <c r="J1618" s="424">
        <f t="shared" si="916"/>
        <v>0</v>
      </c>
    </row>
    <row r="1619" spans="1:10" ht="24" thickBot="1" x14ac:dyDescent="0.35">
      <c r="A1619" s="274" t="s">
        <v>102</v>
      </c>
      <c r="B1619" s="1034" t="s">
        <v>41</v>
      </c>
      <c r="C1619" s="1035"/>
      <c r="D1619" s="1036"/>
      <c r="E1619" s="390"/>
      <c r="F1619" s="406">
        <f t="shared" ref="F1619:G1619" si="917">SUM(F1616:F1618)</f>
        <v>0</v>
      </c>
      <c r="G1619" s="407">
        <f t="shared" si="917"/>
        <v>342839.03999999998</v>
      </c>
      <c r="H1619" s="391"/>
      <c r="I1619" s="406">
        <f t="shared" ref="I1619:J1619" si="918">SUM(I1616:I1618)</f>
        <v>0</v>
      </c>
      <c r="J1619" s="425">
        <f t="shared" si="918"/>
        <v>683544</v>
      </c>
    </row>
    <row r="1620" spans="1:10" ht="23.4" x14ac:dyDescent="0.3">
      <c r="A1620" s="274" t="s">
        <v>102</v>
      </c>
      <c r="B1620" s="1022" t="s">
        <v>42</v>
      </c>
      <c r="C1620" s="269" t="s">
        <v>160</v>
      </c>
      <c r="D1620" s="269"/>
      <c r="E1620" s="504">
        <v>36.684899999999999</v>
      </c>
      <c r="F1620" s="402">
        <f>IFERROR(E1620*'01 Prod Physique Boites'!H1615,"-")</f>
        <v>0</v>
      </c>
      <c r="G1620" s="402">
        <f>IFERROR(E1620*'01 Prod Physique Boites'!L1615,"-")</f>
        <v>0</v>
      </c>
      <c r="H1620" s="381"/>
      <c r="I1620" s="382" t="s">
        <v>190</v>
      </c>
      <c r="J1620" s="383" t="s">
        <v>190</v>
      </c>
    </row>
    <row r="1621" spans="1:10" ht="24" thickBot="1" x14ac:dyDescent="0.35">
      <c r="A1621" s="274" t="s">
        <v>102</v>
      </c>
      <c r="B1621" s="1024"/>
      <c r="C1621" s="279" t="s">
        <v>161</v>
      </c>
      <c r="D1621" s="279"/>
      <c r="E1621" s="501">
        <v>37.002800000000001</v>
      </c>
      <c r="F1621" s="402">
        <f>IFERROR(E1621*'01 Prod Physique Boites'!H1616,"-")</f>
        <v>0</v>
      </c>
      <c r="G1621" s="402">
        <f>IFERROR(E1621*'01 Prod Physique Boites'!L1616,"-")</f>
        <v>0</v>
      </c>
      <c r="H1621" s="387"/>
      <c r="I1621" s="388" t="s">
        <v>190</v>
      </c>
      <c r="J1621" s="389" t="s">
        <v>190</v>
      </c>
    </row>
    <row r="1622" spans="1:10" ht="24" thickBot="1" x14ac:dyDescent="0.35">
      <c r="A1622" s="274" t="s">
        <v>102</v>
      </c>
      <c r="B1622" s="1034" t="s">
        <v>43</v>
      </c>
      <c r="C1622" s="1035"/>
      <c r="D1622" s="1036"/>
      <c r="E1622" s="390"/>
      <c r="F1622" s="402">
        <f>IFERROR(E1622*'01 Prod Physique Boites'!H1616,"-")</f>
        <v>0</v>
      </c>
      <c r="G1622" s="407">
        <f>IFERROR(E1622*'01 Prod Physique Boites'!L1616,"-")</f>
        <v>0</v>
      </c>
      <c r="H1622" s="391"/>
      <c r="I1622" s="406">
        <f t="shared" ref="I1622:J1622" si="919">SUM(I1620:I1621)</f>
        <v>0</v>
      </c>
      <c r="J1622" s="425">
        <f t="shared" si="919"/>
        <v>0</v>
      </c>
    </row>
    <row r="1623" spans="1:10" ht="24" thickBot="1" x14ac:dyDescent="0.35">
      <c r="A1623" s="274" t="s">
        <v>102</v>
      </c>
      <c r="B1623" s="1028" t="s">
        <v>25</v>
      </c>
      <c r="C1623" s="1029"/>
      <c r="D1623" s="1030"/>
      <c r="E1623" s="393"/>
      <c r="F1623" s="410">
        <f>+F1602+F1607+F1610+F1615+F1619+F1622</f>
        <v>631075.58400000003</v>
      </c>
      <c r="G1623" s="411">
        <f>+G1602+G1607+G1610+G1615+G1619+G1622</f>
        <v>22586709.976500001</v>
      </c>
      <c r="H1623" s="394"/>
      <c r="I1623" s="410">
        <f>+I1602+I1607+I1610+I1615+I1619+I1622</f>
        <v>1100851.2</v>
      </c>
      <c r="J1623" s="428">
        <f>+J1602+J1607+J1610+J1615+J1619+J1622</f>
        <v>41819655.159999996</v>
      </c>
    </row>
    <row r="1624" spans="1:10" ht="24" thickBot="1" x14ac:dyDescent="0.35">
      <c r="A1624" s="318" t="s">
        <v>102</v>
      </c>
      <c r="B1624" s="1020" t="s">
        <v>173</v>
      </c>
      <c r="C1624" s="1020"/>
      <c r="D1624" s="1021"/>
      <c r="E1624" s="395"/>
      <c r="F1624" s="412">
        <f t="shared" ref="F1624:G1624" si="920">+F1623</f>
        <v>631075.58400000003</v>
      </c>
      <c r="G1624" s="413">
        <f t="shared" si="920"/>
        <v>22586709.976500001</v>
      </c>
      <c r="H1624" s="396"/>
      <c r="I1624" s="412">
        <f t="shared" ref="I1624" si="921">+I1623</f>
        <v>1100851.2</v>
      </c>
      <c r="J1624" s="429">
        <f>+J1623</f>
        <v>41819655.159999996</v>
      </c>
    </row>
    <row r="1625" spans="1:10" ht="24.6" thickBot="1" x14ac:dyDescent="0.35">
      <c r="A1625" s="319"/>
      <c r="B1625" s="1031" t="s">
        <v>174</v>
      </c>
      <c r="C1625" s="1032"/>
      <c r="D1625" s="1033"/>
      <c r="E1625" s="401"/>
      <c r="F1625" s="418">
        <f>+F1563+F1598+F1624</f>
        <v>4984044.6455999995</v>
      </c>
      <c r="G1625" s="418">
        <f>+G1563+G1598+G1624</f>
        <v>94528517.527700007</v>
      </c>
      <c r="H1625" s="401"/>
      <c r="I1625" s="418">
        <f>+I1563+I1598+I1624</f>
        <v>7516323.3600000003</v>
      </c>
      <c r="J1625" s="432">
        <f>+J1563+J1598+J1624</f>
        <v>133033785.72</v>
      </c>
    </row>
    <row r="1626" spans="1:10" ht="23.4" x14ac:dyDescent="0.3">
      <c r="A1626" s="1057" t="s">
        <v>1</v>
      </c>
      <c r="B1626" s="1060" t="s">
        <v>2</v>
      </c>
      <c r="C1626" s="1063" t="s">
        <v>396</v>
      </c>
      <c r="D1626" s="1063" t="s">
        <v>397</v>
      </c>
      <c r="E1626" s="1092" t="s">
        <v>405</v>
      </c>
      <c r="F1626" s="1093"/>
      <c r="G1626" s="1093"/>
      <c r="H1626" s="442"/>
      <c r="I1626" s="442"/>
      <c r="J1626" s="443"/>
    </row>
    <row r="1627" spans="1:10" ht="23.4" x14ac:dyDescent="0.3">
      <c r="A1627" s="1058"/>
      <c r="B1627" s="1061"/>
      <c r="C1627" s="1064"/>
      <c r="D1627" s="1064"/>
      <c r="E1627" s="1094" t="s">
        <v>408</v>
      </c>
      <c r="F1627" s="1095"/>
      <c r="G1627" s="1096"/>
      <c r="H1627" s="1094" t="s">
        <v>168</v>
      </c>
      <c r="I1627" s="1095"/>
      <c r="J1627" s="1096"/>
    </row>
    <row r="1628" spans="1:10" ht="46.8" x14ac:dyDescent="0.3">
      <c r="A1628" s="1059"/>
      <c r="B1628" s="1090"/>
      <c r="C1628" s="1091"/>
      <c r="D1628" s="1091"/>
      <c r="E1628" s="379" t="s">
        <v>170</v>
      </c>
      <c r="F1628" s="959" t="s">
        <v>407</v>
      </c>
      <c r="G1628" s="960" t="s">
        <v>406</v>
      </c>
      <c r="H1628" s="1097" t="s">
        <v>170</v>
      </c>
      <c r="I1628" s="1099" t="s">
        <v>137</v>
      </c>
      <c r="J1628" s="1101" t="s">
        <v>406</v>
      </c>
    </row>
    <row r="1629" spans="1:10" ht="24" thickBot="1" x14ac:dyDescent="0.35">
      <c r="A1629" s="1059"/>
      <c r="B1629" s="1062"/>
      <c r="C1629" s="1065"/>
      <c r="D1629" s="1065"/>
      <c r="E1629" s="1103" t="s">
        <v>568</v>
      </c>
      <c r="F1629" s="1104"/>
      <c r="G1629" s="1105"/>
      <c r="H1629" s="1098"/>
      <c r="I1629" s="1100"/>
      <c r="J1629" s="1102"/>
    </row>
    <row r="1630" spans="1:10" ht="23.4" x14ac:dyDescent="0.3">
      <c r="A1630" s="268" t="s">
        <v>103</v>
      </c>
      <c r="B1630" s="1043" t="s">
        <v>16</v>
      </c>
      <c r="C1630" s="269" t="s">
        <v>368</v>
      </c>
      <c r="D1630" s="269" t="s">
        <v>369</v>
      </c>
      <c r="E1630" s="705">
        <v>81.360699999999994</v>
      </c>
      <c r="F1630" s="402">
        <f>IFERROR(E1630*'01 Prod Physique Boites'!H1624,"-")</f>
        <v>0</v>
      </c>
      <c r="G1630" s="402">
        <f>IFERROR(E1630*'01 Prod Physique Boites'!L1624,"-")</f>
        <v>1514936.2339999999</v>
      </c>
      <c r="H1630" s="706">
        <v>143.28</v>
      </c>
      <c r="I1630" s="419">
        <f>IFERROR(H1630*(F1630/E1630),"-")</f>
        <v>0</v>
      </c>
      <c r="J1630" s="420">
        <f t="shared" ref="J1630:J1632" si="922">IFERROR(H1630*(G1630/E1630),"-")</f>
        <v>2667873.6</v>
      </c>
    </row>
    <row r="1631" spans="1:10" ht="23.4" x14ac:dyDescent="0.3">
      <c r="A1631" s="713"/>
      <c r="B1631" s="1044"/>
      <c r="C1631" s="275" t="s">
        <v>470</v>
      </c>
      <c r="D1631" s="275" t="s">
        <v>375</v>
      </c>
      <c r="E1631" s="505">
        <v>81.360699999999994</v>
      </c>
      <c r="F1631" s="402">
        <f>IFERROR(E1631*'01 Prod Physique Boites'!H1625,"-")</f>
        <v>0</v>
      </c>
      <c r="G1631" s="402">
        <f>IFERROR(E1631*'01 Prod Physique Boites'!L1625,"-")</f>
        <v>0</v>
      </c>
      <c r="H1631" s="708">
        <v>143.28</v>
      </c>
      <c r="I1631" s="419">
        <f>IFERROR(H1631*(F1631/E1631),"-")</f>
        <v>0</v>
      </c>
      <c r="J1631" s="420">
        <f t="shared" si="922"/>
        <v>0</v>
      </c>
    </row>
    <row r="1632" spans="1:10" ht="23.4" x14ac:dyDescent="0.3">
      <c r="A1632" s="274" t="s">
        <v>103</v>
      </c>
      <c r="B1632" s="1044"/>
      <c r="C1632" s="275" t="s">
        <v>430</v>
      </c>
      <c r="D1632" s="275" t="s">
        <v>384</v>
      </c>
      <c r="E1632" s="684">
        <v>77.170400000000001</v>
      </c>
      <c r="F1632" s="402">
        <f>IFERROR(E1632*'01 Prod Physique Boites'!H1626,"-")</f>
        <v>0</v>
      </c>
      <c r="G1632" s="402">
        <f>IFERROR(E1632*'01 Prod Physique Boites'!L1626,"-")</f>
        <v>617363.19999999995</v>
      </c>
      <c r="H1632" s="385">
        <v>0</v>
      </c>
      <c r="I1632" s="419">
        <f>IFERROR(H1632*(F1632/E1632),"-")</f>
        <v>0</v>
      </c>
      <c r="J1632" s="420">
        <f t="shared" si="922"/>
        <v>0</v>
      </c>
    </row>
    <row r="1633" spans="1:10" ht="24" thickBot="1" x14ac:dyDescent="0.35">
      <c r="A1633" s="274" t="s">
        <v>103</v>
      </c>
      <c r="B1633" s="1045"/>
      <c r="C1633" s="279" t="s">
        <v>262</v>
      </c>
      <c r="D1633" s="279" t="s">
        <v>231</v>
      </c>
      <c r="E1633" s="501">
        <v>60.703499999999998</v>
      </c>
      <c r="F1633" s="402">
        <f>IFERROR(E1633*'01 Prod Physique Boites'!H1627,"-")</f>
        <v>0</v>
      </c>
      <c r="G1633" s="402">
        <f>IFERROR(E1633*'01 Prod Physique Boites'!L1627,"-")</f>
        <v>0</v>
      </c>
      <c r="H1633" s="387">
        <v>111.09</v>
      </c>
      <c r="I1633" s="419">
        <f>IFERROR(H1633*(F1633/E1633),"-")</f>
        <v>0</v>
      </c>
      <c r="J1633" s="420">
        <f>IFERROR(H1633*(G1633/E1633),"-")</f>
        <v>0</v>
      </c>
    </row>
    <row r="1634" spans="1:10" ht="24" thickBot="1" x14ac:dyDescent="0.35">
      <c r="A1634" s="274" t="s">
        <v>103</v>
      </c>
      <c r="B1634" s="1025" t="s">
        <v>44</v>
      </c>
      <c r="C1634" s="1026"/>
      <c r="D1634" s="1027"/>
      <c r="E1634" s="390"/>
      <c r="F1634" s="406">
        <f t="shared" ref="F1634" si="923">SUM(F1630:F1633)</f>
        <v>0</v>
      </c>
      <c r="G1634" s="407">
        <f>SUM(G1630:G1633)</f>
        <v>2132299.4339999999</v>
      </c>
      <c r="H1634" s="391"/>
      <c r="I1634" s="406">
        <f t="shared" ref="I1634:J1634" si="924">SUM(I1630:I1633)</f>
        <v>0</v>
      </c>
      <c r="J1634" s="425">
        <f t="shared" si="924"/>
        <v>2667873.6</v>
      </c>
    </row>
    <row r="1635" spans="1:10" ht="23.4" x14ac:dyDescent="0.3">
      <c r="A1635" s="274" t="s">
        <v>103</v>
      </c>
      <c r="B1635" s="1043" t="s">
        <v>17</v>
      </c>
      <c r="C1635" s="269" t="s">
        <v>294</v>
      </c>
      <c r="D1635" s="269"/>
      <c r="E1635" s="504">
        <v>12.5275</v>
      </c>
      <c r="F1635" s="402">
        <f>IFERROR(E1635*'01 Prod Physique Boites'!H1629,"-")</f>
        <v>0</v>
      </c>
      <c r="G1635" s="402">
        <f>IFERROR(E1635*'01 Prod Physique Boites'!L1629,"-")</f>
        <v>0</v>
      </c>
      <c r="H1635" s="681">
        <v>18.836400000000001</v>
      </c>
      <c r="I1635" s="419">
        <f t="shared" ref="I1635:I1641" si="925">IFERROR(H1635*(F1635/E1635),"-")</f>
        <v>0</v>
      </c>
      <c r="J1635" s="420">
        <f t="shared" ref="J1635:J1640" si="926">IFERROR(H1635*(G1635/E1635),"-")</f>
        <v>0</v>
      </c>
    </row>
    <row r="1636" spans="1:10" ht="23.4" x14ac:dyDescent="0.3">
      <c r="A1636" s="274" t="s">
        <v>103</v>
      </c>
      <c r="B1636" s="1044"/>
      <c r="C1636" s="275" t="s">
        <v>344</v>
      </c>
      <c r="D1636" s="275" t="s">
        <v>232</v>
      </c>
      <c r="E1636" s="677">
        <v>13.002700000000001</v>
      </c>
      <c r="F1636" s="402">
        <f>IFERROR(E1636*'01 Prod Physique Boites'!H1630,"-")</f>
        <v>0</v>
      </c>
      <c r="G1636" s="402">
        <f>IFERROR(E1636*'01 Prod Physique Boites'!L1630,"-")</f>
        <v>77756.146000000008</v>
      </c>
      <c r="H1636" s="385">
        <v>21.18</v>
      </c>
      <c r="I1636" s="421">
        <f t="shared" si="925"/>
        <v>0</v>
      </c>
      <c r="J1636" s="422">
        <f t="shared" si="926"/>
        <v>126656.4</v>
      </c>
    </row>
    <row r="1637" spans="1:10" ht="23.4" x14ac:dyDescent="0.3">
      <c r="A1637" s="274" t="s">
        <v>103</v>
      </c>
      <c r="B1637" s="1044"/>
      <c r="C1637" s="275" t="s">
        <v>351</v>
      </c>
      <c r="D1637" s="275" t="s">
        <v>187</v>
      </c>
      <c r="E1637" s="677">
        <v>12.9049</v>
      </c>
      <c r="F1637" s="402">
        <f>IFERROR(E1637*'01 Prod Physique Boites'!H1631,"-")</f>
        <v>1184669.82</v>
      </c>
      <c r="G1637" s="402">
        <f>IFERROR(E1637*'01 Prod Physique Boites'!L1631,"-")</f>
        <v>15400707.66</v>
      </c>
      <c r="H1637" s="385">
        <v>20.5</v>
      </c>
      <c r="I1637" s="421">
        <f t="shared" si="925"/>
        <v>1881900.0000000002</v>
      </c>
      <c r="J1637" s="422">
        <f t="shared" si="926"/>
        <v>24464700</v>
      </c>
    </row>
    <row r="1638" spans="1:10" ht="23.4" x14ac:dyDescent="0.3">
      <c r="A1638" s="274" t="s">
        <v>103</v>
      </c>
      <c r="B1638" s="1044"/>
      <c r="C1638" s="275" t="s">
        <v>530</v>
      </c>
      <c r="D1638" s="275" t="s">
        <v>529</v>
      </c>
      <c r="E1638" s="505">
        <v>13.1958</v>
      </c>
      <c r="F1638" s="402">
        <f>IFERROR(E1638*'01 Prod Physique Boites'!H1632,"-")</f>
        <v>0</v>
      </c>
      <c r="G1638" s="402">
        <f>IFERROR(E1638*'01 Prod Physique Boites'!L1632,"-")</f>
        <v>545646.32999999996</v>
      </c>
      <c r="H1638" s="708">
        <v>21.28</v>
      </c>
      <c r="I1638" s="421">
        <f t="shared" si="925"/>
        <v>0</v>
      </c>
      <c r="J1638" s="422">
        <f t="shared" si="926"/>
        <v>879927.99999999988</v>
      </c>
    </row>
    <row r="1639" spans="1:10" ht="23.4" x14ac:dyDescent="0.3">
      <c r="A1639" s="274" t="s">
        <v>103</v>
      </c>
      <c r="B1639" s="1044"/>
      <c r="C1639" s="275" t="s">
        <v>323</v>
      </c>
      <c r="D1639" s="275" t="s">
        <v>318</v>
      </c>
      <c r="E1639" s="505">
        <v>13.1958</v>
      </c>
      <c r="F1639" s="402">
        <f>IFERROR(E1639*'01 Prod Physique Boites'!H1633,"-")</f>
        <v>0</v>
      </c>
      <c r="G1639" s="402">
        <f>IFERROR(E1639*'01 Prod Physique Boites'!L1633,"-")</f>
        <v>0</v>
      </c>
      <c r="H1639" s="385">
        <v>21.28</v>
      </c>
      <c r="I1639" s="421">
        <f t="shared" si="925"/>
        <v>0</v>
      </c>
      <c r="J1639" s="422">
        <f t="shared" si="926"/>
        <v>0</v>
      </c>
    </row>
    <row r="1640" spans="1:10" ht="23.4" x14ac:dyDescent="0.3">
      <c r="A1640" s="274">
        <v>1</v>
      </c>
      <c r="B1640" s="1044"/>
      <c r="C1640" s="275" t="s">
        <v>528</v>
      </c>
      <c r="D1640" s="275" t="s">
        <v>189</v>
      </c>
      <c r="E1640" s="677">
        <v>13.1958</v>
      </c>
      <c r="F1640" s="402">
        <f>IFERROR(E1640*'01 Prod Physique Boites'!H1634,"-")</f>
        <v>0</v>
      </c>
      <c r="G1640" s="402">
        <f>IFERROR(E1640*'01 Prod Physique Boites'!L1634,"-")</f>
        <v>445490.20799999998</v>
      </c>
      <c r="H1640" s="664">
        <v>21.28</v>
      </c>
      <c r="I1640" s="421">
        <f t="shared" si="925"/>
        <v>0</v>
      </c>
      <c r="J1640" s="422">
        <f t="shared" si="926"/>
        <v>718412.80000000005</v>
      </c>
    </row>
    <row r="1641" spans="1:10" ht="24" thickBot="1" x14ac:dyDescent="0.35">
      <c r="A1641" s="274" t="s">
        <v>103</v>
      </c>
      <c r="B1641" s="1045"/>
      <c r="C1641" s="279" t="s">
        <v>341</v>
      </c>
      <c r="D1641" s="279" t="s">
        <v>175</v>
      </c>
      <c r="E1641" s="501">
        <v>13.6509</v>
      </c>
      <c r="F1641" s="402">
        <f>IFERROR(E1641*'01 Prod Physique Boites'!H1635,"-")</f>
        <v>0</v>
      </c>
      <c r="G1641" s="402">
        <f>IFERROR(E1641*'01 Prod Physique Boites'!L1635,"-")</f>
        <v>0</v>
      </c>
      <c r="H1641" s="387">
        <v>21.18</v>
      </c>
      <c r="I1641" s="423">
        <f t="shared" si="925"/>
        <v>0</v>
      </c>
      <c r="J1641" s="424">
        <f>IFERROR(H1641*(G1641/E1641),"-")</f>
        <v>0</v>
      </c>
    </row>
    <row r="1642" spans="1:10" ht="24" thickBot="1" x14ac:dyDescent="0.35">
      <c r="A1642" s="274" t="s">
        <v>103</v>
      </c>
      <c r="B1642" s="1025" t="s">
        <v>45</v>
      </c>
      <c r="C1642" s="1026"/>
      <c r="D1642" s="1027"/>
      <c r="E1642" s="390"/>
      <c r="F1642" s="406">
        <f t="shared" ref="F1642" si="927">SUM(F1635:F1641)</f>
        <v>1184669.82</v>
      </c>
      <c r="G1642" s="407">
        <f>SUM(G1635:G1641)</f>
        <v>16469600.344000001</v>
      </c>
      <c r="H1642" s="391"/>
      <c r="I1642" s="406">
        <f t="shared" ref="I1642" si="928">SUM(I1635:I1641)</f>
        <v>1881900.0000000002</v>
      </c>
      <c r="J1642" s="425">
        <f>SUM(J1635:J1641)</f>
        <v>26189697.199999999</v>
      </c>
    </row>
    <row r="1643" spans="1:10" ht="23.4" x14ac:dyDescent="0.3">
      <c r="A1643" s="274" t="s">
        <v>103</v>
      </c>
      <c r="B1643" s="1043" t="s">
        <v>18</v>
      </c>
      <c r="C1643" s="269" t="s">
        <v>312</v>
      </c>
      <c r="D1643" s="269" t="s">
        <v>92</v>
      </c>
      <c r="E1643" s="504">
        <v>17.8202</v>
      </c>
      <c r="F1643" s="402">
        <f>IFERROR(E1643*'01 Prod Physique Boites'!H1637,"-")</f>
        <v>0</v>
      </c>
      <c r="G1643" s="403">
        <f>IFERROR(E1643*'01 Prod Physique Boites'!L1637,"-")</f>
        <v>0</v>
      </c>
      <c r="H1643" s="381">
        <v>24.93</v>
      </c>
      <c r="I1643" s="419">
        <f t="shared" ref="I1643:I1649" si="929">IFERROR(H1643*(F1643/E1643),"-")</f>
        <v>0</v>
      </c>
      <c r="J1643" s="420">
        <f t="shared" ref="J1643:J1645" si="930">IFERROR(H1643*(G1643/E1643),"-")</f>
        <v>0</v>
      </c>
    </row>
    <row r="1644" spans="1:10" ht="23.4" x14ac:dyDescent="0.3">
      <c r="A1644" s="274" t="s">
        <v>103</v>
      </c>
      <c r="B1644" s="1044"/>
      <c r="C1644" s="275" t="s">
        <v>130</v>
      </c>
      <c r="D1644" s="275"/>
      <c r="E1644" s="505">
        <v>17.8202</v>
      </c>
      <c r="F1644" s="402">
        <f>IFERROR(E1644*'01 Prod Physique Boites'!H1638,"-")</f>
        <v>0</v>
      </c>
      <c r="G1644" s="403">
        <f>IFERROR(E1644*'01 Prod Physique Boites'!L1638,"-")</f>
        <v>0</v>
      </c>
      <c r="H1644" s="385">
        <v>0</v>
      </c>
      <c r="I1644" s="421">
        <f t="shared" si="929"/>
        <v>0</v>
      </c>
      <c r="J1644" s="422">
        <f t="shared" si="930"/>
        <v>0</v>
      </c>
    </row>
    <row r="1645" spans="1:10" ht="23.4" x14ac:dyDescent="0.3">
      <c r="A1645" s="274" t="s">
        <v>103</v>
      </c>
      <c r="B1645" s="1044"/>
      <c r="C1645" s="275" t="s">
        <v>115</v>
      </c>
      <c r="D1645" s="275"/>
      <c r="E1645" s="505">
        <v>16.4071</v>
      </c>
      <c r="F1645" s="402">
        <f>IFERROR(E1645*'01 Prod Physique Boites'!H1639,"-")</f>
        <v>0</v>
      </c>
      <c r="G1645" s="403">
        <f>IFERROR(E1645*'01 Prod Physique Boites'!L1639,"-")</f>
        <v>0</v>
      </c>
      <c r="H1645" s="385">
        <v>0</v>
      </c>
      <c r="I1645" s="421">
        <f t="shared" si="929"/>
        <v>0</v>
      </c>
      <c r="J1645" s="422">
        <f t="shared" si="930"/>
        <v>0</v>
      </c>
    </row>
    <row r="1646" spans="1:10" ht="23.4" x14ac:dyDescent="0.3">
      <c r="A1646" s="274" t="s">
        <v>103</v>
      </c>
      <c r="B1646" s="1044"/>
      <c r="C1646" s="275" t="s">
        <v>122</v>
      </c>
      <c r="D1646" s="275"/>
      <c r="E1646" s="505">
        <v>17.8202</v>
      </c>
      <c r="F1646" s="402">
        <f>IFERROR(E1646*'01 Prod Physique Boites'!H1640,"-")</f>
        <v>0</v>
      </c>
      <c r="G1646" s="403">
        <f>IFERROR(E1646*'01 Prod Physique Boites'!L1640,"-")</f>
        <v>0</v>
      </c>
      <c r="H1646" s="385">
        <v>0</v>
      </c>
      <c r="I1646" s="421">
        <f t="shared" si="929"/>
        <v>0</v>
      </c>
      <c r="J1646" s="422">
        <f>IFERROR(H1646*(G1646/E1646),"-")</f>
        <v>0</v>
      </c>
    </row>
    <row r="1647" spans="1:10" ht="23.4" x14ac:dyDescent="0.3">
      <c r="A1647" s="274" t="s">
        <v>103</v>
      </c>
      <c r="B1647" s="1044"/>
      <c r="C1647" s="275" t="s">
        <v>176</v>
      </c>
      <c r="D1647" s="275" t="s">
        <v>177</v>
      </c>
      <c r="E1647" s="505">
        <v>17.8202</v>
      </c>
      <c r="F1647" s="402">
        <f>IFERROR(E1647*'01 Prod Physique Boites'!H1641,"-")</f>
        <v>0</v>
      </c>
      <c r="G1647" s="403">
        <f>IFERROR(E1647*'01 Prod Physique Boites'!L1641,"-")</f>
        <v>0</v>
      </c>
      <c r="H1647" s="385">
        <v>0</v>
      </c>
      <c r="I1647" s="421">
        <f t="shared" si="929"/>
        <v>0</v>
      </c>
      <c r="J1647" s="422">
        <f t="shared" ref="J1647:J1649" si="931">IFERROR(H1647*(G1647/E1647),"-")</f>
        <v>0</v>
      </c>
    </row>
    <row r="1648" spans="1:10" ht="23.4" x14ac:dyDescent="0.3">
      <c r="A1648" s="274" t="s">
        <v>103</v>
      </c>
      <c r="B1648" s="1044"/>
      <c r="C1648" s="275" t="s">
        <v>179</v>
      </c>
      <c r="D1648" s="275" t="s">
        <v>178</v>
      </c>
      <c r="E1648" s="505">
        <v>16.7288</v>
      </c>
      <c r="F1648" s="402">
        <f>IFERROR(E1648*'01 Prod Physique Boites'!H1642,"-")</f>
        <v>0</v>
      </c>
      <c r="G1648" s="403">
        <f>IFERROR(E1648*'01 Prod Physique Boites'!L1642,"-")</f>
        <v>0</v>
      </c>
      <c r="H1648" s="385">
        <v>0</v>
      </c>
      <c r="I1648" s="421">
        <f t="shared" si="929"/>
        <v>0</v>
      </c>
      <c r="J1648" s="422">
        <f t="shared" si="931"/>
        <v>0</v>
      </c>
    </row>
    <row r="1649" spans="1:10" ht="24" thickBot="1" x14ac:dyDescent="0.35">
      <c r="A1649" s="274" t="s">
        <v>103</v>
      </c>
      <c r="B1649" s="1045"/>
      <c r="C1649" s="286" t="s">
        <v>180</v>
      </c>
      <c r="D1649" s="286" t="s">
        <v>107</v>
      </c>
      <c r="E1649" s="501">
        <v>17.8202</v>
      </c>
      <c r="F1649" s="402">
        <f>IFERROR(E1649*'01 Prod Physique Boites'!H1643,"-")</f>
        <v>0</v>
      </c>
      <c r="G1649" s="403">
        <f>IFERROR(E1649*'01 Prod Physique Boites'!L1643,"-")</f>
        <v>0</v>
      </c>
      <c r="H1649" s="385">
        <v>0</v>
      </c>
      <c r="I1649" s="423">
        <f t="shared" si="929"/>
        <v>0</v>
      </c>
      <c r="J1649" s="424">
        <f t="shared" si="931"/>
        <v>0</v>
      </c>
    </row>
    <row r="1650" spans="1:10" ht="24" thickBot="1" x14ac:dyDescent="0.35">
      <c r="A1650" s="274" t="s">
        <v>103</v>
      </c>
      <c r="B1650" s="1025" t="s">
        <v>29</v>
      </c>
      <c r="C1650" s="1083"/>
      <c r="D1650" s="1084"/>
      <c r="E1650" s="841"/>
      <c r="F1650" s="856">
        <f t="shared" ref="F1650:G1650" si="932">SUM(F1643:F1649)</f>
        <v>0</v>
      </c>
      <c r="G1650" s="415">
        <f t="shared" si="932"/>
        <v>0</v>
      </c>
      <c r="H1650" s="391"/>
      <c r="I1650" s="406">
        <f t="shared" ref="I1650:J1650" si="933">SUM(I1643:I1649)</f>
        <v>0</v>
      </c>
      <c r="J1650" s="425">
        <f t="shared" si="933"/>
        <v>0</v>
      </c>
    </row>
    <row r="1651" spans="1:10" ht="23.4" x14ac:dyDescent="0.3">
      <c r="A1651" s="274"/>
      <c r="B1651" s="1037" t="s">
        <v>19</v>
      </c>
      <c r="C1651" s="669" t="s">
        <v>235</v>
      </c>
      <c r="D1651" s="669" t="s">
        <v>177</v>
      </c>
      <c r="E1651" s="850">
        <v>12.2659</v>
      </c>
      <c r="F1651" s="658">
        <f>IFERROR(E1651*'01 Prod Physique Boites'!H1645,"-")</f>
        <v>828978.58559999999</v>
      </c>
      <c r="G1651" s="659">
        <f>IFERROR(E1651*'01 Prod Physique Boites'!L1645,"-")</f>
        <v>4663004.5439999998</v>
      </c>
      <c r="H1651" s="653">
        <v>14.79</v>
      </c>
      <c r="I1651" s="638">
        <f t="shared" ref="I1651:I1657" si="934">IFERROR(H1651*(F1651/E1651),"-")</f>
        <v>999567.35999999999</v>
      </c>
      <c r="J1651" s="638">
        <f>IFERROR(H1651*(G1651/E1651),"-")</f>
        <v>5622566.3999999994</v>
      </c>
    </row>
    <row r="1652" spans="1:10" ht="23.4" x14ac:dyDescent="0.3">
      <c r="A1652" s="274"/>
      <c r="B1652" s="1038"/>
      <c r="C1652" s="840" t="s">
        <v>359</v>
      </c>
      <c r="D1652" s="840" t="s">
        <v>423</v>
      </c>
      <c r="E1652" s="851">
        <v>12.2659</v>
      </c>
      <c r="F1652" s="643">
        <f>IFERROR(E1652*'01 Prod Physique Boites'!H1646,"-")</f>
        <v>0</v>
      </c>
      <c r="G1652" s="633">
        <f>IFERROR(E1652*'01 Prod Physique Boites'!L1646,"-")</f>
        <v>7046317.9775999999</v>
      </c>
      <c r="H1652" s="654">
        <v>14.55</v>
      </c>
      <c r="I1652" s="643">
        <f t="shared" si="934"/>
        <v>0</v>
      </c>
      <c r="J1652" s="643">
        <f>IFERROR(H1652*(G1652/E1652),"-")</f>
        <v>8358451.2000000002</v>
      </c>
    </row>
    <row r="1653" spans="1:10" ht="23.4" x14ac:dyDescent="0.3">
      <c r="A1653" s="274"/>
      <c r="B1653" s="1038"/>
      <c r="C1653" s="840" t="s">
        <v>235</v>
      </c>
      <c r="D1653" s="840" t="s">
        <v>522</v>
      </c>
      <c r="E1653" s="851">
        <v>12.2659</v>
      </c>
      <c r="F1653" s="643">
        <f>IFERROR(E1653*'01 Prod Physique Boites'!H1647,"-")</f>
        <v>0</v>
      </c>
      <c r="G1653" s="633">
        <f>IFERROR(E1653*'01 Prod Physique Boites'!L1647,"-")</f>
        <v>2621370.0208000001</v>
      </c>
      <c r="H1653" s="860">
        <v>0</v>
      </c>
      <c r="I1653" s="643">
        <f t="shared" si="934"/>
        <v>0</v>
      </c>
      <c r="J1653" s="643">
        <f t="shared" ref="J1653:J1656" si="935">IFERROR(H1653*(G1653/E1653),"-")</f>
        <v>0</v>
      </c>
    </row>
    <row r="1654" spans="1:10" ht="23.4" x14ac:dyDescent="0.3">
      <c r="A1654" s="274"/>
      <c r="B1654" s="1038"/>
      <c r="C1654" s="840" t="s">
        <v>377</v>
      </c>
      <c r="D1654" s="840" t="s">
        <v>522</v>
      </c>
      <c r="E1654" s="851">
        <v>12.2659</v>
      </c>
      <c r="F1654" s="643">
        <f>IFERROR(E1654*'01 Prod Physique Boites'!H1648,"-")</f>
        <v>0</v>
      </c>
      <c r="G1654" s="633">
        <f>IFERROR(E1654*'01 Prod Physique Boites'!L1648,"-")</f>
        <v>3523158.9887999999</v>
      </c>
      <c r="H1654" s="860">
        <v>0</v>
      </c>
      <c r="I1654" s="643">
        <f t="shared" si="934"/>
        <v>0</v>
      </c>
      <c r="J1654" s="643">
        <f t="shared" si="935"/>
        <v>0</v>
      </c>
    </row>
    <row r="1655" spans="1:10" ht="23.4" x14ac:dyDescent="0.3">
      <c r="A1655" s="274"/>
      <c r="B1655" s="1038"/>
      <c r="C1655" s="840" t="s">
        <v>536</v>
      </c>
      <c r="D1655" s="840" t="s">
        <v>522</v>
      </c>
      <c r="E1655" s="851">
        <v>12.2659</v>
      </c>
      <c r="F1655" s="643">
        <f>IFERROR(E1655*'01 Prod Physique Boites'!H1649,"-")</f>
        <v>0</v>
      </c>
      <c r="G1655" s="633">
        <f>IFERROR(E1655*'01 Prod Physique Boites'!L1649,"-")</f>
        <v>1839296.2368000001</v>
      </c>
      <c r="H1655" s="860">
        <v>0</v>
      </c>
      <c r="I1655" s="643">
        <f t="shared" si="934"/>
        <v>0</v>
      </c>
      <c r="J1655" s="643">
        <f t="shared" si="935"/>
        <v>0</v>
      </c>
    </row>
    <row r="1656" spans="1:10" ht="23.4" x14ac:dyDescent="0.3">
      <c r="A1656" s="274"/>
      <c r="B1656" s="1038"/>
      <c r="C1656" s="840"/>
      <c r="D1656" s="840"/>
      <c r="E1656" s="851">
        <v>12.2659</v>
      </c>
      <c r="F1656" s="643">
        <f>IFERROR(E1656*'01 Prod Physique Boites'!H1650,"-")</f>
        <v>0</v>
      </c>
      <c r="G1656" s="633">
        <f>IFERROR(E1656*'01 Prod Physique Boites'!L1650,"-")</f>
        <v>0</v>
      </c>
      <c r="H1656" s="910">
        <v>14.55</v>
      </c>
      <c r="I1656" s="643">
        <f t="shared" si="934"/>
        <v>0</v>
      </c>
      <c r="J1656" s="643">
        <f t="shared" si="935"/>
        <v>0</v>
      </c>
    </row>
    <row r="1657" spans="1:10" ht="24" thickBot="1" x14ac:dyDescent="0.35">
      <c r="A1657" s="961" t="s">
        <v>103</v>
      </c>
      <c r="B1657" s="1039"/>
      <c r="C1657" s="670" t="s">
        <v>342</v>
      </c>
      <c r="D1657" s="670"/>
      <c r="E1657" s="852">
        <v>0</v>
      </c>
      <c r="F1657" s="927">
        <f>IFERROR(E1657*'01 Prod Physique Boites'!H1651,"-")</f>
        <v>0</v>
      </c>
      <c r="G1657" s="858">
        <f>IFERROR(E1657*'01 Prod Physique Boites'!L1651,"-")</f>
        <v>0</v>
      </c>
      <c r="H1657" s="655">
        <v>0</v>
      </c>
      <c r="I1657" s="643" t="str">
        <f t="shared" si="934"/>
        <v>-</v>
      </c>
      <c r="J1657" s="427" t="str">
        <f t="shared" ref="J1657" si="936">IFERROR(I1657*(G1657/F1657),"-")</f>
        <v>-</v>
      </c>
    </row>
    <row r="1658" spans="1:10" ht="24" thickBot="1" x14ac:dyDescent="0.35">
      <c r="A1658" s="274" t="s">
        <v>103</v>
      </c>
      <c r="B1658" s="1025" t="s">
        <v>46</v>
      </c>
      <c r="C1658" s="1041"/>
      <c r="D1658" s="1042"/>
      <c r="E1658" s="842"/>
      <c r="F1658" s="523">
        <f>SUM(F1651:F1657)</f>
        <v>828978.58559999999</v>
      </c>
      <c r="G1658" s="523">
        <f>SUM(G1651:G1657)</f>
        <v>19693147.767999999</v>
      </c>
      <c r="H1658" s="391"/>
      <c r="I1658" s="406">
        <f>SUM(I1651:I1657)</f>
        <v>999567.35999999999</v>
      </c>
      <c r="J1658" s="425">
        <f>SUM(J1651:J1657)</f>
        <v>13981017.6</v>
      </c>
    </row>
    <row r="1659" spans="1:10" ht="23.4" x14ac:dyDescent="0.3">
      <c r="A1659" s="274" t="s">
        <v>103</v>
      </c>
      <c r="B1659" s="1043" t="s">
        <v>20</v>
      </c>
      <c r="C1659" s="291" t="s">
        <v>317</v>
      </c>
      <c r="D1659" s="291" t="s">
        <v>289</v>
      </c>
      <c r="E1659" s="504">
        <v>26.032900000000001</v>
      </c>
      <c r="F1659" s="402">
        <f>IFERROR(E1659*'01 Prod Physique Boites'!H1653,"-")</f>
        <v>0</v>
      </c>
      <c r="G1659" s="403">
        <f>IFERROR(E1659*'01 Prod Physique Boites'!L1653,"-")</f>
        <v>0</v>
      </c>
      <c r="H1659" s="381">
        <v>36.44</v>
      </c>
      <c r="I1659" s="419">
        <f>IFERROR(H1659*(F1659/E1659),"-")</f>
        <v>0</v>
      </c>
      <c r="J1659" s="420">
        <f t="shared" ref="J1659:J1661" si="937">IFERROR(H1659*(G1659/E1659),"-")</f>
        <v>0</v>
      </c>
    </row>
    <row r="1660" spans="1:10" ht="23.4" x14ac:dyDescent="0.3">
      <c r="A1660" s="274" t="s">
        <v>103</v>
      </c>
      <c r="B1660" s="1044"/>
      <c r="C1660" s="292" t="s">
        <v>114</v>
      </c>
      <c r="D1660" s="292"/>
      <c r="E1660" s="384">
        <v>24.2607</v>
      </c>
      <c r="F1660" s="402">
        <f>IFERROR(E1660*'01 Prod Physique Boites'!H1654,"-")</f>
        <v>0</v>
      </c>
      <c r="G1660" s="403">
        <f>IFERROR(E1660*'01 Prod Physique Boites'!L1654,"-")</f>
        <v>0</v>
      </c>
      <c r="H1660" s="385">
        <v>37.369999999999997</v>
      </c>
      <c r="I1660" s="421">
        <f>IFERROR(H1660*(F1660/E1660),"-")</f>
        <v>0</v>
      </c>
      <c r="J1660" s="422">
        <f t="shared" si="937"/>
        <v>0</v>
      </c>
    </row>
    <row r="1661" spans="1:10" ht="24" thickBot="1" x14ac:dyDescent="0.35">
      <c r="A1661" s="274" t="s">
        <v>103</v>
      </c>
      <c r="B1661" s="1045"/>
      <c r="C1661" s="293" t="s">
        <v>120</v>
      </c>
      <c r="D1661" s="293"/>
      <c r="E1661" s="386">
        <v>26.035799999999998</v>
      </c>
      <c r="F1661" s="402">
        <f>IFERROR(E1661*'01 Prod Physique Boites'!H1655,"-")</f>
        <v>0</v>
      </c>
      <c r="G1661" s="403">
        <f>IFERROR(E1661*'01 Prod Physique Boites'!L1655,"-")</f>
        <v>0</v>
      </c>
      <c r="H1661" s="387">
        <v>37.11</v>
      </c>
      <c r="I1661" s="423">
        <f>IFERROR(H1661*(F1661/E1661),"-")</f>
        <v>0</v>
      </c>
      <c r="J1661" s="424">
        <f t="shared" si="937"/>
        <v>0</v>
      </c>
    </row>
    <row r="1662" spans="1:10" ht="24" thickBot="1" x14ac:dyDescent="0.35">
      <c r="A1662" s="274" t="s">
        <v>103</v>
      </c>
      <c r="B1662" s="1026" t="s">
        <v>47</v>
      </c>
      <c r="C1662" s="1026"/>
      <c r="D1662" s="1046"/>
      <c r="E1662" s="390"/>
      <c r="F1662" s="406">
        <f t="shared" ref="F1662:G1662" si="938">SUM(F1659:F1661)</f>
        <v>0</v>
      </c>
      <c r="G1662" s="407">
        <f t="shared" si="938"/>
        <v>0</v>
      </c>
      <c r="H1662" s="391"/>
      <c r="I1662" s="406">
        <f t="shared" ref="I1662:J1662" si="939">SUM(I1659:I1661)</f>
        <v>0</v>
      </c>
      <c r="J1662" s="425">
        <f t="shared" si="939"/>
        <v>0</v>
      </c>
    </row>
    <row r="1663" spans="1:10" ht="24" thickBot="1" x14ac:dyDescent="0.35">
      <c r="A1663" s="274" t="s">
        <v>103</v>
      </c>
      <c r="B1663" s="1047" t="s">
        <v>21</v>
      </c>
      <c r="C1663" s="1048"/>
      <c r="D1663" s="1049"/>
      <c r="E1663" s="393"/>
      <c r="F1663" s="410">
        <f>+F1634+F1642+F1650+F1658+F1662</f>
        <v>2013648.4056000002</v>
      </c>
      <c r="G1663" s="411">
        <f>+G1634+G1642+G1650+G1658+G1662</f>
        <v>38295047.546000004</v>
      </c>
      <c r="H1663" s="394"/>
      <c r="I1663" s="410">
        <f>+I1634+I1642+I1650+I1658+I1662</f>
        <v>2881467.3600000003</v>
      </c>
      <c r="J1663" s="428">
        <f>+J1634+J1642+J1650+J1658+J1662</f>
        <v>42838588.399999999</v>
      </c>
    </row>
    <row r="1664" spans="1:10" ht="23.4" x14ac:dyDescent="0.3">
      <c r="A1664" s="274" t="s">
        <v>103</v>
      </c>
      <c r="B1664" s="1043" t="s">
        <v>400</v>
      </c>
      <c r="C1664" s="269" t="s">
        <v>125</v>
      </c>
      <c r="D1664" s="269"/>
      <c r="E1664" s="380">
        <v>22.820599999999999</v>
      </c>
      <c r="F1664" s="402">
        <f>IFERROR(E1664*'01 Prod Physique Boites'!H1658,"-")</f>
        <v>0</v>
      </c>
      <c r="G1664" s="403">
        <f>IFERROR(E1664*'01 Prod Physique Boites'!L1658,"-")</f>
        <v>0</v>
      </c>
      <c r="H1664" s="381">
        <v>27.5</v>
      </c>
      <c r="I1664" s="419">
        <f>IFERROR(H1664*(F1664/E1664),"-")</f>
        <v>0</v>
      </c>
      <c r="J1664" s="420">
        <f t="shared" ref="J1664:J1667" si="940">IFERROR(H1664*(G1664/E1664),"-")</f>
        <v>0</v>
      </c>
    </row>
    <row r="1665" spans="1:10" ht="23.4" x14ac:dyDescent="0.3">
      <c r="A1665" s="274" t="s">
        <v>103</v>
      </c>
      <c r="B1665" s="1044"/>
      <c r="C1665" s="295" t="s">
        <v>263</v>
      </c>
      <c r="D1665" s="295" t="s">
        <v>181</v>
      </c>
      <c r="E1665" s="384">
        <v>23.570699999999999</v>
      </c>
      <c r="F1665" s="402">
        <f>IFERROR(E1665*'01 Prod Physique Boites'!H1659,"-")</f>
        <v>0</v>
      </c>
      <c r="G1665" s="403">
        <f>IFERROR(E1665*'01 Prod Physique Boites'!L1659,"-")</f>
        <v>0</v>
      </c>
      <c r="H1665" s="385">
        <v>27.5</v>
      </c>
      <c r="I1665" s="421">
        <f>IFERROR(H1665*(F1665/E1665),"-")</f>
        <v>0</v>
      </c>
      <c r="J1665" s="422">
        <f t="shared" si="940"/>
        <v>0</v>
      </c>
    </row>
    <row r="1666" spans="1:10" ht="23.4" x14ac:dyDescent="0.3">
      <c r="A1666" s="274" t="s">
        <v>103</v>
      </c>
      <c r="B1666" s="1044"/>
      <c r="C1666" s="295" t="s">
        <v>362</v>
      </c>
      <c r="D1666" s="295" t="s">
        <v>181</v>
      </c>
      <c r="E1666" s="384">
        <v>22.820599999999999</v>
      </c>
      <c r="F1666" s="402">
        <f>IFERROR(E1666*'01 Prod Physique Boites'!H1660,"-")</f>
        <v>0</v>
      </c>
      <c r="G1666" s="403">
        <f>IFERROR(E1666*'01 Prod Physique Boites'!L1660,"-")</f>
        <v>0</v>
      </c>
      <c r="H1666" s="385">
        <v>27.5</v>
      </c>
      <c r="I1666" s="421">
        <f>IFERROR(H1666*(F1666/E1666),"-")</f>
        <v>0</v>
      </c>
      <c r="J1666" s="422">
        <f t="shared" si="940"/>
        <v>0</v>
      </c>
    </row>
    <row r="1667" spans="1:10" ht="24" thickBot="1" x14ac:dyDescent="0.35">
      <c r="A1667" s="274" t="s">
        <v>103</v>
      </c>
      <c r="B1667" s="1045"/>
      <c r="C1667" s="279" t="s">
        <v>182</v>
      </c>
      <c r="D1667" s="279" t="s">
        <v>93</v>
      </c>
      <c r="E1667" s="386">
        <v>22.238499999999998</v>
      </c>
      <c r="F1667" s="402">
        <f>IFERROR(E1667*'01 Prod Physique Boites'!H1661,"-")</f>
        <v>616451.22</v>
      </c>
      <c r="G1667" s="403">
        <f>IFERROR(E1667*'01 Prod Physique Boites'!L1661,"-")</f>
        <v>3742739.55</v>
      </c>
      <c r="H1667" s="387">
        <v>27</v>
      </c>
      <c r="I1667" s="423">
        <f>IFERROR(H1667*(F1667/E1667),"-")</f>
        <v>748440</v>
      </c>
      <c r="J1667" s="424">
        <f t="shared" si="940"/>
        <v>4544100</v>
      </c>
    </row>
    <row r="1668" spans="1:10" ht="24" thickBot="1" x14ac:dyDescent="0.35">
      <c r="A1668" s="274" t="s">
        <v>103</v>
      </c>
      <c r="B1668" s="1025" t="s">
        <v>48</v>
      </c>
      <c r="C1668" s="1026"/>
      <c r="D1668" s="1027"/>
      <c r="E1668" s="390"/>
      <c r="F1668" s="406">
        <f t="shared" ref="F1668:G1668" si="941">SUM(F1664:F1667)</f>
        <v>616451.22</v>
      </c>
      <c r="G1668" s="407">
        <f t="shared" si="941"/>
        <v>3742739.55</v>
      </c>
      <c r="H1668" s="391"/>
      <c r="I1668" s="406">
        <f t="shared" ref="I1668:J1668" si="942">SUM(I1664:I1667)</f>
        <v>748440</v>
      </c>
      <c r="J1668" s="425">
        <f t="shared" si="942"/>
        <v>4544100</v>
      </c>
    </row>
    <row r="1669" spans="1:10" ht="23.4" x14ac:dyDescent="0.3">
      <c r="A1669" s="274" t="s">
        <v>103</v>
      </c>
      <c r="B1669" s="1043" t="s">
        <v>23</v>
      </c>
      <c r="C1669" s="275" t="s">
        <v>500</v>
      </c>
      <c r="D1669" s="296" t="s">
        <v>238</v>
      </c>
      <c r="E1669" s="380">
        <v>101.4935</v>
      </c>
      <c r="F1669" s="402">
        <f>IFERROR(E1669*'01 Prod Physique Boites'!H1663,"-")</f>
        <v>0</v>
      </c>
      <c r="G1669" s="403">
        <f>IFERROR(E1669*'01 Prod Physique Boites'!L1663,"-")</f>
        <v>0</v>
      </c>
      <c r="H1669" s="385">
        <v>160.44999999999999</v>
      </c>
      <c r="I1669" s="419">
        <f t="shared" ref="I1669:I1677" si="943">IFERROR(H1669*(F1669/E1669),"-")</f>
        <v>0</v>
      </c>
      <c r="J1669" s="420">
        <f t="shared" ref="J1669:J1677" si="944">IFERROR(H1669*(G1669/E1669),"-")</f>
        <v>0</v>
      </c>
    </row>
    <row r="1670" spans="1:10" ht="23.4" x14ac:dyDescent="0.3">
      <c r="A1670" s="274" t="s">
        <v>103</v>
      </c>
      <c r="B1670" s="1044"/>
      <c r="C1670" s="275" t="s">
        <v>24</v>
      </c>
      <c r="D1670" s="275" t="s">
        <v>238</v>
      </c>
      <c r="E1670" s="384">
        <v>101.4935</v>
      </c>
      <c r="F1670" s="402">
        <f>IFERROR(E1670*'01 Prod Physique Boites'!H1664,"-")</f>
        <v>0</v>
      </c>
      <c r="G1670" s="403">
        <f>IFERROR(E1670*'01 Prod Physique Boites'!L1664,"-")</f>
        <v>0</v>
      </c>
      <c r="H1670" s="385">
        <v>160.44999999999999</v>
      </c>
      <c r="I1670" s="421">
        <f t="shared" si="943"/>
        <v>0</v>
      </c>
      <c r="J1670" s="422">
        <f t="shared" si="944"/>
        <v>0</v>
      </c>
    </row>
    <row r="1671" spans="1:10" ht="23.4" x14ac:dyDescent="0.3">
      <c r="A1671" s="274" t="s">
        <v>103</v>
      </c>
      <c r="B1671" s="1044"/>
      <c r="C1671" s="275" t="s">
        <v>236</v>
      </c>
      <c r="D1671" s="275" t="s">
        <v>238</v>
      </c>
      <c r="E1671" s="384">
        <v>101.4935</v>
      </c>
      <c r="F1671" s="402">
        <f>IFERROR(E1671*'01 Prod Physique Boites'!H1665,"-")</f>
        <v>0</v>
      </c>
      <c r="G1671" s="403">
        <f>IFERROR(E1671*'01 Prod Physique Boites'!L1665,"-")</f>
        <v>0</v>
      </c>
      <c r="H1671" s="385">
        <v>160.44999999999999</v>
      </c>
      <c r="I1671" s="421">
        <f t="shared" si="943"/>
        <v>0</v>
      </c>
      <c r="J1671" s="422">
        <f t="shared" si="944"/>
        <v>0</v>
      </c>
    </row>
    <row r="1672" spans="1:10" ht="23.4" x14ac:dyDescent="0.3">
      <c r="A1672" s="274" t="s">
        <v>103</v>
      </c>
      <c r="B1672" s="1044"/>
      <c r="C1672" s="275" t="s">
        <v>239</v>
      </c>
      <c r="D1672" s="275" t="s">
        <v>238</v>
      </c>
      <c r="E1672" s="384">
        <v>101.4935</v>
      </c>
      <c r="F1672" s="402">
        <f>IFERROR(E1672*'01 Prod Physique Boites'!H1666,"-")</f>
        <v>0</v>
      </c>
      <c r="G1672" s="403">
        <f>IFERROR(E1672*'01 Prod Physique Boites'!L1666,"-")</f>
        <v>0</v>
      </c>
      <c r="H1672" s="385">
        <v>160.44999999999999</v>
      </c>
      <c r="I1672" s="421">
        <f t="shared" si="943"/>
        <v>0</v>
      </c>
      <c r="J1672" s="422">
        <f t="shared" si="944"/>
        <v>0</v>
      </c>
    </row>
    <row r="1673" spans="1:10" ht="23.4" x14ac:dyDescent="0.3">
      <c r="A1673" s="274" t="s">
        <v>103</v>
      </c>
      <c r="B1673" s="1044"/>
      <c r="C1673" s="295" t="s">
        <v>394</v>
      </c>
      <c r="D1673" s="275" t="s">
        <v>238</v>
      </c>
      <c r="E1673" s="384">
        <v>101.4935</v>
      </c>
      <c r="F1673" s="402">
        <f>IFERROR(E1673*'01 Prod Physique Boites'!H1667,"-")</f>
        <v>0</v>
      </c>
      <c r="G1673" s="403">
        <f>IFERROR(E1673*'01 Prod Physique Boites'!L1667,"-")</f>
        <v>0</v>
      </c>
      <c r="H1673" s="385">
        <v>160.44999999999999</v>
      </c>
      <c r="I1673" s="421">
        <f t="shared" si="943"/>
        <v>0</v>
      </c>
      <c r="J1673" s="422">
        <f t="shared" si="944"/>
        <v>0</v>
      </c>
    </row>
    <row r="1674" spans="1:10" ht="23.4" x14ac:dyDescent="0.3">
      <c r="A1674" s="274" t="s">
        <v>103</v>
      </c>
      <c r="B1674" s="1044"/>
      <c r="C1674" s="295" t="s">
        <v>422</v>
      </c>
      <c r="D1674" s="275" t="s">
        <v>238</v>
      </c>
      <c r="E1674" s="384">
        <v>101.4935</v>
      </c>
      <c r="F1674" s="402">
        <f>IFERROR(E1674*'01 Prod Physique Boites'!H1668,"-")</f>
        <v>0</v>
      </c>
      <c r="G1674" s="403">
        <f>IFERROR(E1674*'01 Prod Physique Boites'!L1668,"-")</f>
        <v>0</v>
      </c>
      <c r="H1674" s="385">
        <v>160.44999999999999</v>
      </c>
      <c r="I1674" s="421">
        <f t="shared" si="943"/>
        <v>0</v>
      </c>
      <c r="J1674" s="422">
        <f t="shared" si="944"/>
        <v>0</v>
      </c>
    </row>
    <row r="1675" spans="1:10" ht="23.4" x14ac:dyDescent="0.3">
      <c r="A1675" s="274" t="s">
        <v>103</v>
      </c>
      <c r="B1675" s="1044"/>
      <c r="C1675" s="295" t="s">
        <v>241</v>
      </c>
      <c r="D1675" s="275" t="s">
        <v>547</v>
      </c>
      <c r="E1675" s="384">
        <v>101.4935</v>
      </c>
      <c r="F1675" s="402">
        <f>IFERROR(E1675*'01 Prod Physique Boites'!H1669,"-")</f>
        <v>0</v>
      </c>
      <c r="G1675" s="403">
        <f>IFERROR(E1675*'01 Prod Physique Boites'!L1669,"-")</f>
        <v>0</v>
      </c>
      <c r="H1675" s="385">
        <v>160.44999999999999</v>
      </c>
      <c r="I1675" s="421">
        <f t="shared" si="943"/>
        <v>0</v>
      </c>
      <c r="J1675" s="422">
        <f t="shared" si="944"/>
        <v>0</v>
      </c>
    </row>
    <row r="1676" spans="1:10" ht="23.4" x14ac:dyDescent="0.3">
      <c r="A1676" s="274"/>
      <c r="B1676" s="1045"/>
      <c r="C1676" s="295" t="s">
        <v>546</v>
      </c>
      <c r="D1676" s="275" t="s">
        <v>238</v>
      </c>
      <c r="E1676" s="386">
        <v>101.49</v>
      </c>
      <c r="F1676" s="402">
        <f>IFERROR(E1676*'01 Prod Physique Boites'!H1670,"-")</f>
        <v>0</v>
      </c>
      <c r="G1676" s="403">
        <f>IFERROR(E1676*'01 Prod Physique Boites'!L1670,"-")</f>
        <v>0</v>
      </c>
      <c r="H1676" s="385">
        <v>160.44999999999999</v>
      </c>
      <c r="I1676" s="421">
        <f t="shared" si="943"/>
        <v>0</v>
      </c>
      <c r="J1676" s="422">
        <f t="shared" si="944"/>
        <v>0</v>
      </c>
    </row>
    <row r="1677" spans="1:10" ht="24" thickBot="1" x14ac:dyDescent="0.35">
      <c r="A1677" s="274" t="s">
        <v>103</v>
      </c>
      <c r="B1677" s="1045"/>
      <c r="C1677" s="295" t="s">
        <v>242</v>
      </c>
      <c r="D1677" s="275" t="s">
        <v>238</v>
      </c>
      <c r="E1677" s="386">
        <v>101.4935</v>
      </c>
      <c r="F1677" s="402">
        <f>IFERROR(E1677*'01 Prod Physique Boites'!H1671,"-")</f>
        <v>0</v>
      </c>
      <c r="G1677" s="403">
        <f>IFERROR(E1677*'01 Prod Physique Boites'!L1671,"-")</f>
        <v>0</v>
      </c>
      <c r="H1677" s="385">
        <v>160.44999999999999</v>
      </c>
      <c r="I1677" s="421">
        <f t="shared" si="943"/>
        <v>0</v>
      </c>
      <c r="J1677" s="424">
        <f t="shared" si="944"/>
        <v>0</v>
      </c>
    </row>
    <row r="1678" spans="1:10" ht="24" thickBot="1" x14ac:dyDescent="0.35">
      <c r="A1678" s="274" t="s">
        <v>103</v>
      </c>
      <c r="B1678" s="1025" t="s">
        <v>49</v>
      </c>
      <c r="C1678" s="1026"/>
      <c r="D1678" s="1027"/>
      <c r="E1678" s="390"/>
      <c r="F1678" s="406">
        <f t="shared" ref="F1678" si="945">SUM(F1669:F1677)</f>
        <v>0</v>
      </c>
      <c r="G1678" s="407">
        <f>SUM(G1669:G1677)</f>
        <v>0</v>
      </c>
      <c r="H1678" s="391"/>
      <c r="I1678" s="406">
        <f t="shared" ref="I1678" si="946">SUM(I1669:I1677)</f>
        <v>0</v>
      </c>
      <c r="J1678" s="425">
        <f>SUM(J1669:J1677)</f>
        <v>0</v>
      </c>
    </row>
    <row r="1679" spans="1:10" ht="24" thickBot="1" x14ac:dyDescent="0.35">
      <c r="A1679" s="274" t="s">
        <v>103</v>
      </c>
      <c r="B1679" s="1047" t="s">
        <v>25</v>
      </c>
      <c r="C1679" s="1048"/>
      <c r="D1679" s="1049"/>
      <c r="E1679" s="393"/>
      <c r="F1679" s="410">
        <f t="shared" ref="F1679" si="947">+F1668+F1678</f>
        <v>616451.22</v>
      </c>
      <c r="G1679" s="411">
        <f>+G1668+G1678</f>
        <v>3742739.55</v>
      </c>
      <c r="H1679" s="394"/>
      <c r="I1679" s="410">
        <f t="shared" ref="I1679:J1679" si="948">+I1668+I1678</f>
        <v>748440</v>
      </c>
      <c r="J1679" s="428">
        <f t="shared" si="948"/>
        <v>4544100</v>
      </c>
    </row>
    <row r="1680" spans="1:10" ht="24" thickBot="1" x14ac:dyDescent="0.35">
      <c r="A1680" s="274" t="s">
        <v>103</v>
      </c>
      <c r="B1680" s="1019" t="s">
        <v>172</v>
      </c>
      <c r="C1680" s="1020"/>
      <c r="D1680" s="1021"/>
      <c r="E1680" s="395"/>
      <c r="F1680" s="412">
        <f t="shared" ref="F1680" si="949">+F1663+F1679</f>
        <v>2630099.6255999999</v>
      </c>
      <c r="G1680" s="413">
        <f>+G1663+G1679</f>
        <v>42037787.096000001</v>
      </c>
      <c r="H1680" s="396"/>
      <c r="I1680" s="412">
        <f t="shared" ref="I1680:J1680" si="950">+I1663+I1679</f>
        <v>3629907.3600000003</v>
      </c>
      <c r="J1680" s="429">
        <f t="shared" si="950"/>
        <v>47382688.399999999</v>
      </c>
    </row>
    <row r="1681" spans="1:10" ht="23.4" x14ac:dyDescent="0.3">
      <c r="A1681" s="268" t="s">
        <v>101</v>
      </c>
      <c r="B1681" s="1051" t="s">
        <v>26</v>
      </c>
      <c r="C1681" s="893" t="s">
        <v>297</v>
      </c>
      <c r="D1681" s="898" t="s">
        <v>177</v>
      </c>
      <c r="E1681" s="504">
        <v>13.1272</v>
      </c>
      <c r="F1681" s="402">
        <f>IFERROR(E1681*'01 Prod Physique Boites'!H1675,"-")</f>
        <v>0</v>
      </c>
      <c r="G1681" s="403">
        <f>IFERROR(E1681*'01 Prod Physique Boites'!L1675,"-")</f>
        <v>0</v>
      </c>
      <c r="H1681" s="381">
        <v>20.76</v>
      </c>
      <c r="I1681" s="419">
        <f t="shared" ref="I1681:I1690" si="951">IFERROR(H1681*(F1681/E1681),"-")</f>
        <v>0</v>
      </c>
      <c r="J1681" s="632">
        <f t="shared" ref="J1681:J1690" si="952">IFERROR(H1681*(G1681/E1681),"-")</f>
        <v>0</v>
      </c>
    </row>
    <row r="1682" spans="1:10" ht="23.4" x14ac:dyDescent="0.3">
      <c r="A1682" s="274" t="s">
        <v>101</v>
      </c>
      <c r="B1682" s="1051"/>
      <c r="C1682" s="253" t="s">
        <v>424</v>
      </c>
      <c r="D1682" s="899" t="s">
        <v>423</v>
      </c>
      <c r="E1682" s="505">
        <v>16.7288</v>
      </c>
      <c r="F1682" s="402">
        <f>IFERROR(E1682*'01 Prod Physique Boites'!H1676,"-")</f>
        <v>0</v>
      </c>
      <c r="G1682" s="403">
        <f>IFERROR(E1682*'01 Prod Physique Boites'!L1676,"-")</f>
        <v>4392112.9824000001</v>
      </c>
      <c r="H1682" s="385">
        <v>20.76</v>
      </c>
      <c r="I1682" s="421">
        <f t="shared" si="951"/>
        <v>0</v>
      </c>
      <c r="J1682" s="633">
        <f t="shared" si="952"/>
        <v>5450496.4800000004</v>
      </c>
    </row>
    <row r="1683" spans="1:10" ht="23.4" x14ac:dyDescent="0.3">
      <c r="A1683" s="274" t="s">
        <v>101</v>
      </c>
      <c r="B1683" s="1051"/>
      <c r="C1683" s="813" t="s">
        <v>27</v>
      </c>
      <c r="D1683" s="899" t="s">
        <v>334</v>
      </c>
      <c r="E1683" s="501">
        <v>14.608000000000001</v>
      </c>
      <c r="F1683" s="402">
        <f>IFERROR(E1683*'01 Prod Physique Boites'!H1677,"-")</f>
        <v>0</v>
      </c>
      <c r="G1683" s="403">
        <f>IFERROR(E1683*'01 Prod Physique Boites'!L1677,"-")</f>
        <v>522995.61600000004</v>
      </c>
      <c r="H1683" s="385">
        <v>21.22</v>
      </c>
      <c r="I1683" s="643">
        <f t="shared" si="951"/>
        <v>0</v>
      </c>
      <c r="J1683" s="633">
        <f t="shared" si="952"/>
        <v>759718.44</v>
      </c>
    </row>
    <row r="1684" spans="1:10" ht="23.4" x14ac:dyDescent="0.3">
      <c r="A1684" s="274" t="s">
        <v>101</v>
      </c>
      <c r="B1684" s="1051"/>
      <c r="C1684" s="813" t="s">
        <v>27</v>
      </c>
      <c r="D1684" s="900" t="s">
        <v>492</v>
      </c>
      <c r="E1684" s="501">
        <v>17.8202</v>
      </c>
      <c r="F1684" s="402">
        <f>IFERROR(E1684*'01 Prod Physique Boites'!H1678,"-")</f>
        <v>0</v>
      </c>
      <c r="G1684" s="403">
        <f>IFERROR(E1684*'01 Prod Physique Boites'!L1678,"-")</f>
        <v>4820435.3808000004</v>
      </c>
      <c r="H1684" s="385">
        <v>26.75</v>
      </c>
      <c r="I1684" s="643">
        <f t="shared" si="951"/>
        <v>0</v>
      </c>
      <c r="J1684" s="633">
        <f t="shared" si="952"/>
        <v>7235982</v>
      </c>
    </row>
    <row r="1685" spans="1:10" ht="23.4" x14ac:dyDescent="0.3">
      <c r="A1685" s="274" t="s">
        <v>101</v>
      </c>
      <c r="B1685" s="1051"/>
      <c r="C1685" s="893" t="s">
        <v>521</v>
      </c>
      <c r="D1685" s="899" t="s">
        <v>234</v>
      </c>
      <c r="E1685" s="501">
        <v>14.608000000000001</v>
      </c>
      <c r="F1685" s="402">
        <f>IFERROR(E1685*'01 Prod Physique Boites'!H1679,"-")</f>
        <v>0</v>
      </c>
      <c r="G1685" s="403">
        <f>IFERROR(E1685*'01 Prod Physique Boites'!L1679,"-")</f>
        <v>813548.73600000003</v>
      </c>
      <c r="H1685" s="385">
        <v>24.93</v>
      </c>
      <c r="I1685" s="643">
        <f t="shared" si="951"/>
        <v>0</v>
      </c>
      <c r="J1685" s="633">
        <f t="shared" si="952"/>
        <v>1388401.56</v>
      </c>
    </row>
    <row r="1686" spans="1:10" ht="23.4" x14ac:dyDescent="0.3">
      <c r="A1686" s="274"/>
      <c r="B1686" s="1051"/>
      <c r="C1686" s="813" t="s">
        <v>432</v>
      </c>
      <c r="D1686" s="899" t="s">
        <v>178</v>
      </c>
      <c r="E1686" s="501">
        <v>14.608000000000001</v>
      </c>
      <c r="F1686" s="402">
        <f>IFERROR(E1686*'01 Prod Physique Boites'!H1680,"-")</f>
        <v>0</v>
      </c>
      <c r="G1686" s="403">
        <f>IFERROR(E1686*'01 Prod Physique Boites'!L1680,"-")</f>
        <v>0</v>
      </c>
      <c r="H1686" s="387">
        <v>24.93</v>
      </c>
      <c r="I1686" s="643">
        <f t="shared" si="951"/>
        <v>0</v>
      </c>
      <c r="J1686" s="634">
        <f t="shared" si="952"/>
        <v>0</v>
      </c>
    </row>
    <row r="1687" spans="1:10" ht="23.4" x14ac:dyDescent="0.3">
      <c r="A1687" s="274"/>
      <c r="B1687" s="1051"/>
      <c r="C1687" s="813" t="s">
        <v>333</v>
      </c>
      <c r="D1687" s="899" t="s">
        <v>94</v>
      </c>
      <c r="E1687" s="501">
        <v>17.8202</v>
      </c>
      <c r="F1687" s="724">
        <f>IFERROR(E1687*'01 Prod Physique Boites'!H1681,"-")</f>
        <v>0</v>
      </c>
      <c r="G1687" s="403">
        <f>IFERROR(E1687*'01 Prod Physique Boites'!L1681,"-")</f>
        <v>0</v>
      </c>
      <c r="H1687" s="387">
        <v>24.93</v>
      </c>
      <c r="I1687" s="730">
        <f t="shared" si="951"/>
        <v>0</v>
      </c>
      <c r="J1687" s="634">
        <f t="shared" si="952"/>
        <v>0</v>
      </c>
    </row>
    <row r="1688" spans="1:10" ht="23.4" x14ac:dyDescent="0.3">
      <c r="A1688" s="725"/>
      <c r="B1688" s="1051"/>
      <c r="C1688" s="813" t="s">
        <v>433</v>
      </c>
      <c r="D1688" s="899" t="s">
        <v>540</v>
      </c>
      <c r="E1688" s="727">
        <v>16.7288</v>
      </c>
      <c r="F1688" s="724">
        <f>IFERROR(E1688*'01 Prod Physique Boites'!H1682,"-")</f>
        <v>0</v>
      </c>
      <c r="G1688" s="728">
        <f>IFERROR(E1688*'01 Prod Physique Boites'!L1682,"-")</f>
        <v>5922697.8096000003</v>
      </c>
      <c r="H1688" s="729">
        <v>25</v>
      </c>
      <c r="I1688" s="730">
        <f t="shared" si="951"/>
        <v>0</v>
      </c>
      <c r="J1688" s="634">
        <f t="shared" si="952"/>
        <v>8851050</v>
      </c>
    </row>
    <row r="1689" spans="1:10" ht="23.4" x14ac:dyDescent="0.3">
      <c r="A1689" s="725"/>
      <c r="B1689" s="1051"/>
      <c r="C1689" s="813" t="s">
        <v>382</v>
      </c>
      <c r="D1689" s="899" t="s">
        <v>366</v>
      </c>
      <c r="E1689" s="727">
        <v>16.345199999999998</v>
      </c>
      <c r="F1689" s="724">
        <f>IFERROR(E1689*'01 Prod Physique Boites'!H1683,"-")</f>
        <v>0</v>
      </c>
      <c r="G1689" s="728">
        <f>IFERROR(E1689*'01 Prod Physique Boites'!L1683,"-")</f>
        <v>3251060.28</v>
      </c>
      <c r="H1689" s="729">
        <v>23.78</v>
      </c>
      <c r="I1689" s="730">
        <f t="shared" si="951"/>
        <v>0</v>
      </c>
      <c r="J1689" s="634">
        <f t="shared" si="952"/>
        <v>4729842</v>
      </c>
    </row>
    <row r="1690" spans="1:10" ht="24" thickBot="1" x14ac:dyDescent="0.35">
      <c r="A1690" s="274" t="s">
        <v>101</v>
      </c>
      <c r="B1690" s="1051"/>
      <c r="C1690" s="894" t="s">
        <v>290</v>
      </c>
      <c r="D1690" s="901" t="s">
        <v>289</v>
      </c>
      <c r="E1690" s="501">
        <v>12.6997</v>
      </c>
      <c r="F1690" s="402">
        <f>IFERROR(E1690*'01 Prod Physique Boites'!H1684,"-")</f>
        <v>0</v>
      </c>
      <c r="G1690" s="728">
        <f>IFERROR(E1690*'01 Prod Physique Boites'!L1684,"-")</f>
        <v>0</v>
      </c>
      <c r="H1690" s="387">
        <v>13.25</v>
      </c>
      <c r="I1690" s="730">
        <f t="shared" si="951"/>
        <v>0</v>
      </c>
      <c r="J1690" s="634">
        <f t="shared" si="952"/>
        <v>0</v>
      </c>
    </row>
    <row r="1691" spans="1:10" ht="24" thickBot="1" x14ac:dyDescent="0.35">
      <c r="A1691" s="274" t="s">
        <v>101</v>
      </c>
      <c r="B1691" s="1052"/>
      <c r="C1691" s="301"/>
      <c r="D1691" s="302" t="s">
        <v>52</v>
      </c>
      <c r="E1691" s="390"/>
      <c r="F1691" s="406">
        <f>SUM(F1681:F1690)</f>
        <v>0</v>
      </c>
      <c r="G1691" s="407">
        <f>SUM(G1681:G1690)</f>
        <v>19722850.804800004</v>
      </c>
      <c r="H1691" s="391"/>
      <c r="I1691" s="406">
        <f>SUM(I1681:I1690)</f>
        <v>0</v>
      </c>
      <c r="J1691" s="425">
        <f>SUM(J1681:J1690)</f>
        <v>28415490.48</v>
      </c>
    </row>
    <row r="1692" spans="1:10" ht="23.4" x14ac:dyDescent="0.3">
      <c r="A1692" s="274" t="s">
        <v>101</v>
      </c>
      <c r="B1692" s="1053" t="s">
        <v>28</v>
      </c>
      <c r="C1692" s="299" t="s">
        <v>27</v>
      </c>
      <c r="D1692" s="297" t="s">
        <v>492</v>
      </c>
      <c r="E1692" s="504">
        <v>17.8202</v>
      </c>
      <c r="F1692" s="402">
        <f>IFERROR(E1692*'01 Prod Physique Boites'!H1686,"-")</f>
        <v>0</v>
      </c>
      <c r="G1692" s="403">
        <f>IFERROR(E1692*'01 Prod Physique Boites'!L1686,"-")</f>
        <v>2977327.7352</v>
      </c>
      <c r="H1692" s="381">
        <v>26.75</v>
      </c>
      <c r="I1692" s="419">
        <f t="shared" ref="I1692:I1698" si="953">IFERROR(H1692*(F1692/E1692),"-")</f>
        <v>0</v>
      </c>
      <c r="J1692" s="632">
        <f t="shared" ref="J1692:J1693" si="954">IFERROR(H1692*(G1692/E1692),"-")</f>
        <v>4469283</v>
      </c>
    </row>
    <row r="1693" spans="1:10" ht="23.4" x14ac:dyDescent="0.3">
      <c r="A1693" s="274" t="s">
        <v>101</v>
      </c>
      <c r="B1693" s="1051"/>
      <c r="C1693" s="299" t="s">
        <v>386</v>
      </c>
      <c r="D1693" s="299" t="s">
        <v>334</v>
      </c>
      <c r="E1693" s="711">
        <v>16.7288</v>
      </c>
      <c r="F1693" s="402">
        <f>IFERROR(E1693*'01 Prod Physique Boites'!H1687,"-")</f>
        <v>0</v>
      </c>
      <c r="G1693" s="728">
        <f>IFERROR(E1693*'01 Prod Physique Boites'!L1687,"-")</f>
        <v>1597131.9935999999</v>
      </c>
      <c r="H1693" s="708">
        <v>20.76</v>
      </c>
      <c r="I1693" s="421">
        <f t="shared" si="953"/>
        <v>0</v>
      </c>
      <c r="J1693" s="633">
        <f t="shared" si="954"/>
        <v>1981998.7200000002</v>
      </c>
    </row>
    <row r="1694" spans="1:10" ht="23.4" x14ac:dyDescent="0.3">
      <c r="A1694" s="274" t="s">
        <v>101</v>
      </c>
      <c r="B1694" s="1051"/>
      <c r="C1694" s="299" t="s">
        <v>541</v>
      </c>
      <c r="D1694" s="299" t="s">
        <v>334</v>
      </c>
      <c r="E1694" s="501">
        <v>17.8202</v>
      </c>
      <c r="F1694" s="402">
        <f>IFERROR(E1694*'01 Prod Physique Boites'!H1688,"-")</f>
        <v>0</v>
      </c>
      <c r="G1694" s="403">
        <f>IFERROR(E1694*'01 Prod Physique Boites'!L1688,"-")</f>
        <v>0</v>
      </c>
      <c r="H1694" s="385">
        <v>21.22</v>
      </c>
      <c r="I1694" s="421">
        <f t="shared" si="953"/>
        <v>0</v>
      </c>
      <c r="J1694" s="633">
        <f>IFERROR(H1694*(G1694/E1694),"-")</f>
        <v>0</v>
      </c>
    </row>
    <row r="1695" spans="1:10" ht="23.4" x14ac:dyDescent="0.3">
      <c r="A1695" s="274"/>
      <c r="B1695" s="1051"/>
      <c r="C1695" s="299" t="s">
        <v>460</v>
      </c>
      <c r="D1695" s="299" t="s">
        <v>334</v>
      </c>
      <c r="E1695" s="501">
        <v>14.608000000000001</v>
      </c>
      <c r="F1695" s="402">
        <f>IFERROR(E1695*'01 Prod Physique Boites'!H1689,"-")</f>
        <v>0</v>
      </c>
      <c r="G1695" s="403">
        <f>IFERROR(E1695*'01 Prod Physique Boites'!L1689,"-")</f>
        <v>58110.624000000003</v>
      </c>
      <c r="H1695" s="385">
        <v>21.22</v>
      </c>
      <c r="I1695" s="421">
        <f t="shared" si="953"/>
        <v>0</v>
      </c>
      <c r="J1695" s="633">
        <f>IFERROR(H1695*(G1695/E1695),"-")</f>
        <v>84413.159999999989</v>
      </c>
    </row>
    <row r="1696" spans="1:10" ht="23.4" x14ac:dyDescent="0.3">
      <c r="A1696" s="274"/>
      <c r="B1696" s="1051"/>
      <c r="C1696" s="299" t="s">
        <v>433</v>
      </c>
      <c r="D1696" s="299" t="s">
        <v>540</v>
      </c>
      <c r="E1696" s="711">
        <v>16.7288</v>
      </c>
      <c r="F1696" s="402">
        <f>IFERROR(E1696*'01 Prod Physique Boites'!H1690,"-")</f>
        <v>0</v>
      </c>
      <c r="G1696" s="403">
        <f>IFERROR(E1696*'01 Prod Physique Boites'!L1690,"-")</f>
        <v>2129509.3248000001</v>
      </c>
      <c r="H1696" s="385">
        <v>25</v>
      </c>
      <c r="I1696" s="423">
        <f t="shared" si="953"/>
        <v>0</v>
      </c>
      <c r="J1696" s="634">
        <f t="shared" ref="J1696:J1698" si="955">IFERROR(H1696*(G1696/E1696),"-")</f>
        <v>3182400</v>
      </c>
    </row>
    <row r="1697" spans="1:10" ht="23.4" x14ac:dyDescent="0.3">
      <c r="A1697" s="274"/>
      <c r="B1697" s="1051"/>
      <c r="C1697" s="299" t="s">
        <v>458</v>
      </c>
      <c r="D1697" s="300" t="s">
        <v>280</v>
      </c>
      <c r="E1697" s="711">
        <v>17.8202</v>
      </c>
      <c r="F1697" s="402">
        <f>IFERROR(E1697*'01 Prod Physique Boites'!H1691,"-")</f>
        <v>0</v>
      </c>
      <c r="G1697" s="403">
        <f>IFERROR(E1697*'01 Prod Physique Boites'!L1691,"-")</f>
        <v>0</v>
      </c>
      <c r="H1697" s="385">
        <v>24.93</v>
      </c>
      <c r="I1697" s="730">
        <f t="shared" si="953"/>
        <v>0</v>
      </c>
      <c r="J1697" s="634">
        <f t="shared" si="955"/>
        <v>0</v>
      </c>
    </row>
    <row r="1698" spans="1:10" ht="24" thickBot="1" x14ac:dyDescent="0.35">
      <c r="A1698" s="274" t="s">
        <v>101</v>
      </c>
      <c r="B1698" s="1051"/>
      <c r="C1698" s="299" t="s">
        <v>27</v>
      </c>
      <c r="D1698" s="300" t="s">
        <v>234</v>
      </c>
      <c r="E1698" s="501">
        <v>17.8202</v>
      </c>
      <c r="F1698" s="402">
        <f>IFERROR(E1698*'01 Prod Physique Boites'!H1692,"-")</f>
        <v>0</v>
      </c>
      <c r="G1698" s="403">
        <f>IFERROR(E1698*'01 Prod Physique Boites'!L1692,"-")</f>
        <v>0</v>
      </c>
      <c r="H1698" s="385">
        <v>24.93</v>
      </c>
      <c r="I1698" s="423">
        <f t="shared" si="953"/>
        <v>0</v>
      </c>
      <c r="J1698" s="634">
        <f t="shared" si="955"/>
        <v>0</v>
      </c>
    </row>
    <row r="1699" spans="1:10" ht="24" thickBot="1" x14ac:dyDescent="0.35">
      <c r="A1699" s="274" t="s">
        <v>101</v>
      </c>
      <c r="B1699" s="1051"/>
      <c r="C1699" s="304"/>
      <c r="D1699" s="305" t="s">
        <v>52</v>
      </c>
      <c r="E1699" s="397"/>
      <c r="F1699" s="414">
        <f t="shared" ref="F1699:G1699" si="956">SUM(F1692:F1698)</f>
        <v>0</v>
      </c>
      <c r="G1699" s="415">
        <f t="shared" si="956"/>
        <v>6762079.6776000001</v>
      </c>
      <c r="H1699" s="398"/>
      <c r="I1699" s="414">
        <f t="shared" ref="I1699:J1699" si="957">SUM(I1692:I1698)</f>
        <v>0</v>
      </c>
      <c r="J1699" s="430">
        <f t="shared" si="957"/>
        <v>9718094.8800000008</v>
      </c>
    </row>
    <row r="1700" spans="1:10" ht="24" thickBot="1" x14ac:dyDescent="0.35">
      <c r="A1700" s="961" t="s">
        <v>101</v>
      </c>
      <c r="B1700" s="1054" t="s">
        <v>162</v>
      </c>
      <c r="C1700" s="1055"/>
      <c r="D1700" s="1056"/>
      <c r="E1700" s="399"/>
      <c r="F1700" s="416">
        <f t="shared" ref="F1700:G1700" si="958">+F1691+F1699</f>
        <v>0</v>
      </c>
      <c r="G1700" s="417">
        <f t="shared" si="958"/>
        <v>26484930.482400004</v>
      </c>
      <c r="H1700" s="400"/>
      <c r="I1700" s="416">
        <f t="shared" ref="I1700:J1700" si="959">+I1691+I1699</f>
        <v>0</v>
      </c>
      <c r="J1700" s="431">
        <f t="shared" si="959"/>
        <v>38133585.359999999</v>
      </c>
    </row>
    <row r="1701" spans="1:10" ht="23.4" x14ac:dyDescent="0.3">
      <c r="A1701" s="274" t="s">
        <v>101</v>
      </c>
      <c r="B1701" s="1051" t="s">
        <v>30</v>
      </c>
      <c r="C1701" s="303" t="s">
        <v>446</v>
      </c>
      <c r="D1701" s="299" t="s">
        <v>492</v>
      </c>
      <c r="E1701" s="736">
        <v>27.917000000000002</v>
      </c>
      <c r="F1701" s="402">
        <f>IFERROR(E1701*'01 Prod Physique Boites'!H1695,"-")</f>
        <v>2038164.3360000001</v>
      </c>
      <c r="G1701" s="728">
        <f>IFERROR(E1701*'01 Prod Physique Boites'!L1695,"-")</f>
        <v>4912498.6560000004</v>
      </c>
      <c r="H1701" s="734">
        <v>42.28</v>
      </c>
      <c r="I1701" s="419">
        <f>IFERROR(H1701*(F1701/E1701),"-")</f>
        <v>3086778.24</v>
      </c>
      <c r="J1701" s="420">
        <f t="shared" ref="J1701:J1703" si="960">IFERROR(H1701*(G1701/E1701),"-")</f>
        <v>7439927.04</v>
      </c>
    </row>
    <row r="1702" spans="1:10" ht="23.4" x14ac:dyDescent="0.3">
      <c r="A1702" s="274" t="s">
        <v>101</v>
      </c>
      <c r="B1702" s="1051"/>
      <c r="C1702" s="300" t="s">
        <v>548</v>
      </c>
      <c r="D1702" s="303" t="s">
        <v>522</v>
      </c>
      <c r="E1702" s="733">
        <v>28.526700000000002</v>
      </c>
      <c r="F1702" s="402">
        <f>IFERROR(E1702*'01 Prod Physique Boites'!H1696,"-")</f>
        <v>0</v>
      </c>
      <c r="G1702" s="728">
        <f>IFERROR(E1702*'01 Prod Physique Boites'!L1696,"-")</f>
        <v>0</v>
      </c>
      <c r="H1702" s="735">
        <v>37.89</v>
      </c>
      <c r="I1702" s="421">
        <f>IFERROR(H1702*(F1702/E1702),"-")</f>
        <v>0</v>
      </c>
      <c r="J1702" s="422">
        <f t="shared" si="960"/>
        <v>0</v>
      </c>
    </row>
    <row r="1703" spans="1:10" ht="24" thickBot="1" x14ac:dyDescent="0.35">
      <c r="A1703" s="274" t="s">
        <v>101</v>
      </c>
      <c r="B1703" s="1051"/>
      <c r="C1703" s="300" t="s">
        <v>291</v>
      </c>
      <c r="D1703" s="300" t="s">
        <v>366</v>
      </c>
      <c r="E1703" s="501">
        <v>25.751300000000001</v>
      </c>
      <c r="F1703" s="724">
        <f>IFERROR(E1703*'01 Prod Physique Boites'!H1697,"-")</f>
        <v>33064.669200000004</v>
      </c>
      <c r="G1703" s="728">
        <f>IFERROR(E1703*'01 Prod Physique Boites'!L1697,"-")</f>
        <v>1334638.3764</v>
      </c>
      <c r="H1703" s="387">
        <v>37.89</v>
      </c>
      <c r="I1703" s="423">
        <f>IFERROR(H1703*(F1703/E1703),"-")</f>
        <v>48650.760000000009</v>
      </c>
      <c r="J1703" s="424">
        <f t="shared" si="960"/>
        <v>1963762.92</v>
      </c>
    </row>
    <row r="1704" spans="1:10" ht="24" thickBot="1" x14ac:dyDescent="0.35">
      <c r="A1704" s="274" t="s">
        <v>101</v>
      </c>
      <c r="B1704" s="1051"/>
      <c r="C1704" s="301"/>
      <c r="D1704" s="302" t="s">
        <v>50</v>
      </c>
      <c r="E1704" s="390"/>
      <c r="F1704" s="406">
        <f t="shared" ref="F1704:G1704" si="961">SUM(F1701:F1703)</f>
        <v>2071229.0052</v>
      </c>
      <c r="G1704" s="407">
        <f t="shared" si="961"/>
        <v>6247137.0324000008</v>
      </c>
      <c r="H1704" s="391"/>
      <c r="I1704" s="406">
        <f t="shared" ref="I1704" si="962">SUM(I1701:I1703)</f>
        <v>3135429</v>
      </c>
      <c r="J1704" s="425">
        <f>SUM(J1701:J1703)</f>
        <v>9403689.9600000009</v>
      </c>
    </row>
    <row r="1705" spans="1:10" ht="23.4" x14ac:dyDescent="0.3">
      <c r="A1705" s="274" t="s">
        <v>101</v>
      </c>
      <c r="B1705" s="1051"/>
      <c r="C1705" s="297" t="s">
        <v>439</v>
      </c>
      <c r="D1705" s="297" t="s">
        <v>92</v>
      </c>
      <c r="E1705" s="504">
        <v>24.2607</v>
      </c>
      <c r="F1705" s="402">
        <f>IFERROR(E1705*'01 Prod Physique Boites'!H1699,"-")</f>
        <v>0</v>
      </c>
      <c r="G1705" s="728">
        <f>IFERROR(E1705*'01 Prod Physique Boites'!L1699,"-")</f>
        <v>0</v>
      </c>
      <c r="H1705" s="381">
        <v>28.31</v>
      </c>
      <c r="I1705" s="638">
        <f>IFERROR(H1705*(F1705/E1705),"-")</f>
        <v>0</v>
      </c>
      <c r="J1705" s="420">
        <f t="shared" ref="J1705:J1710" si="963">IFERROR(H1705*(G1705/E1705),"-")</f>
        <v>0</v>
      </c>
    </row>
    <row r="1706" spans="1:10" ht="23.4" x14ac:dyDescent="0.3">
      <c r="A1706" s="274"/>
      <c r="B1706" s="1051"/>
      <c r="C1706" s="303" t="s">
        <v>449</v>
      </c>
      <c r="D1706" s="299" t="s">
        <v>334</v>
      </c>
      <c r="E1706" s="504">
        <v>24.2607</v>
      </c>
      <c r="F1706" s="402">
        <f>IFERROR(E1706*'01 Prod Physique Boites'!H1700,"-")</f>
        <v>0</v>
      </c>
      <c r="G1706" s="728">
        <f>IFERROR(E1706*'01 Prod Physique Boites'!L1700,"-")</f>
        <v>0</v>
      </c>
      <c r="H1706" s="381">
        <v>28.88</v>
      </c>
      <c r="I1706" s="638">
        <f t="shared" ref="I1706:I1710" si="964">IFERROR(H1706*(F1706/E1706),"-")</f>
        <v>0</v>
      </c>
      <c r="J1706" s="420">
        <f t="shared" si="963"/>
        <v>0</v>
      </c>
    </row>
    <row r="1707" spans="1:10" ht="23.4" x14ac:dyDescent="0.3">
      <c r="A1707" s="274"/>
      <c r="B1707" s="1051"/>
      <c r="C1707" s="303" t="s">
        <v>452</v>
      </c>
      <c r="D1707" s="299" t="s">
        <v>334</v>
      </c>
      <c r="E1707" s="504">
        <v>25.4041</v>
      </c>
      <c r="F1707" s="402">
        <f>IFERROR(E1707*'01 Prod Physique Boites'!H1701,"-")</f>
        <v>0</v>
      </c>
      <c r="G1707" s="728">
        <f>IFERROR(E1707*'01 Prod Physique Boites'!L1701,"-")</f>
        <v>0</v>
      </c>
      <c r="H1707" s="381">
        <v>28.21</v>
      </c>
      <c r="I1707" s="638">
        <f t="shared" si="964"/>
        <v>0</v>
      </c>
      <c r="J1707" s="420">
        <f t="shared" si="963"/>
        <v>0</v>
      </c>
    </row>
    <row r="1708" spans="1:10" ht="23.4" x14ac:dyDescent="0.3">
      <c r="A1708" s="274" t="s">
        <v>101</v>
      </c>
      <c r="B1708" s="1051"/>
      <c r="C1708" s="303" t="s">
        <v>501</v>
      </c>
      <c r="D1708" s="300" t="s">
        <v>423</v>
      </c>
      <c r="E1708" s="505">
        <v>23.697399999999998</v>
      </c>
      <c r="F1708" s="724">
        <f>IFERROR(E1708*'01 Prod Physique Boites'!H1702,"-")</f>
        <v>0</v>
      </c>
      <c r="G1708" s="728">
        <f>IFERROR(E1708*'01 Prod Physique Boites'!L1702,"-")</f>
        <v>177446.13119999997</v>
      </c>
      <c r="H1708" s="385">
        <v>28.21</v>
      </c>
      <c r="I1708" s="638">
        <f t="shared" si="964"/>
        <v>0</v>
      </c>
      <c r="J1708" s="420">
        <f t="shared" si="963"/>
        <v>211236.47999999998</v>
      </c>
    </row>
    <row r="1709" spans="1:10" ht="23.4" x14ac:dyDescent="0.3">
      <c r="A1709" s="274"/>
      <c r="B1709" s="1051"/>
      <c r="C1709" s="300" t="s">
        <v>459</v>
      </c>
      <c r="D1709" s="300" t="s">
        <v>366</v>
      </c>
      <c r="E1709" s="501">
        <v>22.094999999999999</v>
      </c>
      <c r="F1709" s="724">
        <f>IFERROR(E1709*'01 Prod Physique Boites'!H1703,"-")</f>
        <v>41361.839999999997</v>
      </c>
      <c r="G1709" s="728">
        <f>IFERROR(E1709*'01 Prod Physique Boites'!L1703,"-")</f>
        <v>1737197.2799999998</v>
      </c>
      <c r="H1709" s="745">
        <v>37.11</v>
      </c>
      <c r="I1709" s="638">
        <f t="shared" si="964"/>
        <v>69469.919999999998</v>
      </c>
      <c r="J1709" s="420">
        <f t="shared" si="963"/>
        <v>2917736.64</v>
      </c>
    </row>
    <row r="1710" spans="1:10" ht="24" thickBot="1" x14ac:dyDescent="0.35">
      <c r="A1710" s="274" t="s">
        <v>101</v>
      </c>
      <c r="B1710" s="1051"/>
      <c r="C1710" s="300" t="s">
        <v>438</v>
      </c>
      <c r="D1710" s="300" t="s">
        <v>423</v>
      </c>
      <c r="E1710" s="501">
        <v>23.697399999999998</v>
      </c>
      <c r="F1710" s="402">
        <f>IFERROR(E1710*'01 Prod Physique Boites'!H1704,"-")</f>
        <v>0</v>
      </c>
      <c r="G1710" s="403">
        <f>IFERROR(E1710*'01 Prod Physique Boites'!L1704,"-")</f>
        <v>0</v>
      </c>
      <c r="H1710" s="387">
        <v>28.21</v>
      </c>
      <c r="I1710" s="638">
        <f t="shared" si="964"/>
        <v>0</v>
      </c>
      <c r="J1710" s="420">
        <f t="shared" si="963"/>
        <v>0</v>
      </c>
    </row>
    <row r="1711" spans="1:10" ht="24" thickBot="1" x14ac:dyDescent="0.35">
      <c r="A1711" s="274" t="s">
        <v>101</v>
      </c>
      <c r="B1711" s="1051"/>
      <c r="C1711" s="304"/>
      <c r="D1711" s="305" t="s">
        <v>51</v>
      </c>
      <c r="E1711" s="397"/>
      <c r="F1711" s="414">
        <f t="shared" ref="F1711:G1711" si="965">SUM(F1705:F1710)</f>
        <v>41361.839999999997</v>
      </c>
      <c r="G1711" s="415">
        <f t="shared" si="965"/>
        <v>1914643.4111999997</v>
      </c>
      <c r="H1711" s="398"/>
      <c r="I1711" s="414">
        <f t="shared" ref="I1711" si="966">SUM(I1705:I1710)</f>
        <v>69469.919999999998</v>
      </c>
      <c r="J1711" s="430">
        <f>SUM(J1705:J1710)</f>
        <v>3128973.12</v>
      </c>
    </row>
    <row r="1712" spans="1:10" ht="24" thickBot="1" x14ac:dyDescent="0.35">
      <c r="A1712" s="274" t="s">
        <v>101</v>
      </c>
      <c r="B1712" s="1054" t="s">
        <v>163</v>
      </c>
      <c r="C1712" s="1055"/>
      <c r="D1712" s="1056"/>
      <c r="E1712" s="399"/>
      <c r="F1712" s="416">
        <f t="shared" ref="F1712:G1712" si="967">+F1704+F1711</f>
        <v>2112590.8451999999</v>
      </c>
      <c r="G1712" s="417">
        <f t="shared" si="967"/>
        <v>8161780.4436000008</v>
      </c>
      <c r="H1712" s="400"/>
      <c r="I1712" s="416">
        <f t="shared" ref="I1712:J1712" si="968">+I1704+I1711</f>
        <v>3204898.92</v>
      </c>
      <c r="J1712" s="431">
        <f t="shared" si="968"/>
        <v>12532663.080000002</v>
      </c>
    </row>
    <row r="1713" spans="1:10" ht="24" thickBot="1" x14ac:dyDescent="0.35">
      <c r="A1713" s="274" t="s">
        <v>101</v>
      </c>
      <c r="B1713" s="599" t="s">
        <v>32</v>
      </c>
      <c r="C1713" s="957"/>
      <c r="D1713" s="310"/>
      <c r="E1713" s="506">
        <v>12.2659</v>
      </c>
      <c r="F1713" s="408">
        <f>IFERROR(E1713*'01 Prod Physique Boites'!H1707,"-")</f>
        <v>0</v>
      </c>
      <c r="G1713" s="409">
        <f>IFERROR(E1713*'01 Prod Physique Boites'!L1707,"-")</f>
        <v>0</v>
      </c>
      <c r="H1713" s="392"/>
      <c r="I1713" s="426">
        <f>IFERROR(H1713*(F1713/E1713),"-")</f>
        <v>0</v>
      </c>
      <c r="J1713" s="427">
        <f>IFERROR(H1713*(G1713/E1713),"-")</f>
        <v>0</v>
      </c>
    </row>
    <row r="1714" spans="1:10" ht="24" thickBot="1" x14ac:dyDescent="0.35">
      <c r="A1714" s="274" t="s">
        <v>101</v>
      </c>
      <c r="B1714" s="1047" t="s">
        <v>21</v>
      </c>
      <c r="C1714" s="1048"/>
      <c r="D1714" s="1049"/>
      <c r="E1714" s="393"/>
      <c r="F1714" s="410">
        <f t="shared" ref="F1714" si="969">+F1700+F1712+F1713</f>
        <v>2112590.8451999999</v>
      </c>
      <c r="G1714" s="411">
        <f>+G1700+G1712+G1713</f>
        <v>34646710.926000006</v>
      </c>
      <c r="H1714" s="394"/>
      <c r="I1714" s="410">
        <f t="shared" ref="I1714:J1714" si="970">+I1700+I1712+I1713</f>
        <v>3204898.92</v>
      </c>
      <c r="J1714" s="428">
        <f t="shared" si="970"/>
        <v>50666248.439999998</v>
      </c>
    </row>
    <row r="1715" spans="1:10" ht="24" thickBot="1" x14ac:dyDescent="0.35">
      <c r="A1715" s="274" t="s">
        <v>101</v>
      </c>
      <c r="B1715" s="1019" t="s">
        <v>171</v>
      </c>
      <c r="C1715" s="1020"/>
      <c r="D1715" s="1021"/>
      <c r="E1715" s="395"/>
      <c r="F1715" s="412">
        <f t="shared" ref="F1715:G1715" si="971">+F1714</f>
        <v>2112590.8451999999</v>
      </c>
      <c r="G1715" s="413">
        <f t="shared" si="971"/>
        <v>34646710.926000006</v>
      </c>
      <c r="H1715" s="396"/>
      <c r="I1715" s="412">
        <f t="shared" ref="I1715:J1715" si="972">+I1714</f>
        <v>3204898.92</v>
      </c>
      <c r="J1715" s="429">
        <f t="shared" si="972"/>
        <v>50666248.439999998</v>
      </c>
    </row>
    <row r="1716" spans="1:10" ht="23.4" x14ac:dyDescent="0.3">
      <c r="A1716" s="268" t="s">
        <v>102</v>
      </c>
      <c r="B1716" s="1022" t="s">
        <v>401</v>
      </c>
      <c r="C1716" s="311" t="s">
        <v>113</v>
      </c>
      <c r="D1716" s="311"/>
      <c r="E1716" s="709">
        <v>254.89750000000001</v>
      </c>
      <c r="F1716" s="402">
        <f>IFERROR(E1716*'01 Prod Physique Boites'!H1710,"-")</f>
        <v>0</v>
      </c>
      <c r="G1716" s="403">
        <f>IFERROR(E1716*'01 Prod Physique Boites'!L1710,"-")</f>
        <v>0</v>
      </c>
      <c r="H1716" s="381">
        <v>445.38</v>
      </c>
      <c r="I1716" s="419">
        <f>IFERROR(H1716*(F1716/E1716),"-")</f>
        <v>0</v>
      </c>
      <c r="J1716" s="420">
        <f t="shared" ref="J1716:J1718" si="973">IFERROR(H1716*(G1716/E1716),"-")</f>
        <v>0</v>
      </c>
    </row>
    <row r="1717" spans="1:10" ht="23.4" x14ac:dyDescent="0.3">
      <c r="A1717" s="274" t="s">
        <v>102</v>
      </c>
      <c r="B1717" s="1023"/>
      <c r="C1717" s="312" t="s">
        <v>247</v>
      </c>
      <c r="D1717" s="312"/>
      <c r="E1717" s="503">
        <v>246.51390000000001</v>
      </c>
      <c r="F1717" s="402">
        <f>IFERROR(E1717*'01 Prod Physique Boites'!H1711,"-")</f>
        <v>0</v>
      </c>
      <c r="G1717" s="403">
        <f>IFERROR(E1717*'01 Prod Physique Boites'!L1711,"-")</f>
        <v>2255355.6710999999</v>
      </c>
      <c r="H1717" s="385">
        <v>430.02</v>
      </c>
      <c r="I1717" s="421">
        <f>IFERROR(H1717*(F1717/E1717),"-")</f>
        <v>0</v>
      </c>
      <c r="J1717" s="422">
        <f t="shared" si="973"/>
        <v>3934252.98</v>
      </c>
    </row>
    <row r="1718" spans="1:10" ht="24" thickBot="1" x14ac:dyDescent="0.35">
      <c r="A1718" s="274" t="s">
        <v>102</v>
      </c>
      <c r="B1718" s="1024"/>
      <c r="C1718" s="313" t="s">
        <v>33</v>
      </c>
      <c r="D1718" s="313"/>
      <c r="E1718" s="500">
        <v>225.7713</v>
      </c>
      <c r="F1718" s="402">
        <f>IFERROR(E1718*'01 Prod Physique Boites'!H1712,"-")</f>
        <v>0</v>
      </c>
      <c r="G1718" s="403">
        <f>IFERROR(E1718*'01 Prod Physique Boites'!L1712,"-")</f>
        <v>0</v>
      </c>
      <c r="H1718" s="387"/>
      <c r="I1718" s="423">
        <f>IFERROR(H1718*(F1718/E1718),"-")</f>
        <v>0</v>
      </c>
      <c r="J1718" s="424">
        <f t="shared" si="973"/>
        <v>0</v>
      </c>
    </row>
    <row r="1719" spans="1:10" ht="24" thickBot="1" x14ac:dyDescent="0.35">
      <c r="A1719" s="274" t="s">
        <v>102</v>
      </c>
      <c r="B1719" s="1025" t="s">
        <v>34</v>
      </c>
      <c r="C1719" s="1026"/>
      <c r="D1719" s="1027"/>
      <c r="E1719" s="390"/>
      <c r="F1719" s="406">
        <f t="shared" ref="F1719:G1719" si="974">SUM(F1716:F1718)</f>
        <v>0</v>
      </c>
      <c r="G1719" s="407">
        <f t="shared" si="974"/>
        <v>2255355.6710999999</v>
      </c>
      <c r="H1719" s="391"/>
      <c r="I1719" s="406">
        <f t="shared" ref="I1719:J1719" si="975">SUM(I1716:I1718)</f>
        <v>0</v>
      </c>
      <c r="J1719" s="425">
        <f t="shared" si="975"/>
        <v>3934252.98</v>
      </c>
    </row>
    <row r="1720" spans="1:10" ht="23.4" x14ac:dyDescent="0.3">
      <c r="A1720" s="274" t="s">
        <v>102</v>
      </c>
      <c r="B1720" s="1022" t="s">
        <v>35</v>
      </c>
      <c r="C1720" s="311" t="s">
        <v>113</v>
      </c>
      <c r="D1720" s="311"/>
      <c r="E1720" s="502">
        <v>254.89750000000001</v>
      </c>
      <c r="F1720" s="402">
        <f>IFERROR(E1720*'01 Prod Physique Boites'!H1714,"-")</f>
        <v>0</v>
      </c>
      <c r="G1720" s="403">
        <f>IFERROR(E1720*'01 Prod Physique Boites'!L1714,"-")</f>
        <v>0</v>
      </c>
      <c r="H1720" s="381">
        <v>445.38</v>
      </c>
      <c r="I1720" s="419">
        <f>IFERROR(H1720*(F1720/E1720),"-")</f>
        <v>0</v>
      </c>
      <c r="J1720" s="420">
        <f t="shared" ref="J1720:J1723" si="976">IFERROR(H1720*(G1720/E1720),"-")</f>
        <v>0</v>
      </c>
    </row>
    <row r="1721" spans="1:10" ht="23.4" x14ac:dyDescent="0.3">
      <c r="A1721" s="274" t="s">
        <v>102</v>
      </c>
      <c r="B1721" s="1023"/>
      <c r="C1721" s="312" t="s">
        <v>247</v>
      </c>
      <c r="D1721" s="312"/>
      <c r="E1721" s="503">
        <v>246.51390000000001</v>
      </c>
      <c r="F1721" s="402">
        <f>IFERROR(E1721*'01 Prod Physique Boites'!H1715,"-")</f>
        <v>1577688.96</v>
      </c>
      <c r="G1721" s="403">
        <f>IFERROR(E1721*'01 Prod Physique Boites'!L1715,"-")</f>
        <v>2603186.784</v>
      </c>
      <c r="H1721" s="385">
        <v>430.02</v>
      </c>
      <c r="I1721" s="421">
        <f>IFERROR(H1721*(F1721/E1721),"-")</f>
        <v>2752128</v>
      </c>
      <c r="J1721" s="422">
        <f t="shared" si="976"/>
        <v>4541011.2</v>
      </c>
    </row>
    <row r="1722" spans="1:10" ht="23.4" x14ac:dyDescent="0.3">
      <c r="A1722" s="274" t="s">
        <v>102</v>
      </c>
      <c r="B1722" s="1023"/>
      <c r="C1722" s="312" t="s">
        <v>184</v>
      </c>
      <c r="D1722" s="312" t="s">
        <v>183</v>
      </c>
      <c r="E1722" s="503">
        <v>254.89750000000001</v>
      </c>
      <c r="F1722" s="402">
        <f>IFERROR(E1722*'01 Prod Physique Boites'!H1716,"-")</f>
        <v>0</v>
      </c>
      <c r="G1722" s="403">
        <f>IFERROR(E1722*'01 Prod Physique Boites'!L1716,"-")</f>
        <v>0</v>
      </c>
      <c r="H1722" s="385"/>
      <c r="I1722" s="421">
        <f>IFERROR(H1722*(F1722/E1722),"-")</f>
        <v>0</v>
      </c>
      <c r="J1722" s="422">
        <f t="shared" si="976"/>
        <v>0</v>
      </c>
    </row>
    <row r="1723" spans="1:10" ht="24" thickBot="1" x14ac:dyDescent="0.35">
      <c r="A1723" s="274" t="s">
        <v>102</v>
      </c>
      <c r="B1723" s="1024"/>
      <c r="C1723" s="313" t="s">
        <v>36</v>
      </c>
      <c r="D1723" s="313"/>
      <c r="E1723" s="500">
        <v>229.99359999999999</v>
      </c>
      <c r="F1723" s="402">
        <f>IFERROR(E1723*'01 Prod Physique Boites'!H1717,"-")</f>
        <v>0</v>
      </c>
      <c r="G1723" s="403">
        <f>IFERROR(E1723*'01 Prod Physique Boites'!L1717,"-")</f>
        <v>0</v>
      </c>
      <c r="H1723" s="387"/>
      <c r="I1723" s="423">
        <f>IFERROR(H1723*(F1723/E1723),"-")</f>
        <v>0</v>
      </c>
      <c r="J1723" s="424">
        <f t="shared" si="976"/>
        <v>0</v>
      </c>
    </row>
    <row r="1724" spans="1:10" ht="24" thickBot="1" x14ac:dyDescent="0.35">
      <c r="A1724" s="274" t="s">
        <v>102</v>
      </c>
      <c r="B1724" s="1025" t="s">
        <v>37</v>
      </c>
      <c r="C1724" s="1026"/>
      <c r="D1724" s="1027"/>
      <c r="E1724" s="390"/>
      <c r="F1724" s="406">
        <f t="shared" ref="F1724:G1724" si="977">SUM(F1720:F1723)</f>
        <v>1577688.96</v>
      </c>
      <c r="G1724" s="407">
        <f t="shared" si="977"/>
        <v>2603186.784</v>
      </c>
      <c r="H1724" s="391"/>
      <c r="I1724" s="406">
        <f>SUM(I1720:I1723)</f>
        <v>2752128</v>
      </c>
      <c r="J1724" s="425">
        <f>SUM(J1720:J1723)</f>
        <v>4541011.2</v>
      </c>
    </row>
    <row r="1725" spans="1:10" ht="23.4" x14ac:dyDescent="0.3">
      <c r="A1725" s="274" t="s">
        <v>102</v>
      </c>
      <c r="B1725" s="1022" t="s">
        <v>402</v>
      </c>
      <c r="C1725" s="314" t="s">
        <v>116</v>
      </c>
      <c r="D1725" s="314"/>
      <c r="E1725" s="502">
        <v>195.2808</v>
      </c>
      <c r="F1725" s="402">
        <f>IFERROR(E1725*'01 Prod Physique Boites'!H1719,"-")</f>
        <v>0</v>
      </c>
      <c r="G1725" s="403">
        <f>IFERROR(E1725*'01 Prod Physique Boites'!L1719,"-")</f>
        <v>0</v>
      </c>
      <c r="H1725" s="681">
        <v>256.7</v>
      </c>
      <c r="I1725" s="419">
        <f>IFERROR(H1725*(F1725/E1725),"-")</f>
        <v>0</v>
      </c>
      <c r="J1725" s="420">
        <f t="shared" ref="J1725:J1726" si="978">IFERROR(H1725*(G1725/E1725),"-")</f>
        <v>0</v>
      </c>
    </row>
    <row r="1726" spans="1:10" ht="24" thickBot="1" x14ac:dyDescent="0.35">
      <c r="A1726" s="274" t="s">
        <v>102</v>
      </c>
      <c r="B1726" s="1024"/>
      <c r="C1726" s="286" t="s">
        <v>132</v>
      </c>
      <c r="D1726" s="286"/>
      <c r="E1726" s="500">
        <v>189.91890000000001</v>
      </c>
      <c r="F1726" s="402">
        <f>IFERROR(E1726*'01 Prod Physique Boites'!H1720,"-")</f>
        <v>0</v>
      </c>
      <c r="G1726" s="403">
        <f>IFERROR(E1726*'01 Prod Physique Boites'!L1720,"-")</f>
        <v>4138332.8310000002</v>
      </c>
      <c r="H1726" s="387">
        <v>320.35000000000002</v>
      </c>
      <c r="I1726" s="423">
        <f>IFERROR(H1726*(F1726/E1726),"-")</f>
        <v>0</v>
      </c>
      <c r="J1726" s="424">
        <f t="shared" si="978"/>
        <v>6980426.5000000009</v>
      </c>
    </row>
    <row r="1727" spans="1:10" ht="24" thickBot="1" x14ac:dyDescent="0.35">
      <c r="A1727" s="961" t="s">
        <v>102</v>
      </c>
      <c r="B1727" s="1025" t="s">
        <v>38</v>
      </c>
      <c r="C1727" s="1026"/>
      <c r="D1727" s="1027"/>
      <c r="E1727" s="390"/>
      <c r="F1727" s="406">
        <f>SUM(F1725:F1726)</f>
        <v>0</v>
      </c>
      <c r="G1727" s="407">
        <f t="shared" ref="G1727" si="979">SUM(G1725:G1726)</f>
        <v>4138332.8310000002</v>
      </c>
      <c r="H1727" s="391"/>
      <c r="I1727" s="406">
        <f t="shared" ref="I1727:J1727" si="980">SUM(I1725:I1726)</f>
        <v>0</v>
      </c>
      <c r="J1727" s="425">
        <f t="shared" si="980"/>
        <v>6980426.5000000009</v>
      </c>
    </row>
    <row r="1728" spans="1:10" ht="23.4" x14ac:dyDescent="0.3">
      <c r="A1728" s="274" t="s">
        <v>102</v>
      </c>
      <c r="B1728" s="1022" t="s">
        <v>403</v>
      </c>
      <c r="C1728" s="269" t="s">
        <v>306</v>
      </c>
      <c r="D1728" s="269" t="s">
        <v>238</v>
      </c>
      <c r="E1728" s="504">
        <v>37.248699999999999</v>
      </c>
      <c r="F1728" s="402">
        <f>IFERROR(E1728*'01 Prod Physique Boites'!H1722,"-")</f>
        <v>0</v>
      </c>
      <c r="G1728" s="403">
        <f>IFERROR(E1728*'01 Prod Physique Boites'!L1722,"-")</f>
        <v>12998306.352</v>
      </c>
      <c r="H1728" s="381">
        <v>71.44</v>
      </c>
      <c r="I1728" s="419">
        <f>IFERROR(H1728*(F1728/E1728),"-")</f>
        <v>0</v>
      </c>
      <c r="J1728" s="420">
        <f>IFERROR(H1728*(G1728/E1728),"-")</f>
        <v>24929702.399999999</v>
      </c>
    </row>
    <row r="1729" spans="1:10" ht="23.4" x14ac:dyDescent="0.3">
      <c r="A1729" s="274" t="s">
        <v>102</v>
      </c>
      <c r="B1729" s="1023"/>
      <c r="C1729" s="269" t="s">
        <v>156</v>
      </c>
      <c r="D1729" s="275"/>
      <c r="E1729" s="504">
        <v>37.248699999999999</v>
      </c>
      <c r="F1729" s="402">
        <f>IFERROR(E1729*'01 Prod Physique Boites'!H1723,"-")</f>
        <v>0</v>
      </c>
      <c r="G1729" s="403">
        <f>IFERROR(E1729*'01 Prod Physique Boites'!L1723,"-")</f>
        <v>0</v>
      </c>
      <c r="H1729" s="385"/>
      <c r="I1729" s="421">
        <f>IFERROR(H1729*(F1729/E1729),"-")</f>
        <v>0</v>
      </c>
      <c r="J1729" s="422">
        <f t="shared" ref="J1729:J1731" si="981">IFERROR(H1729*(G1729/E1729),"-")</f>
        <v>0</v>
      </c>
    </row>
    <row r="1730" spans="1:10" ht="23.4" x14ac:dyDescent="0.3">
      <c r="A1730" s="274" t="s">
        <v>102</v>
      </c>
      <c r="B1730" s="1023"/>
      <c r="C1730" s="275" t="s">
        <v>345</v>
      </c>
      <c r="D1730" s="269" t="s">
        <v>238</v>
      </c>
      <c r="E1730" s="504">
        <v>37.248699999999999</v>
      </c>
      <c r="F1730" s="402">
        <f>IFERROR(E1730*'01 Prod Physique Boites'!H1724,"-")</f>
        <v>0</v>
      </c>
      <c r="G1730" s="403">
        <f>IFERROR(E1730*'01 Prod Physique Boites'!L1724,"-")</f>
        <v>1826378.2583999999</v>
      </c>
      <c r="H1730" s="385">
        <v>71.44</v>
      </c>
      <c r="I1730" s="421">
        <f>IFERROR(H1730*(F1730/E1730),"-")</f>
        <v>0</v>
      </c>
      <c r="J1730" s="422">
        <f t="shared" si="981"/>
        <v>3502846.08</v>
      </c>
    </row>
    <row r="1731" spans="1:10" ht="24" thickBot="1" x14ac:dyDescent="0.35">
      <c r="A1731" s="274" t="s">
        <v>102</v>
      </c>
      <c r="B1731" s="1023"/>
      <c r="C1731" s="275" t="s">
        <v>157</v>
      </c>
      <c r="D1731" s="275"/>
      <c r="E1731" s="505">
        <v>38.466099999999997</v>
      </c>
      <c r="F1731" s="402">
        <f>IFERROR(E1731*'01 Prod Physique Boites'!H1725,"-")</f>
        <v>0</v>
      </c>
      <c r="G1731" s="403">
        <f>IFERROR(E1731*'01 Prod Physique Boites'!L1725,"-")</f>
        <v>0</v>
      </c>
      <c r="H1731" s="385"/>
      <c r="I1731" s="421">
        <f>IFERROR(H1731*(F1731/E1731),"-")</f>
        <v>0</v>
      </c>
      <c r="J1731" s="422">
        <f t="shared" si="981"/>
        <v>0</v>
      </c>
    </row>
    <row r="1732" spans="1:10" ht="24" thickBot="1" x14ac:dyDescent="0.35">
      <c r="A1732" s="274" t="s">
        <v>102</v>
      </c>
      <c r="B1732" s="1025" t="s">
        <v>39</v>
      </c>
      <c r="C1732" s="1026"/>
      <c r="D1732" s="1027"/>
      <c r="E1732" s="390"/>
      <c r="F1732" s="406">
        <f>SUM(F1728:F1731)</f>
        <v>0</v>
      </c>
      <c r="G1732" s="407">
        <f>SUM(G1728:G1731)</f>
        <v>14824684.610400001</v>
      </c>
      <c r="H1732" s="391"/>
      <c r="I1732" s="406">
        <f>SUM(I1728:I1731)</f>
        <v>0</v>
      </c>
      <c r="J1732" s="406">
        <f>SUM(J1728:J1731)</f>
        <v>28432548.479999997</v>
      </c>
    </row>
    <row r="1733" spans="1:10" ht="23.4" x14ac:dyDescent="0.3">
      <c r="A1733" s="274" t="s">
        <v>102</v>
      </c>
      <c r="B1733" s="1022" t="s">
        <v>40</v>
      </c>
      <c r="C1733" s="269" t="s">
        <v>186</v>
      </c>
      <c r="D1733" s="269" t="s">
        <v>183</v>
      </c>
      <c r="E1733" s="504">
        <v>30.7499</v>
      </c>
      <c r="F1733" s="402">
        <f>IFERROR(E1733*'01 Prod Physique Boites'!H1728,"-")</f>
        <v>0</v>
      </c>
      <c r="G1733" s="402">
        <f>IFERROR(E1733*'01 Prod Physique Boites'!L1728,"-")</f>
        <v>0</v>
      </c>
      <c r="H1733" s="381"/>
      <c r="I1733" s="419">
        <f>IFERROR(H1733*(F1733/E1733),"-")</f>
        <v>0</v>
      </c>
      <c r="J1733" s="420">
        <f>IFERROR(H1733*(G1733/E1733),"-")</f>
        <v>0</v>
      </c>
    </row>
    <row r="1734" spans="1:10" ht="23.4" x14ac:dyDescent="0.3">
      <c r="A1734" s="274" t="s">
        <v>102</v>
      </c>
      <c r="B1734" s="1023"/>
      <c r="C1734" s="275" t="s">
        <v>159</v>
      </c>
      <c r="D1734" s="275"/>
      <c r="E1734" s="684">
        <v>30.073599999999999</v>
      </c>
      <c r="F1734" s="402">
        <f>IFERROR(E1734*'01 Prod Physique Boites'!H1729,"-")</f>
        <v>0</v>
      </c>
      <c r="G1734" s="403">
        <f>IFERROR(E1734*'01 Prod Physique Boites'!L1729,"-")</f>
        <v>342839.03999999998</v>
      </c>
      <c r="H1734" s="385">
        <v>59.96</v>
      </c>
      <c r="I1734" s="421">
        <f>IFERROR(H1734*(F1734/E1734),"-")</f>
        <v>0</v>
      </c>
      <c r="J1734" s="422">
        <f t="shared" ref="J1734:J1735" si="982">IFERROR(H1734*(G1734/E1734),"-")</f>
        <v>683544</v>
      </c>
    </row>
    <row r="1735" spans="1:10" ht="24" thickBot="1" x14ac:dyDescent="0.35">
      <c r="A1735" s="274" t="s">
        <v>102</v>
      </c>
      <c r="B1735" s="1024"/>
      <c r="C1735" s="279" t="s">
        <v>186</v>
      </c>
      <c r="D1735" s="279" t="s">
        <v>185</v>
      </c>
      <c r="E1735" s="501">
        <v>30.073599999999999</v>
      </c>
      <c r="F1735" s="402">
        <f>IFERROR(E1735*'01 Prod Physique Boites'!H1730,"-")</f>
        <v>0</v>
      </c>
      <c r="G1735" s="403">
        <f>IFERROR(E1735*'01 Prod Physique Boites'!L1730,"-")</f>
        <v>0</v>
      </c>
      <c r="H1735" s="387"/>
      <c r="I1735" s="423">
        <f>IFERROR(H1735*(F1735/E1735),"-")</f>
        <v>0</v>
      </c>
      <c r="J1735" s="424">
        <f t="shared" si="982"/>
        <v>0</v>
      </c>
    </row>
    <row r="1736" spans="1:10" ht="24" thickBot="1" x14ac:dyDescent="0.35">
      <c r="A1736" s="274" t="s">
        <v>102</v>
      </c>
      <c r="B1736" s="1034" t="s">
        <v>41</v>
      </c>
      <c r="C1736" s="1035"/>
      <c r="D1736" s="1036"/>
      <c r="E1736" s="390"/>
      <c r="F1736" s="406">
        <f t="shared" ref="F1736:G1736" si="983">SUM(F1733:F1735)</f>
        <v>0</v>
      </c>
      <c r="G1736" s="407">
        <f t="shared" si="983"/>
        <v>342839.03999999998</v>
      </c>
      <c r="H1736" s="391"/>
      <c r="I1736" s="406">
        <f t="shared" ref="I1736:J1736" si="984">SUM(I1733:I1735)</f>
        <v>0</v>
      </c>
      <c r="J1736" s="425">
        <f t="shared" si="984"/>
        <v>683544</v>
      </c>
    </row>
    <row r="1737" spans="1:10" ht="23.4" x14ac:dyDescent="0.3">
      <c r="A1737" s="274" t="s">
        <v>102</v>
      </c>
      <c r="B1737" s="1022" t="s">
        <v>42</v>
      </c>
      <c r="C1737" s="269" t="s">
        <v>160</v>
      </c>
      <c r="D1737" s="269"/>
      <c r="E1737" s="504">
        <v>36.684899999999999</v>
      </c>
      <c r="F1737" s="402">
        <f>IFERROR(E1737*'01 Prod Physique Boites'!H1732,"-")</f>
        <v>58695.839999999997</v>
      </c>
      <c r="G1737" s="402">
        <f>IFERROR(E1737*'01 Prod Physique Boites'!L1732,"-")</f>
        <v>58695.839999999997</v>
      </c>
      <c r="H1737" s="381">
        <v>42</v>
      </c>
      <c r="I1737" s="382">
        <f t="shared" ref="I1737:I1738" si="985">IFERROR(H1737*(F1737/E1737),"-")</f>
        <v>67200</v>
      </c>
      <c r="J1737" s="383">
        <f t="shared" ref="J1737:J1738" si="986">IFERROR(H1737*(G1737/E1737),"-")</f>
        <v>67200</v>
      </c>
    </row>
    <row r="1738" spans="1:10" ht="24" thickBot="1" x14ac:dyDescent="0.35">
      <c r="A1738" s="274" t="s">
        <v>102</v>
      </c>
      <c r="B1738" s="1024"/>
      <c r="C1738" s="279" t="s">
        <v>161</v>
      </c>
      <c r="D1738" s="279"/>
      <c r="E1738" s="501">
        <v>37.002800000000001</v>
      </c>
      <c r="F1738" s="402">
        <f>IFERROR(E1738*'01 Prod Physique Boites'!H1733,"-")</f>
        <v>0</v>
      </c>
      <c r="G1738" s="402">
        <f>IFERROR(E1738*'01 Prod Physique Boites'!L1733,"-")</f>
        <v>0</v>
      </c>
      <c r="H1738" s="387"/>
      <c r="I1738" s="388">
        <f t="shared" si="985"/>
        <v>0</v>
      </c>
      <c r="J1738" s="389">
        <f t="shared" si="986"/>
        <v>0</v>
      </c>
    </row>
    <row r="1739" spans="1:10" ht="24" thickBot="1" x14ac:dyDescent="0.35">
      <c r="A1739" s="274" t="s">
        <v>102</v>
      </c>
      <c r="B1739" s="1034" t="s">
        <v>43</v>
      </c>
      <c r="C1739" s="1035"/>
      <c r="D1739" s="1036"/>
      <c r="E1739" s="390"/>
      <c r="F1739" s="402">
        <f>IFERROR(E1739*'01 Prod Physique Boites'!H1733,"-")</f>
        <v>0</v>
      </c>
      <c r="G1739" s="407">
        <f>SUM(G1737:G1738)</f>
        <v>58695.839999999997</v>
      </c>
      <c r="H1739" s="391"/>
      <c r="I1739" s="406">
        <f t="shared" ref="I1739:J1739" si="987">SUM(I1737:I1738)</f>
        <v>67200</v>
      </c>
      <c r="J1739" s="425">
        <f t="shared" si="987"/>
        <v>67200</v>
      </c>
    </row>
    <row r="1740" spans="1:10" ht="24" thickBot="1" x14ac:dyDescent="0.35">
      <c r="A1740" s="274" t="s">
        <v>102</v>
      </c>
      <c r="B1740" s="1028" t="s">
        <v>25</v>
      </c>
      <c r="C1740" s="1029"/>
      <c r="D1740" s="1030"/>
      <c r="E1740" s="393"/>
      <c r="F1740" s="410">
        <f>+F1719+F1724+F1727+F1732+F1736+F1739</f>
        <v>1577688.96</v>
      </c>
      <c r="G1740" s="411">
        <f>+G1719+G1724+G1727+G1732+G1736+G1739</f>
        <v>24223094.776499998</v>
      </c>
      <c r="H1740" s="394"/>
      <c r="I1740" s="410">
        <f>+I1719+I1724+I1727+I1732+I1736+I1739</f>
        <v>2819328</v>
      </c>
      <c r="J1740" s="428">
        <f>+J1719+J1724+J1727+J1732+J1736+J1739</f>
        <v>44638983.159999996</v>
      </c>
    </row>
    <row r="1741" spans="1:10" ht="24" thickBot="1" x14ac:dyDescent="0.35">
      <c r="A1741" s="318" t="s">
        <v>102</v>
      </c>
      <c r="B1741" s="1020" t="s">
        <v>173</v>
      </c>
      <c r="C1741" s="1020"/>
      <c r="D1741" s="1021"/>
      <c r="E1741" s="395"/>
      <c r="F1741" s="412">
        <f t="shared" ref="F1741:G1741" si="988">+F1740</f>
        <v>1577688.96</v>
      </c>
      <c r="G1741" s="413">
        <f t="shared" si="988"/>
        <v>24223094.776499998</v>
      </c>
      <c r="H1741" s="396"/>
      <c r="I1741" s="412">
        <f t="shared" ref="I1741" si="989">+I1740</f>
        <v>2819328</v>
      </c>
      <c r="J1741" s="429">
        <f>+J1740</f>
        <v>44638983.159999996</v>
      </c>
    </row>
    <row r="1742" spans="1:10" ht="24.6" thickBot="1" x14ac:dyDescent="0.35">
      <c r="A1742" s="319"/>
      <c r="B1742" s="1031" t="s">
        <v>174</v>
      </c>
      <c r="C1742" s="1032"/>
      <c r="D1742" s="1033"/>
      <c r="E1742" s="401"/>
      <c r="F1742" s="418">
        <f>+F1680+F1715+F1741</f>
        <v>6320379.4307999993</v>
      </c>
      <c r="G1742" s="418">
        <f>+G1680+G1715+G1741</f>
        <v>100907592.79850002</v>
      </c>
      <c r="H1742" s="401"/>
      <c r="I1742" s="418">
        <f>+I1680+I1715+I1741</f>
        <v>9654134.2800000012</v>
      </c>
      <c r="J1742" s="432">
        <f>+J1680+J1715+J1741</f>
        <v>142687920</v>
      </c>
    </row>
    <row r="1743" spans="1:10" ht="23.4" x14ac:dyDescent="0.3">
      <c r="A1743" s="1057" t="s">
        <v>1</v>
      </c>
      <c r="B1743" s="1060" t="s">
        <v>2</v>
      </c>
      <c r="C1743" s="1063" t="s">
        <v>396</v>
      </c>
      <c r="D1743" s="1063" t="s">
        <v>397</v>
      </c>
      <c r="E1743" s="1092" t="s">
        <v>405</v>
      </c>
      <c r="F1743" s="1093"/>
      <c r="G1743" s="1093"/>
      <c r="H1743" s="442"/>
      <c r="I1743" s="442"/>
      <c r="J1743" s="443"/>
    </row>
    <row r="1744" spans="1:10" ht="23.4" x14ac:dyDescent="0.3">
      <c r="A1744" s="1058"/>
      <c r="B1744" s="1061"/>
      <c r="C1744" s="1064"/>
      <c r="D1744" s="1064"/>
      <c r="E1744" s="1094" t="s">
        <v>408</v>
      </c>
      <c r="F1744" s="1095"/>
      <c r="G1744" s="1096"/>
      <c r="H1744" s="1094" t="s">
        <v>168</v>
      </c>
      <c r="I1744" s="1095"/>
      <c r="J1744" s="1096"/>
    </row>
    <row r="1745" spans="1:10" ht="46.8" x14ac:dyDescent="0.3">
      <c r="A1745" s="1059"/>
      <c r="B1745" s="1090"/>
      <c r="C1745" s="1091"/>
      <c r="D1745" s="1091"/>
      <c r="E1745" s="379" t="s">
        <v>170</v>
      </c>
      <c r="F1745" s="967" t="s">
        <v>407</v>
      </c>
      <c r="G1745" s="968" t="s">
        <v>406</v>
      </c>
      <c r="H1745" s="1097" t="s">
        <v>170</v>
      </c>
      <c r="I1745" s="1099" t="s">
        <v>137</v>
      </c>
      <c r="J1745" s="1101" t="s">
        <v>406</v>
      </c>
    </row>
    <row r="1746" spans="1:10" ht="24" thickBot="1" x14ac:dyDescent="0.35">
      <c r="A1746" s="1059"/>
      <c r="B1746" s="1062"/>
      <c r="C1746" s="1065"/>
      <c r="D1746" s="1065"/>
      <c r="E1746" s="1103" t="s">
        <v>572</v>
      </c>
      <c r="F1746" s="1104"/>
      <c r="G1746" s="1105"/>
      <c r="H1746" s="1098"/>
      <c r="I1746" s="1100"/>
      <c r="J1746" s="1102"/>
    </row>
    <row r="1747" spans="1:10" ht="23.4" x14ac:dyDescent="0.3">
      <c r="A1747" s="268" t="s">
        <v>103</v>
      </c>
      <c r="B1747" s="1043" t="s">
        <v>16</v>
      </c>
      <c r="C1747" s="269" t="s">
        <v>368</v>
      </c>
      <c r="D1747" s="269" t="s">
        <v>369</v>
      </c>
      <c r="E1747" s="705">
        <v>81.360699999999994</v>
      </c>
      <c r="F1747" s="402">
        <f>IFERROR(E1747*'01 Prod Physique Boites'!H1741,"-")</f>
        <v>0</v>
      </c>
      <c r="G1747" s="402">
        <f>IFERROR(E1747*'01 Prod Physique Boites'!L1741,"-")</f>
        <v>1514936.2339999999</v>
      </c>
      <c r="H1747" s="706">
        <v>143.28</v>
      </c>
      <c r="I1747" s="419">
        <f>IFERROR(H1747*(F1747/E1747),"-")</f>
        <v>0</v>
      </c>
      <c r="J1747" s="420">
        <f t="shared" ref="J1747:J1749" si="990">IFERROR(H1747*(G1747/E1747),"-")</f>
        <v>2667873.6</v>
      </c>
    </row>
    <row r="1748" spans="1:10" ht="23.4" x14ac:dyDescent="0.3">
      <c r="A1748" s="713"/>
      <c r="B1748" s="1044"/>
      <c r="C1748" s="275" t="s">
        <v>470</v>
      </c>
      <c r="D1748" s="275" t="s">
        <v>375</v>
      </c>
      <c r="E1748" s="505">
        <v>81.360699999999994</v>
      </c>
      <c r="F1748" s="402">
        <f>IFERROR(E1748*'01 Prod Physique Boites'!H1742,"-")</f>
        <v>0</v>
      </c>
      <c r="G1748" s="402">
        <f>IFERROR(E1748*'01 Prod Physique Boites'!L1742,"-")</f>
        <v>0</v>
      </c>
      <c r="H1748" s="708">
        <v>143.28</v>
      </c>
      <c r="I1748" s="419">
        <f>IFERROR(H1748*(F1748/E1748),"-")</f>
        <v>0</v>
      </c>
      <c r="J1748" s="420">
        <f t="shared" si="990"/>
        <v>0</v>
      </c>
    </row>
    <row r="1749" spans="1:10" ht="23.4" x14ac:dyDescent="0.3">
      <c r="A1749" s="274" t="s">
        <v>103</v>
      </c>
      <c r="B1749" s="1044"/>
      <c r="C1749" s="275" t="s">
        <v>430</v>
      </c>
      <c r="D1749" s="275" t="s">
        <v>384</v>
      </c>
      <c r="E1749" s="684">
        <v>77.170400000000001</v>
      </c>
      <c r="F1749" s="402">
        <f>IFERROR(E1749*'01 Prod Physique Boites'!H1743,"-")</f>
        <v>197556.22399999999</v>
      </c>
      <c r="G1749" s="402">
        <f>IFERROR(E1749*'01 Prod Physique Boites'!L1743,"-")</f>
        <v>814919.424</v>
      </c>
      <c r="H1749" s="385">
        <v>0</v>
      </c>
      <c r="I1749" s="419">
        <f>IFERROR(H1749*(F1749/E1749),"-")</f>
        <v>0</v>
      </c>
      <c r="J1749" s="420">
        <f t="shared" si="990"/>
        <v>0</v>
      </c>
    </row>
    <row r="1750" spans="1:10" ht="24" thickBot="1" x14ac:dyDescent="0.35">
      <c r="A1750" s="274" t="s">
        <v>103</v>
      </c>
      <c r="B1750" s="1045"/>
      <c r="C1750" s="279" t="s">
        <v>262</v>
      </c>
      <c r="D1750" s="279" t="s">
        <v>231</v>
      </c>
      <c r="E1750" s="501">
        <v>60.703499999999998</v>
      </c>
      <c r="F1750" s="402">
        <f>IFERROR(E1750*'01 Prod Physique Boites'!H1744,"-")</f>
        <v>0</v>
      </c>
      <c r="G1750" s="402">
        <f>IFERROR(E1750*'01 Prod Physique Boites'!L1744,"-")</f>
        <v>0</v>
      </c>
      <c r="H1750" s="387">
        <v>111.09</v>
      </c>
      <c r="I1750" s="419">
        <f>IFERROR(H1750*(F1750/E1750),"-")</f>
        <v>0</v>
      </c>
      <c r="J1750" s="420">
        <f>IFERROR(H1750*(G1750/E1750),"-")</f>
        <v>0</v>
      </c>
    </row>
    <row r="1751" spans="1:10" ht="24" thickBot="1" x14ac:dyDescent="0.35">
      <c r="A1751" s="274" t="s">
        <v>103</v>
      </c>
      <c r="B1751" s="1025" t="s">
        <v>44</v>
      </c>
      <c r="C1751" s="1026"/>
      <c r="D1751" s="1027"/>
      <c r="E1751" s="390"/>
      <c r="F1751" s="406">
        <f t="shared" ref="F1751" si="991">SUM(F1747:F1750)</f>
        <v>197556.22399999999</v>
      </c>
      <c r="G1751" s="407">
        <f>SUM(G1747:G1750)</f>
        <v>2329855.6579999998</v>
      </c>
      <c r="H1751" s="391"/>
      <c r="I1751" s="406">
        <f t="shared" ref="I1751:J1751" si="992">SUM(I1747:I1750)</f>
        <v>0</v>
      </c>
      <c r="J1751" s="425">
        <f t="shared" si="992"/>
        <v>2667873.6</v>
      </c>
    </row>
    <row r="1752" spans="1:10" ht="23.4" x14ac:dyDescent="0.3">
      <c r="A1752" s="274" t="s">
        <v>103</v>
      </c>
      <c r="B1752" s="1043" t="s">
        <v>17</v>
      </c>
      <c r="C1752" s="269" t="s">
        <v>294</v>
      </c>
      <c r="D1752" s="269"/>
      <c r="E1752" s="504">
        <v>12.5275</v>
      </c>
      <c r="F1752" s="402">
        <f>IFERROR(E1752*'01 Prod Physique Boites'!H1746,"-")</f>
        <v>0</v>
      </c>
      <c r="G1752" s="402">
        <f>IFERROR(E1752*'01 Prod Physique Boites'!L1746,"-")</f>
        <v>0</v>
      </c>
      <c r="H1752" s="681">
        <v>18.836400000000001</v>
      </c>
      <c r="I1752" s="419">
        <f t="shared" ref="I1752:I1758" si="993">IFERROR(H1752*(F1752/E1752),"-")</f>
        <v>0</v>
      </c>
      <c r="J1752" s="420">
        <f t="shared" ref="J1752:J1757" si="994">IFERROR(H1752*(G1752/E1752),"-")</f>
        <v>0</v>
      </c>
    </row>
    <row r="1753" spans="1:10" ht="23.4" x14ac:dyDescent="0.3">
      <c r="A1753" s="274" t="s">
        <v>103</v>
      </c>
      <c r="B1753" s="1044"/>
      <c r="C1753" s="275" t="s">
        <v>344</v>
      </c>
      <c r="D1753" s="275" t="s">
        <v>232</v>
      </c>
      <c r="E1753" s="677">
        <v>13.002700000000001</v>
      </c>
      <c r="F1753" s="402">
        <f>IFERROR(E1753*'01 Prod Physique Boites'!H1747,"-")</f>
        <v>0</v>
      </c>
      <c r="G1753" s="402">
        <f>IFERROR(E1753*'01 Prod Physique Boites'!L1747,"-")</f>
        <v>77756.146000000008</v>
      </c>
      <c r="H1753" s="385">
        <v>21.18</v>
      </c>
      <c r="I1753" s="421">
        <f t="shared" si="993"/>
        <v>0</v>
      </c>
      <c r="J1753" s="422">
        <f t="shared" si="994"/>
        <v>126656.4</v>
      </c>
    </row>
    <row r="1754" spans="1:10" ht="23.4" x14ac:dyDescent="0.3">
      <c r="A1754" s="274" t="s">
        <v>103</v>
      </c>
      <c r="B1754" s="1044"/>
      <c r="C1754" s="275" t="s">
        <v>351</v>
      </c>
      <c r="D1754" s="275" t="s">
        <v>187</v>
      </c>
      <c r="E1754" s="677">
        <v>12.9049</v>
      </c>
      <c r="F1754" s="402">
        <f>IFERROR(E1754*'01 Prod Physique Boites'!H1748,"-")</f>
        <v>631823.90399999998</v>
      </c>
      <c r="G1754" s="402">
        <f>IFERROR(E1754*'01 Prod Physique Boites'!L1748,"-")</f>
        <v>16032531.563999999</v>
      </c>
      <c r="H1754" s="385">
        <v>20.5</v>
      </c>
      <c r="I1754" s="421">
        <f t="shared" si="993"/>
        <v>1003680</v>
      </c>
      <c r="J1754" s="422">
        <f t="shared" si="994"/>
        <v>25468380</v>
      </c>
    </row>
    <row r="1755" spans="1:10" ht="23.4" x14ac:dyDescent="0.3">
      <c r="A1755" s="274" t="s">
        <v>103</v>
      </c>
      <c r="B1755" s="1044"/>
      <c r="C1755" s="275" t="s">
        <v>530</v>
      </c>
      <c r="D1755" s="275" t="s">
        <v>529</v>
      </c>
      <c r="E1755" s="505">
        <v>13.1958</v>
      </c>
      <c r="F1755" s="402">
        <f>IFERROR(E1755*'01 Prod Physique Boites'!H1749,"-")</f>
        <v>0</v>
      </c>
      <c r="G1755" s="402">
        <f>IFERROR(E1755*'01 Prod Physique Boites'!L1749,"-")</f>
        <v>545646.32999999996</v>
      </c>
      <c r="H1755" s="708">
        <v>21.28</v>
      </c>
      <c r="I1755" s="421">
        <f t="shared" si="993"/>
        <v>0</v>
      </c>
      <c r="J1755" s="422">
        <f t="shared" si="994"/>
        <v>879927.99999999988</v>
      </c>
    </row>
    <row r="1756" spans="1:10" ht="23.4" x14ac:dyDescent="0.3">
      <c r="A1756" s="274" t="s">
        <v>103</v>
      </c>
      <c r="B1756" s="1044"/>
      <c r="C1756" s="275" t="s">
        <v>323</v>
      </c>
      <c r="D1756" s="275" t="s">
        <v>318</v>
      </c>
      <c r="E1756" s="505">
        <v>13.1958</v>
      </c>
      <c r="F1756" s="402">
        <f>IFERROR(E1756*'01 Prod Physique Boites'!H1750,"-")</f>
        <v>0</v>
      </c>
      <c r="G1756" s="402">
        <f>IFERROR(E1756*'01 Prod Physique Boites'!L1750,"-")</f>
        <v>0</v>
      </c>
      <c r="H1756" s="385">
        <v>21.28</v>
      </c>
      <c r="I1756" s="421">
        <f t="shared" si="993"/>
        <v>0</v>
      </c>
      <c r="J1756" s="422">
        <f t="shared" si="994"/>
        <v>0</v>
      </c>
    </row>
    <row r="1757" spans="1:10" ht="23.4" x14ac:dyDescent="0.3">
      <c r="A1757" s="274">
        <v>1</v>
      </c>
      <c r="B1757" s="1044"/>
      <c r="C1757" s="275" t="s">
        <v>528</v>
      </c>
      <c r="D1757" s="275" t="s">
        <v>189</v>
      </c>
      <c r="E1757" s="677">
        <v>13.1958</v>
      </c>
      <c r="F1757" s="402">
        <f>IFERROR(E1757*'01 Prod Physique Boites'!H1751,"-")</f>
        <v>0</v>
      </c>
      <c r="G1757" s="402">
        <f>IFERROR(E1757*'01 Prod Physique Boites'!L1751,"-")</f>
        <v>445490.20799999998</v>
      </c>
      <c r="H1757" s="664">
        <v>21.28</v>
      </c>
      <c r="I1757" s="421">
        <f t="shared" si="993"/>
        <v>0</v>
      </c>
      <c r="J1757" s="422">
        <f t="shared" si="994"/>
        <v>718412.80000000005</v>
      </c>
    </row>
    <row r="1758" spans="1:10" ht="24" thickBot="1" x14ac:dyDescent="0.35">
      <c r="A1758" s="274" t="s">
        <v>103</v>
      </c>
      <c r="B1758" s="1045"/>
      <c r="C1758" s="279" t="s">
        <v>341</v>
      </c>
      <c r="D1758" s="279" t="s">
        <v>175</v>
      </c>
      <c r="E1758" s="501">
        <v>13.6509</v>
      </c>
      <c r="F1758" s="402">
        <f>IFERROR(E1758*'01 Prod Physique Boites'!H1752,"-")</f>
        <v>0</v>
      </c>
      <c r="G1758" s="402">
        <f>IFERROR(E1758*'01 Prod Physique Boites'!L1752,"-")</f>
        <v>0</v>
      </c>
      <c r="H1758" s="387">
        <v>21.18</v>
      </c>
      <c r="I1758" s="423">
        <f t="shared" si="993"/>
        <v>0</v>
      </c>
      <c r="J1758" s="424">
        <f>IFERROR(H1758*(G1758/E1758),"-")</f>
        <v>0</v>
      </c>
    </row>
    <row r="1759" spans="1:10" ht="24" thickBot="1" x14ac:dyDescent="0.35">
      <c r="A1759" s="274" t="s">
        <v>103</v>
      </c>
      <c r="B1759" s="1025" t="s">
        <v>45</v>
      </c>
      <c r="C1759" s="1026"/>
      <c r="D1759" s="1027"/>
      <c r="E1759" s="390"/>
      <c r="F1759" s="406">
        <f t="shared" ref="F1759" si="995">SUM(F1752:F1758)</f>
        <v>631823.90399999998</v>
      </c>
      <c r="G1759" s="407">
        <f>SUM(G1752:G1758)</f>
        <v>17101424.248</v>
      </c>
      <c r="H1759" s="391"/>
      <c r="I1759" s="406">
        <f t="shared" ref="I1759" si="996">SUM(I1752:I1758)</f>
        <v>1003680</v>
      </c>
      <c r="J1759" s="425">
        <f>SUM(J1752:J1758)</f>
        <v>27193377.199999999</v>
      </c>
    </row>
    <row r="1760" spans="1:10" ht="23.4" x14ac:dyDescent="0.3">
      <c r="A1760" s="274" t="s">
        <v>103</v>
      </c>
      <c r="B1760" s="1043" t="s">
        <v>18</v>
      </c>
      <c r="C1760" s="269" t="s">
        <v>312</v>
      </c>
      <c r="D1760" s="269" t="s">
        <v>92</v>
      </c>
      <c r="E1760" s="504">
        <v>17.8202</v>
      </c>
      <c r="F1760" s="402">
        <f>IFERROR(E1760*'01 Prod Physique Boites'!H1754,"-")</f>
        <v>0</v>
      </c>
      <c r="G1760" s="403">
        <f>IFERROR(E1760*'01 Prod Physique Boites'!L1754,"-")</f>
        <v>0</v>
      </c>
      <c r="H1760" s="381">
        <v>24.93</v>
      </c>
      <c r="I1760" s="419">
        <f t="shared" ref="I1760:I1766" si="997">IFERROR(H1760*(F1760/E1760),"-")</f>
        <v>0</v>
      </c>
      <c r="J1760" s="420">
        <f t="shared" ref="J1760:J1762" si="998">IFERROR(H1760*(G1760/E1760),"-")</f>
        <v>0</v>
      </c>
    </row>
    <row r="1761" spans="1:10" ht="23.4" x14ac:dyDescent="0.3">
      <c r="A1761" s="274" t="s">
        <v>103</v>
      </c>
      <c r="B1761" s="1044"/>
      <c r="C1761" s="275" t="s">
        <v>130</v>
      </c>
      <c r="D1761" s="275"/>
      <c r="E1761" s="505">
        <v>17.8202</v>
      </c>
      <c r="F1761" s="402">
        <f>IFERROR(E1761*'01 Prod Physique Boites'!H1755,"-")</f>
        <v>0</v>
      </c>
      <c r="G1761" s="403">
        <f>IFERROR(E1761*'01 Prod Physique Boites'!L1755,"-")</f>
        <v>0</v>
      </c>
      <c r="H1761" s="385">
        <v>0</v>
      </c>
      <c r="I1761" s="421">
        <f t="shared" si="997"/>
        <v>0</v>
      </c>
      <c r="J1761" s="422">
        <f t="shared" si="998"/>
        <v>0</v>
      </c>
    </row>
    <row r="1762" spans="1:10" ht="23.4" x14ac:dyDescent="0.3">
      <c r="A1762" s="274" t="s">
        <v>103</v>
      </c>
      <c r="B1762" s="1044"/>
      <c r="C1762" s="275" t="s">
        <v>115</v>
      </c>
      <c r="D1762" s="275"/>
      <c r="E1762" s="505">
        <v>16.4071</v>
      </c>
      <c r="F1762" s="402">
        <f>IFERROR(E1762*'01 Prod Physique Boites'!H1756,"-")</f>
        <v>0</v>
      </c>
      <c r="G1762" s="403">
        <f>IFERROR(E1762*'01 Prod Physique Boites'!L1756,"-")</f>
        <v>0</v>
      </c>
      <c r="H1762" s="385">
        <v>0</v>
      </c>
      <c r="I1762" s="421">
        <f t="shared" si="997"/>
        <v>0</v>
      </c>
      <c r="J1762" s="422">
        <f t="shared" si="998"/>
        <v>0</v>
      </c>
    </row>
    <row r="1763" spans="1:10" ht="23.4" x14ac:dyDescent="0.3">
      <c r="A1763" s="274" t="s">
        <v>103</v>
      </c>
      <c r="B1763" s="1044"/>
      <c r="C1763" s="275" t="s">
        <v>122</v>
      </c>
      <c r="D1763" s="275"/>
      <c r="E1763" s="505">
        <v>17.8202</v>
      </c>
      <c r="F1763" s="402">
        <f>IFERROR(E1763*'01 Prod Physique Boites'!H1757,"-")</f>
        <v>0</v>
      </c>
      <c r="G1763" s="403">
        <f>IFERROR(E1763*'01 Prod Physique Boites'!L1757,"-")</f>
        <v>0</v>
      </c>
      <c r="H1763" s="385">
        <v>0</v>
      </c>
      <c r="I1763" s="421">
        <f t="shared" si="997"/>
        <v>0</v>
      </c>
      <c r="J1763" s="422">
        <f>IFERROR(H1763*(G1763/E1763),"-")</f>
        <v>0</v>
      </c>
    </row>
    <row r="1764" spans="1:10" ht="23.4" x14ac:dyDescent="0.3">
      <c r="A1764" s="274" t="s">
        <v>103</v>
      </c>
      <c r="B1764" s="1044"/>
      <c r="C1764" s="275" t="s">
        <v>176</v>
      </c>
      <c r="D1764" s="275" t="s">
        <v>177</v>
      </c>
      <c r="E1764" s="505">
        <v>17.8202</v>
      </c>
      <c r="F1764" s="402">
        <f>IFERROR(E1764*'01 Prod Physique Boites'!H1758,"-")</f>
        <v>0</v>
      </c>
      <c r="G1764" s="403">
        <f>IFERROR(E1764*'01 Prod Physique Boites'!L1758,"-")</f>
        <v>0</v>
      </c>
      <c r="H1764" s="385">
        <v>0</v>
      </c>
      <c r="I1764" s="421">
        <f t="shared" si="997"/>
        <v>0</v>
      </c>
      <c r="J1764" s="422">
        <f t="shared" ref="J1764:J1766" si="999">IFERROR(H1764*(G1764/E1764),"-")</f>
        <v>0</v>
      </c>
    </row>
    <row r="1765" spans="1:10" ht="23.4" x14ac:dyDescent="0.3">
      <c r="A1765" s="274" t="s">
        <v>103</v>
      </c>
      <c r="B1765" s="1044"/>
      <c r="C1765" s="275" t="s">
        <v>179</v>
      </c>
      <c r="D1765" s="275" t="s">
        <v>178</v>
      </c>
      <c r="E1765" s="505">
        <v>16.7288</v>
      </c>
      <c r="F1765" s="402">
        <f>IFERROR(E1765*'01 Prod Physique Boites'!H1759,"-")</f>
        <v>0</v>
      </c>
      <c r="G1765" s="403">
        <f>IFERROR(E1765*'01 Prod Physique Boites'!L1759,"-")</f>
        <v>0</v>
      </c>
      <c r="H1765" s="385">
        <v>0</v>
      </c>
      <c r="I1765" s="421">
        <f t="shared" si="997"/>
        <v>0</v>
      </c>
      <c r="J1765" s="422">
        <f t="shared" si="999"/>
        <v>0</v>
      </c>
    </row>
    <row r="1766" spans="1:10" ht="24" thickBot="1" x14ac:dyDescent="0.35">
      <c r="A1766" s="274" t="s">
        <v>103</v>
      </c>
      <c r="B1766" s="1045"/>
      <c r="C1766" s="286" t="s">
        <v>180</v>
      </c>
      <c r="D1766" s="286" t="s">
        <v>107</v>
      </c>
      <c r="E1766" s="501">
        <v>17.8202</v>
      </c>
      <c r="F1766" s="402">
        <f>IFERROR(E1766*'01 Prod Physique Boites'!H1760,"-")</f>
        <v>0</v>
      </c>
      <c r="G1766" s="403">
        <f>IFERROR(E1766*'01 Prod Physique Boites'!L1760,"-")</f>
        <v>0</v>
      </c>
      <c r="H1766" s="385">
        <v>0</v>
      </c>
      <c r="I1766" s="423">
        <f t="shared" si="997"/>
        <v>0</v>
      </c>
      <c r="J1766" s="424">
        <f t="shared" si="999"/>
        <v>0</v>
      </c>
    </row>
    <row r="1767" spans="1:10" ht="24" thickBot="1" x14ac:dyDescent="0.35">
      <c r="A1767" s="274" t="s">
        <v>103</v>
      </c>
      <c r="B1767" s="1025" t="s">
        <v>29</v>
      </c>
      <c r="C1767" s="1083"/>
      <c r="D1767" s="1084"/>
      <c r="E1767" s="841"/>
      <c r="F1767" s="856">
        <f t="shared" ref="F1767:G1767" si="1000">SUM(F1760:F1766)</f>
        <v>0</v>
      </c>
      <c r="G1767" s="415">
        <f t="shared" si="1000"/>
        <v>0</v>
      </c>
      <c r="H1767" s="391"/>
      <c r="I1767" s="406">
        <f t="shared" ref="I1767:J1767" si="1001">SUM(I1760:I1766)</f>
        <v>0</v>
      </c>
      <c r="J1767" s="425">
        <f t="shared" si="1001"/>
        <v>0</v>
      </c>
    </row>
    <row r="1768" spans="1:10" ht="23.4" x14ac:dyDescent="0.3">
      <c r="A1768" s="274"/>
      <c r="B1768" s="1037" t="s">
        <v>19</v>
      </c>
      <c r="C1768" s="669" t="s">
        <v>235</v>
      </c>
      <c r="D1768" s="669" t="s">
        <v>177</v>
      </c>
      <c r="E1768" s="850">
        <v>12.2659</v>
      </c>
      <c r="F1768" s="658">
        <f>IFERROR(E1768*'01 Prod Physique Boites'!H1762,"-")</f>
        <v>621733.93920000002</v>
      </c>
      <c r="G1768" s="659">
        <f>IFERROR(E1768*'01 Prod Physique Boites'!L1762,"-")</f>
        <v>5284738.4831999997</v>
      </c>
      <c r="H1768" s="653">
        <v>14.79</v>
      </c>
      <c r="I1768" s="638">
        <f t="shared" ref="I1768:I1774" si="1002">IFERROR(H1768*(F1768/E1768),"-")</f>
        <v>749675.5199999999</v>
      </c>
      <c r="J1768" s="638">
        <f>IFERROR(H1768*(G1768/E1768),"-")</f>
        <v>6372241.919999999</v>
      </c>
    </row>
    <row r="1769" spans="1:10" ht="23.4" x14ac:dyDescent="0.3">
      <c r="A1769" s="274"/>
      <c r="B1769" s="1038"/>
      <c r="C1769" s="840" t="s">
        <v>359</v>
      </c>
      <c r="D1769" s="840" t="s">
        <v>423</v>
      </c>
      <c r="E1769" s="851">
        <v>12.2659</v>
      </c>
      <c r="F1769" s="643">
        <f>IFERROR(E1769*'01 Prod Physique Boites'!H1763,"-")</f>
        <v>0</v>
      </c>
      <c r="G1769" s="633">
        <f>IFERROR(E1769*'01 Prod Physique Boites'!L1763,"-")</f>
        <v>7046317.9775999999</v>
      </c>
      <c r="H1769" s="654">
        <v>14.55</v>
      </c>
      <c r="I1769" s="643">
        <f t="shared" si="1002"/>
        <v>0</v>
      </c>
      <c r="J1769" s="643">
        <f>IFERROR(H1769*(G1769/E1769),"-")</f>
        <v>8358451.2000000002</v>
      </c>
    </row>
    <row r="1770" spans="1:10" ht="23.4" x14ac:dyDescent="0.3">
      <c r="A1770" s="274"/>
      <c r="B1770" s="1038"/>
      <c r="C1770" s="840" t="s">
        <v>235</v>
      </c>
      <c r="D1770" s="840" t="s">
        <v>522</v>
      </c>
      <c r="E1770" s="851">
        <v>12.2659</v>
      </c>
      <c r="F1770" s="643">
        <f>IFERROR(E1770*'01 Prod Physique Boites'!H1764,"-")</f>
        <v>0</v>
      </c>
      <c r="G1770" s="633">
        <f>IFERROR(E1770*'01 Prod Physique Boites'!L1764,"-")</f>
        <v>2621370.0208000001</v>
      </c>
      <c r="H1770" s="860">
        <v>0</v>
      </c>
      <c r="I1770" s="643">
        <f t="shared" si="1002"/>
        <v>0</v>
      </c>
      <c r="J1770" s="643">
        <f t="shared" ref="J1770:J1773" si="1003">IFERROR(H1770*(G1770/E1770),"-")</f>
        <v>0</v>
      </c>
    </row>
    <row r="1771" spans="1:10" ht="23.4" x14ac:dyDescent="0.3">
      <c r="A1771" s="274"/>
      <c r="B1771" s="1038"/>
      <c r="C1771" s="840" t="s">
        <v>377</v>
      </c>
      <c r="D1771" s="840" t="s">
        <v>522</v>
      </c>
      <c r="E1771" s="851">
        <v>12.2659</v>
      </c>
      <c r="F1771" s="643">
        <f>IFERROR(E1771*'01 Prod Physique Boites'!H1765,"-")</f>
        <v>0</v>
      </c>
      <c r="G1771" s="633">
        <f>IFERROR(E1771*'01 Prod Physique Boites'!L1765,"-")</f>
        <v>3523158.9887999999</v>
      </c>
      <c r="H1771" s="860">
        <v>0</v>
      </c>
      <c r="I1771" s="643">
        <f t="shared" si="1002"/>
        <v>0</v>
      </c>
      <c r="J1771" s="643">
        <f t="shared" si="1003"/>
        <v>0</v>
      </c>
    </row>
    <row r="1772" spans="1:10" ht="23.4" x14ac:dyDescent="0.3">
      <c r="A1772" s="274"/>
      <c r="B1772" s="1038"/>
      <c r="C1772" s="840" t="s">
        <v>536</v>
      </c>
      <c r="D1772" s="840" t="s">
        <v>522</v>
      </c>
      <c r="E1772" s="851">
        <v>12.2659</v>
      </c>
      <c r="F1772" s="643">
        <f>IFERROR(E1772*'01 Prod Physique Boites'!H1766,"-")</f>
        <v>0</v>
      </c>
      <c r="G1772" s="633">
        <f>IFERROR(E1772*'01 Prod Physique Boites'!L1766,"-")</f>
        <v>1839296.2368000001</v>
      </c>
      <c r="H1772" s="860">
        <v>0</v>
      </c>
      <c r="I1772" s="643">
        <f t="shared" si="1002"/>
        <v>0</v>
      </c>
      <c r="J1772" s="643">
        <f t="shared" si="1003"/>
        <v>0</v>
      </c>
    </row>
    <row r="1773" spans="1:10" ht="23.4" x14ac:dyDescent="0.3">
      <c r="A1773" s="274"/>
      <c r="B1773" s="1038"/>
      <c r="C1773" s="840"/>
      <c r="D1773" s="840"/>
      <c r="E1773" s="851">
        <v>12.2659</v>
      </c>
      <c r="F1773" s="643">
        <f>IFERROR(E1773*'01 Prod Physique Boites'!H1767,"-")</f>
        <v>0</v>
      </c>
      <c r="G1773" s="633">
        <f>IFERROR(E1773*'01 Prod Physique Boites'!L1767,"-")</f>
        <v>0</v>
      </c>
      <c r="H1773" s="910">
        <v>14.55</v>
      </c>
      <c r="I1773" s="643">
        <f t="shared" si="1002"/>
        <v>0</v>
      </c>
      <c r="J1773" s="643">
        <f t="shared" si="1003"/>
        <v>0</v>
      </c>
    </row>
    <row r="1774" spans="1:10" ht="24" thickBot="1" x14ac:dyDescent="0.35">
      <c r="A1774" s="969" t="s">
        <v>103</v>
      </c>
      <c r="B1774" s="1039"/>
      <c r="C1774" s="670" t="s">
        <v>342</v>
      </c>
      <c r="D1774" s="670"/>
      <c r="E1774" s="852">
        <v>0</v>
      </c>
      <c r="F1774" s="927">
        <f>IFERROR(E1774*'01 Prod Physique Boites'!H1768,"-")</f>
        <v>0</v>
      </c>
      <c r="G1774" s="858">
        <f>IFERROR(E1774*'01 Prod Physique Boites'!L1768,"-")</f>
        <v>0</v>
      </c>
      <c r="H1774" s="655">
        <v>0</v>
      </c>
      <c r="I1774" s="643" t="str">
        <f t="shared" si="1002"/>
        <v>-</v>
      </c>
      <c r="J1774" s="427" t="str">
        <f t="shared" ref="J1774" si="1004">IFERROR(I1774*(G1774/F1774),"-")</f>
        <v>-</v>
      </c>
    </row>
    <row r="1775" spans="1:10" ht="24" thickBot="1" x14ac:dyDescent="0.35">
      <c r="A1775" s="274" t="s">
        <v>103</v>
      </c>
      <c r="B1775" s="1025" t="s">
        <v>46</v>
      </c>
      <c r="C1775" s="1041"/>
      <c r="D1775" s="1042"/>
      <c r="E1775" s="842"/>
      <c r="F1775" s="523">
        <f>SUM(F1768:F1774)</f>
        <v>621733.93920000002</v>
      </c>
      <c r="G1775" s="523">
        <f>SUM(G1768:G1774)</f>
        <v>20314881.707199998</v>
      </c>
      <c r="H1775" s="391"/>
      <c r="I1775" s="406">
        <f>SUM(I1768:I1774)</f>
        <v>749675.5199999999</v>
      </c>
      <c r="J1775" s="425">
        <f>SUM(J1768:J1774)</f>
        <v>14730693.119999999</v>
      </c>
    </row>
    <row r="1776" spans="1:10" ht="23.4" x14ac:dyDescent="0.3">
      <c r="A1776" s="274" t="s">
        <v>103</v>
      </c>
      <c r="B1776" s="1043" t="s">
        <v>20</v>
      </c>
      <c r="C1776" s="291" t="s">
        <v>317</v>
      </c>
      <c r="D1776" s="291" t="s">
        <v>289</v>
      </c>
      <c r="E1776" s="504">
        <v>26.032900000000001</v>
      </c>
      <c r="F1776" s="402">
        <f>IFERROR(E1776*'01 Prod Physique Boites'!H1770,"-")</f>
        <v>0</v>
      </c>
      <c r="G1776" s="403">
        <f>IFERROR(E1776*'01 Prod Physique Boites'!L1770,"-")</f>
        <v>0</v>
      </c>
      <c r="H1776" s="381">
        <v>36.44</v>
      </c>
      <c r="I1776" s="419">
        <f>IFERROR(H1776*(F1776/E1776),"-")</f>
        <v>0</v>
      </c>
      <c r="J1776" s="420">
        <f t="shared" ref="J1776:J1778" si="1005">IFERROR(H1776*(G1776/E1776),"-")</f>
        <v>0</v>
      </c>
    </row>
    <row r="1777" spans="1:10" ht="23.4" x14ac:dyDescent="0.3">
      <c r="A1777" s="274" t="s">
        <v>103</v>
      </c>
      <c r="B1777" s="1044"/>
      <c r="C1777" s="292" t="s">
        <v>114</v>
      </c>
      <c r="D1777" s="292"/>
      <c r="E1777" s="384">
        <v>24.2607</v>
      </c>
      <c r="F1777" s="402">
        <f>IFERROR(E1777*'01 Prod Physique Boites'!H1771,"-")</f>
        <v>0</v>
      </c>
      <c r="G1777" s="403">
        <f>IFERROR(E1777*'01 Prod Physique Boites'!L1771,"-")</f>
        <v>0</v>
      </c>
      <c r="H1777" s="385">
        <v>37.369999999999997</v>
      </c>
      <c r="I1777" s="421">
        <f>IFERROR(H1777*(F1777/E1777),"-")</f>
        <v>0</v>
      </c>
      <c r="J1777" s="422">
        <f t="shared" si="1005"/>
        <v>0</v>
      </c>
    </row>
    <row r="1778" spans="1:10" ht="24" thickBot="1" x14ac:dyDescent="0.35">
      <c r="A1778" s="274" t="s">
        <v>103</v>
      </c>
      <c r="B1778" s="1045"/>
      <c r="C1778" s="293" t="s">
        <v>120</v>
      </c>
      <c r="D1778" s="293"/>
      <c r="E1778" s="386">
        <v>26.035799999999998</v>
      </c>
      <c r="F1778" s="402">
        <f>IFERROR(E1778*'01 Prod Physique Boites'!H1772,"-")</f>
        <v>0</v>
      </c>
      <c r="G1778" s="403">
        <f>IFERROR(E1778*'01 Prod Physique Boites'!L1772,"-")</f>
        <v>0</v>
      </c>
      <c r="H1778" s="387">
        <v>37.11</v>
      </c>
      <c r="I1778" s="423">
        <f>IFERROR(H1778*(F1778/E1778),"-")</f>
        <v>0</v>
      </c>
      <c r="J1778" s="424">
        <f t="shared" si="1005"/>
        <v>0</v>
      </c>
    </row>
    <row r="1779" spans="1:10" ht="24" thickBot="1" x14ac:dyDescent="0.35">
      <c r="A1779" s="274" t="s">
        <v>103</v>
      </c>
      <c r="B1779" s="1026" t="s">
        <v>47</v>
      </c>
      <c r="C1779" s="1026"/>
      <c r="D1779" s="1046"/>
      <c r="E1779" s="390"/>
      <c r="F1779" s="406">
        <f t="shared" ref="F1779:G1779" si="1006">SUM(F1776:F1778)</f>
        <v>0</v>
      </c>
      <c r="G1779" s="407">
        <f t="shared" si="1006"/>
        <v>0</v>
      </c>
      <c r="H1779" s="391"/>
      <c r="I1779" s="406">
        <f t="shared" ref="I1779:J1779" si="1007">SUM(I1776:I1778)</f>
        <v>0</v>
      </c>
      <c r="J1779" s="425">
        <f t="shared" si="1007"/>
        <v>0</v>
      </c>
    </row>
    <row r="1780" spans="1:10" ht="24" thickBot="1" x14ac:dyDescent="0.35">
      <c r="A1780" s="274" t="s">
        <v>103</v>
      </c>
      <c r="B1780" s="1047" t="s">
        <v>21</v>
      </c>
      <c r="C1780" s="1048"/>
      <c r="D1780" s="1049"/>
      <c r="E1780" s="393"/>
      <c r="F1780" s="410">
        <f>+F1751+F1759+F1767+F1775+F1779</f>
        <v>1451114.0671999999</v>
      </c>
      <c r="G1780" s="411">
        <f>+G1751+G1759+G1767+G1775+G1779</f>
        <v>39746161.613199994</v>
      </c>
      <c r="H1780" s="394"/>
      <c r="I1780" s="410">
        <f>+I1751+I1759+I1767+I1775+I1779</f>
        <v>1753355.52</v>
      </c>
      <c r="J1780" s="428">
        <f>+J1751+J1759+J1767+J1775+J1779</f>
        <v>44591943.920000002</v>
      </c>
    </row>
    <row r="1781" spans="1:10" ht="23.4" x14ac:dyDescent="0.3">
      <c r="A1781" s="274" t="s">
        <v>103</v>
      </c>
      <c r="B1781" s="1043" t="s">
        <v>400</v>
      </c>
      <c r="C1781" s="269" t="s">
        <v>125</v>
      </c>
      <c r="D1781" s="269"/>
      <c r="E1781" s="380">
        <v>22.820599999999999</v>
      </c>
      <c r="F1781" s="402">
        <f>IFERROR(E1781*'01 Prod Physique Boites'!H1775,"-")</f>
        <v>0</v>
      </c>
      <c r="G1781" s="403">
        <f>IFERROR(E1781*'01 Prod Physique Boites'!L1775,"-")</f>
        <v>0</v>
      </c>
      <c r="H1781" s="381">
        <v>27.5</v>
      </c>
      <c r="I1781" s="419">
        <f>IFERROR(H1781*(F1781/E1781),"-")</f>
        <v>0</v>
      </c>
      <c r="J1781" s="420">
        <f t="shared" ref="J1781:J1784" si="1008">IFERROR(H1781*(G1781/E1781),"-")</f>
        <v>0</v>
      </c>
    </row>
    <row r="1782" spans="1:10" ht="23.4" x14ac:dyDescent="0.3">
      <c r="A1782" s="274" t="s">
        <v>103</v>
      </c>
      <c r="B1782" s="1044"/>
      <c r="C1782" s="295" t="s">
        <v>263</v>
      </c>
      <c r="D1782" s="295" t="s">
        <v>181</v>
      </c>
      <c r="E1782" s="384">
        <v>23.570699999999999</v>
      </c>
      <c r="F1782" s="402">
        <f>IFERROR(E1782*'01 Prod Physique Boites'!H1776,"-")</f>
        <v>0</v>
      </c>
      <c r="G1782" s="403">
        <f>IFERROR(E1782*'01 Prod Physique Boites'!L1776,"-")</f>
        <v>0</v>
      </c>
      <c r="H1782" s="385">
        <v>27.5</v>
      </c>
      <c r="I1782" s="421">
        <f>IFERROR(H1782*(F1782/E1782),"-")</f>
        <v>0</v>
      </c>
      <c r="J1782" s="422">
        <f t="shared" si="1008"/>
        <v>0</v>
      </c>
    </row>
    <row r="1783" spans="1:10" ht="23.4" x14ac:dyDescent="0.3">
      <c r="A1783" s="274" t="s">
        <v>103</v>
      </c>
      <c r="B1783" s="1044"/>
      <c r="C1783" s="295" t="s">
        <v>362</v>
      </c>
      <c r="D1783" s="295" t="s">
        <v>181</v>
      </c>
      <c r="E1783" s="384">
        <v>22.820599999999999</v>
      </c>
      <c r="F1783" s="402">
        <f>IFERROR(E1783*'01 Prod Physique Boites'!H1777,"-")</f>
        <v>542217.45600000001</v>
      </c>
      <c r="G1783" s="403">
        <f>IFERROR(E1783*'01 Prod Physique Boites'!L1777,"-")</f>
        <v>542217.45600000001</v>
      </c>
      <c r="H1783" s="385">
        <v>27.5</v>
      </c>
      <c r="I1783" s="421">
        <f>IFERROR(H1783*(F1783/E1783),"-")</f>
        <v>653400</v>
      </c>
      <c r="J1783" s="422">
        <f t="shared" si="1008"/>
        <v>653400</v>
      </c>
    </row>
    <row r="1784" spans="1:10" ht="24" thickBot="1" x14ac:dyDescent="0.35">
      <c r="A1784" s="274" t="s">
        <v>103</v>
      </c>
      <c r="B1784" s="1045"/>
      <c r="C1784" s="279" t="s">
        <v>182</v>
      </c>
      <c r="D1784" s="279" t="s">
        <v>93</v>
      </c>
      <c r="E1784" s="386">
        <v>22.238499999999998</v>
      </c>
      <c r="F1784" s="402">
        <f>IFERROR(E1784*'01 Prod Physique Boites'!H1778,"-")</f>
        <v>0</v>
      </c>
      <c r="G1784" s="403">
        <f>IFERROR(E1784*'01 Prod Physique Boites'!L1778,"-")</f>
        <v>3742739.55</v>
      </c>
      <c r="H1784" s="387">
        <v>27</v>
      </c>
      <c r="I1784" s="423">
        <f>IFERROR(H1784*(F1784/E1784),"-")</f>
        <v>0</v>
      </c>
      <c r="J1784" s="424">
        <f t="shared" si="1008"/>
        <v>4544100</v>
      </c>
    </row>
    <row r="1785" spans="1:10" ht="24" thickBot="1" x14ac:dyDescent="0.35">
      <c r="A1785" s="274" t="s">
        <v>103</v>
      </c>
      <c r="B1785" s="1025" t="s">
        <v>48</v>
      </c>
      <c r="C1785" s="1026"/>
      <c r="D1785" s="1027"/>
      <c r="E1785" s="390"/>
      <c r="F1785" s="406">
        <f t="shared" ref="F1785:G1785" si="1009">SUM(F1781:F1784)</f>
        <v>542217.45600000001</v>
      </c>
      <c r="G1785" s="407">
        <f t="shared" si="1009"/>
        <v>4284957.0060000001</v>
      </c>
      <c r="H1785" s="391"/>
      <c r="I1785" s="406">
        <f t="shared" ref="I1785:J1785" si="1010">SUM(I1781:I1784)</f>
        <v>653400</v>
      </c>
      <c r="J1785" s="425">
        <f t="shared" si="1010"/>
        <v>5197500</v>
      </c>
    </row>
    <row r="1786" spans="1:10" ht="23.4" x14ac:dyDescent="0.3">
      <c r="A1786" s="274" t="s">
        <v>103</v>
      </c>
      <c r="B1786" s="1043" t="s">
        <v>23</v>
      </c>
      <c r="C1786" s="275" t="s">
        <v>500</v>
      </c>
      <c r="D1786" s="296" t="s">
        <v>238</v>
      </c>
      <c r="E1786" s="380">
        <v>101.4935</v>
      </c>
      <c r="F1786" s="402">
        <f>IFERROR(E1786*'01 Prod Physique Boites'!H1780,"-")</f>
        <v>0</v>
      </c>
      <c r="G1786" s="403">
        <f>IFERROR(E1786*'01 Prod Physique Boites'!L1780,"-")</f>
        <v>0</v>
      </c>
      <c r="H1786" s="385">
        <v>160.44999999999999</v>
      </c>
      <c r="I1786" s="419">
        <f t="shared" ref="I1786:I1794" si="1011">IFERROR(H1786*(F1786/E1786),"-")</f>
        <v>0</v>
      </c>
      <c r="J1786" s="420">
        <f t="shared" ref="J1786:J1794" si="1012">IFERROR(H1786*(G1786/E1786),"-")</f>
        <v>0</v>
      </c>
    </row>
    <row r="1787" spans="1:10" ht="23.4" x14ac:dyDescent="0.3">
      <c r="A1787" s="274" t="s">
        <v>103</v>
      </c>
      <c r="B1787" s="1044"/>
      <c r="C1787" s="275" t="s">
        <v>24</v>
      </c>
      <c r="D1787" s="275" t="s">
        <v>238</v>
      </c>
      <c r="E1787" s="384">
        <v>101.4935</v>
      </c>
      <c r="F1787" s="402">
        <f>IFERROR(E1787*'01 Prod Physique Boites'!H1781,"-")</f>
        <v>0</v>
      </c>
      <c r="G1787" s="403">
        <f>IFERROR(E1787*'01 Prod Physique Boites'!L1781,"-")</f>
        <v>0</v>
      </c>
      <c r="H1787" s="385">
        <v>160.44999999999999</v>
      </c>
      <c r="I1787" s="421">
        <f t="shared" si="1011"/>
        <v>0</v>
      </c>
      <c r="J1787" s="422">
        <f t="shared" si="1012"/>
        <v>0</v>
      </c>
    </row>
    <row r="1788" spans="1:10" ht="23.4" x14ac:dyDescent="0.3">
      <c r="A1788" s="274" t="s">
        <v>103</v>
      </c>
      <c r="B1788" s="1044"/>
      <c r="C1788" s="275" t="s">
        <v>236</v>
      </c>
      <c r="D1788" s="275" t="s">
        <v>238</v>
      </c>
      <c r="E1788" s="384">
        <v>101.4935</v>
      </c>
      <c r="F1788" s="402">
        <f>IFERROR(E1788*'01 Prod Physique Boites'!H1782,"-")</f>
        <v>0</v>
      </c>
      <c r="G1788" s="403">
        <f>IFERROR(E1788*'01 Prod Physique Boites'!L1782,"-")</f>
        <v>0</v>
      </c>
      <c r="H1788" s="385">
        <v>160.44999999999999</v>
      </c>
      <c r="I1788" s="421">
        <f t="shared" si="1011"/>
        <v>0</v>
      </c>
      <c r="J1788" s="422">
        <f t="shared" si="1012"/>
        <v>0</v>
      </c>
    </row>
    <row r="1789" spans="1:10" ht="23.4" x14ac:dyDescent="0.3">
      <c r="A1789" s="274" t="s">
        <v>103</v>
      </c>
      <c r="B1789" s="1044"/>
      <c r="C1789" s="275" t="s">
        <v>239</v>
      </c>
      <c r="D1789" s="275" t="s">
        <v>238</v>
      </c>
      <c r="E1789" s="384">
        <v>101.4935</v>
      </c>
      <c r="F1789" s="402">
        <f>IFERROR(E1789*'01 Prod Physique Boites'!H1783,"-")</f>
        <v>0</v>
      </c>
      <c r="G1789" s="403">
        <f>IFERROR(E1789*'01 Prod Physique Boites'!L1783,"-")</f>
        <v>0</v>
      </c>
      <c r="H1789" s="385">
        <v>160.44999999999999</v>
      </c>
      <c r="I1789" s="421">
        <f t="shared" si="1011"/>
        <v>0</v>
      </c>
      <c r="J1789" s="422">
        <f t="shared" si="1012"/>
        <v>0</v>
      </c>
    </row>
    <row r="1790" spans="1:10" ht="23.4" x14ac:dyDescent="0.3">
      <c r="A1790" s="274" t="s">
        <v>103</v>
      </c>
      <c r="B1790" s="1044"/>
      <c r="C1790" s="295" t="s">
        <v>394</v>
      </c>
      <c r="D1790" s="275" t="s">
        <v>238</v>
      </c>
      <c r="E1790" s="384">
        <v>101.4935</v>
      </c>
      <c r="F1790" s="402">
        <f>IFERROR(E1790*'01 Prod Physique Boites'!H1784,"-")</f>
        <v>0</v>
      </c>
      <c r="G1790" s="403">
        <f>IFERROR(E1790*'01 Prod Physique Boites'!L1784,"-")</f>
        <v>0</v>
      </c>
      <c r="H1790" s="385">
        <v>160.44999999999999</v>
      </c>
      <c r="I1790" s="421">
        <f t="shared" si="1011"/>
        <v>0</v>
      </c>
      <c r="J1790" s="422">
        <f t="shared" si="1012"/>
        <v>0</v>
      </c>
    </row>
    <row r="1791" spans="1:10" ht="23.4" x14ac:dyDescent="0.3">
      <c r="A1791" s="274" t="s">
        <v>103</v>
      </c>
      <c r="B1791" s="1044"/>
      <c r="C1791" s="295" t="s">
        <v>422</v>
      </c>
      <c r="D1791" s="275" t="s">
        <v>238</v>
      </c>
      <c r="E1791" s="384">
        <v>101.4935</v>
      </c>
      <c r="F1791" s="402">
        <f>IFERROR(E1791*'01 Prod Physique Boites'!H1785,"-")</f>
        <v>0</v>
      </c>
      <c r="G1791" s="403">
        <f>IFERROR(E1791*'01 Prod Physique Boites'!L1785,"-")</f>
        <v>0</v>
      </c>
      <c r="H1791" s="385">
        <v>160.44999999999999</v>
      </c>
      <c r="I1791" s="421">
        <f t="shared" si="1011"/>
        <v>0</v>
      </c>
      <c r="J1791" s="422">
        <f t="shared" si="1012"/>
        <v>0</v>
      </c>
    </row>
    <row r="1792" spans="1:10" ht="23.4" x14ac:dyDescent="0.3">
      <c r="A1792" s="274" t="s">
        <v>103</v>
      </c>
      <c r="B1792" s="1044"/>
      <c r="C1792" s="295" t="s">
        <v>241</v>
      </c>
      <c r="D1792" s="275" t="s">
        <v>547</v>
      </c>
      <c r="E1792" s="384">
        <v>101.4935</v>
      </c>
      <c r="F1792" s="402">
        <f>IFERROR(E1792*'01 Prod Physique Boites'!H1786,"-")</f>
        <v>0</v>
      </c>
      <c r="G1792" s="403">
        <f>IFERROR(E1792*'01 Prod Physique Boites'!L1786,"-")</f>
        <v>0</v>
      </c>
      <c r="H1792" s="385">
        <v>160.44999999999999</v>
      </c>
      <c r="I1792" s="421">
        <f t="shared" si="1011"/>
        <v>0</v>
      </c>
      <c r="J1792" s="422">
        <f t="shared" si="1012"/>
        <v>0</v>
      </c>
    </row>
    <row r="1793" spans="1:10" ht="23.4" x14ac:dyDescent="0.3">
      <c r="A1793" s="274"/>
      <c r="B1793" s="1045"/>
      <c r="C1793" s="295" t="s">
        <v>546</v>
      </c>
      <c r="D1793" s="275" t="s">
        <v>238</v>
      </c>
      <c r="E1793" s="386">
        <v>101.49</v>
      </c>
      <c r="F1793" s="402">
        <f>IFERROR(E1793*'01 Prod Physique Boites'!H1787,"-")</f>
        <v>0</v>
      </c>
      <c r="G1793" s="403">
        <f>IFERROR(E1793*'01 Prod Physique Boites'!L1787,"-")</f>
        <v>0</v>
      </c>
      <c r="H1793" s="385">
        <v>160.44999999999999</v>
      </c>
      <c r="I1793" s="421">
        <f t="shared" si="1011"/>
        <v>0</v>
      </c>
      <c r="J1793" s="422">
        <f t="shared" si="1012"/>
        <v>0</v>
      </c>
    </row>
    <row r="1794" spans="1:10" ht="24" thickBot="1" x14ac:dyDescent="0.35">
      <c r="A1794" s="274" t="s">
        <v>103</v>
      </c>
      <c r="B1794" s="1045"/>
      <c r="C1794" s="295" t="s">
        <v>242</v>
      </c>
      <c r="D1794" s="275" t="s">
        <v>238</v>
      </c>
      <c r="E1794" s="386">
        <v>101.4935</v>
      </c>
      <c r="F1794" s="402">
        <f>IFERROR(E1794*'01 Prod Physique Boites'!H1788,"-")</f>
        <v>0</v>
      </c>
      <c r="G1794" s="403">
        <f>IFERROR(E1794*'01 Prod Physique Boites'!L1788,"-")</f>
        <v>0</v>
      </c>
      <c r="H1794" s="385">
        <v>160.44999999999999</v>
      </c>
      <c r="I1794" s="421">
        <f t="shared" si="1011"/>
        <v>0</v>
      </c>
      <c r="J1794" s="424">
        <f t="shared" si="1012"/>
        <v>0</v>
      </c>
    </row>
    <row r="1795" spans="1:10" ht="24" thickBot="1" x14ac:dyDescent="0.35">
      <c r="A1795" s="274" t="s">
        <v>103</v>
      </c>
      <c r="B1795" s="1025" t="s">
        <v>49</v>
      </c>
      <c r="C1795" s="1026"/>
      <c r="D1795" s="1027"/>
      <c r="E1795" s="390"/>
      <c r="F1795" s="406">
        <f t="shared" ref="F1795" si="1013">SUM(F1786:F1794)</f>
        <v>0</v>
      </c>
      <c r="G1795" s="407">
        <f>SUM(G1786:G1794)</f>
        <v>0</v>
      </c>
      <c r="H1795" s="391"/>
      <c r="I1795" s="406">
        <f t="shared" ref="I1795" si="1014">SUM(I1786:I1794)</f>
        <v>0</v>
      </c>
      <c r="J1795" s="425">
        <f>SUM(J1786:J1794)</f>
        <v>0</v>
      </c>
    </row>
    <row r="1796" spans="1:10" ht="24" thickBot="1" x14ac:dyDescent="0.35">
      <c r="A1796" s="274" t="s">
        <v>103</v>
      </c>
      <c r="B1796" s="1047" t="s">
        <v>25</v>
      </c>
      <c r="C1796" s="1048"/>
      <c r="D1796" s="1049"/>
      <c r="E1796" s="393"/>
      <c r="F1796" s="410">
        <f t="shared" ref="F1796" si="1015">+F1785+F1795</f>
        <v>542217.45600000001</v>
      </c>
      <c r="G1796" s="411">
        <f>+G1785+G1795</f>
        <v>4284957.0060000001</v>
      </c>
      <c r="H1796" s="394"/>
      <c r="I1796" s="410">
        <f t="shared" ref="I1796:J1796" si="1016">+I1785+I1795</f>
        <v>653400</v>
      </c>
      <c r="J1796" s="428">
        <f t="shared" si="1016"/>
        <v>5197500</v>
      </c>
    </row>
    <row r="1797" spans="1:10" ht="24" thickBot="1" x14ac:dyDescent="0.35">
      <c r="A1797" s="274" t="s">
        <v>103</v>
      </c>
      <c r="B1797" s="1019" t="s">
        <v>172</v>
      </c>
      <c r="C1797" s="1020"/>
      <c r="D1797" s="1021"/>
      <c r="E1797" s="395"/>
      <c r="F1797" s="412">
        <f t="shared" ref="F1797" si="1017">+F1780+F1796</f>
        <v>1993331.5231999999</v>
      </c>
      <c r="G1797" s="413">
        <f>+G1780+G1796</f>
        <v>44031118.619199991</v>
      </c>
      <c r="H1797" s="396"/>
      <c r="I1797" s="412">
        <f t="shared" ref="I1797:J1797" si="1018">+I1780+I1796</f>
        <v>2406755.52</v>
      </c>
      <c r="J1797" s="429">
        <f t="shared" si="1018"/>
        <v>49789443.920000002</v>
      </c>
    </row>
    <row r="1798" spans="1:10" ht="23.4" x14ac:dyDescent="0.3">
      <c r="A1798" s="268" t="s">
        <v>101</v>
      </c>
      <c r="B1798" s="1051" t="s">
        <v>26</v>
      </c>
      <c r="C1798" s="893" t="s">
        <v>297</v>
      </c>
      <c r="D1798" s="898" t="s">
        <v>177</v>
      </c>
      <c r="E1798" s="504">
        <v>13.1272</v>
      </c>
      <c r="F1798" s="402">
        <f>IFERROR(E1798*'01 Prod Physique Boites'!H1792,"-")</f>
        <v>0</v>
      </c>
      <c r="G1798" s="403">
        <f>IFERROR(E1798*'01 Prod Physique Boites'!L1792,"-")</f>
        <v>0</v>
      </c>
      <c r="H1798" s="381">
        <v>20.76</v>
      </c>
      <c r="I1798" s="419">
        <f t="shared" ref="I1798:I1807" si="1019">IFERROR(H1798*(F1798/E1798),"-")</f>
        <v>0</v>
      </c>
      <c r="J1798" s="632">
        <f t="shared" ref="J1798:J1807" si="1020">IFERROR(H1798*(G1798/E1798),"-")</f>
        <v>0</v>
      </c>
    </row>
    <row r="1799" spans="1:10" ht="23.4" x14ac:dyDescent="0.3">
      <c r="A1799" s="274" t="s">
        <v>101</v>
      </c>
      <c r="B1799" s="1051"/>
      <c r="C1799" s="253" t="s">
        <v>424</v>
      </c>
      <c r="D1799" s="899" t="s">
        <v>423</v>
      </c>
      <c r="E1799" s="505">
        <v>16.7288</v>
      </c>
      <c r="F1799" s="402">
        <f>IFERROR(E1799*'01 Prod Physique Boites'!H1793,"-")</f>
        <v>0</v>
      </c>
      <c r="G1799" s="403">
        <f>IFERROR(E1799*'01 Prod Physique Boites'!L1793,"-")</f>
        <v>4392112.9824000001</v>
      </c>
      <c r="H1799" s="385">
        <v>20.76</v>
      </c>
      <c r="I1799" s="421">
        <f t="shared" si="1019"/>
        <v>0</v>
      </c>
      <c r="J1799" s="633">
        <f t="shared" si="1020"/>
        <v>5450496.4800000004</v>
      </c>
    </row>
    <row r="1800" spans="1:10" ht="23.4" x14ac:dyDescent="0.3">
      <c r="A1800" s="274" t="s">
        <v>101</v>
      </c>
      <c r="B1800" s="1051"/>
      <c r="C1800" s="813" t="s">
        <v>27</v>
      </c>
      <c r="D1800" s="899" t="s">
        <v>334</v>
      </c>
      <c r="E1800" s="501">
        <v>14.608000000000001</v>
      </c>
      <c r="F1800" s="402">
        <f>IFERROR(E1800*'01 Prod Physique Boites'!H1794,"-")</f>
        <v>0</v>
      </c>
      <c r="G1800" s="403">
        <f>IFERROR(E1800*'01 Prod Physique Boites'!L1794,"-")</f>
        <v>522995.61600000004</v>
      </c>
      <c r="H1800" s="385">
        <v>21.22</v>
      </c>
      <c r="I1800" s="643">
        <f t="shared" si="1019"/>
        <v>0</v>
      </c>
      <c r="J1800" s="633">
        <f t="shared" si="1020"/>
        <v>759718.44</v>
      </c>
    </row>
    <row r="1801" spans="1:10" ht="23.4" x14ac:dyDescent="0.3">
      <c r="A1801" s="274" t="s">
        <v>101</v>
      </c>
      <c r="B1801" s="1051"/>
      <c r="C1801" s="813" t="s">
        <v>27</v>
      </c>
      <c r="D1801" s="900" t="s">
        <v>492</v>
      </c>
      <c r="E1801" s="501">
        <v>17.8202</v>
      </c>
      <c r="F1801" s="402">
        <f>IFERROR(E1801*'01 Prod Physique Boites'!H1795,"-")</f>
        <v>0</v>
      </c>
      <c r="G1801" s="403">
        <f>IFERROR(E1801*'01 Prod Physique Boites'!L1795,"-")</f>
        <v>4820435.3808000004</v>
      </c>
      <c r="H1801" s="385">
        <v>26.75</v>
      </c>
      <c r="I1801" s="643">
        <f t="shared" si="1019"/>
        <v>0</v>
      </c>
      <c r="J1801" s="633">
        <f t="shared" si="1020"/>
        <v>7235982</v>
      </c>
    </row>
    <row r="1802" spans="1:10" ht="23.4" x14ac:dyDescent="0.3">
      <c r="A1802" s="274" t="s">
        <v>101</v>
      </c>
      <c r="B1802" s="1051"/>
      <c r="C1802" s="893" t="s">
        <v>521</v>
      </c>
      <c r="D1802" s="899" t="s">
        <v>234</v>
      </c>
      <c r="E1802" s="501">
        <v>14.608000000000001</v>
      </c>
      <c r="F1802" s="402">
        <f>IFERROR(E1802*'01 Prod Physique Boites'!H1796,"-")</f>
        <v>0</v>
      </c>
      <c r="G1802" s="403">
        <f>IFERROR(E1802*'01 Prod Physique Boites'!L1796,"-")</f>
        <v>813548.73600000003</v>
      </c>
      <c r="H1802" s="385">
        <v>24.93</v>
      </c>
      <c r="I1802" s="643">
        <f t="shared" si="1019"/>
        <v>0</v>
      </c>
      <c r="J1802" s="633">
        <f t="shared" si="1020"/>
        <v>1388401.56</v>
      </c>
    </row>
    <row r="1803" spans="1:10" ht="23.4" x14ac:dyDescent="0.3">
      <c r="A1803" s="274"/>
      <c r="B1803" s="1051"/>
      <c r="C1803" s="813" t="s">
        <v>575</v>
      </c>
      <c r="D1803" s="899" t="s">
        <v>178</v>
      </c>
      <c r="E1803" s="501">
        <v>16.7288</v>
      </c>
      <c r="F1803" s="402">
        <f>IFERROR(E1803*'01 Prod Physique Boites'!H1797,"-")</f>
        <v>332735.83199999999</v>
      </c>
      <c r="G1803" s="403">
        <f>IFERROR(E1803*'01 Prod Physique Boites'!L1797,"-")</f>
        <v>332735.83199999999</v>
      </c>
      <c r="H1803" s="387">
        <v>25.49</v>
      </c>
      <c r="I1803" s="643">
        <f t="shared" si="1019"/>
        <v>506996.1</v>
      </c>
      <c r="J1803" s="634">
        <f t="shared" si="1020"/>
        <v>506996.1</v>
      </c>
    </row>
    <row r="1804" spans="1:10" ht="23.4" x14ac:dyDescent="0.3">
      <c r="A1804" s="274"/>
      <c r="B1804" s="1051"/>
      <c r="C1804" s="813" t="s">
        <v>333</v>
      </c>
      <c r="D1804" s="899" t="s">
        <v>94</v>
      </c>
      <c r="E1804" s="501">
        <v>17.8202</v>
      </c>
      <c r="F1804" s="724">
        <f>IFERROR(E1804*'01 Prod Physique Boites'!H1798,"-")</f>
        <v>0</v>
      </c>
      <c r="G1804" s="403">
        <f>IFERROR(E1804*'01 Prod Physique Boites'!L1798,"-")</f>
        <v>0</v>
      </c>
      <c r="H1804" s="387">
        <v>24.93</v>
      </c>
      <c r="I1804" s="730">
        <f t="shared" si="1019"/>
        <v>0</v>
      </c>
      <c r="J1804" s="634">
        <f t="shared" si="1020"/>
        <v>0</v>
      </c>
    </row>
    <row r="1805" spans="1:10" ht="23.4" x14ac:dyDescent="0.3">
      <c r="A1805" s="725"/>
      <c r="B1805" s="1051"/>
      <c r="C1805" s="813" t="s">
        <v>433</v>
      </c>
      <c r="D1805" s="899" t="s">
        <v>540</v>
      </c>
      <c r="E1805" s="727">
        <v>16.7288</v>
      </c>
      <c r="F1805" s="724">
        <f>IFERROR(E1805*'01 Prod Physique Boites'!H1799,"-")</f>
        <v>0</v>
      </c>
      <c r="G1805" s="728">
        <f>IFERROR(E1805*'01 Prod Physique Boites'!L1799,"-")</f>
        <v>5922697.8096000003</v>
      </c>
      <c r="H1805" s="729">
        <v>25</v>
      </c>
      <c r="I1805" s="730">
        <f t="shared" si="1019"/>
        <v>0</v>
      </c>
      <c r="J1805" s="634">
        <f t="shared" si="1020"/>
        <v>8851050</v>
      </c>
    </row>
    <row r="1806" spans="1:10" ht="23.4" x14ac:dyDescent="0.3">
      <c r="A1806" s="725"/>
      <c r="B1806" s="1051"/>
      <c r="C1806" s="813" t="s">
        <v>382</v>
      </c>
      <c r="D1806" s="899" t="s">
        <v>366</v>
      </c>
      <c r="E1806" s="727">
        <v>16.345199999999998</v>
      </c>
      <c r="F1806" s="724">
        <f>IFERROR(E1806*'01 Prod Physique Boites'!H1800,"-")</f>
        <v>0</v>
      </c>
      <c r="G1806" s="728">
        <f>IFERROR(E1806*'01 Prod Physique Boites'!L1800,"-")</f>
        <v>3251060.28</v>
      </c>
      <c r="H1806" s="729">
        <v>23.78</v>
      </c>
      <c r="I1806" s="730">
        <f t="shared" si="1019"/>
        <v>0</v>
      </c>
      <c r="J1806" s="634">
        <f t="shared" si="1020"/>
        <v>4729842</v>
      </c>
    </row>
    <row r="1807" spans="1:10" ht="24" thickBot="1" x14ac:dyDescent="0.35">
      <c r="A1807" s="274" t="s">
        <v>101</v>
      </c>
      <c r="B1807" s="1051"/>
      <c r="C1807" s="894" t="s">
        <v>290</v>
      </c>
      <c r="D1807" s="901" t="s">
        <v>289</v>
      </c>
      <c r="E1807" s="501">
        <v>12.6997</v>
      </c>
      <c r="F1807" s="402">
        <f>IFERROR(E1807*'01 Prod Physique Boites'!H1801,"-")</f>
        <v>0</v>
      </c>
      <c r="G1807" s="728">
        <f>IFERROR(E1807*'01 Prod Physique Boites'!L1801,"-")</f>
        <v>0</v>
      </c>
      <c r="H1807" s="387">
        <v>13.25</v>
      </c>
      <c r="I1807" s="730">
        <f t="shared" si="1019"/>
        <v>0</v>
      </c>
      <c r="J1807" s="634">
        <f t="shared" si="1020"/>
        <v>0</v>
      </c>
    </row>
    <row r="1808" spans="1:10" ht="24" thickBot="1" x14ac:dyDescent="0.35">
      <c r="A1808" s="274" t="s">
        <v>101</v>
      </c>
      <c r="B1808" s="1052"/>
      <c r="C1808" s="301"/>
      <c r="D1808" s="302" t="s">
        <v>52</v>
      </c>
      <c r="E1808" s="390"/>
      <c r="F1808" s="406">
        <f>SUM(F1798:F1807)</f>
        <v>332735.83199999999</v>
      </c>
      <c r="G1808" s="407">
        <f>SUM(G1798:G1807)</f>
        <v>20055586.636800002</v>
      </c>
      <c r="H1808" s="391"/>
      <c r="I1808" s="406">
        <f>SUM(I1798:I1807)</f>
        <v>506996.1</v>
      </c>
      <c r="J1808" s="425">
        <f>SUM(J1798:J1807)</f>
        <v>28922486.579999998</v>
      </c>
    </row>
    <row r="1809" spans="1:10" ht="23.4" x14ac:dyDescent="0.3">
      <c r="A1809" s="274" t="s">
        <v>101</v>
      </c>
      <c r="B1809" s="1053" t="s">
        <v>28</v>
      </c>
      <c r="C1809" s="299" t="s">
        <v>27</v>
      </c>
      <c r="D1809" s="297" t="s">
        <v>492</v>
      </c>
      <c r="E1809" s="504">
        <v>17.8202</v>
      </c>
      <c r="F1809" s="402">
        <f>IFERROR(E1809*'01 Prod Physique Boites'!H1803,"-")</f>
        <v>0</v>
      </c>
      <c r="G1809" s="403">
        <f>IFERROR(E1809*'01 Prod Physique Boites'!L1803,"-")</f>
        <v>2977327.7352</v>
      </c>
      <c r="H1809" s="381">
        <v>26.75</v>
      </c>
      <c r="I1809" s="419">
        <f t="shared" ref="I1809:I1815" si="1021">IFERROR(H1809*(F1809/E1809),"-")</f>
        <v>0</v>
      </c>
      <c r="J1809" s="632">
        <f t="shared" ref="J1809:J1810" si="1022">IFERROR(H1809*(G1809/E1809),"-")</f>
        <v>4469283</v>
      </c>
    </row>
    <row r="1810" spans="1:10" ht="23.4" x14ac:dyDescent="0.3">
      <c r="A1810" s="274" t="s">
        <v>101</v>
      </c>
      <c r="B1810" s="1051"/>
      <c r="C1810" s="299" t="s">
        <v>386</v>
      </c>
      <c r="D1810" s="299" t="s">
        <v>334</v>
      </c>
      <c r="E1810" s="711">
        <v>16.7288</v>
      </c>
      <c r="F1810" s="402">
        <f>IFERROR(E1810*'01 Prod Physique Boites'!H1804,"-")</f>
        <v>0</v>
      </c>
      <c r="G1810" s="728">
        <f>IFERROR(E1810*'01 Prod Physique Boites'!L1804,"-")</f>
        <v>1597131.9935999999</v>
      </c>
      <c r="H1810" s="708">
        <v>20.76</v>
      </c>
      <c r="I1810" s="421">
        <f t="shared" si="1021"/>
        <v>0</v>
      </c>
      <c r="J1810" s="633">
        <f t="shared" si="1022"/>
        <v>1981998.7200000002</v>
      </c>
    </row>
    <row r="1811" spans="1:10" ht="23.4" x14ac:dyDescent="0.3">
      <c r="A1811" s="274" t="s">
        <v>101</v>
      </c>
      <c r="B1811" s="1051"/>
      <c r="C1811" s="299" t="s">
        <v>541</v>
      </c>
      <c r="D1811" s="299" t="s">
        <v>334</v>
      </c>
      <c r="E1811" s="501">
        <v>17.8202</v>
      </c>
      <c r="F1811" s="402">
        <f>IFERROR(E1811*'01 Prod Physique Boites'!H1805,"-")</f>
        <v>0</v>
      </c>
      <c r="G1811" s="403">
        <f>IFERROR(E1811*'01 Prod Physique Boites'!L1805,"-")</f>
        <v>0</v>
      </c>
      <c r="H1811" s="385">
        <v>21.22</v>
      </c>
      <c r="I1811" s="421">
        <f t="shared" si="1021"/>
        <v>0</v>
      </c>
      <c r="J1811" s="633">
        <f>IFERROR(H1811*(G1811/E1811),"-")</f>
        <v>0</v>
      </c>
    </row>
    <row r="1812" spans="1:10" ht="23.4" x14ac:dyDescent="0.3">
      <c r="A1812" s="274"/>
      <c r="B1812" s="1051"/>
      <c r="C1812" s="299" t="s">
        <v>460</v>
      </c>
      <c r="D1812" s="299" t="s">
        <v>334</v>
      </c>
      <c r="E1812" s="501">
        <v>14.608000000000001</v>
      </c>
      <c r="F1812" s="402">
        <f>IFERROR(E1812*'01 Prod Physique Boites'!H1806,"-")</f>
        <v>0</v>
      </c>
      <c r="G1812" s="403">
        <f>IFERROR(E1812*'01 Prod Physique Boites'!L1806,"-")</f>
        <v>58110.624000000003</v>
      </c>
      <c r="H1812" s="385">
        <v>21.22</v>
      </c>
      <c r="I1812" s="421">
        <f t="shared" si="1021"/>
        <v>0</v>
      </c>
      <c r="J1812" s="633">
        <f>IFERROR(H1812*(G1812/E1812),"-")</f>
        <v>84413.159999999989</v>
      </c>
    </row>
    <row r="1813" spans="1:10" ht="23.4" x14ac:dyDescent="0.3">
      <c r="A1813" s="274"/>
      <c r="B1813" s="1051"/>
      <c r="C1813" s="299" t="s">
        <v>433</v>
      </c>
      <c r="D1813" s="299" t="s">
        <v>540</v>
      </c>
      <c r="E1813" s="711">
        <v>16.7288</v>
      </c>
      <c r="F1813" s="402">
        <f>IFERROR(E1813*'01 Prod Physique Boites'!H1807,"-")</f>
        <v>0</v>
      </c>
      <c r="G1813" s="403">
        <f>IFERROR(E1813*'01 Prod Physique Boites'!L1807,"-")</f>
        <v>2129509.3248000001</v>
      </c>
      <c r="H1813" s="385">
        <v>25</v>
      </c>
      <c r="I1813" s="423">
        <f t="shared" si="1021"/>
        <v>0</v>
      </c>
      <c r="J1813" s="634">
        <f t="shared" ref="J1813:J1815" si="1023">IFERROR(H1813*(G1813/E1813),"-")</f>
        <v>3182400</v>
      </c>
    </row>
    <row r="1814" spans="1:10" ht="23.4" x14ac:dyDescent="0.3">
      <c r="A1814" s="274"/>
      <c r="B1814" s="1051"/>
      <c r="C1814" s="299" t="s">
        <v>458</v>
      </c>
      <c r="D1814" s="300" t="s">
        <v>280</v>
      </c>
      <c r="E1814" s="711">
        <v>17.8202</v>
      </c>
      <c r="F1814" s="402">
        <f>IFERROR(E1814*'01 Prod Physique Boites'!H1808,"-")</f>
        <v>0</v>
      </c>
      <c r="G1814" s="403">
        <f>IFERROR(E1814*'01 Prod Physique Boites'!L1808,"-")</f>
        <v>0</v>
      </c>
      <c r="H1814" s="385">
        <v>24.93</v>
      </c>
      <c r="I1814" s="730">
        <f t="shared" si="1021"/>
        <v>0</v>
      </c>
      <c r="J1814" s="634">
        <f t="shared" si="1023"/>
        <v>0</v>
      </c>
    </row>
    <row r="1815" spans="1:10" ht="24" thickBot="1" x14ac:dyDescent="0.35">
      <c r="A1815" s="274" t="s">
        <v>101</v>
      </c>
      <c r="B1815" s="1051"/>
      <c r="C1815" s="299" t="s">
        <v>27</v>
      </c>
      <c r="D1815" s="300" t="s">
        <v>234</v>
      </c>
      <c r="E1815" s="501">
        <v>17.8202</v>
      </c>
      <c r="F1815" s="402">
        <f>IFERROR(E1815*'01 Prod Physique Boites'!H1809,"-")</f>
        <v>0</v>
      </c>
      <c r="G1815" s="403">
        <f>IFERROR(E1815*'01 Prod Physique Boites'!L1809,"-")</f>
        <v>0</v>
      </c>
      <c r="H1815" s="385">
        <v>24.93</v>
      </c>
      <c r="I1815" s="423">
        <f t="shared" si="1021"/>
        <v>0</v>
      </c>
      <c r="J1815" s="634">
        <f t="shared" si="1023"/>
        <v>0</v>
      </c>
    </row>
    <row r="1816" spans="1:10" ht="24" thickBot="1" x14ac:dyDescent="0.35">
      <c r="A1816" s="274" t="s">
        <v>101</v>
      </c>
      <c r="B1816" s="1051"/>
      <c r="C1816" s="304"/>
      <c r="D1816" s="305" t="s">
        <v>52</v>
      </c>
      <c r="E1816" s="397"/>
      <c r="F1816" s="414">
        <f t="shared" ref="F1816" si="1024">SUM(F1809:F1815)</f>
        <v>0</v>
      </c>
      <c r="G1816" s="415">
        <f>SUM(G1809:G1815)</f>
        <v>6762079.6776000001</v>
      </c>
      <c r="H1816" s="398"/>
      <c r="I1816" s="414">
        <f t="shared" ref="I1816:J1816" si="1025">SUM(I1809:I1815)</f>
        <v>0</v>
      </c>
      <c r="J1816" s="430">
        <f t="shared" si="1025"/>
        <v>9718094.8800000008</v>
      </c>
    </row>
    <row r="1817" spans="1:10" ht="24" thickBot="1" x14ac:dyDescent="0.35">
      <c r="A1817" s="969" t="s">
        <v>101</v>
      </c>
      <c r="B1817" s="1054" t="s">
        <v>162</v>
      </c>
      <c r="C1817" s="1055"/>
      <c r="D1817" s="1056"/>
      <c r="E1817" s="399"/>
      <c r="F1817" s="416">
        <f t="shared" ref="F1817" si="1026">+F1808+F1816</f>
        <v>332735.83199999999</v>
      </c>
      <c r="G1817" s="417">
        <f>+G1808+G1816</f>
        <v>26817666.314400002</v>
      </c>
      <c r="H1817" s="400"/>
      <c r="I1817" s="416">
        <f t="shared" ref="I1817:J1817" si="1027">+I1808+I1816</f>
        <v>506996.1</v>
      </c>
      <c r="J1817" s="431">
        <f t="shared" si="1027"/>
        <v>38640581.460000001</v>
      </c>
    </row>
    <row r="1818" spans="1:10" ht="23.4" x14ac:dyDescent="0.3">
      <c r="A1818" s="274" t="s">
        <v>101</v>
      </c>
      <c r="B1818" s="1051" t="s">
        <v>30</v>
      </c>
      <c r="C1818" s="303" t="s">
        <v>446</v>
      </c>
      <c r="D1818" s="299" t="s">
        <v>492</v>
      </c>
      <c r="E1818" s="736">
        <v>27.917000000000002</v>
      </c>
      <c r="F1818" s="402">
        <f>IFERROR(E1818*'01 Prod Physique Boites'!H1812,"-")</f>
        <v>1567818.7200000002</v>
      </c>
      <c r="G1818" s="728">
        <f>IFERROR(E1818*'01 Prod Physique Boites'!L1812,"-")</f>
        <v>6480317.3760000002</v>
      </c>
      <c r="H1818" s="734">
        <v>42.28</v>
      </c>
      <c r="I1818" s="419">
        <f>IFERROR(H1818*(F1818/E1818),"-")</f>
        <v>2374444.8000000003</v>
      </c>
      <c r="J1818" s="420">
        <f t="shared" ref="J1818:J1820" si="1028">IFERROR(H1818*(G1818/E1818),"-")</f>
        <v>9814371.8399999999</v>
      </c>
    </row>
    <row r="1819" spans="1:10" ht="23.4" x14ac:dyDescent="0.3">
      <c r="A1819" s="274" t="s">
        <v>101</v>
      </c>
      <c r="B1819" s="1051"/>
      <c r="C1819" s="300" t="s">
        <v>548</v>
      </c>
      <c r="D1819" s="303" t="s">
        <v>522</v>
      </c>
      <c r="E1819" s="733">
        <v>28.526700000000002</v>
      </c>
      <c r="F1819" s="402">
        <f>IFERROR(E1819*'01 Prod Physique Boites'!H1813,"-")</f>
        <v>0</v>
      </c>
      <c r="G1819" s="728">
        <f>IFERROR(E1819*'01 Prod Physique Boites'!L1813,"-")</f>
        <v>0</v>
      </c>
      <c r="H1819" s="735">
        <v>37.89</v>
      </c>
      <c r="I1819" s="421">
        <f>IFERROR(H1819*(F1819/E1819),"-")</f>
        <v>0</v>
      </c>
      <c r="J1819" s="422">
        <f t="shared" si="1028"/>
        <v>0</v>
      </c>
    </row>
    <row r="1820" spans="1:10" ht="24" thickBot="1" x14ac:dyDescent="0.35">
      <c r="A1820" s="274" t="s">
        <v>101</v>
      </c>
      <c r="B1820" s="1051"/>
      <c r="C1820" s="300" t="s">
        <v>291</v>
      </c>
      <c r="D1820" s="300" t="s">
        <v>366</v>
      </c>
      <c r="E1820" s="501">
        <v>25.751300000000001</v>
      </c>
      <c r="F1820" s="724">
        <f>IFERROR(E1820*'01 Prod Physique Boites'!H1814,"-")</f>
        <v>0</v>
      </c>
      <c r="G1820" s="728">
        <f>IFERROR(E1820*'01 Prod Physique Boites'!L1814,"-")</f>
        <v>1334638.3764</v>
      </c>
      <c r="H1820" s="387">
        <v>37.89</v>
      </c>
      <c r="I1820" s="423">
        <f>IFERROR(H1820*(F1820/E1820),"-")</f>
        <v>0</v>
      </c>
      <c r="J1820" s="424">
        <f t="shared" si="1028"/>
        <v>1963762.92</v>
      </c>
    </row>
    <row r="1821" spans="1:10" ht="24" thickBot="1" x14ac:dyDescent="0.35">
      <c r="A1821" s="274" t="s">
        <v>101</v>
      </c>
      <c r="B1821" s="1051"/>
      <c r="C1821" s="301"/>
      <c r="D1821" s="302" t="s">
        <v>50</v>
      </c>
      <c r="E1821" s="390"/>
      <c r="F1821" s="406">
        <f t="shared" ref="F1821:G1821" si="1029">SUM(F1818:F1820)</f>
        <v>1567818.7200000002</v>
      </c>
      <c r="G1821" s="407">
        <f t="shared" si="1029"/>
        <v>7814955.7523999996</v>
      </c>
      <c r="H1821" s="391"/>
      <c r="I1821" s="406">
        <f t="shared" ref="I1821" si="1030">SUM(I1818:I1820)</f>
        <v>2374444.8000000003</v>
      </c>
      <c r="J1821" s="425">
        <f>SUM(J1818:J1820)</f>
        <v>11778134.76</v>
      </c>
    </row>
    <row r="1822" spans="1:10" ht="23.4" x14ac:dyDescent="0.3">
      <c r="A1822" s="274" t="s">
        <v>101</v>
      </c>
      <c r="B1822" s="1051"/>
      <c r="C1822" s="297" t="s">
        <v>439</v>
      </c>
      <c r="D1822" s="297" t="s">
        <v>92</v>
      </c>
      <c r="E1822" s="504">
        <v>24.2607</v>
      </c>
      <c r="F1822" s="402">
        <f>IFERROR(E1822*'01 Prod Physique Boites'!H1816,"-")</f>
        <v>0</v>
      </c>
      <c r="G1822" s="728">
        <f>IFERROR(E1822*'01 Prod Physique Boites'!L1816,"-")</f>
        <v>0</v>
      </c>
      <c r="H1822" s="381">
        <v>28.31</v>
      </c>
      <c r="I1822" s="638">
        <f>IFERROR(H1822*(F1822/E1822),"-")</f>
        <v>0</v>
      </c>
      <c r="J1822" s="420">
        <f t="shared" ref="J1822:J1827" si="1031">IFERROR(H1822*(G1822/E1822),"-")</f>
        <v>0</v>
      </c>
    </row>
    <row r="1823" spans="1:10" ht="23.4" x14ac:dyDescent="0.3">
      <c r="A1823" s="274"/>
      <c r="B1823" s="1051"/>
      <c r="C1823" s="303" t="s">
        <v>449</v>
      </c>
      <c r="D1823" s="299" t="s">
        <v>334</v>
      </c>
      <c r="E1823" s="504">
        <v>24.2607</v>
      </c>
      <c r="F1823" s="402">
        <f>IFERROR(E1823*'01 Prod Physique Boites'!H1817,"-")</f>
        <v>0</v>
      </c>
      <c r="G1823" s="728">
        <f>IFERROR(E1823*'01 Prod Physique Boites'!L1817,"-")</f>
        <v>0</v>
      </c>
      <c r="H1823" s="381">
        <v>28.88</v>
      </c>
      <c r="I1823" s="638">
        <f t="shared" ref="I1823:I1827" si="1032">IFERROR(H1823*(F1823/E1823),"-")</f>
        <v>0</v>
      </c>
      <c r="J1823" s="420">
        <f t="shared" si="1031"/>
        <v>0</v>
      </c>
    </row>
    <row r="1824" spans="1:10" ht="23.4" x14ac:dyDescent="0.3">
      <c r="A1824" s="274"/>
      <c r="B1824" s="1051"/>
      <c r="C1824" s="303" t="s">
        <v>452</v>
      </c>
      <c r="D1824" s="299" t="s">
        <v>334</v>
      </c>
      <c r="E1824" s="504">
        <v>25.4041</v>
      </c>
      <c r="F1824" s="402">
        <f>IFERROR(E1824*'01 Prod Physique Boites'!H1818,"-")</f>
        <v>0</v>
      </c>
      <c r="G1824" s="728">
        <f>IFERROR(E1824*'01 Prod Physique Boites'!L1818,"-")</f>
        <v>0</v>
      </c>
      <c r="H1824" s="381">
        <v>28.21</v>
      </c>
      <c r="I1824" s="638">
        <f t="shared" si="1032"/>
        <v>0</v>
      </c>
      <c r="J1824" s="420">
        <f t="shared" si="1031"/>
        <v>0</v>
      </c>
    </row>
    <row r="1825" spans="1:10" ht="23.4" x14ac:dyDescent="0.3">
      <c r="A1825" s="274" t="s">
        <v>101</v>
      </c>
      <c r="B1825" s="1051"/>
      <c r="C1825" s="303" t="s">
        <v>501</v>
      </c>
      <c r="D1825" s="300" t="s">
        <v>423</v>
      </c>
      <c r="E1825" s="505">
        <v>23.697399999999998</v>
      </c>
      <c r="F1825" s="724">
        <f>IFERROR(E1825*'01 Prod Physique Boites'!H1819,"-")</f>
        <v>0</v>
      </c>
      <c r="G1825" s="728">
        <f>IFERROR(E1825*'01 Prod Physique Boites'!L1819,"-")</f>
        <v>177446.13119999997</v>
      </c>
      <c r="H1825" s="385">
        <v>28.21</v>
      </c>
      <c r="I1825" s="638">
        <f t="shared" si="1032"/>
        <v>0</v>
      </c>
      <c r="J1825" s="420">
        <f t="shared" si="1031"/>
        <v>211236.47999999998</v>
      </c>
    </row>
    <row r="1826" spans="1:10" ht="23.4" x14ac:dyDescent="0.3">
      <c r="A1826" s="274"/>
      <c r="B1826" s="1051"/>
      <c r="C1826" s="300" t="s">
        <v>459</v>
      </c>
      <c r="D1826" s="300" t="s">
        <v>366</v>
      </c>
      <c r="E1826" s="501">
        <v>22.094999999999999</v>
      </c>
      <c r="F1826" s="724">
        <f>IFERROR(E1826*'01 Prod Physique Boites'!H1820,"-")</f>
        <v>0</v>
      </c>
      <c r="G1826" s="728">
        <f>IFERROR(E1826*'01 Prod Physique Boites'!L1820,"-")</f>
        <v>1737197.2799999998</v>
      </c>
      <c r="H1826" s="745">
        <v>37.11</v>
      </c>
      <c r="I1826" s="638">
        <f t="shared" si="1032"/>
        <v>0</v>
      </c>
      <c r="J1826" s="420">
        <f t="shared" si="1031"/>
        <v>2917736.64</v>
      </c>
    </row>
    <row r="1827" spans="1:10" ht="24" thickBot="1" x14ac:dyDescent="0.35">
      <c r="A1827" s="274" t="s">
        <v>101</v>
      </c>
      <c r="B1827" s="1051"/>
      <c r="C1827" s="300" t="s">
        <v>438</v>
      </c>
      <c r="D1827" s="300" t="s">
        <v>423</v>
      </c>
      <c r="E1827" s="501">
        <v>23.697399999999998</v>
      </c>
      <c r="F1827" s="402">
        <f>IFERROR(E1827*'01 Prod Physique Boites'!H1821,"-")</f>
        <v>0</v>
      </c>
      <c r="G1827" s="403">
        <f>IFERROR(E1827*'01 Prod Physique Boites'!L1821,"-")</f>
        <v>0</v>
      </c>
      <c r="H1827" s="387">
        <v>28.21</v>
      </c>
      <c r="I1827" s="638">
        <f t="shared" si="1032"/>
        <v>0</v>
      </c>
      <c r="J1827" s="420">
        <f t="shared" si="1031"/>
        <v>0</v>
      </c>
    </row>
    <row r="1828" spans="1:10" ht="24" thickBot="1" x14ac:dyDescent="0.35">
      <c r="A1828" s="274" t="s">
        <v>101</v>
      </c>
      <c r="B1828" s="1051"/>
      <c r="C1828" s="304"/>
      <c r="D1828" s="305" t="s">
        <v>51</v>
      </c>
      <c r="E1828" s="397"/>
      <c r="F1828" s="414">
        <f t="shared" ref="F1828:G1828" si="1033">SUM(F1822:F1827)</f>
        <v>0</v>
      </c>
      <c r="G1828" s="415">
        <f t="shared" si="1033"/>
        <v>1914643.4111999997</v>
      </c>
      <c r="H1828" s="398"/>
      <c r="I1828" s="414">
        <f t="shared" ref="I1828" si="1034">SUM(I1822:I1827)</f>
        <v>0</v>
      </c>
      <c r="J1828" s="430">
        <f>SUM(J1822:J1827)</f>
        <v>3128973.12</v>
      </c>
    </row>
    <row r="1829" spans="1:10" ht="24" thickBot="1" x14ac:dyDescent="0.35">
      <c r="A1829" s="274" t="s">
        <v>101</v>
      </c>
      <c r="B1829" s="1054" t="s">
        <v>163</v>
      </c>
      <c r="C1829" s="1055"/>
      <c r="D1829" s="1056"/>
      <c r="E1829" s="399"/>
      <c r="F1829" s="416">
        <f t="shared" ref="F1829:G1829" si="1035">+F1821+F1828</f>
        <v>1567818.7200000002</v>
      </c>
      <c r="G1829" s="417">
        <f t="shared" si="1035"/>
        <v>9729599.1635999996</v>
      </c>
      <c r="H1829" s="400"/>
      <c r="I1829" s="416">
        <f t="shared" ref="I1829:J1829" si="1036">+I1821+I1828</f>
        <v>2374444.8000000003</v>
      </c>
      <c r="J1829" s="431">
        <f t="shared" si="1036"/>
        <v>14907107.879999999</v>
      </c>
    </row>
    <row r="1830" spans="1:10" ht="24" thickBot="1" x14ac:dyDescent="0.35">
      <c r="A1830" s="274" t="s">
        <v>101</v>
      </c>
      <c r="B1830" s="599" t="s">
        <v>32</v>
      </c>
      <c r="C1830" s="965"/>
      <c r="D1830" s="310"/>
      <c r="E1830" s="506">
        <v>12.2659</v>
      </c>
      <c r="F1830" s="408">
        <f>IFERROR(E1830*'01 Prod Physique Boites'!H1824,"-")</f>
        <v>0</v>
      </c>
      <c r="G1830" s="409">
        <f>IFERROR(E1830*'01 Prod Physique Boites'!L1824,"-")</f>
        <v>0</v>
      </c>
      <c r="H1830" s="392"/>
      <c r="I1830" s="426">
        <f>IFERROR(H1830*(F1830/E1830),"-")</f>
        <v>0</v>
      </c>
      <c r="J1830" s="427">
        <f>IFERROR(H1830*(G1830/E1830),"-")</f>
        <v>0</v>
      </c>
    </row>
    <row r="1831" spans="1:10" ht="24" thickBot="1" x14ac:dyDescent="0.35">
      <c r="A1831" s="274" t="s">
        <v>101</v>
      </c>
      <c r="B1831" s="1047" t="s">
        <v>21</v>
      </c>
      <c r="C1831" s="1048"/>
      <c r="D1831" s="1049"/>
      <c r="E1831" s="393"/>
      <c r="F1831" s="410">
        <f t="shared" ref="F1831" si="1037">+F1817+F1829+F1830</f>
        <v>1900554.5520000001</v>
      </c>
      <c r="G1831" s="411">
        <f>+G1817+G1829+G1830</f>
        <v>36547265.478</v>
      </c>
      <c r="H1831" s="394"/>
      <c r="I1831" s="410">
        <f t="shared" ref="I1831:J1831" si="1038">+I1817+I1829+I1830</f>
        <v>2881440.9000000004</v>
      </c>
      <c r="J1831" s="428">
        <f t="shared" si="1038"/>
        <v>53547689.340000004</v>
      </c>
    </row>
    <row r="1832" spans="1:10" ht="24" thickBot="1" x14ac:dyDescent="0.35">
      <c r="A1832" s="274" t="s">
        <v>101</v>
      </c>
      <c r="B1832" s="1019" t="s">
        <v>171</v>
      </c>
      <c r="C1832" s="1020"/>
      <c r="D1832" s="1021"/>
      <c r="E1832" s="395"/>
      <c r="F1832" s="412">
        <f t="shared" ref="F1832:G1832" si="1039">+F1831</f>
        <v>1900554.5520000001</v>
      </c>
      <c r="G1832" s="413">
        <f t="shared" si="1039"/>
        <v>36547265.478</v>
      </c>
      <c r="H1832" s="396"/>
      <c r="I1832" s="412">
        <f t="shared" ref="I1832:J1832" si="1040">+I1831</f>
        <v>2881440.9000000004</v>
      </c>
      <c r="J1832" s="429">
        <f t="shared" si="1040"/>
        <v>53547689.340000004</v>
      </c>
    </row>
    <row r="1833" spans="1:10" ht="23.4" x14ac:dyDescent="0.3">
      <c r="A1833" s="268" t="s">
        <v>102</v>
      </c>
      <c r="B1833" s="1022" t="s">
        <v>401</v>
      </c>
      <c r="C1833" s="311" t="s">
        <v>113</v>
      </c>
      <c r="D1833" s="311"/>
      <c r="E1833" s="709">
        <v>254.89750000000001</v>
      </c>
      <c r="F1833" s="402">
        <f>IFERROR(E1833*'01 Prod Physique Boites'!H1827,"-")</f>
        <v>0</v>
      </c>
      <c r="G1833" s="403">
        <f>IFERROR(E1833*'01 Prod Physique Boites'!L1827,"-")</f>
        <v>0</v>
      </c>
      <c r="H1833" s="381">
        <v>445.38</v>
      </c>
      <c r="I1833" s="419">
        <f>IFERROR(H1833*(F1833/E1833),"-")</f>
        <v>0</v>
      </c>
      <c r="J1833" s="420">
        <f t="shared" ref="J1833:J1835" si="1041">IFERROR(H1833*(G1833/E1833),"-")</f>
        <v>0</v>
      </c>
    </row>
    <row r="1834" spans="1:10" ht="23.4" x14ac:dyDescent="0.3">
      <c r="A1834" s="274" t="s">
        <v>102</v>
      </c>
      <c r="B1834" s="1023"/>
      <c r="C1834" s="312" t="s">
        <v>247</v>
      </c>
      <c r="D1834" s="312"/>
      <c r="E1834" s="503">
        <v>246.51390000000001</v>
      </c>
      <c r="F1834" s="402">
        <f>IFERROR(E1834*'01 Prod Physique Boites'!H1828,"-")</f>
        <v>0</v>
      </c>
      <c r="G1834" s="403">
        <f>IFERROR(E1834*'01 Prod Physique Boites'!L1828,"-")</f>
        <v>2255355.6710999999</v>
      </c>
      <c r="H1834" s="385">
        <v>430.02</v>
      </c>
      <c r="I1834" s="421">
        <f>IFERROR(H1834*(F1834/E1834),"-")</f>
        <v>0</v>
      </c>
      <c r="J1834" s="422">
        <f t="shared" si="1041"/>
        <v>3934252.98</v>
      </c>
    </row>
    <row r="1835" spans="1:10" ht="24" thickBot="1" x14ac:dyDescent="0.35">
      <c r="A1835" s="274" t="s">
        <v>102</v>
      </c>
      <c r="B1835" s="1024"/>
      <c r="C1835" s="313" t="s">
        <v>33</v>
      </c>
      <c r="D1835" s="313"/>
      <c r="E1835" s="500">
        <v>225.7713</v>
      </c>
      <c r="F1835" s="402">
        <f>IFERROR(E1835*'01 Prod Physique Boites'!H1829,"-")</f>
        <v>0</v>
      </c>
      <c r="G1835" s="403">
        <f>IFERROR(E1835*'01 Prod Physique Boites'!L1829,"-")</f>
        <v>0</v>
      </c>
      <c r="H1835" s="387"/>
      <c r="I1835" s="423">
        <f>IFERROR(H1835*(F1835/E1835),"-")</f>
        <v>0</v>
      </c>
      <c r="J1835" s="424">
        <f t="shared" si="1041"/>
        <v>0</v>
      </c>
    </row>
    <row r="1836" spans="1:10" ht="24" thickBot="1" x14ac:dyDescent="0.35">
      <c r="A1836" s="274" t="s">
        <v>102</v>
      </c>
      <c r="B1836" s="1025" t="s">
        <v>34</v>
      </c>
      <c r="C1836" s="1026"/>
      <c r="D1836" s="1027"/>
      <c r="E1836" s="390"/>
      <c r="F1836" s="406">
        <f t="shared" ref="F1836:G1836" si="1042">SUM(F1833:F1835)</f>
        <v>0</v>
      </c>
      <c r="G1836" s="407">
        <f t="shared" si="1042"/>
        <v>2255355.6710999999</v>
      </c>
      <c r="H1836" s="391"/>
      <c r="I1836" s="406">
        <f t="shared" ref="I1836:J1836" si="1043">SUM(I1833:I1835)</f>
        <v>0</v>
      </c>
      <c r="J1836" s="425">
        <f t="shared" si="1043"/>
        <v>3934252.98</v>
      </c>
    </row>
    <row r="1837" spans="1:10" ht="23.4" x14ac:dyDescent="0.3">
      <c r="A1837" s="274" t="s">
        <v>102</v>
      </c>
      <c r="B1837" s="1022" t="s">
        <v>35</v>
      </c>
      <c r="C1837" s="311" t="s">
        <v>113</v>
      </c>
      <c r="D1837" s="311"/>
      <c r="E1837" s="502">
        <v>254.89750000000001</v>
      </c>
      <c r="F1837" s="402">
        <f>IFERROR(E1837*'01 Prod Physique Boites'!H1831,"-")</f>
        <v>0</v>
      </c>
      <c r="G1837" s="403">
        <f>IFERROR(E1837*'01 Prod Physique Boites'!L1831,"-")</f>
        <v>0</v>
      </c>
      <c r="H1837" s="381">
        <v>445.38</v>
      </c>
      <c r="I1837" s="419">
        <f>IFERROR(H1837*(F1837/E1837),"-")</f>
        <v>0</v>
      </c>
      <c r="J1837" s="420">
        <f t="shared" ref="J1837:J1840" si="1044">IFERROR(H1837*(G1837/E1837),"-")</f>
        <v>0</v>
      </c>
    </row>
    <row r="1838" spans="1:10" ht="23.4" x14ac:dyDescent="0.3">
      <c r="A1838" s="274" t="s">
        <v>102</v>
      </c>
      <c r="B1838" s="1023"/>
      <c r="C1838" s="312" t="s">
        <v>247</v>
      </c>
      <c r="D1838" s="312"/>
      <c r="E1838" s="503">
        <v>246.51390000000001</v>
      </c>
      <c r="F1838" s="402">
        <f>IFERROR(E1838*'01 Prod Physique Boites'!H1832,"-")</f>
        <v>1419920.064</v>
      </c>
      <c r="G1838" s="403">
        <f>IFERROR(E1838*'01 Prod Physique Boites'!L1832,"-")</f>
        <v>4023106.8480000002</v>
      </c>
      <c r="H1838" s="385">
        <v>430.02</v>
      </c>
      <c r="I1838" s="421">
        <f>IFERROR(H1838*(F1838/E1838),"-")</f>
        <v>2476915.1999999997</v>
      </c>
      <c r="J1838" s="422">
        <f t="shared" si="1044"/>
        <v>7017926.3999999994</v>
      </c>
    </row>
    <row r="1839" spans="1:10" ht="23.4" x14ac:dyDescent="0.3">
      <c r="A1839" s="274" t="s">
        <v>102</v>
      </c>
      <c r="B1839" s="1023"/>
      <c r="C1839" s="312" t="s">
        <v>184</v>
      </c>
      <c r="D1839" s="312" t="s">
        <v>183</v>
      </c>
      <c r="E1839" s="503">
        <v>254.89750000000001</v>
      </c>
      <c r="F1839" s="402">
        <f>IFERROR(E1839*'01 Prod Physique Boites'!H1833,"-")</f>
        <v>0</v>
      </c>
      <c r="G1839" s="403">
        <f>IFERROR(E1839*'01 Prod Physique Boites'!L1833,"-")</f>
        <v>0</v>
      </c>
      <c r="H1839" s="385"/>
      <c r="I1839" s="421">
        <f>IFERROR(H1839*(F1839/E1839),"-")</f>
        <v>0</v>
      </c>
      <c r="J1839" s="422">
        <f t="shared" si="1044"/>
        <v>0</v>
      </c>
    </row>
    <row r="1840" spans="1:10" ht="24" thickBot="1" x14ac:dyDescent="0.35">
      <c r="A1840" s="274" t="s">
        <v>102</v>
      </c>
      <c r="B1840" s="1024"/>
      <c r="C1840" s="313" t="s">
        <v>36</v>
      </c>
      <c r="D1840" s="313"/>
      <c r="E1840" s="500">
        <v>229.99359999999999</v>
      </c>
      <c r="F1840" s="402">
        <f>IFERROR(E1840*'01 Prod Physique Boites'!H1834,"-")</f>
        <v>0</v>
      </c>
      <c r="G1840" s="403">
        <f>IFERROR(E1840*'01 Prod Physique Boites'!L1834,"-")</f>
        <v>0</v>
      </c>
      <c r="H1840" s="387"/>
      <c r="I1840" s="423">
        <f>IFERROR(H1840*(F1840/E1840),"-")</f>
        <v>0</v>
      </c>
      <c r="J1840" s="424">
        <f t="shared" si="1044"/>
        <v>0</v>
      </c>
    </row>
    <row r="1841" spans="1:10" ht="24" thickBot="1" x14ac:dyDescent="0.35">
      <c r="A1841" s="274" t="s">
        <v>102</v>
      </c>
      <c r="B1841" s="1025" t="s">
        <v>37</v>
      </c>
      <c r="C1841" s="1026"/>
      <c r="D1841" s="1027"/>
      <c r="E1841" s="390"/>
      <c r="F1841" s="406">
        <f t="shared" ref="F1841:G1841" si="1045">SUM(F1837:F1840)</f>
        <v>1419920.064</v>
      </c>
      <c r="G1841" s="407">
        <f t="shared" si="1045"/>
        <v>4023106.8480000002</v>
      </c>
      <c r="H1841" s="391"/>
      <c r="I1841" s="406">
        <f>SUM(I1837:I1840)</f>
        <v>2476915.1999999997</v>
      </c>
      <c r="J1841" s="425">
        <f>SUM(J1837:J1840)</f>
        <v>7017926.3999999994</v>
      </c>
    </row>
    <row r="1842" spans="1:10" ht="23.4" x14ac:dyDescent="0.3">
      <c r="A1842" s="274" t="s">
        <v>102</v>
      </c>
      <c r="B1842" s="1022" t="s">
        <v>402</v>
      </c>
      <c r="C1842" s="314" t="s">
        <v>116</v>
      </c>
      <c r="D1842" s="314"/>
      <c r="E1842" s="502">
        <v>195.2808</v>
      </c>
      <c r="F1842" s="402">
        <f>IFERROR(E1842*'01 Prod Physique Boites'!H1836,"-")</f>
        <v>0</v>
      </c>
      <c r="G1842" s="403">
        <f>IFERROR(E1842*'01 Prod Physique Boites'!L1836,"-")</f>
        <v>0</v>
      </c>
      <c r="H1842" s="681">
        <v>256.7</v>
      </c>
      <c r="I1842" s="419">
        <f>IFERROR(H1842*(F1842/E1842),"-")</f>
        <v>0</v>
      </c>
      <c r="J1842" s="420">
        <f t="shared" ref="J1842:J1843" si="1046">IFERROR(H1842*(G1842/E1842),"-")</f>
        <v>0</v>
      </c>
    </row>
    <row r="1843" spans="1:10" ht="24" thickBot="1" x14ac:dyDescent="0.35">
      <c r="A1843" s="274" t="s">
        <v>102</v>
      </c>
      <c r="B1843" s="1024"/>
      <c r="C1843" s="286" t="s">
        <v>132</v>
      </c>
      <c r="D1843" s="286"/>
      <c r="E1843" s="500">
        <v>189.91890000000001</v>
      </c>
      <c r="F1843" s="402">
        <f>IFERROR(E1843*'01 Prod Physique Boites'!H1837,"-")</f>
        <v>0</v>
      </c>
      <c r="G1843" s="403">
        <f>IFERROR(E1843*'01 Prod Physique Boites'!L1837,"-")</f>
        <v>4138332.8310000002</v>
      </c>
      <c r="H1843" s="387">
        <v>320.35000000000002</v>
      </c>
      <c r="I1843" s="423">
        <f>IFERROR(H1843*(F1843/E1843),"-")</f>
        <v>0</v>
      </c>
      <c r="J1843" s="424">
        <f t="shared" si="1046"/>
        <v>6980426.5000000009</v>
      </c>
    </row>
    <row r="1844" spans="1:10" ht="24" thickBot="1" x14ac:dyDescent="0.35">
      <c r="A1844" s="969" t="s">
        <v>102</v>
      </c>
      <c r="B1844" s="1025" t="s">
        <v>38</v>
      </c>
      <c r="C1844" s="1026"/>
      <c r="D1844" s="1027"/>
      <c r="E1844" s="390"/>
      <c r="F1844" s="406">
        <f>SUM(F1842:F1843)</f>
        <v>0</v>
      </c>
      <c r="G1844" s="407">
        <f t="shared" ref="G1844" si="1047">SUM(G1842:G1843)</f>
        <v>4138332.8310000002</v>
      </c>
      <c r="H1844" s="391"/>
      <c r="I1844" s="406">
        <f t="shared" ref="I1844:J1844" si="1048">SUM(I1842:I1843)</f>
        <v>0</v>
      </c>
      <c r="J1844" s="425">
        <f t="shared" si="1048"/>
        <v>6980426.5000000009</v>
      </c>
    </row>
    <row r="1845" spans="1:10" ht="23.4" x14ac:dyDescent="0.3">
      <c r="A1845" s="274" t="s">
        <v>102</v>
      </c>
      <c r="B1845" s="1022" t="s">
        <v>403</v>
      </c>
      <c r="C1845" s="269" t="s">
        <v>306</v>
      </c>
      <c r="D1845" s="269" t="s">
        <v>238</v>
      </c>
      <c r="E1845" s="504">
        <v>37.248699999999999</v>
      </c>
      <c r="F1845" s="402">
        <f>IFERROR(E1845*'01 Prod Physique Boites'!H1839,"-")</f>
        <v>625778.16</v>
      </c>
      <c r="G1845" s="403">
        <f>IFERROR(E1845*'01 Prod Physique Boites'!L1839,"-")</f>
        <v>13624084.512</v>
      </c>
      <c r="H1845" s="381">
        <v>71.44</v>
      </c>
      <c r="I1845" s="419">
        <f>IFERROR(H1845*(F1845/E1845),"-")</f>
        <v>1200192</v>
      </c>
      <c r="J1845" s="420">
        <f>IFERROR(H1845*(G1845/E1845),"-")</f>
        <v>26129894.399999999</v>
      </c>
    </row>
    <row r="1846" spans="1:10" ht="23.4" x14ac:dyDescent="0.3">
      <c r="A1846" s="274" t="s">
        <v>102</v>
      </c>
      <c r="B1846" s="1023"/>
      <c r="C1846" s="269" t="s">
        <v>156</v>
      </c>
      <c r="D1846" s="275"/>
      <c r="E1846" s="504">
        <v>37.248699999999999</v>
      </c>
      <c r="F1846" s="402">
        <f>IFERROR(E1846*'01 Prod Physique Boites'!H1840,"-")</f>
        <v>0</v>
      </c>
      <c r="G1846" s="403">
        <f>IFERROR(E1846*'01 Prod Physique Boites'!L1840,"-")</f>
        <v>0</v>
      </c>
      <c r="H1846" s="385"/>
      <c r="I1846" s="421">
        <f>IFERROR(H1846*(F1846/E1846),"-")</f>
        <v>0</v>
      </c>
      <c r="J1846" s="422">
        <f t="shared" ref="J1846:J1848" si="1049">IFERROR(H1846*(G1846/E1846),"-")</f>
        <v>0</v>
      </c>
    </row>
    <row r="1847" spans="1:10" ht="23.4" x14ac:dyDescent="0.3">
      <c r="A1847" s="274" t="s">
        <v>102</v>
      </c>
      <c r="B1847" s="1023"/>
      <c r="C1847" s="275" t="s">
        <v>345</v>
      </c>
      <c r="D1847" s="269" t="s">
        <v>238</v>
      </c>
      <c r="E1847" s="504">
        <v>37.248699999999999</v>
      </c>
      <c r="F1847" s="402">
        <f>IFERROR(E1847*'01 Prod Physique Boites'!H1841,"-")</f>
        <v>0</v>
      </c>
      <c r="G1847" s="403">
        <f>IFERROR(E1847*'01 Prod Physique Boites'!L1841,"-")</f>
        <v>1826378.2583999999</v>
      </c>
      <c r="H1847" s="385">
        <v>71.44</v>
      </c>
      <c r="I1847" s="421">
        <f>IFERROR(H1847*(F1847/E1847),"-")</f>
        <v>0</v>
      </c>
      <c r="J1847" s="422">
        <f t="shared" si="1049"/>
        <v>3502846.08</v>
      </c>
    </row>
    <row r="1848" spans="1:10" ht="24" thickBot="1" x14ac:dyDescent="0.35">
      <c r="A1848" s="274" t="s">
        <v>102</v>
      </c>
      <c r="B1848" s="1023"/>
      <c r="C1848" s="275" t="s">
        <v>157</v>
      </c>
      <c r="D1848" s="275"/>
      <c r="E1848" s="505">
        <v>38.466099999999997</v>
      </c>
      <c r="F1848" s="402">
        <f>IFERROR(E1848*'01 Prod Physique Boites'!H1842,"-")</f>
        <v>0</v>
      </c>
      <c r="G1848" s="403">
        <f>IFERROR(E1848*'01 Prod Physique Boites'!L1842,"-")</f>
        <v>0</v>
      </c>
      <c r="H1848" s="385"/>
      <c r="I1848" s="421">
        <f>IFERROR(H1848*(F1848/E1848),"-")</f>
        <v>0</v>
      </c>
      <c r="J1848" s="422">
        <f t="shared" si="1049"/>
        <v>0</v>
      </c>
    </row>
    <row r="1849" spans="1:10" ht="24" thickBot="1" x14ac:dyDescent="0.35">
      <c r="A1849" s="274" t="s">
        <v>102</v>
      </c>
      <c r="B1849" s="1025" t="s">
        <v>39</v>
      </c>
      <c r="C1849" s="1026"/>
      <c r="D1849" s="1027"/>
      <c r="E1849" s="390"/>
      <c r="F1849" s="406">
        <f>SUM(F1845:F1848)</f>
        <v>625778.16</v>
      </c>
      <c r="G1849" s="407">
        <f>SUM(G1845:G1848)</f>
        <v>15450462.770400001</v>
      </c>
      <c r="H1849" s="391"/>
      <c r="I1849" s="406">
        <f>SUM(I1845:I1848)</f>
        <v>1200192</v>
      </c>
      <c r="J1849" s="406">
        <f>SUM(J1845:J1848)</f>
        <v>29632740.479999997</v>
      </c>
    </row>
    <row r="1850" spans="1:10" ht="23.4" x14ac:dyDescent="0.3">
      <c r="A1850" s="274" t="s">
        <v>102</v>
      </c>
      <c r="B1850" s="1022" t="s">
        <v>40</v>
      </c>
      <c r="C1850" s="269" t="s">
        <v>186</v>
      </c>
      <c r="D1850" s="269" t="s">
        <v>183</v>
      </c>
      <c r="E1850" s="504">
        <v>30.7499</v>
      </c>
      <c r="F1850" s="402">
        <f>IFERROR(E1850*'01 Prod Physique Boites'!H1845,"-")</f>
        <v>0</v>
      </c>
      <c r="G1850" s="402">
        <f>IFERROR(E1850*'01 Prod Physique Boites'!L1845,"-")</f>
        <v>0</v>
      </c>
      <c r="H1850" s="381"/>
      <c r="I1850" s="419">
        <f>IFERROR(H1850*(F1850/E1850),"-")</f>
        <v>0</v>
      </c>
      <c r="J1850" s="420">
        <f>IFERROR(H1850*(G1850/E1850),"-")</f>
        <v>0</v>
      </c>
    </row>
    <row r="1851" spans="1:10" ht="23.4" x14ac:dyDescent="0.3">
      <c r="A1851" s="274" t="s">
        <v>102</v>
      </c>
      <c r="B1851" s="1023"/>
      <c r="C1851" s="275" t="s">
        <v>159</v>
      </c>
      <c r="D1851" s="275"/>
      <c r="E1851" s="684">
        <v>30.073599999999999</v>
      </c>
      <c r="F1851" s="402">
        <f>IFERROR(E1851*'01 Prod Physique Boites'!H1846,"-")</f>
        <v>0</v>
      </c>
      <c r="G1851" s="403">
        <f>IFERROR(E1851*'01 Prod Physique Boites'!L1846,"-")</f>
        <v>342839.03999999998</v>
      </c>
      <c r="H1851" s="385">
        <v>59.96</v>
      </c>
      <c r="I1851" s="421">
        <f>IFERROR(H1851*(F1851/E1851),"-")</f>
        <v>0</v>
      </c>
      <c r="J1851" s="422">
        <f t="shared" ref="J1851:J1852" si="1050">IFERROR(H1851*(G1851/E1851),"-")</f>
        <v>683544</v>
      </c>
    </row>
    <row r="1852" spans="1:10" ht="24" thickBot="1" x14ac:dyDescent="0.35">
      <c r="A1852" s="274" t="s">
        <v>102</v>
      </c>
      <c r="B1852" s="1024"/>
      <c r="C1852" s="279" t="s">
        <v>186</v>
      </c>
      <c r="D1852" s="279" t="s">
        <v>185</v>
      </c>
      <c r="E1852" s="501">
        <v>30.073599999999999</v>
      </c>
      <c r="F1852" s="402">
        <f>IFERROR(E1852*'01 Prod Physique Boites'!H1847,"-")</f>
        <v>0</v>
      </c>
      <c r="G1852" s="403">
        <f>IFERROR(E1852*'01 Prod Physique Boites'!L1847,"-")</f>
        <v>0</v>
      </c>
      <c r="H1852" s="387"/>
      <c r="I1852" s="423">
        <f>IFERROR(H1852*(F1852/E1852),"-")</f>
        <v>0</v>
      </c>
      <c r="J1852" s="424">
        <f t="shared" si="1050"/>
        <v>0</v>
      </c>
    </row>
    <row r="1853" spans="1:10" ht="24" thickBot="1" x14ac:dyDescent="0.35">
      <c r="A1853" s="274" t="s">
        <v>102</v>
      </c>
      <c r="B1853" s="1034" t="s">
        <v>41</v>
      </c>
      <c r="C1853" s="1035"/>
      <c r="D1853" s="1036"/>
      <c r="E1853" s="390"/>
      <c r="F1853" s="406">
        <f t="shared" ref="F1853:G1853" si="1051">SUM(F1850:F1852)</f>
        <v>0</v>
      </c>
      <c r="G1853" s="407">
        <f t="shared" si="1051"/>
        <v>342839.03999999998</v>
      </c>
      <c r="H1853" s="391"/>
      <c r="I1853" s="406">
        <f t="shared" ref="I1853:J1853" si="1052">SUM(I1850:I1852)</f>
        <v>0</v>
      </c>
      <c r="J1853" s="425">
        <f t="shared" si="1052"/>
        <v>683544</v>
      </c>
    </row>
    <row r="1854" spans="1:10" ht="23.4" x14ac:dyDescent="0.3">
      <c r="A1854" s="274" t="s">
        <v>102</v>
      </c>
      <c r="B1854" s="1022" t="s">
        <v>42</v>
      </c>
      <c r="C1854" s="269" t="s">
        <v>160</v>
      </c>
      <c r="D1854" s="269"/>
      <c r="E1854" s="504">
        <v>36.684899999999999</v>
      </c>
      <c r="F1854" s="402">
        <f>IFERROR(E1854*'01 Prod Physique Boites'!H1849,"-")</f>
        <v>234783.35999999999</v>
      </c>
      <c r="G1854" s="402">
        <f>IFERROR(E1854*'01 Prod Physique Boites'!L1849,"-")</f>
        <v>293479.2</v>
      </c>
      <c r="H1854" s="381">
        <v>42</v>
      </c>
      <c r="I1854" s="382">
        <f t="shared" ref="I1854:I1855" si="1053">IFERROR(H1854*(F1854/E1854),"-")</f>
        <v>268800</v>
      </c>
      <c r="J1854" s="383">
        <f t="shared" ref="J1854:J1855" si="1054">IFERROR(H1854*(G1854/E1854),"-")</f>
        <v>336000.00000000006</v>
      </c>
    </row>
    <row r="1855" spans="1:10" ht="24" thickBot="1" x14ac:dyDescent="0.35">
      <c r="A1855" s="274" t="s">
        <v>102</v>
      </c>
      <c r="B1855" s="1024"/>
      <c r="C1855" s="279" t="s">
        <v>161</v>
      </c>
      <c r="D1855" s="279"/>
      <c r="E1855" s="501">
        <v>37.002800000000001</v>
      </c>
      <c r="F1855" s="402">
        <f>IFERROR(E1855*'01 Prod Physique Boites'!H1850,"-")</f>
        <v>0</v>
      </c>
      <c r="G1855" s="402">
        <f>IFERROR(E1855*'01 Prod Physique Boites'!L1850,"-")</f>
        <v>0</v>
      </c>
      <c r="H1855" s="387"/>
      <c r="I1855" s="388">
        <f t="shared" si="1053"/>
        <v>0</v>
      </c>
      <c r="J1855" s="389">
        <f t="shared" si="1054"/>
        <v>0</v>
      </c>
    </row>
    <row r="1856" spans="1:10" ht="24" thickBot="1" x14ac:dyDescent="0.35">
      <c r="A1856" s="274" t="s">
        <v>102</v>
      </c>
      <c r="B1856" s="1034" t="s">
        <v>43</v>
      </c>
      <c r="C1856" s="1035"/>
      <c r="D1856" s="1036"/>
      <c r="E1856" s="390"/>
      <c r="F1856" s="402">
        <f>IFERROR(E1856*'01 Prod Physique Boites'!H1850,"-")</f>
        <v>0</v>
      </c>
      <c r="G1856" s="407">
        <f>SUM(G1854:G1855)</f>
        <v>293479.2</v>
      </c>
      <c r="H1856" s="391"/>
      <c r="I1856" s="406">
        <f t="shared" ref="I1856:J1856" si="1055">SUM(I1854:I1855)</f>
        <v>268800</v>
      </c>
      <c r="J1856" s="425">
        <f t="shared" si="1055"/>
        <v>336000.00000000006</v>
      </c>
    </row>
    <row r="1857" spans="1:10" ht="24" thickBot="1" x14ac:dyDescent="0.35">
      <c r="A1857" s="274" t="s">
        <v>102</v>
      </c>
      <c r="B1857" s="1028" t="s">
        <v>25</v>
      </c>
      <c r="C1857" s="1029"/>
      <c r="D1857" s="1030"/>
      <c r="E1857" s="393"/>
      <c r="F1857" s="410">
        <f>+F1836+F1841+F1844+F1849+F1853+F1856</f>
        <v>2045698.2239999999</v>
      </c>
      <c r="G1857" s="411">
        <f>+G1836+G1841+G1844+G1849+G1853+G1856</f>
        <v>26503576.360499997</v>
      </c>
      <c r="H1857" s="394"/>
      <c r="I1857" s="410">
        <f>+I1836+I1841+I1844+I1849+I1853+I1856</f>
        <v>3945907.1999999997</v>
      </c>
      <c r="J1857" s="428">
        <f>+J1836+J1841+J1844+J1849+J1853+J1856</f>
        <v>48584890.359999999</v>
      </c>
    </row>
    <row r="1858" spans="1:10" ht="24" thickBot="1" x14ac:dyDescent="0.35">
      <c r="A1858" s="318" t="s">
        <v>102</v>
      </c>
      <c r="B1858" s="1020" t="s">
        <v>173</v>
      </c>
      <c r="C1858" s="1020"/>
      <c r="D1858" s="1021"/>
      <c r="E1858" s="395"/>
      <c r="F1858" s="412">
        <f t="shared" ref="F1858:G1858" si="1056">+F1857</f>
        <v>2045698.2239999999</v>
      </c>
      <c r="G1858" s="413">
        <f t="shared" si="1056"/>
        <v>26503576.360499997</v>
      </c>
      <c r="H1858" s="396"/>
      <c r="I1858" s="412">
        <f t="shared" ref="I1858" si="1057">+I1857</f>
        <v>3945907.1999999997</v>
      </c>
      <c r="J1858" s="429">
        <f>+J1857</f>
        <v>48584890.359999999</v>
      </c>
    </row>
    <row r="1859" spans="1:10" ht="24.6" thickBot="1" x14ac:dyDescent="0.35">
      <c r="A1859" s="319"/>
      <c r="B1859" s="1031" t="s">
        <v>174</v>
      </c>
      <c r="C1859" s="1032"/>
      <c r="D1859" s="1033"/>
      <c r="E1859" s="401"/>
      <c r="F1859" s="418">
        <f>+F1797+F1832+F1858</f>
        <v>5939584.2992000002</v>
      </c>
      <c r="G1859" s="418">
        <f>+G1797+G1832+G1858</f>
        <v>107081960.45769998</v>
      </c>
      <c r="H1859" s="401"/>
      <c r="I1859" s="418">
        <f>+I1797+I1832+I1858</f>
        <v>9234103.6199999992</v>
      </c>
      <c r="J1859" s="432">
        <f>+J1797+J1832+J1858</f>
        <v>151922023.62</v>
      </c>
    </row>
    <row r="1860" spans="1:10" ht="27.75" customHeight="1" x14ac:dyDescent="0.3">
      <c r="A1860" s="1057" t="s">
        <v>1</v>
      </c>
      <c r="B1860" s="1060" t="s">
        <v>2</v>
      </c>
      <c r="C1860" s="1063" t="s">
        <v>396</v>
      </c>
      <c r="D1860" s="1063" t="s">
        <v>397</v>
      </c>
      <c r="E1860" s="1092" t="s">
        <v>405</v>
      </c>
      <c r="F1860" s="1093"/>
      <c r="G1860" s="1093"/>
      <c r="H1860" s="442"/>
      <c r="I1860" s="442"/>
      <c r="J1860" s="443"/>
    </row>
    <row r="1861" spans="1:10" ht="27.75" customHeight="1" x14ac:dyDescent="0.3">
      <c r="A1861" s="1058"/>
      <c r="B1861" s="1061"/>
      <c r="C1861" s="1064"/>
      <c r="D1861" s="1064"/>
      <c r="E1861" s="1094" t="s">
        <v>408</v>
      </c>
      <c r="F1861" s="1095"/>
      <c r="G1861" s="1096"/>
      <c r="H1861" s="1094" t="s">
        <v>168</v>
      </c>
      <c r="I1861" s="1095"/>
      <c r="J1861" s="1096"/>
    </row>
    <row r="1862" spans="1:10" ht="27.75" customHeight="1" x14ac:dyDescent="0.3">
      <c r="A1862" s="1059"/>
      <c r="B1862" s="1090"/>
      <c r="C1862" s="1091"/>
      <c r="D1862" s="1091"/>
      <c r="E1862" s="379" t="s">
        <v>170</v>
      </c>
      <c r="F1862" s="975" t="s">
        <v>407</v>
      </c>
      <c r="G1862" s="976" t="s">
        <v>406</v>
      </c>
      <c r="H1862" s="1097" t="s">
        <v>170</v>
      </c>
      <c r="I1862" s="1099" t="s">
        <v>137</v>
      </c>
      <c r="J1862" s="1101" t="s">
        <v>406</v>
      </c>
    </row>
    <row r="1863" spans="1:10" ht="27.75" customHeight="1" thickBot="1" x14ac:dyDescent="0.35">
      <c r="A1863" s="1059"/>
      <c r="B1863" s="1062"/>
      <c r="C1863" s="1065"/>
      <c r="D1863" s="1065"/>
      <c r="E1863" s="1103" t="s">
        <v>576</v>
      </c>
      <c r="F1863" s="1104"/>
      <c r="G1863" s="1105"/>
      <c r="H1863" s="1098"/>
      <c r="I1863" s="1100"/>
      <c r="J1863" s="1102"/>
    </row>
    <row r="1864" spans="1:10" ht="27.75" customHeight="1" x14ac:dyDescent="0.3">
      <c r="A1864" s="268" t="s">
        <v>103</v>
      </c>
      <c r="B1864" s="1043" t="s">
        <v>16</v>
      </c>
      <c r="C1864" s="269" t="s">
        <v>368</v>
      </c>
      <c r="D1864" s="269" t="s">
        <v>369</v>
      </c>
      <c r="E1864" s="705">
        <v>81.360699999999994</v>
      </c>
      <c r="F1864" s="402">
        <f>IFERROR(E1864*'01 Prod Physique Boites'!H1858,"-")</f>
        <v>0</v>
      </c>
      <c r="G1864" s="402">
        <f>IFERROR(E1864*'01 Prod Physique Boites'!L1858,"-")</f>
        <v>1514936.2339999999</v>
      </c>
      <c r="H1864" s="706">
        <v>143.28</v>
      </c>
      <c r="I1864" s="419">
        <f>IFERROR(H1864*(F1864/E1864),"-")</f>
        <v>0</v>
      </c>
      <c r="J1864" s="420">
        <f t="shared" ref="J1864:J1866" si="1058">IFERROR(H1864*(G1864/E1864),"-")</f>
        <v>2667873.6</v>
      </c>
    </row>
    <row r="1865" spans="1:10" ht="27.75" customHeight="1" x14ac:dyDescent="0.3">
      <c r="A1865" s="713"/>
      <c r="B1865" s="1044"/>
      <c r="C1865" s="275" t="s">
        <v>470</v>
      </c>
      <c r="D1865" s="275" t="s">
        <v>375</v>
      </c>
      <c r="E1865" s="505">
        <v>81.360699999999994</v>
      </c>
      <c r="F1865" s="402">
        <f>IFERROR(E1865*'01 Prod Physique Boites'!H1859,"-")</f>
        <v>0</v>
      </c>
      <c r="G1865" s="402">
        <f>IFERROR(E1865*'01 Prod Physique Boites'!L1859,"-")</f>
        <v>0</v>
      </c>
      <c r="H1865" s="708">
        <v>143.28</v>
      </c>
      <c r="I1865" s="419">
        <f>IFERROR(H1865*(F1865/E1865),"-")</f>
        <v>0</v>
      </c>
      <c r="J1865" s="420">
        <f t="shared" si="1058"/>
        <v>0</v>
      </c>
    </row>
    <row r="1866" spans="1:10" ht="27.75" customHeight="1" x14ac:dyDescent="0.3">
      <c r="A1866" s="274" t="s">
        <v>103</v>
      </c>
      <c r="B1866" s="1044"/>
      <c r="C1866" s="275" t="s">
        <v>430</v>
      </c>
      <c r="D1866" s="275" t="s">
        <v>384</v>
      </c>
      <c r="E1866" s="684">
        <v>77.170400000000001</v>
      </c>
      <c r="F1866" s="402">
        <f>IFERROR(E1866*'01 Prod Physique Boites'!H1860,"-")</f>
        <v>184437.25599999999</v>
      </c>
      <c r="G1866" s="402">
        <f>IFERROR(E1866*'01 Prod Physique Boites'!L1860,"-")</f>
        <v>999356.68</v>
      </c>
      <c r="H1866" s="385">
        <v>0</v>
      </c>
      <c r="I1866" s="419">
        <f>IFERROR(H1866*(F1866/E1866),"-")</f>
        <v>0</v>
      </c>
      <c r="J1866" s="420">
        <f t="shared" si="1058"/>
        <v>0</v>
      </c>
    </row>
    <row r="1867" spans="1:10" ht="27.75" customHeight="1" thickBot="1" x14ac:dyDescent="0.35">
      <c r="A1867" s="274" t="s">
        <v>103</v>
      </c>
      <c r="B1867" s="1045"/>
      <c r="C1867" s="279" t="s">
        <v>262</v>
      </c>
      <c r="D1867" s="279" t="s">
        <v>231</v>
      </c>
      <c r="E1867" s="501">
        <v>60.703499999999998</v>
      </c>
      <c r="F1867" s="402">
        <f>IFERROR(E1867*'01 Prod Physique Boites'!H1861,"-")</f>
        <v>0</v>
      </c>
      <c r="G1867" s="402">
        <f>IFERROR(E1867*'01 Prod Physique Boites'!L1861,"-")</f>
        <v>0</v>
      </c>
      <c r="H1867" s="387">
        <v>111.09</v>
      </c>
      <c r="I1867" s="419">
        <f>IFERROR(H1867*(F1867/E1867),"-")</f>
        <v>0</v>
      </c>
      <c r="J1867" s="420">
        <f>IFERROR(H1867*(G1867/E1867),"-")</f>
        <v>0</v>
      </c>
    </row>
    <row r="1868" spans="1:10" ht="27.75" customHeight="1" thickBot="1" x14ac:dyDescent="0.35">
      <c r="A1868" s="274" t="s">
        <v>103</v>
      </c>
      <c r="B1868" s="1025" t="s">
        <v>44</v>
      </c>
      <c r="C1868" s="1026"/>
      <c r="D1868" s="1027"/>
      <c r="E1868" s="390"/>
      <c r="F1868" s="406">
        <f t="shared" ref="F1868" si="1059">SUM(F1864:F1867)</f>
        <v>184437.25599999999</v>
      </c>
      <c r="G1868" s="407">
        <f>SUM(G1864:G1867)</f>
        <v>2514292.9139999999</v>
      </c>
      <c r="H1868" s="391"/>
      <c r="I1868" s="406">
        <f t="shared" ref="I1868:J1868" si="1060">SUM(I1864:I1867)</f>
        <v>0</v>
      </c>
      <c r="J1868" s="425">
        <f t="shared" si="1060"/>
        <v>2667873.6</v>
      </c>
    </row>
    <row r="1869" spans="1:10" ht="27.75" customHeight="1" x14ac:dyDescent="0.3">
      <c r="A1869" s="274" t="s">
        <v>103</v>
      </c>
      <c r="B1869" s="1043" t="s">
        <v>17</v>
      </c>
      <c r="C1869" s="269" t="s">
        <v>294</v>
      </c>
      <c r="D1869" s="269"/>
      <c r="E1869" s="504">
        <v>12.5275</v>
      </c>
      <c r="F1869" s="402">
        <f>IFERROR(E1869*'01 Prod Physique Boites'!H1863,"-")</f>
        <v>0</v>
      </c>
      <c r="G1869" s="402">
        <f>IFERROR(E1869*'01 Prod Physique Boites'!L1863,"-")</f>
        <v>0</v>
      </c>
      <c r="H1869" s="681">
        <v>18.836400000000001</v>
      </c>
      <c r="I1869" s="419">
        <f t="shared" ref="I1869:I1875" si="1061">IFERROR(H1869*(F1869/E1869),"-")</f>
        <v>0</v>
      </c>
      <c r="J1869" s="420">
        <f t="shared" ref="J1869:J1874" si="1062">IFERROR(H1869*(G1869/E1869),"-")</f>
        <v>0</v>
      </c>
    </row>
    <row r="1870" spans="1:10" ht="27.75" customHeight="1" x14ac:dyDescent="0.3">
      <c r="A1870" s="274" t="s">
        <v>103</v>
      </c>
      <c r="B1870" s="1044"/>
      <c r="C1870" s="275" t="s">
        <v>344</v>
      </c>
      <c r="D1870" s="275" t="s">
        <v>232</v>
      </c>
      <c r="E1870" s="677">
        <v>13.002700000000001</v>
      </c>
      <c r="F1870" s="402">
        <f>IFERROR(E1870*'01 Prod Physique Boites'!H1864,"-")</f>
        <v>0</v>
      </c>
      <c r="G1870" s="402">
        <f>IFERROR(E1870*'01 Prod Physique Boites'!L1864,"-")</f>
        <v>77756.146000000008</v>
      </c>
      <c r="H1870" s="385">
        <v>21.18</v>
      </c>
      <c r="I1870" s="421">
        <f t="shared" si="1061"/>
        <v>0</v>
      </c>
      <c r="J1870" s="422">
        <f t="shared" si="1062"/>
        <v>126656.4</v>
      </c>
    </row>
    <row r="1871" spans="1:10" ht="27.75" customHeight="1" x14ac:dyDescent="0.3">
      <c r="A1871" s="274" t="s">
        <v>103</v>
      </c>
      <c r="B1871" s="1044"/>
      <c r="C1871" s="275" t="s">
        <v>351</v>
      </c>
      <c r="D1871" s="275" t="s">
        <v>187</v>
      </c>
      <c r="E1871" s="677">
        <v>12.9049</v>
      </c>
      <c r="F1871" s="402">
        <f>IFERROR(E1871*'01 Prod Physique Boites'!H1865,"-")</f>
        <v>710801.89199999999</v>
      </c>
      <c r="G1871" s="402">
        <f>IFERROR(E1871*'01 Prod Physique Boites'!L1865,"-")</f>
        <v>16743333.456</v>
      </c>
      <c r="H1871" s="385">
        <v>20.5</v>
      </c>
      <c r="I1871" s="421">
        <f t="shared" si="1061"/>
        <v>1129140</v>
      </c>
      <c r="J1871" s="422">
        <f t="shared" si="1062"/>
        <v>26597520</v>
      </c>
    </row>
    <row r="1872" spans="1:10" ht="27.75" customHeight="1" x14ac:dyDescent="0.3">
      <c r="A1872" s="274" t="s">
        <v>103</v>
      </c>
      <c r="B1872" s="1044"/>
      <c r="C1872" s="275" t="s">
        <v>530</v>
      </c>
      <c r="D1872" s="275" t="s">
        <v>529</v>
      </c>
      <c r="E1872" s="505">
        <v>13.1958</v>
      </c>
      <c r="F1872" s="402">
        <f>IFERROR(E1872*'01 Prod Physique Boites'!H1866,"-")</f>
        <v>0</v>
      </c>
      <c r="G1872" s="402">
        <f>IFERROR(E1872*'01 Prod Physique Boites'!L1866,"-")</f>
        <v>545646.32999999996</v>
      </c>
      <c r="H1872" s="708">
        <v>21.28</v>
      </c>
      <c r="I1872" s="421">
        <f t="shared" si="1061"/>
        <v>0</v>
      </c>
      <c r="J1872" s="422">
        <f t="shared" si="1062"/>
        <v>879927.99999999988</v>
      </c>
    </row>
    <row r="1873" spans="1:10" ht="27.75" customHeight="1" x14ac:dyDescent="0.3">
      <c r="A1873" s="274" t="s">
        <v>103</v>
      </c>
      <c r="B1873" s="1044"/>
      <c r="C1873" s="275" t="s">
        <v>323</v>
      </c>
      <c r="D1873" s="275" t="s">
        <v>318</v>
      </c>
      <c r="E1873" s="505">
        <v>13.1958</v>
      </c>
      <c r="F1873" s="402">
        <f>IFERROR(E1873*'01 Prod Physique Boites'!H1867,"-")</f>
        <v>0</v>
      </c>
      <c r="G1873" s="402">
        <f>IFERROR(E1873*'01 Prod Physique Boites'!L1867,"-")</f>
        <v>0</v>
      </c>
      <c r="H1873" s="385">
        <v>21.28</v>
      </c>
      <c r="I1873" s="421">
        <f t="shared" si="1061"/>
        <v>0</v>
      </c>
      <c r="J1873" s="422">
        <f t="shared" si="1062"/>
        <v>0</v>
      </c>
    </row>
    <row r="1874" spans="1:10" ht="27.75" customHeight="1" x14ac:dyDescent="0.3">
      <c r="A1874" s="274">
        <v>1</v>
      </c>
      <c r="B1874" s="1044"/>
      <c r="C1874" s="275" t="s">
        <v>528</v>
      </c>
      <c r="D1874" s="275" t="s">
        <v>189</v>
      </c>
      <c r="E1874" s="677">
        <v>13.1958</v>
      </c>
      <c r="F1874" s="402">
        <f>IFERROR(E1874*'01 Prod Physique Boites'!H1868,"-")</f>
        <v>0</v>
      </c>
      <c r="G1874" s="402">
        <f>IFERROR(E1874*'01 Prod Physique Boites'!L1868,"-")</f>
        <v>445490.20799999998</v>
      </c>
      <c r="H1874" s="664">
        <v>21.28</v>
      </c>
      <c r="I1874" s="421">
        <f t="shared" si="1061"/>
        <v>0</v>
      </c>
      <c r="J1874" s="422">
        <f t="shared" si="1062"/>
        <v>718412.80000000005</v>
      </c>
    </row>
    <row r="1875" spans="1:10" ht="27.75" customHeight="1" thickBot="1" x14ac:dyDescent="0.35">
      <c r="A1875" s="274" t="s">
        <v>103</v>
      </c>
      <c r="B1875" s="1045"/>
      <c r="C1875" s="279" t="s">
        <v>341</v>
      </c>
      <c r="D1875" s="279" t="s">
        <v>175</v>
      </c>
      <c r="E1875" s="501">
        <v>13.6509</v>
      </c>
      <c r="F1875" s="402">
        <f>IFERROR(E1875*'01 Prod Physique Boites'!H1869,"-")</f>
        <v>0</v>
      </c>
      <c r="G1875" s="402">
        <f>IFERROR(E1875*'01 Prod Physique Boites'!L1869,"-")</f>
        <v>0</v>
      </c>
      <c r="H1875" s="387">
        <v>21.18</v>
      </c>
      <c r="I1875" s="423">
        <f t="shared" si="1061"/>
        <v>0</v>
      </c>
      <c r="J1875" s="424">
        <f>IFERROR(H1875*(G1875/E1875),"-")</f>
        <v>0</v>
      </c>
    </row>
    <row r="1876" spans="1:10" ht="27.75" customHeight="1" thickBot="1" x14ac:dyDescent="0.35">
      <c r="A1876" s="274" t="s">
        <v>103</v>
      </c>
      <c r="B1876" s="1025" t="s">
        <v>45</v>
      </c>
      <c r="C1876" s="1026"/>
      <c r="D1876" s="1027"/>
      <c r="E1876" s="390"/>
      <c r="F1876" s="406">
        <f t="shared" ref="F1876" si="1063">SUM(F1869:F1875)</f>
        <v>710801.89199999999</v>
      </c>
      <c r="G1876" s="407">
        <f>SUM(G1869:G1875)</f>
        <v>17812226.140000001</v>
      </c>
      <c r="H1876" s="391"/>
      <c r="I1876" s="406">
        <f t="shared" ref="I1876" si="1064">SUM(I1869:I1875)</f>
        <v>1129140</v>
      </c>
      <c r="J1876" s="425">
        <f>SUM(J1869:J1875)</f>
        <v>28322517.199999999</v>
      </c>
    </row>
    <row r="1877" spans="1:10" ht="27.75" customHeight="1" x14ac:dyDescent="0.3">
      <c r="A1877" s="274" t="s">
        <v>103</v>
      </c>
      <c r="B1877" s="1043" t="s">
        <v>18</v>
      </c>
      <c r="C1877" s="269" t="s">
        <v>312</v>
      </c>
      <c r="D1877" s="269" t="s">
        <v>92</v>
      </c>
      <c r="E1877" s="504">
        <v>17.8202</v>
      </c>
      <c r="F1877" s="402">
        <f>IFERROR(E1877*'01 Prod Physique Boites'!H1871,"-")</f>
        <v>0</v>
      </c>
      <c r="G1877" s="403">
        <f>IFERROR(E1877*'01 Prod Physique Boites'!L1871,"-")</f>
        <v>0</v>
      </c>
      <c r="H1877" s="381">
        <v>24.93</v>
      </c>
      <c r="I1877" s="419">
        <f t="shared" ref="I1877:I1883" si="1065">IFERROR(H1877*(F1877/E1877),"-")</f>
        <v>0</v>
      </c>
      <c r="J1877" s="420">
        <f t="shared" ref="J1877:J1879" si="1066">IFERROR(H1877*(G1877/E1877),"-")</f>
        <v>0</v>
      </c>
    </row>
    <row r="1878" spans="1:10" ht="27.75" customHeight="1" x14ac:dyDescent="0.3">
      <c r="A1878" s="274" t="s">
        <v>103</v>
      </c>
      <c r="B1878" s="1044"/>
      <c r="C1878" s="275" t="s">
        <v>130</v>
      </c>
      <c r="D1878" s="275"/>
      <c r="E1878" s="505">
        <v>17.8202</v>
      </c>
      <c r="F1878" s="402">
        <f>IFERROR(E1878*'01 Prod Physique Boites'!H1872,"-")</f>
        <v>0</v>
      </c>
      <c r="G1878" s="403">
        <f>IFERROR(E1878*'01 Prod Physique Boites'!L1872,"-")</f>
        <v>0</v>
      </c>
      <c r="H1878" s="385">
        <v>0</v>
      </c>
      <c r="I1878" s="421">
        <f t="shared" si="1065"/>
        <v>0</v>
      </c>
      <c r="J1878" s="422">
        <f t="shared" si="1066"/>
        <v>0</v>
      </c>
    </row>
    <row r="1879" spans="1:10" ht="27.75" customHeight="1" x14ac:dyDescent="0.3">
      <c r="A1879" s="274" t="s">
        <v>103</v>
      </c>
      <c r="B1879" s="1044"/>
      <c r="C1879" s="275" t="s">
        <v>115</v>
      </c>
      <c r="D1879" s="275"/>
      <c r="E1879" s="505">
        <v>16.4071</v>
      </c>
      <c r="F1879" s="402">
        <f>IFERROR(E1879*'01 Prod Physique Boites'!H1873,"-")</f>
        <v>0</v>
      </c>
      <c r="G1879" s="403">
        <f>IFERROR(E1879*'01 Prod Physique Boites'!L1873,"-")</f>
        <v>0</v>
      </c>
      <c r="H1879" s="385">
        <v>0</v>
      </c>
      <c r="I1879" s="421">
        <f t="shared" si="1065"/>
        <v>0</v>
      </c>
      <c r="J1879" s="422">
        <f t="shared" si="1066"/>
        <v>0</v>
      </c>
    </row>
    <row r="1880" spans="1:10" ht="27.75" customHeight="1" x14ac:dyDescent="0.3">
      <c r="A1880" s="274" t="s">
        <v>103</v>
      </c>
      <c r="B1880" s="1044"/>
      <c r="C1880" s="275" t="s">
        <v>122</v>
      </c>
      <c r="D1880" s="275"/>
      <c r="E1880" s="505">
        <v>17.8202</v>
      </c>
      <c r="F1880" s="402">
        <f>IFERROR(E1880*'01 Prod Physique Boites'!H1874,"-")</f>
        <v>0</v>
      </c>
      <c r="G1880" s="403">
        <f>IFERROR(E1880*'01 Prod Physique Boites'!L1874,"-")</f>
        <v>0</v>
      </c>
      <c r="H1880" s="385">
        <v>0</v>
      </c>
      <c r="I1880" s="421">
        <f t="shared" si="1065"/>
        <v>0</v>
      </c>
      <c r="J1880" s="422">
        <f>IFERROR(H1880*(G1880/E1880),"-")</f>
        <v>0</v>
      </c>
    </row>
    <row r="1881" spans="1:10" ht="27.75" customHeight="1" x14ac:dyDescent="0.3">
      <c r="A1881" s="274" t="s">
        <v>103</v>
      </c>
      <c r="B1881" s="1044"/>
      <c r="C1881" s="275" t="s">
        <v>176</v>
      </c>
      <c r="D1881" s="275" t="s">
        <v>177</v>
      </c>
      <c r="E1881" s="505">
        <v>17.8202</v>
      </c>
      <c r="F1881" s="402">
        <f>IFERROR(E1881*'01 Prod Physique Boites'!H1875,"-")</f>
        <v>0</v>
      </c>
      <c r="G1881" s="403">
        <f>IFERROR(E1881*'01 Prod Physique Boites'!L1875,"-")</f>
        <v>0</v>
      </c>
      <c r="H1881" s="385">
        <v>0</v>
      </c>
      <c r="I1881" s="421">
        <f t="shared" si="1065"/>
        <v>0</v>
      </c>
      <c r="J1881" s="422">
        <f t="shared" ref="J1881:J1883" si="1067">IFERROR(H1881*(G1881/E1881),"-")</f>
        <v>0</v>
      </c>
    </row>
    <row r="1882" spans="1:10" ht="27.75" customHeight="1" x14ac:dyDescent="0.3">
      <c r="A1882" s="274" t="s">
        <v>103</v>
      </c>
      <c r="B1882" s="1044"/>
      <c r="C1882" s="275" t="s">
        <v>179</v>
      </c>
      <c r="D1882" s="275" t="s">
        <v>178</v>
      </c>
      <c r="E1882" s="505">
        <v>16.7288</v>
      </c>
      <c r="F1882" s="402">
        <f>IFERROR(E1882*'01 Prod Physique Boites'!H1876,"-")</f>
        <v>0</v>
      </c>
      <c r="G1882" s="403">
        <f>IFERROR(E1882*'01 Prod Physique Boites'!L1876,"-")</f>
        <v>0</v>
      </c>
      <c r="H1882" s="385">
        <v>0</v>
      </c>
      <c r="I1882" s="421">
        <f t="shared" si="1065"/>
        <v>0</v>
      </c>
      <c r="J1882" s="422">
        <f t="shared" si="1067"/>
        <v>0</v>
      </c>
    </row>
    <row r="1883" spans="1:10" ht="27.75" customHeight="1" thickBot="1" x14ac:dyDescent="0.35">
      <c r="A1883" s="274" t="s">
        <v>103</v>
      </c>
      <c r="B1883" s="1045"/>
      <c r="C1883" s="286" t="s">
        <v>180</v>
      </c>
      <c r="D1883" s="286" t="s">
        <v>107</v>
      </c>
      <c r="E1883" s="501">
        <v>17.8202</v>
      </c>
      <c r="F1883" s="402">
        <f>IFERROR(E1883*'01 Prod Physique Boites'!H1877,"-")</f>
        <v>0</v>
      </c>
      <c r="G1883" s="403">
        <f>IFERROR(E1883*'01 Prod Physique Boites'!L1877,"-")</f>
        <v>0</v>
      </c>
      <c r="H1883" s="385">
        <v>0</v>
      </c>
      <c r="I1883" s="423">
        <f t="shared" si="1065"/>
        <v>0</v>
      </c>
      <c r="J1883" s="424">
        <f t="shared" si="1067"/>
        <v>0</v>
      </c>
    </row>
    <row r="1884" spans="1:10" ht="27.75" customHeight="1" thickBot="1" x14ac:dyDescent="0.35">
      <c r="A1884" s="274" t="s">
        <v>103</v>
      </c>
      <c r="B1884" s="1025" t="s">
        <v>29</v>
      </c>
      <c r="C1884" s="1083"/>
      <c r="D1884" s="1084"/>
      <c r="E1884" s="841"/>
      <c r="F1884" s="856">
        <f t="shared" ref="F1884:G1884" si="1068">SUM(F1877:F1883)</f>
        <v>0</v>
      </c>
      <c r="G1884" s="415">
        <f t="shared" si="1068"/>
        <v>0</v>
      </c>
      <c r="H1884" s="391"/>
      <c r="I1884" s="406">
        <f t="shared" ref="I1884:J1884" si="1069">SUM(I1877:I1883)</f>
        <v>0</v>
      </c>
      <c r="J1884" s="425">
        <f t="shared" si="1069"/>
        <v>0</v>
      </c>
    </row>
    <row r="1885" spans="1:10" ht="27.75" customHeight="1" x14ac:dyDescent="0.3">
      <c r="A1885" s="274"/>
      <c r="B1885" s="1037" t="s">
        <v>19</v>
      </c>
      <c r="C1885" s="669" t="s">
        <v>235</v>
      </c>
      <c r="D1885" s="669" t="s">
        <v>177</v>
      </c>
      <c r="E1885" s="850">
        <v>12.2659</v>
      </c>
      <c r="F1885" s="658">
        <f>IFERROR(E1885*'01 Prod Physique Boites'!H1879,"-")</f>
        <v>1036223.2320000001</v>
      </c>
      <c r="G1885" s="659">
        <f>IFERROR(E1885*'01 Prod Physique Boites'!L1879,"-")</f>
        <v>6320961.7152000004</v>
      </c>
      <c r="H1885" s="653">
        <v>14.79</v>
      </c>
      <c r="I1885" s="638">
        <f t="shared" ref="I1885:I1891" si="1070">IFERROR(H1885*(F1885/E1885),"-")</f>
        <v>1249459.2</v>
      </c>
      <c r="J1885" s="638">
        <f>IFERROR(H1885*(G1885/E1885),"-")</f>
        <v>7621701.1199999992</v>
      </c>
    </row>
    <row r="1886" spans="1:10" ht="27.75" customHeight="1" x14ac:dyDescent="0.3">
      <c r="A1886" s="274"/>
      <c r="B1886" s="1038"/>
      <c r="C1886" s="840" t="s">
        <v>359</v>
      </c>
      <c r="D1886" s="840" t="s">
        <v>423</v>
      </c>
      <c r="E1886" s="851">
        <v>12.2659</v>
      </c>
      <c r="F1886" s="643">
        <f>IFERROR(E1886*'01 Prod Physique Boites'!H1880,"-")</f>
        <v>0</v>
      </c>
      <c r="G1886" s="633">
        <f>IFERROR(E1886*'01 Prod Physique Boites'!L1880,"-")</f>
        <v>7046317.9775999999</v>
      </c>
      <c r="H1886" s="654">
        <v>14.55</v>
      </c>
      <c r="I1886" s="643">
        <f t="shared" si="1070"/>
        <v>0</v>
      </c>
      <c r="J1886" s="643">
        <f>IFERROR(H1886*(G1886/E1886),"-")</f>
        <v>8358451.2000000002</v>
      </c>
    </row>
    <row r="1887" spans="1:10" ht="27.75" customHeight="1" x14ac:dyDescent="0.3">
      <c r="A1887" s="274"/>
      <c r="B1887" s="1038"/>
      <c r="C1887" s="840" t="s">
        <v>235</v>
      </c>
      <c r="D1887" s="840" t="s">
        <v>522</v>
      </c>
      <c r="E1887" s="851">
        <v>12.2659</v>
      </c>
      <c r="F1887" s="643">
        <f>IFERROR(E1887*'01 Prod Physique Boites'!H1881,"-")</f>
        <v>0</v>
      </c>
      <c r="G1887" s="633">
        <f>IFERROR(E1887*'01 Prod Physique Boites'!L1881,"-")</f>
        <v>2621370.0208000001</v>
      </c>
      <c r="H1887" s="860">
        <v>0</v>
      </c>
      <c r="I1887" s="643">
        <f t="shared" si="1070"/>
        <v>0</v>
      </c>
      <c r="J1887" s="643">
        <f t="shared" ref="J1887:J1890" si="1071">IFERROR(H1887*(G1887/E1887),"-")</f>
        <v>0</v>
      </c>
    </row>
    <row r="1888" spans="1:10" ht="27.75" customHeight="1" x14ac:dyDescent="0.3">
      <c r="A1888" s="274"/>
      <c r="B1888" s="1038"/>
      <c r="C1888" s="840" t="s">
        <v>377</v>
      </c>
      <c r="D1888" s="840" t="s">
        <v>522</v>
      </c>
      <c r="E1888" s="851">
        <v>12.2659</v>
      </c>
      <c r="F1888" s="643">
        <f>IFERROR(E1888*'01 Prod Physique Boites'!H1882,"-")</f>
        <v>0</v>
      </c>
      <c r="G1888" s="633">
        <f>IFERROR(E1888*'01 Prod Physique Boites'!L1882,"-")</f>
        <v>3523158.9887999999</v>
      </c>
      <c r="H1888" s="860">
        <v>0</v>
      </c>
      <c r="I1888" s="643">
        <f t="shared" si="1070"/>
        <v>0</v>
      </c>
      <c r="J1888" s="643">
        <f t="shared" si="1071"/>
        <v>0</v>
      </c>
    </row>
    <row r="1889" spans="1:10" ht="27.75" customHeight="1" x14ac:dyDescent="0.3">
      <c r="A1889" s="274"/>
      <c r="B1889" s="1038"/>
      <c r="C1889" s="840" t="s">
        <v>536</v>
      </c>
      <c r="D1889" s="840" t="s">
        <v>522</v>
      </c>
      <c r="E1889" s="851">
        <v>12.2659</v>
      </c>
      <c r="F1889" s="643">
        <f>IFERROR(E1889*'01 Prod Physique Boites'!H1883,"-")</f>
        <v>0</v>
      </c>
      <c r="G1889" s="633">
        <f>IFERROR(E1889*'01 Prod Physique Boites'!L1883,"-")</f>
        <v>1839296.2368000001</v>
      </c>
      <c r="H1889" s="860">
        <v>0</v>
      </c>
      <c r="I1889" s="643">
        <f t="shared" si="1070"/>
        <v>0</v>
      </c>
      <c r="J1889" s="643">
        <f t="shared" si="1071"/>
        <v>0</v>
      </c>
    </row>
    <row r="1890" spans="1:10" ht="27.75" customHeight="1" x14ac:dyDescent="0.3">
      <c r="A1890" s="274"/>
      <c r="B1890" s="1038"/>
      <c r="C1890" s="840"/>
      <c r="D1890" s="840"/>
      <c r="E1890" s="851">
        <v>12.2659</v>
      </c>
      <c r="F1890" s="643">
        <f>IFERROR(E1890*'01 Prod Physique Boites'!H1884,"-")</f>
        <v>0</v>
      </c>
      <c r="G1890" s="633">
        <f>IFERROR(E1890*'01 Prod Physique Boites'!L1884,"-")</f>
        <v>0</v>
      </c>
      <c r="H1890" s="910">
        <v>14.55</v>
      </c>
      <c r="I1890" s="643">
        <f t="shared" si="1070"/>
        <v>0</v>
      </c>
      <c r="J1890" s="643">
        <f t="shared" si="1071"/>
        <v>0</v>
      </c>
    </row>
    <row r="1891" spans="1:10" ht="27.75" customHeight="1" thickBot="1" x14ac:dyDescent="0.35">
      <c r="A1891" s="977" t="s">
        <v>103</v>
      </c>
      <c r="B1891" s="1039"/>
      <c r="C1891" s="670" t="s">
        <v>342</v>
      </c>
      <c r="D1891" s="670"/>
      <c r="E1891" s="852">
        <v>0</v>
      </c>
      <c r="F1891" s="927">
        <f>IFERROR(E1891*'01 Prod Physique Boites'!H1885,"-")</f>
        <v>0</v>
      </c>
      <c r="G1891" s="858">
        <f>IFERROR(E1891*'01 Prod Physique Boites'!L1885,"-")</f>
        <v>0</v>
      </c>
      <c r="H1891" s="655">
        <v>0</v>
      </c>
      <c r="I1891" s="643" t="str">
        <f t="shared" si="1070"/>
        <v>-</v>
      </c>
      <c r="J1891" s="427" t="str">
        <f t="shared" ref="J1891" si="1072">IFERROR(I1891*(G1891/F1891),"-")</f>
        <v>-</v>
      </c>
    </row>
    <row r="1892" spans="1:10" ht="27.75" customHeight="1" thickBot="1" x14ac:dyDescent="0.35">
      <c r="A1892" s="274" t="s">
        <v>103</v>
      </c>
      <c r="B1892" s="1025" t="s">
        <v>46</v>
      </c>
      <c r="C1892" s="1041"/>
      <c r="D1892" s="1042"/>
      <c r="E1892" s="842"/>
      <c r="F1892" s="523">
        <f>SUM(F1885:F1891)</f>
        <v>1036223.2320000001</v>
      </c>
      <c r="G1892" s="523">
        <f>SUM(G1885:G1891)</f>
        <v>21351104.939199999</v>
      </c>
      <c r="H1892" s="391"/>
      <c r="I1892" s="406">
        <f>SUM(I1885:I1891)</f>
        <v>1249459.2</v>
      </c>
      <c r="J1892" s="425">
        <f>SUM(J1885:J1891)</f>
        <v>15980152.32</v>
      </c>
    </row>
    <row r="1893" spans="1:10" ht="27.75" customHeight="1" x14ac:dyDescent="0.3">
      <c r="A1893" s="274" t="s">
        <v>103</v>
      </c>
      <c r="B1893" s="1043" t="s">
        <v>20</v>
      </c>
      <c r="C1893" s="291" t="s">
        <v>317</v>
      </c>
      <c r="D1893" s="291" t="s">
        <v>289</v>
      </c>
      <c r="E1893" s="504">
        <v>26.032900000000001</v>
      </c>
      <c r="F1893" s="402">
        <f>IFERROR(E1893*'01 Prod Physique Boites'!H1887,"-")</f>
        <v>0</v>
      </c>
      <c r="G1893" s="403">
        <f>IFERROR(E1893*'01 Prod Physique Boites'!L1887,"-")</f>
        <v>0</v>
      </c>
      <c r="H1893" s="381">
        <v>36.44</v>
      </c>
      <c r="I1893" s="419">
        <f>IFERROR(H1893*(F1893/E1893),"-")</f>
        <v>0</v>
      </c>
      <c r="J1893" s="420">
        <f t="shared" ref="J1893:J1895" si="1073">IFERROR(H1893*(G1893/E1893),"-")</f>
        <v>0</v>
      </c>
    </row>
    <row r="1894" spans="1:10" ht="27.75" customHeight="1" x14ac:dyDescent="0.3">
      <c r="A1894" s="274" t="s">
        <v>103</v>
      </c>
      <c r="B1894" s="1044"/>
      <c r="C1894" s="292" t="s">
        <v>114</v>
      </c>
      <c r="D1894" s="292"/>
      <c r="E1894" s="384">
        <v>24.2607</v>
      </c>
      <c r="F1894" s="402">
        <f>IFERROR(E1894*'01 Prod Physique Boites'!H1888,"-")</f>
        <v>0</v>
      </c>
      <c r="G1894" s="403">
        <f>IFERROR(E1894*'01 Prod Physique Boites'!L1888,"-")</f>
        <v>0</v>
      </c>
      <c r="H1894" s="385">
        <v>37.369999999999997</v>
      </c>
      <c r="I1894" s="421">
        <f>IFERROR(H1894*(F1894/E1894),"-")</f>
        <v>0</v>
      </c>
      <c r="J1894" s="422">
        <f t="shared" si="1073"/>
        <v>0</v>
      </c>
    </row>
    <row r="1895" spans="1:10" ht="27.75" customHeight="1" thickBot="1" x14ac:dyDescent="0.35">
      <c r="A1895" s="274" t="s">
        <v>103</v>
      </c>
      <c r="B1895" s="1045"/>
      <c r="C1895" s="293" t="s">
        <v>120</v>
      </c>
      <c r="D1895" s="293"/>
      <c r="E1895" s="386">
        <v>26.035799999999998</v>
      </c>
      <c r="F1895" s="402">
        <f>IFERROR(E1895*'01 Prod Physique Boites'!H1889,"-")</f>
        <v>0</v>
      </c>
      <c r="G1895" s="403">
        <f>IFERROR(E1895*'01 Prod Physique Boites'!L1889,"-")</f>
        <v>0</v>
      </c>
      <c r="H1895" s="387">
        <v>37.11</v>
      </c>
      <c r="I1895" s="423">
        <f>IFERROR(H1895*(F1895/E1895),"-")</f>
        <v>0</v>
      </c>
      <c r="J1895" s="424">
        <f t="shared" si="1073"/>
        <v>0</v>
      </c>
    </row>
    <row r="1896" spans="1:10" ht="27.75" customHeight="1" thickBot="1" x14ac:dyDescent="0.35">
      <c r="A1896" s="274" t="s">
        <v>103</v>
      </c>
      <c r="B1896" s="1026" t="s">
        <v>47</v>
      </c>
      <c r="C1896" s="1026"/>
      <c r="D1896" s="1046"/>
      <c r="E1896" s="390"/>
      <c r="F1896" s="406">
        <f t="shared" ref="F1896:G1896" si="1074">SUM(F1893:F1895)</f>
        <v>0</v>
      </c>
      <c r="G1896" s="407">
        <f t="shared" si="1074"/>
        <v>0</v>
      </c>
      <c r="H1896" s="391"/>
      <c r="I1896" s="406">
        <f t="shared" ref="I1896:J1896" si="1075">SUM(I1893:I1895)</f>
        <v>0</v>
      </c>
      <c r="J1896" s="425">
        <f t="shared" si="1075"/>
        <v>0</v>
      </c>
    </row>
    <row r="1897" spans="1:10" ht="27.75" customHeight="1" thickBot="1" x14ac:dyDescent="0.35">
      <c r="A1897" s="274" t="s">
        <v>103</v>
      </c>
      <c r="B1897" s="1047" t="s">
        <v>21</v>
      </c>
      <c r="C1897" s="1048"/>
      <c r="D1897" s="1049"/>
      <c r="E1897" s="393"/>
      <c r="F1897" s="410">
        <f>+F1868+F1876+F1884+F1892+F1896</f>
        <v>1931462.3800000001</v>
      </c>
      <c r="G1897" s="411">
        <f>+G1868+G1876+G1884+G1892+G1896</f>
        <v>41677623.993200004</v>
      </c>
      <c r="H1897" s="394"/>
      <c r="I1897" s="410">
        <f>+I1868+I1876+I1884+I1892+I1896</f>
        <v>2378599.2000000002</v>
      </c>
      <c r="J1897" s="428">
        <f>+J1868+J1876+J1884+J1892+J1896</f>
        <v>46970543.120000005</v>
      </c>
    </row>
    <row r="1898" spans="1:10" ht="27.75" customHeight="1" x14ac:dyDescent="0.3">
      <c r="A1898" s="274" t="s">
        <v>103</v>
      </c>
      <c r="B1898" s="1043" t="s">
        <v>400</v>
      </c>
      <c r="C1898" s="269" t="s">
        <v>125</v>
      </c>
      <c r="D1898" s="269"/>
      <c r="E1898" s="380">
        <v>22.820599999999999</v>
      </c>
      <c r="F1898" s="402">
        <f>IFERROR(E1898*'01 Prod Physique Boites'!H1892,"-")</f>
        <v>0</v>
      </c>
      <c r="G1898" s="403">
        <f>IFERROR(E1898*'01 Prod Physique Boites'!L1892,"-")</f>
        <v>0</v>
      </c>
      <c r="H1898" s="381">
        <v>27.5</v>
      </c>
      <c r="I1898" s="419">
        <f>IFERROR(H1898*(F1898/E1898),"-")</f>
        <v>0</v>
      </c>
      <c r="J1898" s="420">
        <f t="shared" ref="J1898:J1901" si="1076">IFERROR(H1898*(G1898/E1898),"-")</f>
        <v>0</v>
      </c>
    </row>
    <row r="1899" spans="1:10" ht="27.75" customHeight="1" x14ac:dyDescent="0.3">
      <c r="A1899" s="274" t="s">
        <v>103</v>
      </c>
      <c r="B1899" s="1044"/>
      <c r="C1899" s="295" t="s">
        <v>263</v>
      </c>
      <c r="D1899" s="295" t="s">
        <v>181</v>
      </c>
      <c r="E1899" s="384">
        <v>23.570699999999999</v>
      </c>
      <c r="F1899" s="402">
        <f>IFERROR(E1899*'01 Prod Physique Boites'!H1893,"-")</f>
        <v>0</v>
      </c>
      <c r="G1899" s="403">
        <f>IFERROR(E1899*'01 Prod Physique Boites'!L1893,"-")</f>
        <v>0</v>
      </c>
      <c r="H1899" s="385">
        <v>27.5</v>
      </c>
      <c r="I1899" s="421">
        <f>IFERROR(H1899*(F1899/E1899),"-")</f>
        <v>0</v>
      </c>
      <c r="J1899" s="422">
        <f t="shared" si="1076"/>
        <v>0</v>
      </c>
    </row>
    <row r="1900" spans="1:10" ht="27.75" customHeight="1" x14ac:dyDescent="0.3">
      <c r="A1900" s="274" t="s">
        <v>103</v>
      </c>
      <c r="B1900" s="1044"/>
      <c r="C1900" s="295" t="s">
        <v>362</v>
      </c>
      <c r="D1900" s="295" t="s">
        <v>181</v>
      </c>
      <c r="E1900" s="384">
        <v>22.820599999999999</v>
      </c>
      <c r="F1900" s="402">
        <f>IFERROR(E1900*'01 Prod Physique Boites'!H1894,"-")</f>
        <v>542217.45600000001</v>
      </c>
      <c r="G1900" s="403">
        <f>IFERROR(E1900*'01 Prod Physique Boites'!L1894,"-")</f>
        <v>1084434.912</v>
      </c>
      <c r="H1900" s="385">
        <v>27.5</v>
      </c>
      <c r="I1900" s="421">
        <f>IFERROR(H1900*(F1900/E1900),"-")</f>
        <v>653400</v>
      </c>
      <c r="J1900" s="422">
        <f t="shared" si="1076"/>
        <v>1306800</v>
      </c>
    </row>
    <row r="1901" spans="1:10" ht="27.75" customHeight="1" thickBot="1" x14ac:dyDescent="0.35">
      <c r="A1901" s="274" t="s">
        <v>103</v>
      </c>
      <c r="B1901" s="1045"/>
      <c r="C1901" s="279" t="s">
        <v>182</v>
      </c>
      <c r="D1901" s="279" t="s">
        <v>93</v>
      </c>
      <c r="E1901" s="386">
        <v>22.238499999999998</v>
      </c>
      <c r="F1901" s="402">
        <f>IFERROR(E1901*'01 Prod Physique Boites'!H1895,"-")</f>
        <v>0</v>
      </c>
      <c r="G1901" s="403">
        <f>IFERROR(E1901*'01 Prod Physique Boites'!L1895,"-")</f>
        <v>3742739.55</v>
      </c>
      <c r="H1901" s="387">
        <v>27</v>
      </c>
      <c r="I1901" s="423">
        <f>IFERROR(H1901*(F1901/E1901),"-")</f>
        <v>0</v>
      </c>
      <c r="J1901" s="424">
        <f t="shared" si="1076"/>
        <v>4544100</v>
      </c>
    </row>
    <row r="1902" spans="1:10" ht="27.75" customHeight="1" thickBot="1" x14ac:dyDescent="0.35">
      <c r="A1902" s="274" t="s">
        <v>103</v>
      </c>
      <c r="B1902" s="1025" t="s">
        <v>48</v>
      </c>
      <c r="C1902" s="1026"/>
      <c r="D1902" s="1027"/>
      <c r="E1902" s="390"/>
      <c r="F1902" s="406">
        <f t="shared" ref="F1902:G1902" si="1077">SUM(F1898:F1901)</f>
        <v>542217.45600000001</v>
      </c>
      <c r="G1902" s="407">
        <f t="shared" si="1077"/>
        <v>4827174.4619999994</v>
      </c>
      <c r="H1902" s="391"/>
      <c r="I1902" s="406">
        <f t="shared" ref="I1902:J1902" si="1078">SUM(I1898:I1901)</f>
        <v>653400</v>
      </c>
      <c r="J1902" s="425">
        <f t="shared" si="1078"/>
        <v>5850900</v>
      </c>
    </row>
    <row r="1903" spans="1:10" ht="27.75" customHeight="1" x14ac:dyDescent="0.3">
      <c r="A1903" s="274" t="s">
        <v>103</v>
      </c>
      <c r="B1903" s="1043" t="s">
        <v>23</v>
      </c>
      <c r="C1903" s="275" t="s">
        <v>500</v>
      </c>
      <c r="D1903" s="296" t="s">
        <v>238</v>
      </c>
      <c r="E1903" s="380">
        <v>101.4935</v>
      </c>
      <c r="F1903" s="402">
        <f>IFERROR(E1903*'01 Prod Physique Boites'!H1897,"-")</f>
        <v>0</v>
      </c>
      <c r="G1903" s="403">
        <f>IFERROR(E1903*'01 Prod Physique Boites'!L1897,"-")</f>
        <v>0</v>
      </c>
      <c r="H1903" s="385">
        <v>160.44999999999999</v>
      </c>
      <c r="I1903" s="419">
        <f t="shared" ref="I1903:I1911" si="1079">IFERROR(H1903*(F1903/E1903),"-")</f>
        <v>0</v>
      </c>
      <c r="J1903" s="420">
        <f t="shared" ref="J1903:J1911" si="1080">IFERROR(H1903*(G1903/E1903),"-")</f>
        <v>0</v>
      </c>
    </row>
    <row r="1904" spans="1:10" ht="27.75" customHeight="1" x14ac:dyDescent="0.3">
      <c r="A1904" s="274" t="s">
        <v>103</v>
      </c>
      <c r="B1904" s="1044"/>
      <c r="C1904" s="275" t="s">
        <v>24</v>
      </c>
      <c r="D1904" s="275" t="s">
        <v>238</v>
      </c>
      <c r="E1904" s="384">
        <v>101.4935</v>
      </c>
      <c r="F1904" s="402">
        <f>IFERROR(E1904*'01 Prod Physique Boites'!H1898,"-")</f>
        <v>0</v>
      </c>
      <c r="G1904" s="403">
        <f>IFERROR(E1904*'01 Prod Physique Boites'!L1898,"-")</f>
        <v>0</v>
      </c>
      <c r="H1904" s="385">
        <v>160.44999999999999</v>
      </c>
      <c r="I1904" s="421">
        <f t="shared" si="1079"/>
        <v>0</v>
      </c>
      <c r="J1904" s="422">
        <f t="shared" si="1080"/>
        <v>0</v>
      </c>
    </row>
    <row r="1905" spans="1:10" ht="27.75" customHeight="1" x14ac:dyDescent="0.3">
      <c r="A1905" s="274" t="s">
        <v>103</v>
      </c>
      <c r="B1905" s="1044"/>
      <c r="C1905" s="275" t="s">
        <v>236</v>
      </c>
      <c r="D1905" s="275" t="s">
        <v>238</v>
      </c>
      <c r="E1905" s="384">
        <v>101.4935</v>
      </c>
      <c r="F1905" s="402">
        <f>IFERROR(E1905*'01 Prod Physique Boites'!H1899,"-")</f>
        <v>0</v>
      </c>
      <c r="G1905" s="403">
        <f>IFERROR(E1905*'01 Prod Physique Boites'!L1899,"-")</f>
        <v>0</v>
      </c>
      <c r="H1905" s="385">
        <v>160.44999999999999</v>
      </c>
      <c r="I1905" s="421">
        <f t="shared" si="1079"/>
        <v>0</v>
      </c>
      <c r="J1905" s="422">
        <f t="shared" si="1080"/>
        <v>0</v>
      </c>
    </row>
    <row r="1906" spans="1:10" ht="27.75" customHeight="1" x14ac:dyDescent="0.3">
      <c r="A1906" s="274" t="s">
        <v>103</v>
      </c>
      <c r="B1906" s="1044"/>
      <c r="C1906" s="275" t="s">
        <v>239</v>
      </c>
      <c r="D1906" s="275" t="s">
        <v>238</v>
      </c>
      <c r="E1906" s="384">
        <v>101.4935</v>
      </c>
      <c r="F1906" s="402">
        <f>IFERROR(E1906*'01 Prod Physique Boites'!H1900,"-")</f>
        <v>0</v>
      </c>
      <c r="G1906" s="403">
        <f>IFERROR(E1906*'01 Prod Physique Boites'!L1900,"-")</f>
        <v>0</v>
      </c>
      <c r="H1906" s="385">
        <v>160.44999999999999</v>
      </c>
      <c r="I1906" s="421">
        <f t="shared" si="1079"/>
        <v>0</v>
      </c>
      <c r="J1906" s="422">
        <f t="shared" si="1080"/>
        <v>0</v>
      </c>
    </row>
    <row r="1907" spans="1:10" ht="27.75" customHeight="1" x14ac:dyDescent="0.3">
      <c r="A1907" s="274" t="s">
        <v>103</v>
      </c>
      <c r="B1907" s="1044"/>
      <c r="C1907" s="295" t="s">
        <v>394</v>
      </c>
      <c r="D1907" s="275" t="s">
        <v>238</v>
      </c>
      <c r="E1907" s="384">
        <v>101.4935</v>
      </c>
      <c r="F1907" s="402">
        <f>IFERROR(E1907*'01 Prod Physique Boites'!H1901,"-")</f>
        <v>0</v>
      </c>
      <c r="G1907" s="403">
        <f>IFERROR(E1907*'01 Prod Physique Boites'!L1901,"-")</f>
        <v>0</v>
      </c>
      <c r="H1907" s="385">
        <v>160.44999999999999</v>
      </c>
      <c r="I1907" s="421">
        <f t="shared" si="1079"/>
        <v>0</v>
      </c>
      <c r="J1907" s="422">
        <f t="shared" si="1080"/>
        <v>0</v>
      </c>
    </row>
    <row r="1908" spans="1:10" ht="27.75" customHeight="1" x14ac:dyDescent="0.3">
      <c r="A1908" s="274" t="s">
        <v>103</v>
      </c>
      <c r="B1908" s="1044"/>
      <c r="C1908" s="295" t="s">
        <v>422</v>
      </c>
      <c r="D1908" s="275" t="s">
        <v>238</v>
      </c>
      <c r="E1908" s="384">
        <v>101.4935</v>
      </c>
      <c r="F1908" s="402">
        <f>IFERROR(E1908*'01 Prod Physique Boites'!H1902,"-")</f>
        <v>0</v>
      </c>
      <c r="G1908" s="403">
        <f>IFERROR(E1908*'01 Prod Physique Boites'!L1902,"-")</f>
        <v>0</v>
      </c>
      <c r="H1908" s="385">
        <v>160.44999999999999</v>
      </c>
      <c r="I1908" s="421">
        <f t="shared" si="1079"/>
        <v>0</v>
      </c>
      <c r="J1908" s="422">
        <f t="shared" si="1080"/>
        <v>0</v>
      </c>
    </row>
    <row r="1909" spans="1:10" ht="27.75" customHeight="1" x14ac:dyDescent="0.3">
      <c r="A1909" s="274" t="s">
        <v>103</v>
      </c>
      <c r="B1909" s="1044"/>
      <c r="C1909" s="295" t="s">
        <v>241</v>
      </c>
      <c r="D1909" s="275" t="s">
        <v>547</v>
      </c>
      <c r="E1909" s="384">
        <v>101.4935</v>
      </c>
      <c r="F1909" s="402">
        <f>IFERROR(E1909*'01 Prod Physique Boites'!H1903,"-")</f>
        <v>0</v>
      </c>
      <c r="G1909" s="403">
        <f>IFERROR(E1909*'01 Prod Physique Boites'!L1903,"-")</f>
        <v>0</v>
      </c>
      <c r="H1909" s="385">
        <v>160.44999999999999</v>
      </c>
      <c r="I1909" s="421">
        <f t="shared" si="1079"/>
        <v>0</v>
      </c>
      <c r="J1909" s="422">
        <f t="shared" si="1080"/>
        <v>0</v>
      </c>
    </row>
    <row r="1910" spans="1:10" ht="27.75" customHeight="1" x14ac:dyDescent="0.3">
      <c r="A1910" s="274"/>
      <c r="B1910" s="1045"/>
      <c r="C1910" s="295" t="s">
        <v>546</v>
      </c>
      <c r="D1910" s="275" t="s">
        <v>238</v>
      </c>
      <c r="E1910" s="386">
        <v>101.49</v>
      </c>
      <c r="F1910" s="402">
        <f>IFERROR(E1910*'01 Prod Physique Boites'!H1904,"-")</f>
        <v>0</v>
      </c>
      <c r="G1910" s="403">
        <f>IFERROR(E1910*'01 Prod Physique Boites'!L1904,"-")</f>
        <v>0</v>
      </c>
      <c r="H1910" s="385">
        <v>160.44999999999999</v>
      </c>
      <c r="I1910" s="421">
        <f t="shared" si="1079"/>
        <v>0</v>
      </c>
      <c r="J1910" s="422">
        <f t="shared" si="1080"/>
        <v>0</v>
      </c>
    </row>
    <row r="1911" spans="1:10" ht="27.75" customHeight="1" thickBot="1" x14ac:dyDescent="0.35">
      <c r="A1911" s="274" t="s">
        <v>103</v>
      </c>
      <c r="B1911" s="1045"/>
      <c r="C1911" s="295" t="s">
        <v>242</v>
      </c>
      <c r="D1911" s="275" t="s">
        <v>238</v>
      </c>
      <c r="E1911" s="386">
        <v>101.4935</v>
      </c>
      <c r="F1911" s="402">
        <f>IFERROR(E1911*'01 Prod Physique Boites'!H1905,"-")</f>
        <v>0</v>
      </c>
      <c r="G1911" s="403">
        <f>IFERROR(E1911*'01 Prod Physique Boites'!L1905,"-")</f>
        <v>0</v>
      </c>
      <c r="H1911" s="385">
        <v>160.44999999999999</v>
      </c>
      <c r="I1911" s="421">
        <f t="shared" si="1079"/>
        <v>0</v>
      </c>
      <c r="J1911" s="424">
        <f t="shared" si="1080"/>
        <v>0</v>
      </c>
    </row>
    <row r="1912" spans="1:10" ht="27.75" customHeight="1" thickBot="1" x14ac:dyDescent="0.35">
      <c r="A1912" s="274" t="s">
        <v>103</v>
      </c>
      <c r="B1912" s="1025" t="s">
        <v>49</v>
      </c>
      <c r="C1912" s="1026"/>
      <c r="D1912" s="1027"/>
      <c r="E1912" s="390"/>
      <c r="F1912" s="406">
        <f t="shared" ref="F1912" si="1081">SUM(F1903:F1911)</f>
        <v>0</v>
      </c>
      <c r="G1912" s="407">
        <f>SUM(G1903:G1911)</f>
        <v>0</v>
      </c>
      <c r="H1912" s="391"/>
      <c r="I1912" s="406">
        <f t="shared" ref="I1912" si="1082">SUM(I1903:I1911)</f>
        <v>0</v>
      </c>
      <c r="J1912" s="425">
        <f>SUM(J1903:J1911)</f>
        <v>0</v>
      </c>
    </row>
    <row r="1913" spans="1:10" ht="27.75" customHeight="1" thickBot="1" x14ac:dyDescent="0.35">
      <c r="A1913" s="274" t="s">
        <v>103</v>
      </c>
      <c r="B1913" s="1047" t="s">
        <v>25</v>
      </c>
      <c r="C1913" s="1048"/>
      <c r="D1913" s="1049"/>
      <c r="E1913" s="393"/>
      <c r="F1913" s="410">
        <f t="shared" ref="F1913" si="1083">+F1902+F1912</f>
        <v>542217.45600000001</v>
      </c>
      <c r="G1913" s="411">
        <f>+G1902+G1912</f>
        <v>4827174.4619999994</v>
      </c>
      <c r="H1913" s="394"/>
      <c r="I1913" s="410">
        <f t="shared" ref="I1913:J1913" si="1084">+I1902+I1912</f>
        <v>653400</v>
      </c>
      <c r="J1913" s="428">
        <f t="shared" si="1084"/>
        <v>5850900</v>
      </c>
    </row>
    <row r="1914" spans="1:10" ht="27.75" customHeight="1" thickBot="1" x14ac:dyDescent="0.35">
      <c r="A1914" s="274" t="s">
        <v>103</v>
      </c>
      <c r="B1914" s="1019" t="s">
        <v>172</v>
      </c>
      <c r="C1914" s="1020"/>
      <c r="D1914" s="1021"/>
      <c r="E1914" s="395"/>
      <c r="F1914" s="412">
        <f t="shared" ref="F1914" si="1085">+F1897+F1913</f>
        <v>2473679.8360000001</v>
      </c>
      <c r="G1914" s="413">
        <f>+G1897+G1913</f>
        <v>46504798.455200002</v>
      </c>
      <c r="H1914" s="396"/>
      <c r="I1914" s="412">
        <f t="shared" ref="I1914:J1914" si="1086">+I1897+I1913</f>
        <v>3031999.2</v>
      </c>
      <c r="J1914" s="429">
        <f t="shared" si="1086"/>
        <v>52821443.120000005</v>
      </c>
    </row>
    <row r="1915" spans="1:10" ht="27.75" customHeight="1" x14ac:dyDescent="0.3">
      <c r="A1915" s="268" t="s">
        <v>101</v>
      </c>
      <c r="B1915" s="1051" t="s">
        <v>26</v>
      </c>
      <c r="C1915" s="893" t="s">
        <v>297</v>
      </c>
      <c r="D1915" s="898" t="s">
        <v>177</v>
      </c>
      <c r="E1915" s="504">
        <v>13.1272</v>
      </c>
      <c r="F1915" s="402">
        <f>IFERROR(E1915*'01 Prod Physique Boites'!H1909,"-")</f>
        <v>0</v>
      </c>
      <c r="G1915" s="403">
        <f>IFERROR(E1915*'01 Prod Physique Boites'!L1909,"-")</f>
        <v>0</v>
      </c>
      <c r="H1915" s="381">
        <v>20.76</v>
      </c>
      <c r="I1915" s="419">
        <f t="shared" ref="I1915:I1924" si="1087">IFERROR(H1915*(F1915/E1915),"-")</f>
        <v>0</v>
      </c>
      <c r="J1915" s="632">
        <f t="shared" ref="J1915:J1924" si="1088">IFERROR(H1915*(G1915/E1915),"-")</f>
        <v>0</v>
      </c>
    </row>
    <row r="1916" spans="1:10" ht="27.75" customHeight="1" x14ac:dyDescent="0.3">
      <c r="A1916" s="274" t="s">
        <v>101</v>
      </c>
      <c r="B1916" s="1051"/>
      <c r="C1916" s="253" t="s">
        <v>424</v>
      </c>
      <c r="D1916" s="899" t="s">
        <v>423</v>
      </c>
      <c r="E1916" s="505">
        <v>16.7288</v>
      </c>
      <c r="F1916" s="402">
        <f>IFERROR(E1916*'01 Prod Physique Boites'!H1910,"-")</f>
        <v>0</v>
      </c>
      <c r="G1916" s="403">
        <f>IFERROR(E1916*'01 Prod Physique Boites'!L1910,"-")</f>
        <v>4392112.9824000001</v>
      </c>
      <c r="H1916" s="385">
        <v>20.76</v>
      </c>
      <c r="I1916" s="421">
        <f t="shared" si="1087"/>
        <v>0</v>
      </c>
      <c r="J1916" s="633">
        <f t="shared" si="1088"/>
        <v>5450496.4800000004</v>
      </c>
    </row>
    <row r="1917" spans="1:10" ht="27.75" customHeight="1" x14ac:dyDescent="0.3">
      <c r="A1917" s="274" t="s">
        <v>101</v>
      </c>
      <c r="B1917" s="1051"/>
      <c r="C1917" s="813" t="s">
        <v>27</v>
      </c>
      <c r="D1917" s="899" t="s">
        <v>334</v>
      </c>
      <c r="E1917" s="501">
        <v>14.608000000000001</v>
      </c>
      <c r="F1917" s="402">
        <f>IFERROR(E1917*'01 Prod Physique Boites'!H1911,"-")</f>
        <v>0</v>
      </c>
      <c r="G1917" s="403">
        <f>IFERROR(E1917*'01 Prod Physique Boites'!L1911,"-")</f>
        <v>522995.61600000004</v>
      </c>
      <c r="H1917" s="385">
        <v>21.22</v>
      </c>
      <c r="I1917" s="643">
        <f t="shared" si="1087"/>
        <v>0</v>
      </c>
      <c r="J1917" s="633">
        <f t="shared" si="1088"/>
        <v>759718.44</v>
      </c>
    </row>
    <row r="1918" spans="1:10" ht="27.75" customHeight="1" x14ac:dyDescent="0.3">
      <c r="A1918" s="274" t="s">
        <v>101</v>
      </c>
      <c r="B1918" s="1051"/>
      <c r="C1918" s="813" t="s">
        <v>27</v>
      </c>
      <c r="D1918" s="900" t="s">
        <v>492</v>
      </c>
      <c r="E1918" s="501">
        <v>17.8202</v>
      </c>
      <c r="F1918" s="402">
        <f>IFERROR(E1918*'01 Prod Physique Boites'!H1912,"-")</f>
        <v>0</v>
      </c>
      <c r="G1918" s="403">
        <f>IFERROR(E1918*'01 Prod Physique Boites'!L1912,"-")</f>
        <v>4820435.3808000004</v>
      </c>
      <c r="H1918" s="385">
        <v>26.75</v>
      </c>
      <c r="I1918" s="643">
        <f t="shared" si="1087"/>
        <v>0</v>
      </c>
      <c r="J1918" s="633">
        <f t="shared" si="1088"/>
        <v>7235982</v>
      </c>
    </row>
    <row r="1919" spans="1:10" ht="27.75" customHeight="1" x14ac:dyDescent="0.3">
      <c r="A1919" s="274" t="s">
        <v>101</v>
      </c>
      <c r="B1919" s="1051"/>
      <c r="C1919" s="893" t="s">
        <v>521</v>
      </c>
      <c r="D1919" s="899" t="s">
        <v>234</v>
      </c>
      <c r="E1919" s="501">
        <v>14.608000000000001</v>
      </c>
      <c r="F1919" s="402">
        <f>IFERROR(E1919*'01 Prod Physique Boites'!H1913,"-")</f>
        <v>0</v>
      </c>
      <c r="G1919" s="403">
        <f>IFERROR(E1919*'01 Prod Physique Boites'!L1913,"-")</f>
        <v>813548.73600000003</v>
      </c>
      <c r="H1919" s="385">
        <v>24.93</v>
      </c>
      <c r="I1919" s="643">
        <f t="shared" si="1087"/>
        <v>0</v>
      </c>
      <c r="J1919" s="633">
        <f t="shared" si="1088"/>
        <v>1388401.56</v>
      </c>
    </row>
    <row r="1920" spans="1:10" ht="27.75" customHeight="1" x14ac:dyDescent="0.3">
      <c r="A1920" s="274"/>
      <c r="B1920" s="1051"/>
      <c r="C1920" s="813" t="s">
        <v>575</v>
      </c>
      <c r="D1920" s="899" t="s">
        <v>178</v>
      </c>
      <c r="E1920" s="501">
        <v>16.7288</v>
      </c>
      <c r="F1920" s="402">
        <f>IFERROR(E1920*'01 Prod Physique Boites'!H1914,"-")</f>
        <v>0</v>
      </c>
      <c r="G1920" s="403">
        <f>IFERROR(E1920*'01 Prod Physique Boites'!L1914,"-")</f>
        <v>332735.83199999999</v>
      </c>
      <c r="H1920" s="387">
        <v>25.49</v>
      </c>
      <c r="I1920" s="643">
        <f t="shared" si="1087"/>
        <v>0</v>
      </c>
      <c r="J1920" s="634">
        <f t="shared" si="1088"/>
        <v>506996.1</v>
      </c>
    </row>
    <row r="1921" spans="1:10" ht="27.75" customHeight="1" x14ac:dyDescent="0.3">
      <c r="A1921" s="274"/>
      <c r="B1921" s="1051"/>
      <c r="C1921" s="813" t="s">
        <v>333</v>
      </c>
      <c r="D1921" s="899" t="s">
        <v>94</v>
      </c>
      <c r="E1921" s="501">
        <v>17.8202</v>
      </c>
      <c r="F1921" s="724">
        <f>IFERROR(E1921*'01 Prod Physique Boites'!H1915,"-")</f>
        <v>0</v>
      </c>
      <c r="G1921" s="403">
        <f>IFERROR(E1921*'01 Prod Physique Boites'!L1915,"-")</f>
        <v>0</v>
      </c>
      <c r="H1921" s="387">
        <v>24.93</v>
      </c>
      <c r="I1921" s="730">
        <f t="shared" si="1087"/>
        <v>0</v>
      </c>
      <c r="J1921" s="634">
        <f t="shared" si="1088"/>
        <v>0</v>
      </c>
    </row>
    <row r="1922" spans="1:10" ht="27.75" customHeight="1" x14ac:dyDescent="0.3">
      <c r="A1922" s="725"/>
      <c r="B1922" s="1051"/>
      <c r="C1922" s="813" t="s">
        <v>433</v>
      </c>
      <c r="D1922" s="899" t="s">
        <v>540</v>
      </c>
      <c r="E1922" s="727">
        <v>16.7288</v>
      </c>
      <c r="F1922" s="724">
        <f>IFERROR(E1922*'01 Prod Physique Boites'!H1916,"-")</f>
        <v>0</v>
      </c>
      <c r="G1922" s="728">
        <f>IFERROR(E1922*'01 Prod Physique Boites'!L1916,"-")</f>
        <v>5922697.8096000003</v>
      </c>
      <c r="H1922" s="729">
        <v>25</v>
      </c>
      <c r="I1922" s="730">
        <f t="shared" si="1087"/>
        <v>0</v>
      </c>
      <c r="J1922" s="634">
        <f t="shared" si="1088"/>
        <v>8851050</v>
      </c>
    </row>
    <row r="1923" spans="1:10" ht="27.75" customHeight="1" x14ac:dyDescent="0.3">
      <c r="A1923" s="725"/>
      <c r="B1923" s="1051"/>
      <c r="C1923" s="813" t="s">
        <v>382</v>
      </c>
      <c r="D1923" s="899" t="s">
        <v>366</v>
      </c>
      <c r="E1923" s="727">
        <v>16.345199999999998</v>
      </c>
      <c r="F1923" s="724">
        <f>IFERROR(E1923*'01 Prod Physique Boites'!H1917,"-")</f>
        <v>1105360.4952</v>
      </c>
      <c r="G1923" s="728">
        <f>IFERROR(E1923*'01 Prod Physique Boites'!L1917,"-")</f>
        <v>4356420.7752</v>
      </c>
      <c r="H1923" s="729">
        <v>23.78</v>
      </c>
      <c r="I1923" s="730">
        <f t="shared" si="1087"/>
        <v>1608146.28</v>
      </c>
      <c r="J1923" s="634">
        <f t="shared" si="1088"/>
        <v>6337988.2800000003</v>
      </c>
    </row>
    <row r="1924" spans="1:10" ht="27.75" customHeight="1" thickBot="1" x14ac:dyDescent="0.35">
      <c r="A1924" s="274" t="s">
        <v>101</v>
      </c>
      <c r="B1924" s="1051"/>
      <c r="C1924" s="894" t="s">
        <v>290</v>
      </c>
      <c r="D1924" s="901" t="s">
        <v>289</v>
      </c>
      <c r="E1924" s="501">
        <v>12.6997</v>
      </c>
      <c r="F1924" s="402">
        <f>IFERROR(E1924*'01 Prod Physique Boites'!H1918,"-")</f>
        <v>0</v>
      </c>
      <c r="G1924" s="728">
        <f>IFERROR(E1924*'01 Prod Physique Boites'!L1918,"-")</f>
        <v>0</v>
      </c>
      <c r="H1924" s="387">
        <v>13.25</v>
      </c>
      <c r="I1924" s="730">
        <f t="shared" si="1087"/>
        <v>0</v>
      </c>
      <c r="J1924" s="634">
        <f t="shared" si="1088"/>
        <v>0</v>
      </c>
    </row>
    <row r="1925" spans="1:10" ht="27.75" customHeight="1" thickBot="1" x14ac:dyDescent="0.35">
      <c r="A1925" s="274" t="s">
        <v>101</v>
      </c>
      <c r="B1925" s="1052"/>
      <c r="C1925" s="301"/>
      <c r="D1925" s="302" t="s">
        <v>52</v>
      </c>
      <c r="E1925" s="390"/>
      <c r="F1925" s="406">
        <f>SUM(F1915:F1924)</f>
        <v>1105360.4952</v>
      </c>
      <c r="G1925" s="407">
        <f>SUM(G1915:G1924)</f>
        <v>21160947.131999999</v>
      </c>
      <c r="H1925" s="391"/>
      <c r="I1925" s="406">
        <f>SUM(I1915:I1924)</f>
        <v>1608146.28</v>
      </c>
      <c r="J1925" s="425">
        <f>SUM(J1915:J1924)</f>
        <v>30530632.859999999</v>
      </c>
    </row>
    <row r="1926" spans="1:10" ht="27.75" customHeight="1" x14ac:dyDescent="0.3">
      <c r="A1926" s="274" t="s">
        <v>101</v>
      </c>
      <c r="B1926" s="1053" t="s">
        <v>28</v>
      </c>
      <c r="C1926" s="299" t="s">
        <v>27</v>
      </c>
      <c r="D1926" s="297" t="s">
        <v>492</v>
      </c>
      <c r="E1926" s="504">
        <v>17.8202</v>
      </c>
      <c r="F1926" s="402">
        <f>IFERROR(E1926*'01 Prod Physique Boites'!H1920,"-")</f>
        <v>0</v>
      </c>
      <c r="G1926" s="403">
        <f>IFERROR(E1926*'01 Prod Physique Boites'!L1920,"-")</f>
        <v>2977327.7352</v>
      </c>
      <c r="H1926" s="381">
        <v>26.75</v>
      </c>
      <c r="I1926" s="419">
        <f t="shared" ref="I1926:I1932" si="1089">IFERROR(H1926*(F1926/E1926),"-")</f>
        <v>0</v>
      </c>
      <c r="J1926" s="632">
        <f t="shared" ref="J1926:J1927" si="1090">IFERROR(H1926*(G1926/E1926),"-")</f>
        <v>4469283</v>
      </c>
    </row>
    <row r="1927" spans="1:10" ht="27.75" customHeight="1" x14ac:dyDescent="0.3">
      <c r="A1927" s="274" t="s">
        <v>101</v>
      </c>
      <c r="B1927" s="1051"/>
      <c r="C1927" s="299" t="s">
        <v>386</v>
      </c>
      <c r="D1927" s="299" t="s">
        <v>334</v>
      </c>
      <c r="E1927" s="711">
        <v>16.7288</v>
      </c>
      <c r="F1927" s="402">
        <f>IFERROR(E1927*'01 Prod Physique Boites'!H1921,"-")</f>
        <v>0</v>
      </c>
      <c r="G1927" s="728">
        <f>IFERROR(E1927*'01 Prod Physique Boites'!L1921,"-")</f>
        <v>1597131.9935999999</v>
      </c>
      <c r="H1927" s="708">
        <v>20.76</v>
      </c>
      <c r="I1927" s="421">
        <f t="shared" si="1089"/>
        <v>0</v>
      </c>
      <c r="J1927" s="633">
        <f t="shared" si="1090"/>
        <v>1981998.7200000002</v>
      </c>
    </row>
    <row r="1928" spans="1:10" ht="27.75" customHeight="1" x14ac:dyDescent="0.3">
      <c r="A1928" s="274" t="s">
        <v>101</v>
      </c>
      <c r="B1928" s="1051"/>
      <c r="C1928" s="299" t="s">
        <v>541</v>
      </c>
      <c r="D1928" s="299" t="s">
        <v>334</v>
      </c>
      <c r="E1928" s="501">
        <v>17.8202</v>
      </c>
      <c r="F1928" s="402">
        <f>IFERROR(E1928*'01 Prod Physique Boites'!H1922,"-")</f>
        <v>0</v>
      </c>
      <c r="G1928" s="403">
        <f>IFERROR(E1928*'01 Prod Physique Boites'!L1922,"-")</f>
        <v>0</v>
      </c>
      <c r="H1928" s="385">
        <v>21.22</v>
      </c>
      <c r="I1928" s="421">
        <f t="shared" si="1089"/>
        <v>0</v>
      </c>
      <c r="J1928" s="633">
        <f>IFERROR(H1928*(G1928/E1928),"-")</f>
        <v>0</v>
      </c>
    </row>
    <row r="1929" spans="1:10" ht="27.75" customHeight="1" x14ac:dyDescent="0.3">
      <c r="A1929" s="274"/>
      <c r="B1929" s="1051"/>
      <c r="C1929" s="299" t="s">
        <v>460</v>
      </c>
      <c r="D1929" s="299" t="s">
        <v>334</v>
      </c>
      <c r="E1929" s="501">
        <v>14.608000000000001</v>
      </c>
      <c r="F1929" s="402">
        <f>IFERROR(E1929*'01 Prod Physique Boites'!H1923,"-")</f>
        <v>0</v>
      </c>
      <c r="G1929" s="403">
        <f>IFERROR(E1929*'01 Prod Physique Boites'!L1923,"-")</f>
        <v>58110.624000000003</v>
      </c>
      <c r="H1929" s="385">
        <v>21.22</v>
      </c>
      <c r="I1929" s="421">
        <f t="shared" si="1089"/>
        <v>0</v>
      </c>
      <c r="J1929" s="633">
        <f>IFERROR(H1929*(G1929/E1929),"-")</f>
        <v>84413.159999999989</v>
      </c>
    </row>
    <row r="1930" spans="1:10" ht="27.75" customHeight="1" x14ac:dyDescent="0.3">
      <c r="A1930" s="274"/>
      <c r="B1930" s="1051"/>
      <c r="C1930" s="299" t="s">
        <v>433</v>
      </c>
      <c r="D1930" s="299" t="s">
        <v>540</v>
      </c>
      <c r="E1930" s="711">
        <v>16.7288</v>
      </c>
      <c r="F1930" s="402">
        <f>IFERROR(E1930*'01 Prod Physique Boites'!H1924,"-")</f>
        <v>0</v>
      </c>
      <c r="G1930" s="403">
        <f>IFERROR(E1930*'01 Prod Physique Boites'!L1924,"-")</f>
        <v>2129509.3248000001</v>
      </c>
      <c r="H1930" s="385">
        <v>25</v>
      </c>
      <c r="I1930" s="423">
        <f t="shared" si="1089"/>
        <v>0</v>
      </c>
      <c r="J1930" s="634">
        <f t="shared" ref="J1930:J1932" si="1091">IFERROR(H1930*(G1930/E1930),"-")</f>
        <v>3182400</v>
      </c>
    </row>
    <row r="1931" spans="1:10" ht="27.75" customHeight="1" x14ac:dyDescent="0.3">
      <c r="A1931" s="274"/>
      <c r="B1931" s="1051"/>
      <c r="C1931" s="299" t="s">
        <v>458</v>
      </c>
      <c r="D1931" s="300" t="s">
        <v>280</v>
      </c>
      <c r="E1931" s="711">
        <v>17.8202</v>
      </c>
      <c r="F1931" s="402">
        <f>IFERROR(E1931*'01 Prod Physique Boites'!H1925,"-")</f>
        <v>0</v>
      </c>
      <c r="G1931" s="403">
        <f>IFERROR(E1931*'01 Prod Physique Boites'!L1925,"-")</f>
        <v>0</v>
      </c>
      <c r="H1931" s="385">
        <v>24.93</v>
      </c>
      <c r="I1931" s="730">
        <f t="shared" si="1089"/>
        <v>0</v>
      </c>
      <c r="J1931" s="634">
        <f t="shared" si="1091"/>
        <v>0</v>
      </c>
    </row>
    <row r="1932" spans="1:10" ht="27.75" customHeight="1" thickBot="1" x14ac:dyDescent="0.35">
      <c r="A1932" s="274" t="s">
        <v>101</v>
      </c>
      <c r="B1932" s="1051"/>
      <c r="C1932" s="299" t="s">
        <v>27</v>
      </c>
      <c r="D1932" s="300" t="s">
        <v>234</v>
      </c>
      <c r="E1932" s="501">
        <v>17.8202</v>
      </c>
      <c r="F1932" s="402">
        <f>IFERROR(E1932*'01 Prod Physique Boites'!H1926,"-")</f>
        <v>70888.755600000004</v>
      </c>
      <c r="G1932" s="403">
        <f>IFERROR(E1932*'01 Prod Physique Boites'!L1926,"-")</f>
        <v>70888.755600000004</v>
      </c>
      <c r="H1932" s="385">
        <v>24.93</v>
      </c>
      <c r="I1932" s="423">
        <f t="shared" si="1089"/>
        <v>99171.540000000008</v>
      </c>
      <c r="J1932" s="634">
        <f t="shared" si="1091"/>
        <v>99171.540000000008</v>
      </c>
    </row>
    <row r="1933" spans="1:10" ht="27.75" customHeight="1" thickBot="1" x14ac:dyDescent="0.35">
      <c r="A1933" s="274" t="s">
        <v>101</v>
      </c>
      <c r="B1933" s="1051"/>
      <c r="C1933" s="304"/>
      <c r="D1933" s="305" t="s">
        <v>52</v>
      </c>
      <c r="E1933" s="397"/>
      <c r="F1933" s="414">
        <f t="shared" ref="F1933" si="1092">SUM(F1926:F1932)</f>
        <v>70888.755600000004</v>
      </c>
      <c r="G1933" s="415">
        <f>SUM(G1926:G1932)</f>
        <v>6832968.4331999999</v>
      </c>
      <c r="H1933" s="398"/>
      <c r="I1933" s="414">
        <f t="shared" ref="I1933:J1933" si="1093">SUM(I1926:I1932)</f>
        <v>99171.540000000008</v>
      </c>
      <c r="J1933" s="430">
        <f t="shared" si="1093"/>
        <v>9817266.4199999999</v>
      </c>
    </row>
    <row r="1934" spans="1:10" ht="27.75" customHeight="1" thickBot="1" x14ac:dyDescent="0.35">
      <c r="A1934" s="977" t="s">
        <v>101</v>
      </c>
      <c r="B1934" s="1054" t="s">
        <v>162</v>
      </c>
      <c r="C1934" s="1055"/>
      <c r="D1934" s="1056"/>
      <c r="E1934" s="399"/>
      <c r="F1934" s="416">
        <f t="shared" ref="F1934" si="1094">+F1925+F1933</f>
        <v>1176249.2508</v>
      </c>
      <c r="G1934" s="417">
        <f>+G1925+G1933</f>
        <v>27993915.565200001</v>
      </c>
      <c r="H1934" s="400"/>
      <c r="I1934" s="416">
        <f t="shared" ref="I1934:J1934" si="1095">+I1925+I1933</f>
        <v>1707317.82</v>
      </c>
      <c r="J1934" s="431">
        <f t="shared" si="1095"/>
        <v>40347899.280000001</v>
      </c>
    </row>
    <row r="1935" spans="1:10" ht="27.75" customHeight="1" x14ac:dyDescent="0.3">
      <c r="A1935" s="274" t="s">
        <v>101</v>
      </c>
      <c r="B1935" s="1051" t="s">
        <v>30</v>
      </c>
      <c r="C1935" s="303" t="s">
        <v>446</v>
      </c>
      <c r="D1935" s="299" t="s">
        <v>492</v>
      </c>
      <c r="E1935" s="736">
        <v>27.917000000000002</v>
      </c>
      <c r="F1935" s="402">
        <f>IFERROR(E1935*'01 Prod Physique Boites'!H1929,"-")</f>
        <v>731648.73600000003</v>
      </c>
      <c r="G1935" s="728">
        <f>IFERROR(E1935*'01 Prod Physique Boites'!L1929,"-")</f>
        <v>7211966.1120000007</v>
      </c>
      <c r="H1935" s="734">
        <v>42.28</v>
      </c>
      <c r="I1935" s="419">
        <f>IFERROR(H1935*(F1935/E1935),"-")</f>
        <v>1108074.24</v>
      </c>
      <c r="J1935" s="420">
        <f t="shared" ref="J1935:J1937" si="1096">IFERROR(H1935*(G1935/E1935),"-")</f>
        <v>10922446.08</v>
      </c>
    </row>
    <row r="1936" spans="1:10" ht="27.75" customHeight="1" x14ac:dyDescent="0.3">
      <c r="A1936" s="274" t="s">
        <v>101</v>
      </c>
      <c r="B1936" s="1051"/>
      <c r="C1936" s="300" t="s">
        <v>548</v>
      </c>
      <c r="D1936" s="303" t="s">
        <v>522</v>
      </c>
      <c r="E1936" s="733">
        <v>28.526700000000002</v>
      </c>
      <c r="F1936" s="402">
        <f>IFERROR(E1936*'01 Prod Physique Boites'!H1930,"-")</f>
        <v>0</v>
      </c>
      <c r="G1936" s="728">
        <f>IFERROR(E1936*'01 Prod Physique Boites'!L1930,"-")</f>
        <v>0</v>
      </c>
      <c r="H1936" s="735">
        <v>37.89</v>
      </c>
      <c r="I1936" s="421">
        <f>IFERROR(H1936*(F1936/E1936),"-")</f>
        <v>0</v>
      </c>
      <c r="J1936" s="422">
        <f t="shared" si="1096"/>
        <v>0</v>
      </c>
    </row>
    <row r="1937" spans="1:10" ht="27.75" customHeight="1" thickBot="1" x14ac:dyDescent="0.35">
      <c r="A1937" s="274" t="s">
        <v>101</v>
      </c>
      <c r="B1937" s="1051"/>
      <c r="C1937" s="300" t="s">
        <v>291</v>
      </c>
      <c r="D1937" s="300" t="s">
        <v>366</v>
      </c>
      <c r="E1937" s="501">
        <v>25.751300000000001</v>
      </c>
      <c r="F1937" s="724">
        <f>IFERROR(E1937*'01 Prod Physique Boites'!H1931,"-")</f>
        <v>0</v>
      </c>
      <c r="G1937" s="728">
        <f>IFERROR(E1937*'01 Prod Physique Boites'!L1931,"-")</f>
        <v>1334638.3764</v>
      </c>
      <c r="H1937" s="387">
        <v>37.89</v>
      </c>
      <c r="I1937" s="423">
        <f>IFERROR(H1937*(F1937/E1937),"-")</f>
        <v>0</v>
      </c>
      <c r="J1937" s="424">
        <f t="shared" si="1096"/>
        <v>1963762.92</v>
      </c>
    </row>
    <row r="1938" spans="1:10" ht="27.75" customHeight="1" thickBot="1" x14ac:dyDescent="0.35">
      <c r="A1938" s="274" t="s">
        <v>101</v>
      </c>
      <c r="B1938" s="1051"/>
      <c r="C1938" s="301"/>
      <c r="D1938" s="302" t="s">
        <v>50</v>
      </c>
      <c r="E1938" s="390"/>
      <c r="F1938" s="406">
        <f t="shared" ref="F1938:G1938" si="1097">SUM(F1935:F1937)</f>
        <v>731648.73600000003</v>
      </c>
      <c r="G1938" s="407">
        <f t="shared" si="1097"/>
        <v>8546604.4884000011</v>
      </c>
      <c r="H1938" s="391"/>
      <c r="I1938" s="406">
        <f t="shared" ref="I1938" si="1098">SUM(I1935:I1937)</f>
        <v>1108074.24</v>
      </c>
      <c r="J1938" s="425">
        <f>SUM(J1935:J1937)</f>
        <v>12886209</v>
      </c>
    </row>
    <row r="1939" spans="1:10" ht="27.75" customHeight="1" x14ac:dyDescent="0.3">
      <c r="A1939" s="274" t="s">
        <v>101</v>
      </c>
      <c r="B1939" s="1051"/>
      <c r="C1939" s="297" t="s">
        <v>439</v>
      </c>
      <c r="D1939" s="297" t="s">
        <v>92</v>
      </c>
      <c r="E1939" s="504">
        <v>24.2607</v>
      </c>
      <c r="F1939" s="402">
        <f>IFERROR(E1939*'01 Prod Physique Boites'!H1933,"-")</f>
        <v>0</v>
      </c>
      <c r="G1939" s="728">
        <f>IFERROR(E1939*'01 Prod Physique Boites'!L1933,"-")</f>
        <v>0</v>
      </c>
      <c r="H1939" s="381">
        <v>28.31</v>
      </c>
      <c r="I1939" s="638">
        <f>IFERROR(H1939*(F1939/E1939),"-")</f>
        <v>0</v>
      </c>
      <c r="J1939" s="420">
        <f t="shared" ref="J1939:J1944" si="1099">IFERROR(H1939*(G1939/E1939),"-")</f>
        <v>0</v>
      </c>
    </row>
    <row r="1940" spans="1:10" ht="27.75" customHeight="1" x14ac:dyDescent="0.3">
      <c r="A1940" s="274"/>
      <c r="B1940" s="1051"/>
      <c r="C1940" s="303" t="s">
        <v>449</v>
      </c>
      <c r="D1940" s="299" t="s">
        <v>334</v>
      </c>
      <c r="E1940" s="504">
        <v>24.2607</v>
      </c>
      <c r="F1940" s="402">
        <f>IFERROR(E1940*'01 Prod Physique Boites'!H1934,"-")</f>
        <v>0</v>
      </c>
      <c r="G1940" s="728">
        <f>IFERROR(E1940*'01 Prod Physique Boites'!L1934,"-")</f>
        <v>0</v>
      </c>
      <c r="H1940" s="381">
        <v>28.88</v>
      </c>
      <c r="I1940" s="638">
        <f t="shared" ref="I1940:I1944" si="1100">IFERROR(H1940*(F1940/E1940),"-")</f>
        <v>0</v>
      </c>
      <c r="J1940" s="420">
        <f t="shared" si="1099"/>
        <v>0</v>
      </c>
    </row>
    <row r="1941" spans="1:10" ht="27.75" customHeight="1" x14ac:dyDescent="0.3">
      <c r="A1941" s="274"/>
      <c r="B1941" s="1051"/>
      <c r="C1941" s="303" t="s">
        <v>452</v>
      </c>
      <c r="D1941" s="299" t="s">
        <v>334</v>
      </c>
      <c r="E1941" s="504">
        <v>25.4041</v>
      </c>
      <c r="F1941" s="402">
        <f>IFERROR(E1941*'01 Prod Physique Boites'!H1935,"-")</f>
        <v>0</v>
      </c>
      <c r="G1941" s="728">
        <f>IFERROR(E1941*'01 Prod Physique Boites'!L1935,"-")</f>
        <v>0</v>
      </c>
      <c r="H1941" s="381">
        <v>28.21</v>
      </c>
      <c r="I1941" s="638">
        <f t="shared" si="1100"/>
        <v>0</v>
      </c>
      <c r="J1941" s="420">
        <f t="shared" si="1099"/>
        <v>0</v>
      </c>
    </row>
    <row r="1942" spans="1:10" ht="27.75" customHeight="1" x14ac:dyDescent="0.3">
      <c r="A1942" s="274" t="s">
        <v>101</v>
      </c>
      <c r="B1942" s="1051"/>
      <c r="C1942" s="303" t="s">
        <v>501</v>
      </c>
      <c r="D1942" s="300" t="s">
        <v>423</v>
      </c>
      <c r="E1942" s="505">
        <v>23.697399999999998</v>
      </c>
      <c r="F1942" s="724">
        <f>IFERROR(E1942*'01 Prod Physique Boites'!H1936,"-")</f>
        <v>0</v>
      </c>
      <c r="G1942" s="728">
        <f>IFERROR(E1942*'01 Prod Physique Boites'!L1936,"-")</f>
        <v>177446.13119999997</v>
      </c>
      <c r="H1942" s="385">
        <v>28.21</v>
      </c>
      <c r="I1942" s="638">
        <f t="shared" si="1100"/>
        <v>0</v>
      </c>
      <c r="J1942" s="420">
        <f t="shared" si="1099"/>
        <v>211236.47999999998</v>
      </c>
    </row>
    <row r="1943" spans="1:10" ht="27.75" customHeight="1" x14ac:dyDescent="0.3">
      <c r="A1943" s="274"/>
      <c r="B1943" s="1051"/>
      <c r="C1943" s="300" t="s">
        <v>459</v>
      </c>
      <c r="D1943" s="300" t="s">
        <v>366</v>
      </c>
      <c r="E1943" s="501">
        <v>22.094999999999999</v>
      </c>
      <c r="F1943" s="724">
        <f>IFERROR(E1943*'01 Prod Physique Boites'!H1937,"-")</f>
        <v>0</v>
      </c>
      <c r="G1943" s="728">
        <f>IFERROR(E1943*'01 Prod Physique Boites'!L1937,"-")</f>
        <v>1737197.2799999998</v>
      </c>
      <c r="H1943" s="745">
        <v>37.11</v>
      </c>
      <c r="I1943" s="638">
        <f t="shared" si="1100"/>
        <v>0</v>
      </c>
      <c r="J1943" s="420">
        <f t="shared" si="1099"/>
        <v>2917736.64</v>
      </c>
    </row>
    <row r="1944" spans="1:10" ht="27.75" customHeight="1" thickBot="1" x14ac:dyDescent="0.35">
      <c r="A1944" s="274" t="s">
        <v>101</v>
      </c>
      <c r="B1944" s="1051"/>
      <c r="C1944" s="300" t="s">
        <v>438</v>
      </c>
      <c r="D1944" s="300" t="s">
        <v>423</v>
      </c>
      <c r="E1944" s="501">
        <v>23.697399999999998</v>
      </c>
      <c r="F1944" s="402">
        <f>IFERROR(E1944*'01 Prod Physique Boites'!H1938,"-")</f>
        <v>0</v>
      </c>
      <c r="G1944" s="403">
        <f>IFERROR(E1944*'01 Prod Physique Boites'!L1938,"-")</f>
        <v>0</v>
      </c>
      <c r="H1944" s="387">
        <v>28.21</v>
      </c>
      <c r="I1944" s="638">
        <f t="shared" si="1100"/>
        <v>0</v>
      </c>
      <c r="J1944" s="420">
        <f t="shared" si="1099"/>
        <v>0</v>
      </c>
    </row>
    <row r="1945" spans="1:10" ht="27.75" customHeight="1" thickBot="1" x14ac:dyDescent="0.35">
      <c r="A1945" s="274" t="s">
        <v>101</v>
      </c>
      <c r="B1945" s="1051"/>
      <c r="C1945" s="304"/>
      <c r="D1945" s="305" t="s">
        <v>51</v>
      </c>
      <c r="E1945" s="397"/>
      <c r="F1945" s="414">
        <f t="shared" ref="F1945:G1945" si="1101">SUM(F1939:F1944)</f>
        <v>0</v>
      </c>
      <c r="G1945" s="415">
        <f t="shared" si="1101"/>
        <v>1914643.4111999997</v>
      </c>
      <c r="H1945" s="398"/>
      <c r="I1945" s="414">
        <f t="shared" ref="I1945" si="1102">SUM(I1939:I1944)</f>
        <v>0</v>
      </c>
      <c r="J1945" s="430">
        <f>SUM(J1939:J1944)</f>
        <v>3128973.12</v>
      </c>
    </row>
    <row r="1946" spans="1:10" ht="27.75" customHeight="1" thickBot="1" x14ac:dyDescent="0.35">
      <c r="A1946" s="274" t="s">
        <v>101</v>
      </c>
      <c r="B1946" s="1054" t="s">
        <v>163</v>
      </c>
      <c r="C1946" s="1055"/>
      <c r="D1946" s="1056"/>
      <c r="E1946" s="399"/>
      <c r="F1946" s="416">
        <f t="shared" ref="F1946:G1946" si="1103">+F1938+F1945</f>
        <v>731648.73600000003</v>
      </c>
      <c r="G1946" s="417">
        <f t="shared" si="1103"/>
        <v>10461247.899600001</v>
      </c>
      <c r="H1946" s="400"/>
      <c r="I1946" s="416">
        <f t="shared" ref="I1946:J1946" si="1104">+I1938+I1945</f>
        <v>1108074.24</v>
      </c>
      <c r="J1946" s="431">
        <f t="shared" si="1104"/>
        <v>16015182.120000001</v>
      </c>
    </row>
    <row r="1947" spans="1:10" ht="27.75" customHeight="1" thickBot="1" x14ac:dyDescent="0.35">
      <c r="A1947" s="274" t="s">
        <v>101</v>
      </c>
      <c r="B1947" s="599" t="s">
        <v>32</v>
      </c>
      <c r="C1947" s="973"/>
      <c r="D1947" s="310"/>
      <c r="E1947" s="506">
        <v>12.2659</v>
      </c>
      <c r="F1947" s="408">
        <f>IFERROR(E1947*'01 Prod Physique Boites'!H1941,"-")</f>
        <v>0</v>
      </c>
      <c r="G1947" s="409">
        <f>IFERROR(E1947*'01 Prod Physique Boites'!L1941,"-")</f>
        <v>0</v>
      </c>
      <c r="H1947" s="392"/>
      <c r="I1947" s="426">
        <f>IFERROR(H1947*(F1947/E1947),"-")</f>
        <v>0</v>
      </c>
      <c r="J1947" s="427">
        <f>IFERROR(H1947*(G1947/E1947),"-")</f>
        <v>0</v>
      </c>
    </row>
    <row r="1948" spans="1:10" ht="27.75" customHeight="1" thickBot="1" x14ac:dyDescent="0.35">
      <c r="A1948" s="274" t="s">
        <v>101</v>
      </c>
      <c r="B1948" s="1047" t="s">
        <v>21</v>
      </c>
      <c r="C1948" s="1048"/>
      <c r="D1948" s="1049"/>
      <c r="E1948" s="393"/>
      <c r="F1948" s="410">
        <f t="shared" ref="F1948" si="1105">+F1934+F1946+F1947</f>
        <v>1907897.9868000001</v>
      </c>
      <c r="G1948" s="411">
        <f>+G1934+G1946+G1947</f>
        <v>38455163.4648</v>
      </c>
      <c r="H1948" s="394"/>
      <c r="I1948" s="410">
        <f t="shared" ref="I1948:J1948" si="1106">+I1934+I1946+I1947</f>
        <v>2815392.06</v>
      </c>
      <c r="J1948" s="428">
        <f t="shared" si="1106"/>
        <v>56363081.400000006</v>
      </c>
    </row>
    <row r="1949" spans="1:10" ht="27.75" customHeight="1" thickBot="1" x14ac:dyDescent="0.35">
      <c r="A1949" s="274" t="s">
        <v>101</v>
      </c>
      <c r="B1949" s="1019" t="s">
        <v>171</v>
      </c>
      <c r="C1949" s="1020"/>
      <c r="D1949" s="1021"/>
      <c r="E1949" s="395"/>
      <c r="F1949" s="412">
        <f t="shared" ref="F1949:G1949" si="1107">+F1948</f>
        <v>1907897.9868000001</v>
      </c>
      <c r="G1949" s="413">
        <f t="shared" si="1107"/>
        <v>38455163.4648</v>
      </c>
      <c r="H1949" s="396"/>
      <c r="I1949" s="412">
        <f t="shared" ref="I1949:J1949" si="1108">+I1948</f>
        <v>2815392.06</v>
      </c>
      <c r="J1949" s="429">
        <f t="shared" si="1108"/>
        <v>56363081.400000006</v>
      </c>
    </row>
    <row r="1950" spans="1:10" ht="27.75" customHeight="1" x14ac:dyDescent="0.3">
      <c r="A1950" s="268" t="s">
        <v>102</v>
      </c>
      <c r="B1950" s="1022" t="s">
        <v>401</v>
      </c>
      <c r="C1950" s="311" t="s">
        <v>113</v>
      </c>
      <c r="D1950" s="311"/>
      <c r="E1950" s="709">
        <v>254.89750000000001</v>
      </c>
      <c r="F1950" s="402">
        <f>IFERROR(E1950*'01 Prod Physique Boites'!H1944,"-")</f>
        <v>0</v>
      </c>
      <c r="G1950" s="403">
        <f>IFERROR(E1950*'01 Prod Physique Boites'!L1944,"-")</f>
        <v>0</v>
      </c>
      <c r="H1950" s="381">
        <v>445.38</v>
      </c>
      <c r="I1950" s="419">
        <f>IFERROR(H1950*(F1950/E1950),"-")</f>
        <v>0</v>
      </c>
      <c r="J1950" s="420">
        <f t="shared" ref="J1950:J1952" si="1109">IFERROR(H1950*(G1950/E1950),"-")</f>
        <v>0</v>
      </c>
    </row>
    <row r="1951" spans="1:10" ht="27.75" customHeight="1" x14ac:dyDescent="0.3">
      <c r="A1951" s="274" t="s">
        <v>102</v>
      </c>
      <c r="B1951" s="1023"/>
      <c r="C1951" s="312" t="s">
        <v>247</v>
      </c>
      <c r="D1951" s="312"/>
      <c r="E1951" s="503">
        <v>246.51390000000001</v>
      </c>
      <c r="F1951" s="402">
        <f>IFERROR(E1951*'01 Prod Physique Boites'!H1945,"-")</f>
        <v>0</v>
      </c>
      <c r="G1951" s="403">
        <f>IFERROR(E1951*'01 Prod Physique Boites'!L1945,"-")</f>
        <v>2255355.6710999999</v>
      </c>
      <c r="H1951" s="385">
        <v>430.02</v>
      </c>
      <c r="I1951" s="421">
        <f>IFERROR(H1951*(F1951/E1951),"-")</f>
        <v>0</v>
      </c>
      <c r="J1951" s="422">
        <f t="shared" si="1109"/>
        <v>3934252.98</v>
      </c>
    </row>
    <row r="1952" spans="1:10" ht="27.75" customHeight="1" thickBot="1" x14ac:dyDescent="0.35">
      <c r="A1952" s="274" t="s">
        <v>102</v>
      </c>
      <c r="B1952" s="1024"/>
      <c r="C1952" s="313" t="s">
        <v>33</v>
      </c>
      <c r="D1952" s="313"/>
      <c r="E1952" s="500">
        <v>225.7713</v>
      </c>
      <c r="F1952" s="402">
        <f>IFERROR(E1952*'01 Prod Physique Boites'!H1946,"-")</f>
        <v>0</v>
      </c>
      <c r="G1952" s="403">
        <f>IFERROR(E1952*'01 Prod Physique Boites'!L1946,"-")</f>
        <v>0</v>
      </c>
      <c r="H1952" s="387"/>
      <c r="I1952" s="423">
        <f>IFERROR(H1952*(F1952/E1952),"-")</f>
        <v>0</v>
      </c>
      <c r="J1952" s="424">
        <f t="shared" si="1109"/>
        <v>0</v>
      </c>
    </row>
    <row r="1953" spans="1:10" ht="27.75" customHeight="1" thickBot="1" x14ac:dyDescent="0.35">
      <c r="A1953" s="274" t="s">
        <v>102</v>
      </c>
      <c r="B1953" s="1025" t="s">
        <v>34</v>
      </c>
      <c r="C1953" s="1026"/>
      <c r="D1953" s="1027"/>
      <c r="E1953" s="390"/>
      <c r="F1953" s="406">
        <f t="shared" ref="F1953:G1953" si="1110">SUM(F1950:F1952)</f>
        <v>0</v>
      </c>
      <c r="G1953" s="407">
        <f t="shared" si="1110"/>
        <v>2255355.6710999999</v>
      </c>
      <c r="H1953" s="391"/>
      <c r="I1953" s="406">
        <f t="shared" ref="I1953:J1953" si="1111">SUM(I1950:I1952)</f>
        <v>0</v>
      </c>
      <c r="J1953" s="425">
        <f t="shared" si="1111"/>
        <v>3934252.98</v>
      </c>
    </row>
    <row r="1954" spans="1:10" ht="27.75" customHeight="1" x14ac:dyDescent="0.3">
      <c r="A1954" s="274" t="s">
        <v>102</v>
      </c>
      <c r="B1954" s="1022" t="s">
        <v>35</v>
      </c>
      <c r="C1954" s="311" t="s">
        <v>113</v>
      </c>
      <c r="D1954" s="311"/>
      <c r="E1954" s="502">
        <v>254.89750000000001</v>
      </c>
      <c r="F1954" s="402">
        <f>IFERROR(E1954*'01 Prod Physique Boites'!H1948,"-")</f>
        <v>0</v>
      </c>
      <c r="G1954" s="403">
        <f>IFERROR(E1954*'01 Prod Physique Boites'!L1948,"-")</f>
        <v>0</v>
      </c>
      <c r="H1954" s="381">
        <v>445.38</v>
      </c>
      <c r="I1954" s="419">
        <f>IFERROR(H1954*(F1954/E1954),"-")</f>
        <v>0</v>
      </c>
      <c r="J1954" s="420">
        <f t="shared" ref="J1954:J1957" si="1112">IFERROR(H1954*(G1954/E1954),"-")</f>
        <v>0</v>
      </c>
    </row>
    <row r="1955" spans="1:10" ht="27.75" customHeight="1" x14ac:dyDescent="0.3">
      <c r="A1955" s="274" t="s">
        <v>102</v>
      </c>
      <c r="B1955" s="1023"/>
      <c r="C1955" s="312" t="s">
        <v>247</v>
      </c>
      <c r="D1955" s="312"/>
      <c r="E1955" s="503">
        <v>246.51390000000001</v>
      </c>
      <c r="F1955" s="402">
        <f>IFERROR(E1955*'01 Prod Physique Boites'!H1949,"-")</f>
        <v>1893226.7520000001</v>
      </c>
      <c r="G1955" s="403">
        <f>IFERROR(E1955*'01 Prod Physique Boites'!L1949,"-")</f>
        <v>5916333.6000000006</v>
      </c>
      <c r="H1955" s="385">
        <v>430.02</v>
      </c>
      <c r="I1955" s="421">
        <f>IFERROR(H1955*(F1955/E1955),"-")</f>
        <v>3302553.5999999996</v>
      </c>
      <c r="J1955" s="422">
        <f t="shared" si="1112"/>
        <v>10320480</v>
      </c>
    </row>
    <row r="1956" spans="1:10" ht="27.75" customHeight="1" x14ac:dyDescent="0.3">
      <c r="A1956" s="274" t="s">
        <v>102</v>
      </c>
      <c r="B1956" s="1023"/>
      <c r="C1956" s="312" t="s">
        <v>184</v>
      </c>
      <c r="D1956" s="312" t="s">
        <v>183</v>
      </c>
      <c r="E1956" s="503">
        <v>254.89750000000001</v>
      </c>
      <c r="F1956" s="402">
        <f>IFERROR(E1956*'01 Prod Physique Boites'!H1950,"-")</f>
        <v>0</v>
      </c>
      <c r="G1956" s="403">
        <f>IFERROR(E1956*'01 Prod Physique Boites'!L1950,"-")</f>
        <v>0</v>
      </c>
      <c r="H1956" s="385"/>
      <c r="I1956" s="421">
        <f>IFERROR(H1956*(F1956/E1956),"-")</f>
        <v>0</v>
      </c>
      <c r="J1956" s="422">
        <f t="shared" si="1112"/>
        <v>0</v>
      </c>
    </row>
    <row r="1957" spans="1:10" ht="27.75" customHeight="1" thickBot="1" x14ac:dyDescent="0.35">
      <c r="A1957" s="274" t="s">
        <v>102</v>
      </c>
      <c r="B1957" s="1024"/>
      <c r="C1957" s="313" t="s">
        <v>36</v>
      </c>
      <c r="D1957" s="313"/>
      <c r="E1957" s="500">
        <v>229.99359999999999</v>
      </c>
      <c r="F1957" s="402">
        <f>IFERROR(E1957*'01 Prod Physique Boites'!H1951,"-")</f>
        <v>0</v>
      </c>
      <c r="G1957" s="403">
        <f>IFERROR(E1957*'01 Prod Physique Boites'!L1951,"-")</f>
        <v>0</v>
      </c>
      <c r="H1957" s="387"/>
      <c r="I1957" s="423">
        <f>IFERROR(H1957*(F1957/E1957),"-")</f>
        <v>0</v>
      </c>
      <c r="J1957" s="424">
        <f t="shared" si="1112"/>
        <v>0</v>
      </c>
    </row>
    <row r="1958" spans="1:10" ht="27.75" customHeight="1" thickBot="1" x14ac:dyDescent="0.35">
      <c r="A1958" s="274" t="s">
        <v>102</v>
      </c>
      <c r="B1958" s="1025" t="s">
        <v>37</v>
      </c>
      <c r="C1958" s="1026"/>
      <c r="D1958" s="1027"/>
      <c r="E1958" s="390"/>
      <c r="F1958" s="406">
        <f t="shared" ref="F1958:G1958" si="1113">SUM(F1954:F1957)</f>
        <v>1893226.7520000001</v>
      </c>
      <c r="G1958" s="407">
        <f t="shared" si="1113"/>
        <v>5916333.6000000006</v>
      </c>
      <c r="H1958" s="391"/>
      <c r="I1958" s="406">
        <f>SUM(I1954:I1957)</f>
        <v>3302553.5999999996</v>
      </c>
      <c r="J1958" s="425">
        <f>SUM(J1954:J1957)</f>
        <v>10320480</v>
      </c>
    </row>
    <row r="1959" spans="1:10" ht="27.75" customHeight="1" x14ac:dyDescent="0.3">
      <c r="A1959" s="274" t="s">
        <v>102</v>
      </c>
      <c r="B1959" s="1022" t="s">
        <v>402</v>
      </c>
      <c r="C1959" s="314" t="s">
        <v>116</v>
      </c>
      <c r="D1959" s="314"/>
      <c r="E1959" s="502">
        <v>195.2808</v>
      </c>
      <c r="F1959" s="402">
        <f>IFERROR(E1959*'01 Prod Physique Boites'!H1953,"-")</f>
        <v>0</v>
      </c>
      <c r="G1959" s="403">
        <f>IFERROR(E1959*'01 Prod Physique Boites'!L1953,"-")</f>
        <v>0</v>
      </c>
      <c r="H1959" s="681">
        <v>256.7</v>
      </c>
      <c r="I1959" s="419">
        <f>IFERROR(H1959*(F1959/E1959),"-")</f>
        <v>0</v>
      </c>
      <c r="J1959" s="420">
        <f t="shared" ref="J1959:J1960" si="1114">IFERROR(H1959*(G1959/E1959),"-")</f>
        <v>0</v>
      </c>
    </row>
    <row r="1960" spans="1:10" ht="27.75" customHeight="1" thickBot="1" x14ac:dyDescent="0.35">
      <c r="A1960" s="274" t="s">
        <v>102</v>
      </c>
      <c r="B1960" s="1024"/>
      <c r="C1960" s="286" t="s">
        <v>132</v>
      </c>
      <c r="D1960" s="286"/>
      <c r="E1960" s="500">
        <v>189.91890000000001</v>
      </c>
      <c r="F1960" s="402">
        <f>IFERROR(E1960*'01 Prod Physique Boites'!H1954,"-")</f>
        <v>0</v>
      </c>
      <c r="G1960" s="403">
        <f>IFERROR(E1960*'01 Prod Physique Boites'!L1954,"-")</f>
        <v>4138332.8310000002</v>
      </c>
      <c r="H1960" s="387">
        <v>320.35000000000002</v>
      </c>
      <c r="I1960" s="423">
        <f>IFERROR(H1960*(F1960/E1960),"-")</f>
        <v>0</v>
      </c>
      <c r="J1960" s="424">
        <f t="shared" si="1114"/>
        <v>6980426.5000000009</v>
      </c>
    </row>
    <row r="1961" spans="1:10" ht="27.75" customHeight="1" thickBot="1" x14ac:dyDescent="0.35">
      <c r="A1961" s="977" t="s">
        <v>102</v>
      </c>
      <c r="B1961" s="1025" t="s">
        <v>38</v>
      </c>
      <c r="C1961" s="1026"/>
      <c r="D1961" s="1027"/>
      <c r="E1961" s="390"/>
      <c r="F1961" s="406">
        <f>SUM(F1959:F1960)</f>
        <v>0</v>
      </c>
      <c r="G1961" s="407">
        <f t="shared" ref="G1961" si="1115">SUM(G1959:G1960)</f>
        <v>4138332.8310000002</v>
      </c>
      <c r="H1961" s="391"/>
      <c r="I1961" s="406">
        <f t="shared" ref="I1961:J1961" si="1116">SUM(I1959:I1960)</f>
        <v>0</v>
      </c>
      <c r="J1961" s="425">
        <f t="shared" si="1116"/>
        <v>6980426.5000000009</v>
      </c>
    </row>
    <row r="1962" spans="1:10" ht="27.75" customHeight="1" x14ac:dyDescent="0.3">
      <c r="A1962" s="274" t="s">
        <v>102</v>
      </c>
      <c r="B1962" s="1022" t="s">
        <v>403</v>
      </c>
      <c r="C1962" s="269" t="s">
        <v>306</v>
      </c>
      <c r="D1962" s="269" t="s">
        <v>238</v>
      </c>
      <c r="E1962" s="504">
        <v>37.248699999999999</v>
      </c>
      <c r="F1962" s="402">
        <f>IFERROR(E1962*'01 Prod Physique Boites'!H1956,"-")</f>
        <v>1004373.9468</v>
      </c>
      <c r="G1962" s="403">
        <f>IFERROR(E1962*'01 Prod Physique Boites'!L1956,"-")</f>
        <v>14628458.458799999</v>
      </c>
      <c r="H1962" s="381">
        <v>71.44</v>
      </c>
      <c r="I1962" s="419">
        <f>IFERROR(H1962*(F1962/E1962),"-")</f>
        <v>1926308.16</v>
      </c>
      <c r="J1962" s="420">
        <f>IFERROR(H1962*(G1962/E1962),"-")</f>
        <v>28056202.559999999</v>
      </c>
    </row>
    <row r="1963" spans="1:10" ht="27.75" customHeight="1" x14ac:dyDescent="0.3">
      <c r="A1963" s="274" t="s">
        <v>102</v>
      </c>
      <c r="B1963" s="1023"/>
      <c r="C1963" s="269" t="s">
        <v>156</v>
      </c>
      <c r="D1963" s="275"/>
      <c r="E1963" s="504">
        <v>37.248699999999999</v>
      </c>
      <c r="F1963" s="402">
        <f>IFERROR(E1963*'01 Prod Physique Boites'!H1957,"-")</f>
        <v>0</v>
      </c>
      <c r="G1963" s="403">
        <f>IFERROR(E1963*'01 Prod Physique Boites'!L1957,"-")</f>
        <v>0</v>
      </c>
      <c r="H1963" s="385"/>
      <c r="I1963" s="421">
        <f>IFERROR(H1963*(F1963/E1963),"-")</f>
        <v>0</v>
      </c>
      <c r="J1963" s="422">
        <f t="shared" ref="J1963:J1965" si="1117">IFERROR(H1963*(G1963/E1963),"-")</f>
        <v>0</v>
      </c>
    </row>
    <row r="1964" spans="1:10" ht="27.75" customHeight="1" x14ac:dyDescent="0.3">
      <c r="A1964" s="274" t="s">
        <v>102</v>
      </c>
      <c r="B1964" s="1023"/>
      <c r="C1964" s="275" t="s">
        <v>345</v>
      </c>
      <c r="D1964" s="269" t="s">
        <v>238</v>
      </c>
      <c r="E1964" s="504">
        <v>37.248699999999999</v>
      </c>
      <c r="F1964" s="402">
        <f>IFERROR(E1964*'01 Prod Physique Boites'!H1958,"-")</f>
        <v>0</v>
      </c>
      <c r="G1964" s="403">
        <f>IFERROR(E1964*'01 Prod Physique Boites'!L1958,"-")</f>
        <v>1826378.2583999999</v>
      </c>
      <c r="H1964" s="385">
        <v>71.44</v>
      </c>
      <c r="I1964" s="421">
        <f>IFERROR(H1964*(F1964/E1964),"-")</f>
        <v>0</v>
      </c>
      <c r="J1964" s="422">
        <f t="shared" si="1117"/>
        <v>3502846.08</v>
      </c>
    </row>
    <row r="1965" spans="1:10" ht="27.75" customHeight="1" thickBot="1" x14ac:dyDescent="0.35">
      <c r="A1965" s="274" t="s">
        <v>102</v>
      </c>
      <c r="B1965" s="1023"/>
      <c r="C1965" s="275" t="s">
        <v>157</v>
      </c>
      <c r="D1965" s="275"/>
      <c r="E1965" s="505">
        <v>38.466099999999997</v>
      </c>
      <c r="F1965" s="402">
        <f>IFERROR(E1965*'01 Prod Physique Boites'!H1959,"-")</f>
        <v>0</v>
      </c>
      <c r="G1965" s="403">
        <f>IFERROR(E1965*'01 Prod Physique Boites'!L1959,"-")</f>
        <v>0</v>
      </c>
      <c r="H1965" s="385"/>
      <c r="I1965" s="421">
        <f>IFERROR(H1965*(F1965/E1965),"-")</f>
        <v>0</v>
      </c>
      <c r="J1965" s="422">
        <f t="shared" si="1117"/>
        <v>0</v>
      </c>
    </row>
    <row r="1966" spans="1:10" ht="27.75" customHeight="1" thickBot="1" x14ac:dyDescent="0.35">
      <c r="A1966" s="274" t="s">
        <v>102</v>
      </c>
      <c r="B1966" s="1025" t="s">
        <v>39</v>
      </c>
      <c r="C1966" s="1026"/>
      <c r="D1966" s="1027"/>
      <c r="E1966" s="390"/>
      <c r="F1966" s="406">
        <f>SUM(F1962:F1965)</f>
        <v>1004373.9468</v>
      </c>
      <c r="G1966" s="407">
        <f>SUM(G1962:G1965)</f>
        <v>16454836.7172</v>
      </c>
      <c r="H1966" s="391"/>
      <c r="I1966" s="406">
        <f>SUM(I1962:I1965)</f>
        <v>1926308.16</v>
      </c>
      <c r="J1966" s="406">
        <f>SUM(J1962:J1965)</f>
        <v>31559048.640000001</v>
      </c>
    </row>
    <row r="1967" spans="1:10" ht="27.75" customHeight="1" x14ac:dyDescent="0.3">
      <c r="A1967" s="274" t="s">
        <v>102</v>
      </c>
      <c r="B1967" s="1022" t="s">
        <v>40</v>
      </c>
      <c r="C1967" s="269" t="s">
        <v>186</v>
      </c>
      <c r="D1967" s="269" t="s">
        <v>183</v>
      </c>
      <c r="E1967" s="504">
        <v>30.7499</v>
      </c>
      <c r="F1967" s="402">
        <f>IFERROR(E1967*'01 Prod Physique Boites'!H1962,"-")</f>
        <v>0</v>
      </c>
      <c r="G1967" s="402">
        <f>IFERROR(E1967*'01 Prod Physique Boites'!L1962,"-")</f>
        <v>0</v>
      </c>
      <c r="H1967" s="381"/>
      <c r="I1967" s="419">
        <f>IFERROR(H1967*(F1967/E1967),"-")</f>
        <v>0</v>
      </c>
      <c r="J1967" s="420">
        <f>IFERROR(H1967*(G1967/E1967),"-")</f>
        <v>0</v>
      </c>
    </row>
    <row r="1968" spans="1:10" ht="27.75" customHeight="1" x14ac:dyDescent="0.3">
      <c r="A1968" s="274" t="s">
        <v>102</v>
      </c>
      <c r="B1968" s="1023"/>
      <c r="C1968" s="275" t="s">
        <v>159</v>
      </c>
      <c r="D1968" s="275"/>
      <c r="E1968" s="684">
        <v>30.073599999999999</v>
      </c>
      <c r="F1968" s="402">
        <f>IFERROR(E1968*'01 Prod Physique Boites'!H1963,"-")</f>
        <v>0</v>
      </c>
      <c r="G1968" s="403">
        <f>IFERROR(E1968*'01 Prod Physique Boites'!L1963,"-")</f>
        <v>342839.03999999998</v>
      </c>
      <c r="H1968" s="385">
        <v>59.96</v>
      </c>
      <c r="I1968" s="421">
        <f>IFERROR(H1968*(F1968/E1968),"-")</f>
        <v>0</v>
      </c>
      <c r="J1968" s="422">
        <f t="shared" ref="J1968:J1969" si="1118">IFERROR(H1968*(G1968/E1968),"-")</f>
        <v>683544</v>
      </c>
    </row>
    <row r="1969" spans="1:10" ht="27.75" customHeight="1" thickBot="1" x14ac:dyDescent="0.35">
      <c r="A1969" s="274" t="s">
        <v>102</v>
      </c>
      <c r="B1969" s="1024"/>
      <c r="C1969" s="279" t="s">
        <v>186</v>
      </c>
      <c r="D1969" s="279" t="s">
        <v>185</v>
      </c>
      <c r="E1969" s="501">
        <v>30.073599999999999</v>
      </c>
      <c r="F1969" s="402">
        <f>IFERROR(E1969*'01 Prod Physique Boites'!H1964,"-")</f>
        <v>0</v>
      </c>
      <c r="G1969" s="403">
        <f>IFERROR(E1969*'01 Prod Physique Boites'!L1964,"-")</f>
        <v>0</v>
      </c>
      <c r="H1969" s="387"/>
      <c r="I1969" s="423">
        <f>IFERROR(H1969*(F1969/E1969),"-")</f>
        <v>0</v>
      </c>
      <c r="J1969" s="424">
        <f t="shared" si="1118"/>
        <v>0</v>
      </c>
    </row>
    <row r="1970" spans="1:10" ht="27.75" customHeight="1" thickBot="1" x14ac:dyDescent="0.35">
      <c r="A1970" s="274" t="s">
        <v>102</v>
      </c>
      <c r="B1970" s="1034" t="s">
        <v>41</v>
      </c>
      <c r="C1970" s="1035"/>
      <c r="D1970" s="1036"/>
      <c r="E1970" s="390"/>
      <c r="F1970" s="406">
        <f t="shared" ref="F1970:G1970" si="1119">SUM(F1967:F1969)</f>
        <v>0</v>
      </c>
      <c r="G1970" s="407">
        <f t="shared" si="1119"/>
        <v>342839.03999999998</v>
      </c>
      <c r="H1970" s="391"/>
      <c r="I1970" s="406">
        <f t="shared" ref="I1970:J1970" si="1120">SUM(I1967:I1969)</f>
        <v>0</v>
      </c>
      <c r="J1970" s="425">
        <f t="shared" si="1120"/>
        <v>683544</v>
      </c>
    </row>
    <row r="1971" spans="1:10" ht="27.75" customHeight="1" x14ac:dyDescent="0.3">
      <c r="A1971" s="274" t="s">
        <v>102</v>
      </c>
      <c r="B1971" s="1022" t="s">
        <v>42</v>
      </c>
      <c r="C1971" s="269" t="s">
        <v>160</v>
      </c>
      <c r="D1971" s="269"/>
      <c r="E1971" s="504">
        <v>36.684899999999999</v>
      </c>
      <c r="F1971" s="402">
        <f>IFERROR(E1971*'01 Prod Physique Boites'!H1966,"-")</f>
        <v>0</v>
      </c>
      <c r="G1971" s="402">
        <f>IFERROR(E1971*'01 Prod Physique Boites'!L1966,"-")</f>
        <v>293479.2</v>
      </c>
      <c r="H1971" s="381">
        <v>42</v>
      </c>
      <c r="I1971" s="382">
        <f t="shared" ref="I1971:I1972" si="1121">IFERROR(H1971*(F1971/E1971),"-")</f>
        <v>0</v>
      </c>
      <c r="J1971" s="383">
        <f t="shared" ref="J1971:J1972" si="1122">IFERROR(H1971*(G1971/E1971),"-")</f>
        <v>336000.00000000006</v>
      </c>
    </row>
    <row r="1972" spans="1:10" ht="27.75" customHeight="1" thickBot="1" x14ac:dyDescent="0.35">
      <c r="A1972" s="274" t="s">
        <v>102</v>
      </c>
      <c r="B1972" s="1024"/>
      <c r="C1972" s="279" t="s">
        <v>161</v>
      </c>
      <c r="D1972" s="279"/>
      <c r="E1972" s="501">
        <v>37.002800000000001</v>
      </c>
      <c r="F1972" s="402">
        <f>IFERROR(E1972*'01 Prod Physique Boites'!H1967,"-")</f>
        <v>0</v>
      </c>
      <c r="G1972" s="402">
        <f>IFERROR(E1972*'01 Prod Physique Boites'!L1967,"-")</f>
        <v>0</v>
      </c>
      <c r="H1972" s="387"/>
      <c r="I1972" s="388">
        <f t="shared" si="1121"/>
        <v>0</v>
      </c>
      <c r="J1972" s="389">
        <f t="shared" si="1122"/>
        <v>0</v>
      </c>
    </row>
    <row r="1973" spans="1:10" ht="27.75" customHeight="1" thickBot="1" x14ac:dyDescent="0.35">
      <c r="A1973" s="274" t="s">
        <v>102</v>
      </c>
      <c r="B1973" s="1034" t="s">
        <v>43</v>
      </c>
      <c r="C1973" s="1035"/>
      <c r="D1973" s="1036"/>
      <c r="E1973" s="390"/>
      <c r="F1973" s="402">
        <f>IFERROR(E1973*'01 Prod Physique Boites'!H1967,"-")</f>
        <v>0</v>
      </c>
      <c r="G1973" s="407">
        <f>SUM(G1971:G1972)</f>
        <v>293479.2</v>
      </c>
      <c r="H1973" s="391"/>
      <c r="I1973" s="406">
        <f t="shared" ref="I1973:J1973" si="1123">SUM(I1971:I1972)</f>
        <v>0</v>
      </c>
      <c r="J1973" s="425">
        <f t="shared" si="1123"/>
        <v>336000.00000000006</v>
      </c>
    </row>
    <row r="1974" spans="1:10" ht="27.75" customHeight="1" thickBot="1" x14ac:dyDescent="0.35">
      <c r="A1974" s="274" t="s">
        <v>102</v>
      </c>
      <c r="B1974" s="1028" t="s">
        <v>25</v>
      </c>
      <c r="C1974" s="1029"/>
      <c r="D1974" s="1030"/>
      <c r="E1974" s="393"/>
      <c r="F1974" s="410">
        <f>+F1953+F1958+F1961+F1966+F1970+F1973</f>
        <v>2897600.6988000004</v>
      </c>
      <c r="G1974" s="411">
        <f>+G1953+G1958+G1961+G1966+G1970+G1973</f>
        <v>29401177.059299998</v>
      </c>
      <c r="H1974" s="394"/>
      <c r="I1974" s="410">
        <f>+I1953+I1958+I1961+I1966+I1970+I1973</f>
        <v>5228861.76</v>
      </c>
      <c r="J1974" s="428">
        <f>+J1953+J1958+J1961+J1966+J1970+J1973</f>
        <v>53813752.120000005</v>
      </c>
    </row>
    <row r="1975" spans="1:10" ht="27.75" customHeight="1" thickBot="1" x14ac:dyDescent="0.35">
      <c r="A1975" s="318" t="s">
        <v>102</v>
      </c>
      <c r="B1975" s="1020" t="s">
        <v>173</v>
      </c>
      <c r="C1975" s="1020"/>
      <c r="D1975" s="1021"/>
      <c r="E1975" s="395"/>
      <c r="F1975" s="412">
        <f t="shared" ref="F1975:G1975" si="1124">+F1974</f>
        <v>2897600.6988000004</v>
      </c>
      <c r="G1975" s="413">
        <f t="shared" si="1124"/>
        <v>29401177.059299998</v>
      </c>
      <c r="H1975" s="396"/>
      <c r="I1975" s="412">
        <f t="shared" ref="I1975" si="1125">+I1974</f>
        <v>5228861.76</v>
      </c>
      <c r="J1975" s="429">
        <f>+J1974</f>
        <v>53813752.120000005</v>
      </c>
    </row>
    <row r="1976" spans="1:10" ht="27.75" customHeight="1" thickBot="1" x14ac:dyDescent="0.35">
      <c r="A1976" s="319"/>
      <c r="B1976" s="1031" t="s">
        <v>174</v>
      </c>
      <c r="C1976" s="1032"/>
      <c r="D1976" s="1033"/>
      <c r="E1976" s="401"/>
      <c r="F1976" s="418">
        <f>+F1914+F1949+F1975</f>
        <v>7279178.5216000006</v>
      </c>
      <c r="G1976" s="418">
        <f>+G1914+G1949+G1975</f>
        <v>114361138.97929999</v>
      </c>
      <c r="H1976" s="401"/>
      <c r="I1976" s="418">
        <f>+I1914+I1949+I1975</f>
        <v>11076253.02</v>
      </c>
      <c r="J1976" s="432">
        <f>+J1914+J1949+J1975</f>
        <v>162998276.64000002</v>
      </c>
    </row>
    <row r="1977" spans="1:10" ht="27.75" customHeight="1" x14ac:dyDescent="0.3">
      <c r="A1977" s="1057" t="s">
        <v>1</v>
      </c>
      <c r="B1977" s="1060" t="s">
        <v>2</v>
      </c>
      <c r="C1977" s="1063" t="s">
        <v>396</v>
      </c>
      <c r="D1977" s="1063" t="s">
        <v>397</v>
      </c>
      <c r="E1977" s="1092" t="s">
        <v>405</v>
      </c>
      <c r="F1977" s="1093"/>
      <c r="G1977" s="1093"/>
      <c r="H1977" s="442"/>
      <c r="I1977" s="442"/>
      <c r="J1977" s="443"/>
    </row>
    <row r="1978" spans="1:10" ht="27.75" customHeight="1" x14ac:dyDescent="0.3">
      <c r="A1978" s="1058"/>
      <c r="B1978" s="1061"/>
      <c r="C1978" s="1064"/>
      <c r="D1978" s="1064"/>
      <c r="E1978" s="1094" t="s">
        <v>408</v>
      </c>
      <c r="F1978" s="1095"/>
      <c r="G1978" s="1096"/>
      <c r="H1978" s="1094" t="s">
        <v>168</v>
      </c>
      <c r="I1978" s="1095"/>
      <c r="J1978" s="1096"/>
    </row>
    <row r="1979" spans="1:10" ht="27.75" customHeight="1" x14ac:dyDescent="0.3">
      <c r="A1979" s="1059"/>
      <c r="B1979" s="1090"/>
      <c r="C1979" s="1091"/>
      <c r="D1979" s="1091"/>
      <c r="E1979" s="379" t="s">
        <v>170</v>
      </c>
      <c r="F1979" s="983" t="s">
        <v>407</v>
      </c>
      <c r="G1979" s="984" t="s">
        <v>406</v>
      </c>
      <c r="H1979" s="1097" t="s">
        <v>170</v>
      </c>
      <c r="I1979" s="1099" t="s">
        <v>137</v>
      </c>
      <c r="J1979" s="1101" t="s">
        <v>406</v>
      </c>
    </row>
    <row r="1980" spans="1:10" ht="27.75" customHeight="1" thickBot="1" x14ac:dyDescent="0.35">
      <c r="A1980" s="1059"/>
      <c r="B1980" s="1062"/>
      <c r="C1980" s="1065"/>
      <c r="D1980" s="1065"/>
      <c r="E1980" s="1103" t="s">
        <v>605</v>
      </c>
      <c r="F1980" s="1104"/>
      <c r="G1980" s="1105"/>
      <c r="H1980" s="1098"/>
      <c r="I1980" s="1100"/>
      <c r="J1980" s="1102"/>
    </row>
    <row r="1981" spans="1:10" ht="27.75" customHeight="1" x14ac:dyDescent="0.3">
      <c r="A1981" s="268" t="s">
        <v>103</v>
      </c>
      <c r="B1981" s="1043" t="s">
        <v>16</v>
      </c>
      <c r="C1981" s="269" t="s">
        <v>368</v>
      </c>
      <c r="D1981" s="269" t="s">
        <v>369</v>
      </c>
      <c r="E1981" s="705">
        <v>81.360699999999994</v>
      </c>
      <c r="F1981" s="402">
        <f>IFERROR(E1981*'01 Prod Physique Boites'!H1975,"-")</f>
        <v>0</v>
      </c>
      <c r="G1981" s="402">
        <f>IFERROR(E1981*'01 Prod Physique Boites'!L1975,"-")</f>
        <v>1514936.2339999999</v>
      </c>
      <c r="H1981" s="681">
        <v>143.28</v>
      </c>
      <c r="I1981" s="419">
        <f>IFERROR(H1981*(F1981/E1981),"-")</f>
        <v>0</v>
      </c>
      <c r="J1981" s="420">
        <f t="shared" ref="J1981:J1983" si="1126">IFERROR(H1981*(G1981/E1981),"-")</f>
        <v>2667873.6</v>
      </c>
    </row>
    <row r="1982" spans="1:10" ht="27.75" customHeight="1" x14ac:dyDescent="0.3">
      <c r="A1982" s="713"/>
      <c r="B1982" s="1044"/>
      <c r="C1982" s="275" t="s">
        <v>470</v>
      </c>
      <c r="D1982" s="275" t="s">
        <v>375</v>
      </c>
      <c r="E1982" s="505">
        <v>81.360699999999994</v>
      </c>
      <c r="F1982" s="402">
        <f>IFERROR(E1982*'01 Prod Physique Boites'!H1976,"-")</f>
        <v>0</v>
      </c>
      <c r="G1982" s="402">
        <f>IFERROR(E1982*'01 Prod Physique Boites'!L1976,"-")</f>
        <v>0</v>
      </c>
      <c r="H1982" s="708">
        <v>143.28</v>
      </c>
      <c r="I1982" s="419">
        <f>IFERROR(H1982*(F1982/E1982),"-")</f>
        <v>0</v>
      </c>
      <c r="J1982" s="420">
        <f t="shared" si="1126"/>
        <v>0</v>
      </c>
    </row>
    <row r="1983" spans="1:10" ht="27.75" customHeight="1" x14ac:dyDescent="0.3">
      <c r="A1983" s="274" t="s">
        <v>103</v>
      </c>
      <c r="B1983" s="1044"/>
      <c r="C1983" s="275" t="s">
        <v>430</v>
      </c>
      <c r="D1983" s="275" t="s">
        <v>384</v>
      </c>
      <c r="E1983" s="684">
        <v>77.170400000000001</v>
      </c>
      <c r="F1983" s="402">
        <f>IFERROR(E1983*'01 Prod Physique Boites'!H1977,"-")</f>
        <v>345723.39199999999</v>
      </c>
      <c r="G1983" s="402">
        <f>IFERROR(E1983*'01 Prod Physique Boites'!L1977,"-")</f>
        <v>1345080.0719999999</v>
      </c>
      <c r="H1983" s="385">
        <v>0</v>
      </c>
      <c r="I1983" s="419">
        <f>IFERROR(H1983*(F1983/E1983),"-")</f>
        <v>0</v>
      </c>
      <c r="J1983" s="420">
        <f t="shared" si="1126"/>
        <v>0</v>
      </c>
    </row>
    <row r="1984" spans="1:10" ht="27.75" customHeight="1" thickBot="1" x14ac:dyDescent="0.35">
      <c r="A1984" s="274" t="s">
        <v>103</v>
      </c>
      <c r="B1984" s="1045"/>
      <c r="C1984" s="279" t="s">
        <v>262</v>
      </c>
      <c r="D1984" s="279" t="s">
        <v>231</v>
      </c>
      <c r="E1984" s="501">
        <v>60.703499999999998</v>
      </c>
      <c r="F1984" s="402">
        <f>IFERROR(E1984*'01 Prod Physique Boites'!H1978,"-")</f>
        <v>0</v>
      </c>
      <c r="G1984" s="402">
        <f>IFERROR(E1984*'01 Prod Physique Boites'!L1978,"-")</f>
        <v>0</v>
      </c>
      <c r="H1984" s="387">
        <v>111.09</v>
      </c>
      <c r="I1984" s="419">
        <f>IFERROR(H1984*(F1984/E1984),"-")</f>
        <v>0</v>
      </c>
      <c r="J1984" s="420">
        <f>IFERROR(H1984*(G1984/E1984),"-")</f>
        <v>0</v>
      </c>
    </row>
    <row r="1985" spans="1:10" ht="27.75" customHeight="1" thickBot="1" x14ac:dyDescent="0.35">
      <c r="A1985" s="274" t="s">
        <v>103</v>
      </c>
      <c r="B1985" s="1025" t="s">
        <v>44</v>
      </c>
      <c r="C1985" s="1026"/>
      <c r="D1985" s="1027"/>
      <c r="E1985" s="390"/>
      <c r="F1985" s="406">
        <f t="shared" ref="F1985" si="1127">SUM(F1981:F1984)</f>
        <v>345723.39199999999</v>
      </c>
      <c r="G1985" s="407">
        <f>SUM(G1981:G1984)</f>
        <v>2860016.3059999999</v>
      </c>
      <c r="H1985" s="391"/>
      <c r="I1985" s="406">
        <f t="shared" ref="I1985:J1985" si="1128">SUM(I1981:I1984)</f>
        <v>0</v>
      </c>
      <c r="J1985" s="425">
        <f t="shared" si="1128"/>
        <v>2667873.6</v>
      </c>
    </row>
    <row r="1986" spans="1:10" ht="27.75" customHeight="1" x14ac:dyDescent="0.3">
      <c r="A1986" s="274" t="s">
        <v>103</v>
      </c>
      <c r="B1986" s="1043" t="s">
        <v>17</v>
      </c>
      <c r="C1986" s="269" t="s">
        <v>294</v>
      </c>
      <c r="D1986" s="269"/>
      <c r="E1986" s="504">
        <v>12.5275</v>
      </c>
      <c r="F1986" s="402">
        <f>IFERROR(E1986*'01 Prod Physique Boites'!H1980,"-")</f>
        <v>0</v>
      </c>
      <c r="G1986" s="402">
        <f>IFERROR(E1986*'01 Prod Physique Boites'!L1980,"-")</f>
        <v>0</v>
      </c>
      <c r="H1986" s="681">
        <v>18.836400000000001</v>
      </c>
      <c r="I1986" s="419">
        <f t="shared" ref="I1986:I1992" si="1129">IFERROR(H1986*(F1986/E1986),"-")</f>
        <v>0</v>
      </c>
      <c r="J1986" s="420">
        <f t="shared" ref="J1986:J1991" si="1130">IFERROR(H1986*(G1986/E1986),"-")</f>
        <v>0</v>
      </c>
    </row>
    <row r="1987" spans="1:10" ht="27.75" customHeight="1" x14ac:dyDescent="0.3">
      <c r="A1987" s="274" t="s">
        <v>103</v>
      </c>
      <c r="B1987" s="1044"/>
      <c r="C1987" s="275" t="s">
        <v>344</v>
      </c>
      <c r="D1987" s="275" t="s">
        <v>232</v>
      </c>
      <c r="E1987" s="677">
        <v>13.002700000000001</v>
      </c>
      <c r="F1987" s="402">
        <f>IFERROR(E1987*'01 Prod Physique Boites'!H1981,"-")</f>
        <v>0</v>
      </c>
      <c r="G1987" s="402">
        <f>IFERROR(E1987*'01 Prod Physique Boites'!L1981,"-")</f>
        <v>77756.146000000008</v>
      </c>
      <c r="H1987" s="385">
        <v>21.18</v>
      </c>
      <c r="I1987" s="421">
        <f t="shared" si="1129"/>
        <v>0</v>
      </c>
      <c r="J1987" s="422">
        <f t="shared" si="1130"/>
        <v>126656.4</v>
      </c>
    </row>
    <row r="1988" spans="1:10" ht="27.75" customHeight="1" x14ac:dyDescent="0.3">
      <c r="A1988" s="274" t="s">
        <v>103</v>
      </c>
      <c r="B1988" s="1044"/>
      <c r="C1988" s="275" t="s">
        <v>351</v>
      </c>
      <c r="D1988" s="275" t="s">
        <v>187</v>
      </c>
      <c r="E1988" s="677">
        <v>12.9049</v>
      </c>
      <c r="F1988" s="402">
        <f>IFERROR(E1988*'01 Prod Physique Boites'!H1982,"-")</f>
        <v>473867.92799999996</v>
      </c>
      <c r="G1988" s="402">
        <f>IFERROR(E1988*'01 Prod Physique Boites'!L1982,"-")</f>
        <v>17217201.384</v>
      </c>
      <c r="H1988" s="385">
        <v>20.5</v>
      </c>
      <c r="I1988" s="421">
        <f t="shared" si="1129"/>
        <v>752760</v>
      </c>
      <c r="J1988" s="422">
        <f t="shared" si="1130"/>
        <v>27350280</v>
      </c>
    </row>
    <row r="1989" spans="1:10" ht="27.75" customHeight="1" x14ac:dyDescent="0.3">
      <c r="A1989" s="274" t="s">
        <v>103</v>
      </c>
      <c r="B1989" s="1044"/>
      <c r="C1989" s="275" t="s">
        <v>530</v>
      </c>
      <c r="D1989" s="275" t="s">
        <v>529</v>
      </c>
      <c r="E1989" s="505">
        <v>13.1958</v>
      </c>
      <c r="F1989" s="402">
        <f>IFERROR(E1989*'01 Prod Physique Boites'!H1983,"-")</f>
        <v>0</v>
      </c>
      <c r="G1989" s="402">
        <f>IFERROR(E1989*'01 Prod Physique Boites'!L1983,"-")</f>
        <v>545646.32999999996</v>
      </c>
      <c r="H1989" s="708">
        <v>21.28</v>
      </c>
      <c r="I1989" s="421">
        <f t="shared" si="1129"/>
        <v>0</v>
      </c>
      <c r="J1989" s="422">
        <f t="shared" si="1130"/>
        <v>879927.99999999988</v>
      </c>
    </row>
    <row r="1990" spans="1:10" ht="27.75" customHeight="1" x14ac:dyDescent="0.3">
      <c r="A1990" s="274" t="s">
        <v>103</v>
      </c>
      <c r="B1990" s="1044"/>
      <c r="C1990" s="275" t="s">
        <v>323</v>
      </c>
      <c r="D1990" s="275" t="s">
        <v>318</v>
      </c>
      <c r="E1990" s="505">
        <v>13.1958</v>
      </c>
      <c r="F1990" s="402">
        <f>IFERROR(E1990*'01 Prod Physique Boites'!H1984,"-")</f>
        <v>0</v>
      </c>
      <c r="G1990" s="402">
        <f>IFERROR(E1990*'01 Prod Physique Boites'!L1984,"-")</f>
        <v>0</v>
      </c>
      <c r="H1990" s="385">
        <v>21.28</v>
      </c>
      <c r="I1990" s="421">
        <f t="shared" si="1129"/>
        <v>0</v>
      </c>
      <c r="J1990" s="422">
        <f t="shared" si="1130"/>
        <v>0</v>
      </c>
    </row>
    <row r="1991" spans="1:10" ht="27.75" customHeight="1" x14ac:dyDescent="0.3">
      <c r="A1991" s="274">
        <v>1</v>
      </c>
      <c r="B1991" s="1044"/>
      <c r="C1991" s="275" t="s">
        <v>528</v>
      </c>
      <c r="D1991" s="275" t="s">
        <v>189</v>
      </c>
      <c r="E1991" s="677">
        <v>13.1958</v>
      </c>
      <c r="F1991" s="402">
        <f>IFERROR(E1991*'01 Prod Physique Boites'!H1985,"-")</f>
        <v>0</v>
      </c>
      <c r="G1991" s="402">
        <f>IFERROR(E1991*'01 Prod Physique Boites'!L1985,"-")</f>
        <v>445490.20799999998</v>
      </c>
      <c r="H1991" s="664">
        <v>21.28</v>
      </c>
      <c r="I1991" s="421">
        <f t="shared" si="1129"/>
        <v>0</v>
      </c>
      <c r="J1991" s="422">
        <f t="shared" si="1130"/>
        <v>718412.80000000005</v>
      </c>
    </row>
    <row r="1992" spans="1:10" ht="27.75" customHeight="1" thickBot="1" x14ac:dyDescent="0.35">
      <c r="A1992" s="274" t="s">
        <v>103</v>
      </c>
      <c r="B1992" s="1045"/>
      <c r="C1992" s="279" t="s">
        <v>341</v>
      </c>
      <c r="D1992" s="279" t="s">
        <v>175</v>
      </c>
      <c r="E1992" s="501">
        <v>13.6509</v>
      </c>
      <c r="F1992" s="402">
        <f>IFERROR(E1992*'01 Prod Physique Boites'!H1986,"-")</f>
        <v>0</v>
      </c>
      <c r="G1992" s="402">
        <f>IFERROR(E1992*'01 Prod Physique Boites'!L1986,"-")</f>
        <v>0</v>
      </c>
      <c r="H1992" s="387">
        <v>21.18</v>
      </c>
      <c r="I1992" s="423">
        <f t="shared" si="1129"/>
        <v>0</v>
      </c>
      <c r="J1992" s="424">
        <f>IFERROR(H1992*(G1992/E1992),"-")</f>
        <v>0</v>
      </c>
    </row>
    <row r="1993" spans="1:10" ht="27.75" customHeight="1" thickBot="1" x14ac:dyDescent="0.35">
      <c r="A1993" s="274" t="s">
        <v>103</v>
      </c>
      <c r="B1993" s="1025" t="s">
        <v>45</v>
      </c>
      <c r="C1993" s="1026"/>
      <c r="D1993" s="1027"/>
      <c r="E1993" s="390"/>
      <c r="F1993" s="406">
        <f t="shared" ref="F1993" si="1131">SUM(F1986:F1992)</f>
        <v>473867.92799999996</v>
      </c>
      <c r="G1993" s="407">
        <f>SUM(G1986:G1992)</f>
        <v>18286094.068</v>
      </c>
      <c r="H1993" s="391"/>
      <c r="I1993" s="406">
        <f t="shared" ref="I1993" si="1132">SUM(I1986:I1992)</f>
        <v>752760</v>
      </c>
      <c r="J1993" s="425">
        <f>SUM(J1986:J1992)</f>
        <v>29075277.199999999</v>
      </c>
    </row>
    <row r="1994" spans="1:10" ht="27.75" customHeight="1" x14ac:dyDescent="0.3">
      <c r="A1994" s="274" t="s">
        <v>103</v>
      </c>
      <c r="B1994" s="1043" t="s">
        <v>18</v>
      </c>
      <c r="C1994" s="269" t="s">
        <v>312</v>
      </c>
      <c r="D1994" s="269" t="s">
        <v>92</v>
      </c>
      <c r="E1994" s="504">
        <v>17.8202</v>
      </c>
      <c r="F1994" s="402">
        <f>IFERROR(E1994*'01 Prod Physique Boites'!H1988,"-")</f>
        <v>0</v>
      </c>
      <c r="G1994" s="403">
        <f>IFERROR(E1994*'01 Prod Physique Boites'!L1988,"-")</f>
        <v>0</v>
      </c>
      <c r="H1994" s="381">
        <v>24.93</v>
      </c>
      <c r="I1994" s="419">
        <f t="shared" ref="I1994:I2000" si="1133">IFERROR(H1994*(F1994/E1994),"-")</f>
        <v>0</v>
      </c>
      <c r="J1994" s="420">
        <f t="shared" ref="J1994:J1996" si="1134">IFERROR(H1994*(G1994/E1994),"-")</f>
        <v>0</v>
      </c>
    </row>
    <row r="1995" spans="1:10" ht="27.75" customHeight="1" x14ac:dyDescent="0.3">
      <c r="A1995" s="274" t="s">
        <v>103</v>
      </c>
      <c r="B1995" s="1044"/>
      <c r="C1995" s="275" t="s">
        <v>130</v>
      </c>
      <c r="D1995" s="275"/>
      <c r="E1995" s="505">
        <v>17.8202</v>
      </c>
      <c r="F1995" s="402">
        <f>IFERROR(E1995*'01 Prod Physique Boites'!H1989,"-")</f>
        <v>0</v>
      </c>
      <c r="G1995" s="403">
        <f>IFERROR(E1995*'01 Prod Physique Boites'!L1989,"-")</f>
        <v>0</v>
      </c>
      <c r="H1995" s="385">
        <v>0</v>
      </c>
      <c r="I1995" s="421">
        <f t="shared" si="1133"/>
        <v>0</v>
      </c>
      <c r="J1995" s="422">
        <f t="shared" si="1134"/>
        <v>0</v>
      </c>
    </row>
    <row r="1996" spans="1:10" ht="27.75" customHeight="1" x14ac:dyDescent="0.3">
      <c r="A1996" s="274" t="s">
        <v>103</v>
      </c>
      <c r="B1996" s="1044"/>
      <c r="C1996" s="275" t="s">
        <v>115</v>
      </c>
      <c r="D1996" s="275"/>
      <c r="E1996" s="505">
        <v>16.4071</v>
      </c>
      <c r="F1996" s="402">
        <f>IFERROR(E1996*'01 Prod Physique Boites'!H1990,"-")</f>
        <v>0</v>
      </c>
      <c r="G1996" s="403">
        <f>IFERROR(E1996*'01 Prod Physique Boites'!L1990,"-")</f>
        <v>0</v>
      </c>
      <c r="H1996" s="385">
        <v>0</v>
      </c>
      <c r="I1996" s="421">
        <f t="shared" si="1133"/>
        <v>0</v>
      </c>
      <c r="J1996" s="422">
        <f t="shared" si="1134"/>
        <v>0</v>
      </c>
    </row>
    <row r="1997" spans="1:10" ht="27.75" customHeight="1" x14ac:dyDescent="0.3">
      <c r="A1997" s="274" t="s">
        <v>103</v>
      </c>
      <c r="B1997" s="1044"/>
      <c r="C1997" s="275" t="s">
        <v>122</v>
      </c>
      <c r="D1997" s="275"/>
      <c r="E1997" s="505">
        <v>17.8202</v>
      </c>
      <c r="F1997" s="402">
        <f>IFERROR(E1997*'01 Prod Physique Boites'!H1991,"-")</f>
        <v>0</v>
      </c>
      <c r="G1997" s="403">
        <f>IFERROR(E1997*'01 Prod Physique Boites'!L1991,"-")</f>
        <v>0</v>
      </c>
      <c r="H1997" s="385">
        <v>0</v>
      </c>
      <c r="I1997" s="421">
        <f t="shared" si="1133"/>
        <v>0</v>
      </c>
      <c r="J1997" s="422">
        <f>IFERROR(H1997*(G1997/E1997),"-")</f>
        <v>0</v>
      </c>
    </row>
    <row r="1998" spans="1:10" ht="27.75" customHeight="1" x14ac:dyDescent="0.3">
      <c r="A1998" s="274" t="s">
        <v>103</v>
      </c>
      <c r="B1998" s="1044"/>
      <c r="C1998" s="275" t="s">
        <v>176</v>
      </c>
      <c r="D1998" s="275" t="s">
        <v>177</v>
      </c>
      <c r="E1998" s="505">
        <v>17.8202</v>
      </c>
      <c r="F1998" s="402">
        <f>IFERROR(E1998*'01 Prod Physique Boites'!H1992,"-")</f>
        <v>0</v>
      </c>
      <c r="G1998" s="403">
        <f>IFERROR(E1998*'01 Prod Physique Boites'!L1992,"-")</f>
        <v>0</v>
      </c>
      <c r="H1998" s="385">
        <v>0</v>
      </c>
      <c r="I1998" s="421">
        <f t="shared" si="1133"/>
        <v>0</v>
      </c>
      <c r="J1998" s="422">
        <f t="shared" ref="J1998:J2000" si="1135">IFERROR(H1998*(G1998/E1998),"-")</f>
        <v>0</v>
      </c>
    </row>
    <row r="1999" spans="1:10" ht="27.75" customHeight="1" x14ac:dyDescent="0.3">
      <c r="A1999" s="274" t="s">
        <v>103</v>
      </c>
      <c r="B1999" s="1044"/>
      <c r="C1999" s="275" t="s">
        <v>179</v>
      </c>
      <c r="D1999" s="275" t="s">
        <v>178</v>
      </c>
      <c r="E1999" s="505">
        <v>16.7288</v>
      </c>
      <c r="F1999" s="402">
        <f>IFERROR(E1999*'01 Prod Physique Boites'!H1993,"-")</f>
        <v>0</v>
      </c>
      <c r="G1999" s="403">
        <f>IFERROR(E1999*'01 Prod Physique Boites'!L1993,"-")</f>
        <v>0</v>
      </c>
      <c r="H1999" s="385">
        <v>0</v>
      </c>
      <c r="I1999" s="421">
        <f t="shared" si="1133"/>
        <v>0</v>
      </c>
      <c r="J1999" s="422">
        <f t="shared" si="1135"/>
        <v>0</v>
      </c>
    </row>
    <row r="2000" spans="1:10" ht="27.75" customHeight="1" thickBot="1" x14ac:dyDescent="0.35">
      <c r="A2000" s="274" t="s">
        <v>103</v>
      </c>
      <c r="B2000" s="1045"/>
      <c r="C2000" s="286" t="s">
        <v>180</v>
      </c>
      <c r="D2000" s="286" t="s">
        <v>107</v>
      </c>
      <c r="E2000" s="501">
        <v>17.8202</v>
      </c>
      <c r="F2000" s="402">
        <f>IFERROR(E2000*'01 Prod Physique Boites'!H1994,"-")</f>
        <v>0</v>
      </c>
      <c r="G2000" s="403">
        <f>IFERROR(E2000*'01 Prod Physique Boites'!L1994,"-")</f>
        <v>0</v>
      </c>
      <c r="H2000" s="385">
        <v>0</v>
      </c>
      <c r="I2000" s="423">
        <f t="shared" si="1133"/>
        <v>0</v>
      </c>
      <c r="J2000" s="424">
        <f t="shared" si="1135"/>
        <v>0</v>
      </c>
    </row>
    <row r="2001" spans="1:10" ht="27.75" customHeight="1" thickBot="1" x14ac:dyDescent="0.35">
      <c r="A2001" s="274" t="s">
        <v>103</v>
      </c>
      <c r="B2001" s="1025" t="s">
        <v>29</v>
      </c>
      <c r="C2001" s="1083"/>
      <c r="D2001" s="1084"/>
      <c r="E2001" s="841"/>
      <c r="F2001" s="856">
        <f t="shared" ref="F2001:G2001" si="1136">SUM(F1994:F2000)</f>
        <v>0</v>
      </c>
      <c r="G2001" s="415">
        <f t="shared" si="1136"/>
        <v>0</v>
      </c>
      <c r="H2001" s="391"/>
      <c r="I2001" s="406">
        <f t="shared" ref="I2001:J2001" si="1137">SUM(I1994:I2000)</f>
        <v>0</v>
      </c>
      <c r="J2001" s="425">
        <f t="shared" si="1137"/>
        <v>0</v>
      </c>
    </row>
    <row r="2002" spans="1:10" ht="27.75" customHeight="1" x14ac:dyDescent="0.3">
      <c r="A2002" s="274"/>
      <c r="B2002" s="1037" t="s">
        <v>19</v>
      </c>
      <c r="C2002" s="669" t="s">
        <v>235</v>
      </c>
      <c r="D2002" s="669" t="s">
        <v>177</v>
      </c>
      <c r="E2002" s="850">
        <v>12.2659</v>
      </c>
      <c r="F2002" s="658">
        <f>IFERROR(E2002*'01 Prod Physique Boites'!H1996,"-")</f>
        <v>414489.2928</v>
      </c>
      <c r="G2002" s="1003">
        <f>IFERROR(E2002*'01 Prod Physique Boites'!L1996,"-")</f>
        <v>6735451.0080000004</v>
      </c>
      <c r="H2002" s="1006">
        <v>14.79</v>
      </c>
      <c r="I2002" s="1005">
        <f t="shared" ref="I2002:I2008" si="1138">IFERROR(H2002*(F2002/E2002),"-")</f>
        <v>499783.67999999999</v>
      </c>
      <c r="J2002" s="638">
        <f>IFERROR(H2002*(G2002/E2002),"-")</f>
        <v>8121484.7999999998</v>
      </c>
    </row>
    <row r="2003" spans="1:10" ht="27.75" customHeight="1" x14ac:dyDescent="0.3">
      <c r="A2003" s="274"/>
      <c r="B2003" s="1038"/>
      <c r="C2003" s="840" t="s">
        <v>359</v>
      </c>
      <c r="D2003" s="840" t="s">
        <v>423</v>
      </c>
      <c r="E2003" s="851">
        <v>12.2659</v>
      </c>
      <c r="F2003" s="643">
        <f>IFERROR(E2003*'01 Prod Physique Boites'!H1997,"-")</f>
        <v>103622.3232</v>
      </c>
      <c r="G2003" s="1002">
        <f>IFERROR(E2003*'01 Prod Physique Boites'!L1997,"-")</f>
        <v>7149940.3008000003</v>
      </c>
      <c r="H2003" s="1007">
        <v>14.55</v>
      </c>
      <c r="I2003" s="848">
        <f t="shared" si="1138"/>
        <v>122918.40000000001</v>
      </c>
      <c r="J2003" s="643">
        <f>IFERROR(H2003*(G2003/E2003),"-")</f>
        <v>8481369.5999999996</v>
      </c>
    </row>
    <row r="2004" spans="1:10" ht="27.75" customHeight="1" x14ac:dyDescent="0.3">
      <c r="A2004" s="274"/>
      <c r="B2004" s="1038"/>
      <c r="C2004" s="840" t="s">
        <v>235</v>
      </c>
      <c r="D2004" s="840" t="s">
        <v>522</v>
      </c>
      <c r="E2004" s="851">
        <v>12.2659</v>
      </c>
      <c r="F2004" s="643">
        <f>IFERROR(E2004*'01 Prod Physique Boites'!H1998,"-")</f>
        <v>0</v>
      </c>
      <c r="G2004" s="1002">
        <f>IFERROR(E2004*'01 Prod Physique Boites'!L1998,"-")</f>
        <v>2621370.0208000001</v>
      </c>
      <c r="H2004" s="1008">
        <v>0</v>
      </c>
      <c r="I2004" s="848">
        <f t="shared" si="1138"/>
        <v>0</v>
      </c>
      <c r="J2004" s="643">
        <f t="shared" ref="J2004:J2007" si="1139">IFERROR(H2004*(G2004/E2004),"-")</f>
        <v>0</v>
      </c>
    </row>
    <row r="2005" spans="1:10" ht="27.75" customHeight="1" x14ac:dyDescent="0.3">
      <c r="A2005" s="274"/>
      <c r="B2005" s="1038"/>
      <c r="C2005" s="840" t="s">
        <v>377</v>
      </c>
      <c r="D2005" s="840" t="s">
        <v>522</v>
      </c>
      <c r="E2005" s="851">
        <v>12.2659</v>
      </c>
      <c r="F2005" s="643">
        <f>IFERROR(E2005*'01 Prod Physique Boites'!H1999,"-")</f>
        <v>0</v>
      </c>
      <c r="G2005" s="1002">
        <f>IFERROR(E2005*'01 Prod Physique Boites'!L1999,"-")</f>
        <v>3523158.9887999999</v>
      </c>
      <c r="H2005" s="1008">
        <v>0</v>
      </c>
      <c r="I2005" s="848">
        <f t="shared" si="1138"/>
        <v>0</v>
      </c>
      <c r="J2005" s="643">
        <f t="shared" si="1139"/>
        <v>0</v>
      </c>
    </row>
    <row r="2006" spans="1:10" ht="27.75" customHeight="1" x14ac:dyDescent="0.3">
      <c r="A2006" s="274"/>
      <c r="B2006" s="1038"/>
      <c r="C2006" s="840" t="s">
        <v>536</v>
      </c>
      <c r="D2006" s="840" t="s">
        <v>522</v>
      </c>
      <c r="E2006" s="851">
        <v>12.2659</v>
      </c>
      <c r="F2006" s="643">
        <f>IFERROR(E2006*'01 Prod Physique Boites'!H2000,"-")</f>
        <v>0</v>
      </c>
      <c r="G2006" s="1002">
        <f>IFERROR(E2006*'01 Prod Physique Boites'!L2000,"-")</f>
        <v>1839296.2368000001</v>
      </c>
      <c r="H2006" s="1008">
        <v>0</v>
      </c>
      <c r="I2006" s="848">
        <f t="shared" si="1138"/>
        <v>0</v>
      </c>
      <c r="J2006" s="643">
        <f t="shared" si="1139"/>
        <v>0</v>
      </c>
    </row>
    <row r="2007" spans="1:10" ht="27.75" customHeight="1" x14ac:dyDescent="0.3">
      <c r="A2007" s="274"/>
      <c r="B2007" s="1038"/>
      <c r="C2007" s="840"/>
      <c r="D2007" s="840"/>
      <c r="E2007" s="851">
        <v>12.2659</v>
      </c>
      <c r="F2007" s="643">
        <f>IFERROR(E2007*'01 Prod Physique Boites'!H2001,"-")</f>
        <v>0</v>
      </c>
      <c r="G2007" s="1002">
        <f>IFERROR(E2007*'01 Prod Physique Boites'!L2001,"-")</f>
        <v>0</v>
      </c>
      <c r="H2007" s="1007">
        <v>14.55</v>
      </c>
      <c r="I2007" s="848">
        <f t="shared" si="1138"/>
        <v>0</v>
      </c>
      <c r="J2007" s="643">
        <f t="shared" si="1139"/>
        <v>0</v>
      </c>
    </row>
    <row r="2008" spans="1:10" ht="27.75" customHeight="1" thickBot="1" x14ac:dyDescent="0.35">
      <c r="A2008" s="985" t="s">
        <v>103</v>
      </c>
      <c r="B2008" s="1039"/>
      <c r="C2008" s="670" t="s">
        <v>342</v>
      </c>
      <c r="D2008" s="670"/>
      <c r="E2008" s="852">
        <v>0</v>
      </c>
      <c r="F2008" s="927">
        <f>IFERROR(E2008*'01 Prod Physique Boites'!H2002,"-")</f>
        <v>0</v>
      </c>
      <c r="G2008" s="1004">
        <f>IFERROR(E2008*'01 Prod Physique Boites'!L2002,"-")</f>
        <v>0</v>
      </c>
      <c r="H2008" s="1009">
        <v>0</v>
      </c>
      <c r="I2008" s="848" t="str">
        <f t="shared" si="1138"/>
        <v>-</v>
      </c>
      <c r="J2008" s="427" t="str">
        <f t="shared" ref="J2008" si="1140">IFERROR(I2008*(G2008/F2008),"-")</f>
        <v>-</v>
      </c>
    </row>
    <row r="2009" spans="1:10" ht="27.75" customHeight="1" thickBot="1" x14ac:dyDescent="0.35">
      <c r="A2009" s="274" t="s">
        <v>103</v>
      </c>
      <c r="B2009" s="1025" t="s">
        <v>46</v>
      </c>
      <c r="C2009" s="1041"/>
      <c r="D2009" s="1042"/>
      <c r="E2009" s="842"/>
      <c r="F2009" s="523">
        <f>SUM(F2002:F2008)</f>
        <v>518111.61599999998</v>
      </c>
      <c r="G2009" s="523">
        <f>SUM(G2002:G2008)</f>
        <v>21869216.555199999</v>
      </c>
      <c r="H2009" s="391"/>
      <c r="I2009" s="406">
        <f>SUM(I2002:I2008)</f>
        <v>622702.07999999996</v>
      </c>
      <c r="J2009" s="425">
        <f>SUM(J2002:J2008)</f>
        <v>16602854.399999999</v>
      </c>
    </row>
    <row r="2010" spans="1:10" ht="27.75" customHeight="1" x14ac:dyDescent="0.3">
      <c r="A2010" s="274" t="s">
        <v>103</v>
      </c>
      <c r="B2010" s="1043" t="s">
        <v>20</v>
      </c>
      <c r="C2010" s="291" t="s">
        <v>583</v>
      </c>
      <c r="D2010" s="995" t="s">
        <v>289</v>
      </c>
      <c r="E2010" s="996">
        <v>0</v>
      </c>
      <c r="F2010" s="402">
        <f>IFERROR(E2010*'01 Prod Physique Boites'!H2004,"-")</f>
        <v>0</v>
      </c>
      <c r="G2010" s="403">
        <f>IFERROR(E2010*'01 Prod Physique Boites'!L2004,"-")</f>
        <v>0</v>
      </c>
      <c r="H2010" s="681">
        <v>0</v>
      </c>
      <c r="I2010" s="419" t="str">
        <f>IFERROR(H2010*(F2010/E2010),"-")</f>
        <v>-</v>
      </c>
      <c r="J2010" s="420" t="str">
        <f t="shared" ref="J2010:J2012" si="1141">IFERROR(H2010*(G2010/E2010),"-")</f>
        <v>-</v>
      </c>
    </row>
    <row r="2011" spans="1:10" ht="27.75" customHeight="1" x14ac:dyDescent="0.3">
      <c r="A2011" s="274" t="s">
        <v>103</v>
      </c>
      <c r="B2011" s="1044"/>
      <c r="C2011" s="292" t="s">
        <v>114</v>
      </c>
      <c r="D2011" s="292"/>
      <c r="E2011" s="384">
        <v>24.2607</v>
      </c>
      <c r="F2011" s="402">
        <f>IFERROR(E2011*'01 Prod Physique Boites'!H2005,"-")</f>
        <v>0</v>
      </c>
      <c r="G2011" s="403">
        <f>IFERROR(E2011*'01 Prod Physique Boites'!L2005,"-")</f>
        <v>0</v>
      </c>
      <c r="H2011" s="385">
        <v>37.369999999999997</v>
      </c>
      <c r="I2011" s="421">
        <f>IFERROR(H2011*(F2011/E2011),"-")</f>
        <v>0</v>
      </c>
      <c r="J2011" s="422">
        <f t="shared" si="1141"/>
        <v>0</v>
      </c>
    </row>
    <row r="2012" spans="1:10" ht="27.75" customHeight="1" thickBot="1" x14ac:dyDescent="0.35">
      <c r="A2012" s="274" t="s">
        <v>103</v>
      </c>
      <c r="B2012" s="1045"/>
      <c r="C2012" s="293" t="s">
        <v>120</v>
      </c>
      <c r="D2012" s="293"/>
      <c r="E2012" s="386">
        <v>26.035799999999998</v>
      </c>
      <c r="F2012" s="402">
        <f>IFERROR(E2012*'01 Prod Physique Boites'!H2006,"-")</f>
        <v>0</v>
      </c>
      <c r="G2012" s="403">
        <f>IFERROR(E2012*'01 Prod Physique Boites'!L2006,"-")</f>
        <v>0</v>
      </c>
      <c r="H2012" s="387">
        <v>37.11</v>
      </c>
      <c r="I2012" s="423">
        <f>IFERROR(H2012*(F2012/E2012),"-")</f>
        <v>0</v>
      </c>
      <c r="J2012" s="424">
        <f t="shared" si="1141"/>
        <v>0</v>
      </c>
    </row>
    <row r="2013" spans="1:10" ht="27.75" customHeight="1" thickBot="1" x14ac:dyDescent="0.35">
      <c r="A2013" s="274" t="s">
        <v>103</v>
      </c>
      <c r="B2013" s="1026" t="s">
        <v>47</v>
      </c>
      <c r="C2013" s="1026"/>
      <c r="D2013" s="1046"/>
      <c r="E2013" s="390"/>
      <c r="F2013" s="406">
        <f t="shared" ref="F2013:G2013" si="1142">SUM(F2010:F2012)</f>
        <v>0</v>
      </c>
      <c r="G2013" s="407">
        <f t="shared" si="1142"/>
        <v>0</v>
      </c>
      <c r="H2013" s="391"/>
      <c r="I2013" s="406">
        <f t="shared" ref="I2013:J2013" si="1143">SUM(I2010:I2012)</f>
        <v>0</v>
      </c>
      <c r="J2013" s="425">
        <f t="shared" si="1143"/>
        <v>0</v>
      </c>
    </row>
    <row r="2014" spans="1:10" ht="27.75" customHeight="1" thickBot="1" x14ac:dyDescent="0.35">
      <c r="A2014" s="274" t="s">
        <v>103</v>
      </c>
      <c r="B2014" s="1047" t="s">
        <v>21</v>
      </c>
      <c r="C2014" s="1048"/>
      <c r="D2014" s="1049"/>
      <c r="E2014" s="393"/>
      <c r="F2014" s="410">
        <f>+F1985+F1993+F2001+F2009+F2013</f>
        <v>1337702.936</v>
      </c>
      <c r="G2014" s="411">
        <f>+G1985+G1993+G2001+G2009+G2013</f>
        <v>43015326.929199994</v>
      </c>
      <c r="H2014" s="394"/>
      <c r="I2014" s="410">
        <f>+I1985+I1993+I2001+I2009+I2013</f>
        <v>1375462.08</v>
      </c>
      <c r="J2014" s="428">
        <f>+J1985+J1993+J2001+J2009+J2013</f>
        <v>48346005.200000003</v>
      </c>
    </row>
    <row r="2015" spans="1:10" ht="27.75" customHeight="1" x14ac:dyDescent="0.3">
      <c r="A2015" s="274" t="s">
        <v>103</v>
      </c>
      <c r="B2015" s="1043" t="s">
        <v>400</v>
      </c>
      <c r="C2015" s="269" t="s">
        <v>125</v>
      </c>
      <c r="D2015" s="269"/>
      <c r="E2015" s="380">
        <v>22.820599999999999</v>
      </c>
      <c r="F2015" s="402">
        <f>IFERROR(E2015*'01 Prod Physique Boites'!H2009,"-")</f>
        <v>0</v>
      </c>
      <c r="G2015" s="403">
        <f>IFERROR(E2015*'01 Prod Physique Boites'!L2009,"-")</f>
        <v>0</v>
      </c>
      <c r="H2015" s="381">
        <v>27.5</v>
      </c>
      <c r="I2015" s="419">
        <f>IFERROR(H2015*(F2015/E2015),"-")</f>
        <v>0</v>
      </c>
      <c r="J2015" s="420">
        <f t="shared" ref="J2015:J2018" si="1144">IFERROR(H2015*(G2015/E2015),"-")</f>
        <v>0</v>
      </c>
    </row>
    <row r="2016" spans="1:10" ht="27.75" customHeight="1" x14ac:dyDescent="0.3">
      <c r="A2016" s="274" t="s">
        <v>103</v>
      </c>
      <c r="B2016" s="1044"/>
      <c r="C2016" s="295" t="s">
        <v>263</v>
      </c>
      <c r="D2016" s="295" t="s">
        <v>181</v>
      </c>
      <c r="E2016" s="384">
        <v>23.570699999999999</v>
      </c>
      <c r="F2016" s="402">
        <f>IFERROR(E2016*'01 Prod Physique Boites'!H2010,"-")</f>
        <v>0</v>
      </c>
      <c r="G2016" s="403">
        <f>IFERROR(E2016*'01 Prod Physique Boites'!L2010,"-")</f>
        <v>0</v>
      </c>
      <c r="H2016" s="385">
        <v>27.5</v>
      </c>
      <c r="I2016" s="421">
        <f>IFERROR(H2016*(F2016/E2016),"-")</f>
        <v>0</v>
      </c>
      <c r="J2016" s="422">
        <f t="shared" si="1144"/>
        <v>0</v>
      </c>
    </row>
    <row r="2017" spans="1:10" ht="27.75" customHeight="1" x14ac:dyDescent="0.3">
      <c r="A2017" s="274" t="s">
        <v>103</v>
      </c>
      <c r="B2017" s="1044"/>
      <c r="C2017" s="295" t="s">
        <v>362</v>
      </c>
      <c r="D2017" s="295" t="s">
        <v>181</v>
      </c>
      <c r="E2017" s="384">
        <v>22.820599999999999</v>
      </c>
      <c r="F2017" s="402">
        <f>IFERROR(E2017*'01 Prod Physique Boites'!H2011,"-")</f>
        <v>0</v>
      </c>
      <c r="G2017" s="403">
        <f>IFERROR(E2017*'01 Prod Physique Boites'!L2011,"-")</f>
        <v>1084434.912</v>
      </c>
      <c r="H2017" s="385">
        <v>27.5</v>
      </c>
      <c r="I2017" s="421">
        <f>IFERROR(H2017*(F2017/E2017),"-")</f>
        <v>0</v>
      </c>
      <c r="J2017" s="422">
        <f t="shared" si="1144"/>
        <v>1306800</v>
      </c>
    </row>
    <row r="2018" spans="1:10" ht="27.75" customHeight="1" thickBot="1" x14ac:dyDescent="0.35">
      <c r="A2018" s="274" t="s">
        <v>103</v>
      </c>
      <c r="B2018" s="1045"/>
      <c r="C2018" s="279" t="s">
        <v>182</v>
      </c>
      <c r="D2018" s="279" t="s">
        <v>93</v>
      </c>
      <c r="E2018" s="386">
        <v>22.238499999999998</v>
      </c>
      <c r="F2018" s="402">
        <f>IFERROR(E2018*'01 Prod Physique Boites'!H2012,"-")</f>
        <v>88064.459999999992</v>
      </c>
      <c r="G2018" s="403">
        <f>IFERROR(E2018*'01 Prod Physique Boites'!L2012,"-")</f>
        <v>3830804.01</v>
      </c>
      <c r="H2018" s="387">
        <v>27</v>
      </c>
      <c r="I2018" s="423">
        <f>IFERROR(H2018*(F2018/E2018),"-")</f>
        <v>106920</v>
      </c>
      <c r="J2018" s="424">
        <f t="shared" si="1144"/>
        <v>4651020</v>
      </c>
    </row>
    <row r="2019" spans="1:10" ht="27.75" customHeight="1" thickBot="1" x14ac:dyDescent="0.35">
      <c r="A2019" s="274" t="s">
        <v>103</v>
      </c>
      <c r="B2019" s="1025" t="s">
        <v>48</v>
      </c>
      <c r="C2019" s="1026"/>
      <c r="D2019" s="1027"/>
      <c r="E2019" s="390"/>
      <c r="F2019" s="406">
        <f t="shared" ref="F2019:G2019" si="1145">SUM(F2015:F2018)</f>
        <v>88064.459999999992</v>
      </c>
      <c r="G2019" s="407">
        <f t="shared" si="1145"/>
        <v>4915238.9220000003</v>
      </c>
      <c r="H2019" s="391"/>
      <c r="I2019" s="406">
        <f t="shared" ref="I2019:J2019" si="1146">SUM(I2015:I2018)</f>
        <v>106920</v>
      </c>
      <c r="J2019" s="425">
        <f t="shared" si="1146"/>
        <v>5957820</v>
      </c>
    </row>
    <row r="2020" spans="1:10" ht="27.75" customHeight="1" x14ac:dyDescent="0.3">
      <c r="A2020" s="274" t="s">
        <v>103</v>
      </c>
      <c r="B2020" s="1043" t="s">
        <v>23</v>
      </c>
      <c r="C2020" s="275" t="s">
        <v>500</v>
      </c>
      <c r="D2020" s="296" t="s">
        <v>238</v>
      </c>
      <c r="E2020" s="380">
        <v>101.4935</v>
      </c>
      <c r="F2020" s="402">
        <f>IFERROR(E2020*'01 Prod Physique Boites'!H2014,"-")</f>
        <v>0</v>
      </c>
      <c r="G2020" s="403">
        <f>IFERROR(E2020*'01 Prod Physique Boites'!L2014,"-")</f>
        <v>0</v>
      </c>
      <c r="H2020" s="385">
        <v>160.44999999999999</v>
      </c>
      <c r="I2020" s="419">
        <f t="shared" ref="I2020:I2028" si="1147">IFERROR(H2020*(F2020/E2020),"-")</f>
        <v>0</v>
      </c>
      <c r="J2020" s="420">
        <f t="shared" ref="J2020:J2028" si="1148">IFERROR(H2020*(G2020/E2020),"-")</f>
        <v>0</v>
      </c>
    </row>
    <row r="2021" spans="1:10" ht="27.75" customHeight="1" x14ac:dyDescent="0.3">
      <c r="A2021" s="274" t="s">
        <v>103</v>
      </c>
      <c r="B2021" s="1044"/>
      <c r="C2021" s="275" t="s">
        <v>24</v>
      </c>
      <c r="D2021" s="275" t="s">
        <v>238</v>
      </c>
      <c r="E2021" s="384">
        <v>101.4935</v>
      </c>
      <c r="F2021" s="402">
        <f>IFERROR(E2021*'01 Prod Physique Boites'!H2015,"-")</f>
        <v>0</v>
      </c>
      <c r="G2021" s="403">
        <f>IFERROR(E2021*'01 Prod Physique Boites'!L2015,"-")</f>
        <v>0</v>
      </c>
      <c r="H2021" s="385">
        <v>160.44999999999999</v>
      </c>
      <c r="I2021" s="421">
        <f t="shared" si="1147"/>
        <v>0</v>
      </c>
      <c r="J2021" s="422">
        <f t="shared" si="1148"/>
        <v>0</v>
      </c>
    </row>
    <row r="2022" spans="1:10" ht="27.75" customHeight="1" x14ac:dyDescent="0.3">
      <c r="A2022" s="274" t="s">
        <v>103</v>
      </c>
      <c r="B2022" s="1044"/>
      <c r="C2022" s="275" t="s">
        <v>236</v>
      </c>
      <c r="D2022" s="275" t="s">
        <v>238</v>
      </c>
      <c r="E2022" s="384">
        <v>101.4935</v>
      </c>
      <c r="F2022" s="402">
        <f>IFERROR(E2022*'01 Prod Physique Boites'!H2016,"-")</f>
        <v>0</v>
      </c>
      <c r="G2022" s="403">
        <f>IFERROR(E2022*'01 Prod Physique Boites'!L2016,"-")</f>
        <v>0</v>
      </c>
      <c r="H2022" s="385">
        <v>160.44999999999999</v>
      </c>
      <c r="I2022" s="421">
        <f t="shared" si="1147"/>
        <v>0</v>
      </c>
      <c r="J2022" s="422">
        <f t="shared" si="1148"/>
        <v>0</v>
      </c>
    </row>
    <row r="2023" spans="1:10" ht="27.75" customHeight="1" x14ac:dyDescent="0.3">
      <c r="A2023" s="274" t="s">
        <v>103</v>
      </c>
      <c r="B2023" s="1044"/>
      <c r="C2023" s="275" t="s">
        <v>239</v>
      </c>
      <c r="D2023" s="275" t="s">
        <v>238</v>
      </c>
      <c r="E2023" s="384">
        <v>101.4935</v>
      </c>
      <c r="F2023" s="402">
        <f>IFERROR(E2023*'01 Prod Physique Boites'!H2017,"-")</f>
        <v>0</v>
      </c>
      <c r="G2023" s="403">
        <f>IFERROR(E2023*'01 Prod Physique Boites'!L2017,"-")</f>
        <v>0</v>
      </c>
      <c r="H2023" s="385">
        <v>160.44999999999999</v>
      </c>
      <c r="I2023" s="421">
        <f t="shared" si="1147"/>
        <v>0</v>
      </c>
      <c r="J2023" s="422">
        <f t="shared" si="1148"/>
        <v>0</v>
      </c>
    </row>
    <row r="2024" spans="1:10" ht="27.75" customHeight="1" x14ac:dyDescent="0.3">
      <c r="A2024" s="274" t="s">
        <v>103</v>
      </c>
      <c r="B2024" s="1044"/>
      <c r="C2024" s="295" t="s">
        <v>394</v>
      </c>
      <c r="D2024" s="275" t="s">
        <v>238</v>
      </c>
      <c r="E2024" s="384">
        <v>101.4935</v>
      </c>
      <c r="F2024" s="402">
        <f>IFERROR(E2024*'01 Prod Physique Boites'!H2018,"-")</f>
        <v>0</v>
      </c>
      <c r="G2024" s="403">
        <f>IFERROR(E2024*'01 Prod Physique Boites'!L2018,"-")</f>
        <v>0</v>
      </c>
      <c r="H2024" s="385">
        <v>160.44999999999999</v>
      </c>
      <c r="I2024" s="421">
        <f t="shared" si="1147"/>
        <v>0</v>
      </c>
      <c r="J2024" s="422">
        <f t="shared" si="1148"/>
        <v>0</v>
      </c>
    </row>
    <row r="2025" spans="1:10" ht="27.75" customHeight="1" x14ac:dyDescent="0.3">
      <c r="A2025" s="274" t="s">
        <v>103</v>
      </c>
      <c r="B2025" s="1044"/>
      <c r="C2025" s="295" t="s">
        <v>422</v>
      </c>
      <c r="D2025" s="275" t="s">
        <v>238</v>
      </c>
      <c r="E2025" s="384">
        <v>101.4935</v>
      </c>
      <c r="F2025" s="402">
        <f>IFERROR(E2025*'01 Prod Physique Boites'!H2019,"-")</f>
        <v>0</v>
      </c>
      <c r="G2025" s="403">
        <f>IFERROR(E2025*'01 Prod Physique Boites'!L2019,"-")</f>
        <v>0</v>
      </c>
      <c r="H2025" s="385">
        <v>160.44999999999999</v>
      </c>
      <c r="I2025" s="421">
        <f t="shared" si="1147"/>
        <v>0</v>
      </c>
      <c r="J2025" s="422">
        <f t="shared" si="1148"/>
        <v>0</v>
      </c>
    </row>
    <row r="2026" spans="1:10" ht="27.75" customHeight="1" x14ac:dyDescent="0.3">
      <c r="A2026" s="274" t="s">
        <v>103</v>
      </c>
      <c r="B2026" s="1044"/>
      <c r="C2026" s="295" t="s">
        <v>241</v>
      </c>
      <c r="D2026" s="275" t="s">
        <v>547</v>
      </c>
      <c r="E2026" s="384">
        <v>101.4935</v>
      </c>
      <c r="F2026" s="402">
        <f>IFERROR(E2026*'01 Prod Physique Boites'!H2020,"-")</f>
        <v>0</v>
      </c>
      <c r="G2026" s="403">
        <f>IFERROR(E2026*'01 Prod Physique Boites'!L2020,"-")</f>
        <v>0</v>
      </c>
      <c r="H2026" s="385">
        <v>160.44999999999999</v>
      </c>
      <c r="I2026" s="421">
        <f t="shared" si="1147"/>
        <v>0</v>
      </c>
      <c r="J2026" s="422">
        <f t="shared" si="1148"/>
        <v>0</v>
      </c>
    </row>
    <row r="2027" spans="1:10" ht="27.75" customHeight="1" x14ac:dyDescent="0.3">
      <c r="A2027" s="274"/>
      <c r="B2027" s="1045"/>
      <c r="C2027" s="295" t="s">
        <v>546</v>
      </c>
      <c r="D2027" s="275" t="s">
        <v>238</v>
      </c>
      <c r="E2027" s="386">
        <v>101.49</v>
      </c>
      <c r="F2027" s="402">
        <f>IFERROR(E2027*'01 Prod Physique Boites'!H2021,"-")</f>
        <v>0</v>
      </c>
      <c r="G2027" s="403">
        <f>IFERROR(E2027*'01 Prod Physique Boites'!L2021,"-")</f>
        <v>0</v>
      </c>
      <c r="H2027" s="385">
        <v>160.44999999999999</v>
      </c>
      <c r="I2027" s="421">
        <f t="shared" si="1147"/>
        <v>0</v>
      </c>
      <c r="J2027" s="422">
        <f t="shared" si="1148"/>
        <v>0</v>
      </c>
    </row>
    <row r="2028" spans="1:10" ht="27.75" customHeight="1" thickBot="1" x14ac:dyDescent="0.35">
      <c r="A2028" s="274" t="s">
        <v>103</v>
      </c>
      <c r="B2028" s="1045"/>
      <c r="C2028" s="295" t="s">
        <v>242</v>
      </c>
      <c r="D2028" s="275" t="s">
        <v>238</v>
      </c>
      <c r="E2028" s="386">
        <v>101.4935</v>
      </c>
      <c r="F2028" s="402">
        <f>IFERROR(E2028*'01 Prod Physique Boites'!H2022,"-")</f>
        <v>0</v>
      </c>
      <c r="G2028" s="403">
        <f>IFERROR(E2028*'01 Prod Physique Boites'!L2022,"-")</f>
        <v>0</v>
      </c>
      <c r="H2028" s="385">
        <v>160.44999999999999</v>
      </c>
      <c r="I2028" s="421">
        <f t="shared" si="1147"/>
        <v>0</v>
      </c>
      <c r="J2028" s="424">
        <f t="shared" si="1148"/>
        <v>0</v>
      </c>
    </row>
    <row r="2029" spans="1:10" ht="27.75" customHeight="1" thickBot="1" x14ac:dyDescent="0.35">
      <c r="A2029" s="274" t="s">
        <v>103</v>
      </c>
      <c r="B2029" s="1025" t="s">
        <v>49</v>
      </c>
      <c r="C2029" s="1026"/>
      <c r="D2029" s="1027"/>
      <c r="E2029" s="390"/>
      <c r="F2029" s="406">
        <f t="shared" ref="F2029" si="1149">SUM(F2020:F2028)</f>
        <v>0</v>
      </c>
      <c r="G2029" s="407">
        <f>SUM(G2020:G2028)</f>
        <v>0</v>
      </c>
      <c r="H2029" s="391"/>
      <c r="I2029" s="406">
        <f t="shared" ref="I2029" si="1150">SUM(I2020:I2028)</f>
        <v>0</v>
      </c>
      <c r="J2029" s="425">
        <f>SUM(J2020:J2028)</f>
        <v>0</v>
      </c>
    </row>
    <row r="2030" spans="1:10" ht="27.75" customHeight="1" thickBot="1" x14ac:dyDescent="0.35">
      <c r="A2030" s="274" t="s">
        <v>103</v>
      </c>
      <c r="B2030" s="1047" t="s">
        <v>25</v>
      </c>
      <c r="C2030" s="1048"/>
      <c r="D2030" s="1049"/>
      <c r="E2030" s="393"/>
      <c r="F2030" s="410">
        <f t="shared" ref="F2030" si="1151">+F2019+F2029</f>
        <v>88064.459999999992</v>
      </c>
      <c r="G2030" s="411">
        <f>+G2019+G2029</f>
        <v>4915238.9220000003</v>
      </c>
      <c r="H2030" s="394"/>
      <c r="I2030" s="410">
        <f t="shared" ref="I2030:J2030" si="1152">+I2019+I2029</f>
        <v>106920</v>
      </c>
      <c r="J2030" s="428">
        <f t="shared" si="1152"/>
        <v>5957820</v>
      </c>
    </row>
    <row r="2031" spans="1:10" ht="27.75" customHeight="1" thickBot="1" x14ac:dyDescent="0.35">
      <c r="A2031" s="274" t="s">
        <v>103</v>
      </c>
      <c r="B2031" s="1019" t="s">
        <v>172</v>
      </c>
      <c r="C2031" s="1020"/>
      <c r="D2031" s="1021"/>
      <c r="E2031" s="395"/>
      <c r="F2031" s="412">
        <f t="shared" ref="F2031" si="1153">+F2014+F2030</f>
        <v>1425767.3959999999</v>
      </c>
      <c r="G2031" s="413">
        <f>+G2014+G2030</f>
        <v>47930565.851199992</v>
      </c>
      <c r="H2031" s="396"/>
      <c r="I2031" s="412">
        <f t="shared" ref="I2031:J2031" si="1154">+I2014+I2030</f>
        <v>1482382.08</v>
      </c>
      <c r="J2031" s="429">
        <f t="shared" si="1154"/>
        <v>54303825.200000003</v>
      </c>
    </row>
    <row r="2032" spans="1:10" ht="27.75" customHeight="1" x14ac:dyDescent="0.3">
      <c r="A2032" s="268" t="s">
        <v>101</v>
      </c>
      <c r="B2032" s="1051" t="s">
        <v>26</v>
      </c>
      <c r="C2032" s="893" t="s">
        <v>297</v>
      </c>
      <c r="D2032" s="898" t="s">
        <v>177</v>
      </c>
      <c r="E2032" s="504">
        <v>13.1272</v>
      </c>
      <c r="F2032" s="402">
        <f>IFERROR(E2032*'01 Prod Physique Boites'!H2026,"-")</f>
        <v>0</v>
      </c>
      <c r="G2032" s="403">
        <f>IFERROR(E2032*'01 Prod Physique Boites'!L2026,"-")</f>
        <v>0</v>
      </c>
      <c r="H2032" s="381">
        <v>20.76</v>
      </c>
      <c r="I2032" s="419">
        <f t="shared" ref="I2032:I2041" si="1155">IFERROR(H2032*(F2032/E2032),"-")</f>
        <v>0</v>
      </c>
      <c r="J2032" s="632">
        <f t="shared" ref="J2032:J2041" si="1156">IFERROR(H2032*(G2032/E2032),"-")</f>
        <v>0</v>
      </c>
    </row>
    <row r="2033" spans="1:10" ht="27.75" customHeight="1" x14ac:dyDescent="0.3">
      <c r="A2033" s="274" t="s">
        <v>101</v>
      </c>
      <c r="B2033" s="1051"/>
      <c r="C2033" s="253" t="s">
        <v>424</v>
      </c>
      <c r="D2033" s="899" t="s">
        <v>423</v>
      </c>
      <c r="E2033" s="505">
        <v>16.7288</v>
      </c>
      <c r="F2033" s="402">
        <f>IFERROR(E2033*'01 Prod Physique Boites'!H2027,"-")</f>
        <v>0</v>
      </c>
      <c r="G2033" s="403">
        <f>IFERROR(E2033*'01 Prod Physique Boites'!L2027,"-")</f>
        <v>4392112.9824000001</v>
      </c>
      <c r="H2033" s="385">
        <v>20.76</v>
      </c>
      <c r="I2033" s="421">
        <f t="shared" si="1155"/>
        <v>0</v>
      </c>
      <c r="J2033" s="633">
        <f t="shared" si="1156"/>
        <v>5450496.4800000004</v>
      </c>
    </row>
    <row r="2034" spans="1:10" ht="27.75" customHeight="1" x14ac:dyDescent="0.3">
      <c r="A2034" s="274" t="s">
        <v>101</v>
      </c>
      <c r="B2034" s="1051"/>
      <c r="C2034" s="813" t="s">
        <v>27</v>
      </c>
      <c r="D2034" s="899" t="s">
        <v>334</v>
      </c>
      <c r="E2034" s="501">
        <v>14.608000000000001</v>
      </c>
      <c r="F2034" s="402">
        <f>IFERROR(E2034*'01 Prod Physique Boites'!H2028,"-")</f>
        <v>0</v>
      </c>
      <c r="G2034" s="403">
        <f>IFERROR(E2034*'01 Prod Physique Boites'!L2028,"-")</f>
        <v>522995.61600000004</v>
      </c>
      <c r="H2034" s="385">
        <v>21.22</v>
      </c>
      <c r="I2034" s="643">
        <f t="shared" si="1155"/>
        <v>0</v>
      </c>
      <c r="J2034" s="633">
        <f t="shared" si="1156"/>
        <v>759718.44</v>
      </c>
    </row>
    <row r="2035" spans="1:10" ht="27.75" customHeight="1" x14ac:dyDescent="0.3">
      <c r="A2035" s="274" t="s">
        <v>101</v>
      </c>
      <c r="B2035" s="1051"/>
      <c r="C2035" s="813" t="s">
        <v>27</v>
      </c>
      <c r="D2035" s="900" t="s">
        <v>492</v>
      </c>
      <c r="E2035" s="501">
        <v>17.8202</v>
      </c>
      <c r="F2035" s="402">
        <f>IFERROR(E2035*'01 Prod Physique Boites'!H2029,"-")</f>
        <v>0</v>
      </c>
      <c r="G2035" s="403">
        <f>IFERROR(E2035*'01 Prod Physique Boites'!L2029,"-")</f>
        <v>4820435.3808000004</v>
      </c>
      <c r="H2035" s="385">
        <v>26.75</v>
      </c>
      <c r="I2035" s="643">
        <f t="shared" si="1155"/>
        <v>0</v>
      </c>
      <c r="J2035" s="633">
        <f t="shared" si="1156"/>
        <v>7235982</v>
      </c>
    </row>
    <row r="2036" spans="1:10" ht="27.75" customHeight="1" x14ac:dyDescent="0.3">
      <c r="A2036" s="274" t="s">
        <v>101</v>
      </c>
      <c r="B2036" s="1051"/>
      <c r="C2036" s="893" t="s">
        <v>521</v>
      </c>
      <c r="D2036" s="899" t="s">
        <v>234</v>
      </c>
      <c r="E2036" s="501">
        <v>14.608000000000001</v>
      </c>
      <c r="F2036" s="402">
        <f>IFERROR(E2036*'01 Prod Physique Boites'!H2030,"-")</f>
        <v>0</v>
      </c>
      <c r="G2036" s="403">
        <f>IFERROR(E2036*'01 Prod Physique Boites'!L2030,"-")</f>
        <v>813548.73600000003</v>
      </c>
      <c r="H2036" s="385">
        <v>24.93</v>
      </c>
      <c r="I2036" s="643">
        <f t="shared" si="1155"/>
        <v>0</v>
      </c>
      <c r="J2036" s="633">
        <f t="shared" si="1156"/>
        <v>1388401.56</v>
      </c>
    </row>
    <row r="2037" spans="1:10" ht="27.75" customHeight="1" x14ac:dyDescent="0.3">
      <c r="A2037" s="274"/>
      <c r="B2037" s="1051"/>
      <c r="C2037" s="813" t="s">
        <v>575</v>
      </c>
      <c r="D2037" s="899" t="s">
        <v>178</v>
      </c>
      <c r="E2037" s="501">
        <v>16.7288</v>
      </c>
      <c r="F2037" s="402">
        <f>IFERROR(E2037*'01 Prod Physique Boites'!H2031,"-")</f>
        <v>5523414.8112000003</v>
      </c>
      <c r="G2037" s="403">
        <f>IFERROR(E2037*'01 Prod Physique Boites'!L2031,"-")</f>
        <v>5856150.6431999998</v>
      </c>
      <c r="H2037" s="387">
        <v>25.49</v>
      </c>
      <c r="I2037" s="643">
        <f t="shared" si="1155"/>
        <v>8416135.2599999998</v>
      </c>
      <c r="J2037" s="634">
        <f t="shared" si="1156"/>
        <v>8923131.3599999994</v>
      </c>
    </row>
    <row r="2038" spans="1:10" ht="27.75" customHeight="1" x14ac:dyDescent="0.3">
      <c r="A2038" s="274"/>
      <c r="B2038" s="1051"/>
      <c r="C2038" s="813" t="s">
        <v>333</v>
      </c>
      <c r="D2038" s="899" t="s">
        <v>94</v>
      </c>
      <c r="E2038" s="501">
        <v>17.8202</v>
      </c>
      <c r="F2038" s="724">
        <f>IFERROR(E2038*'01 Prod Physique Boites'!H2032,"-")</f>
        <v>0</v>
      </c>
      <c r="G2038" s="403">
        <f>IFERROR(E2038*'01 Prod Physique Boites'!L2032,"-")</f>
        <v>0</v>
      </c>
      <c r="H2038" s="387">
        <v>24.93</v>
      </c>
      <c r="I2038" s="730">
        <f t="shared" si="1155"/>
        <v>0</v>
      </c>
      <c r="J2038" s="634">
        <f t="shared" si="1156"/>
        <v>0</v>
      </c>
    </row>
    <row r="2039" spans="1:10" ht="27.75" customHeight="1" x14ac:dyDescent="0.3">
      <c r="A2039" s="725"/>
      <c r="B2039" s="1051"/>
      <c r="C2039" s="813" t="s">
        <v>433</v>
      </c>
      <c r="D2039" s="899" t="s">
        <v>540</v>
      </c>
      <c r="E2039" s="727">
        <v>16.7288</v>
      </c>
      <c r="F2039" s="724">
        <f>IFERROR(E2039*'01 Prod Physique Boites'!H2033,"-")</f>
        <v>0</v>
      </c>
      <c r="G2039" s="728">
        <f>IFERROR(E2039*'01 Prod Physique Boites'!L2033,"-")</f>
        <v>5922697.8096000003</v>
      </c>
      <c r="H2039" s="729">
        <v>25</v>
      </c>
      <c r="I2039" s="730">
        <f t="shared" si="1155"/>
        <v>0</v>
      </c>
      <c r="J2039" s="634">
        <f t="shared" si="1156"/>
        <v>8851050</v>
      </c>
    </row>
    <row r="2040" spans="1:10" ht="27.75" customHeight="1" x14ac:dyDescent="0.3">
      <c r="A2040" s="725"/>
      <c r="B2040" s="1051"/>
      <c r="C2040" s="813" t="s">
        <v>382</v>
      </c>
      <c r="D2040" s="899" t="s">
        <v>366</v>
      </c>
      <c r="E2040" s="727">
        <v>16.345199999999998</v>
      </c>
      <c r="F2040" s="724">
        <f>IFERROR(E2040*'01 Prod Physique Boites'!H2034,"-")</f>
        <v>130042.41119999999</v>
      </c>
      <c r="G2040" s="728">
        <f>IFERROR(E2040*'01 Prod Physique Boites'!L2034,"-")</f>
        <v>4486463.1864</v>
      </c>
      <c r="H2040" s="729">
        <v>23.78</v>
      </c>
      <c r="I2040" s="730">
        <f t="shared" si="1155"/>
        <v>189193.68000000002</v>
      </c>
      <c r="J2040" s="634">
        <f t="shared" si="1156"/>
        <v>6527181.96</v>
      </c>
    </row>
    <row r="2041" spans="1:10" ht="27.75" customHeight="1" thickBot="1" x14ac:dyDescent="0.35">
      <c r="A2041" s="274" t="s">
        <v>101</v>
      </c>
      <c r="B2041" s="1051"/>
      <c r="C2041" s="894" t="s">
        <v>290</v>
      </c>
      <c r="D2041" s="901" t="s">
        <v>289</v>
      </c>
      <c r="E2041" s="501">
        <v>12.6997</v>
      </c>
      <c r="F2041" s="402">
        <f>IFERROR(E2041*'01 Prod Physique Boites'!H2035,"-")</f>
        <v>0</v>
      </c>
      <c r="G2041" s="728">
        <f>IFERROR(E2041*'01 Prod Physique Boites'!L2035,"-")</f>
        <v>0</v>
      </c>
      <c r="H2041" s="387">
        <v>13.25</v>
      </c>
      <c r="I2041" s="730">
        <f t="shared" si="1155"/>
        <v>0</v>
      </c>
      <c r="J2041" s="634">
        <f t="shared" si="1156"/>
        <v>0</v>
      </c>
    </row>
    <row r="2042" spans="1:10" ht="27.75" customHeight="1" thickBot="1" x14ac:dyDescent="0.35">
      <c r="A2042" s="274" t="s">
        <v>101</v>
      </c>
      <c r="B2042" s="1052"/>
      <c r="C2042" s="301"/>
      <c r="D2042" s="302" t="s">
        <v>52</v>
      </c>
      <c r="E2042" s="390"/>
      <c r="F2042" s="406">
        <f>SUM(F2032:F2041)</f>
        <v>5653457.2224000003</v>
      </c>
      <c r="G2042" s="407">
        <f>SUM(G2032:G2041)</f>
        <v>26814404.354400001</v>
      </c>
      <c r="H2042" s="391"/>
      <c r="I2042" s="406">
        <f>SUM(I2032:I2041)</f>
        <v>8605328.9399999995</v>
      </c>
      <c r="J2042" s="425">
        <f>SUM(J2032:J2041)</f>
        <v>39135961.799999997</v>
      </c>
    </row>
    <row r="2043" spans="1:10" ht="27.75" customHeight="1" x14ac:dyDescent="0.3">
      <c r="A2043" s="274" t="s">
        <v>101</v>
      </c>
      <c r="B2043" s="1053" t="s">
        <v>28</v>
      </c>
      <c r="C2043" s="299" t="s">
        <v>27</v>
      </c>
      <c r="D2043" s="297" t="s">
        <v>492</v>
      </c>
      <c r="E2043" s="504">
        <v>17.8202</v>
      </c>
      <c r="F2043" s="402">
        <f>IFERROR(E2043*'01 Prod Physique Boites'!H2037,"-")</f>
        <v>0</v>
      </c>
      <c r="G2043" s="403">
        <f>IFERROR(E2043*'01 Prod Physique Boites'!L2037,"-")</f>
        <v>2977327.7352</v>
      </c>
      <c r="H2043" s="381">
        <v>26.75</v>
      </c>
      <c r="I2043" s="419">
        <f t="shared" ref="I2043:I2049" si="1157">IFERROR(H2043*(F2043/E2043),"-")</f>
        <v>0</v>
      </c>
      <c r="J2043" s="632">
        <f t="shared" ref="J2043:J2044" si="1158">IFERROR(H2043*(G2043/E2043),"-")</f>
        <v>4469283</v>
      </c>
    </row>
    <row r="2044" spans="1:10" ht="27.75" customHeight="1" x14ac:dyDescent="0.3">
      <c r="A2044" s="274" t="s">
        <v>101</v>
      </c>
      <c r="B2044" s="1051"/>
      <c r="C2044" s="299" t="s">
        <v>386</v>
      </c>
      <c r="D2044" s="299" t="s">
        <v>334</v>
      </c>
      <c r="E2044" s="711">
        <v>16.7288</v>
      </c>
      <c r="F2044" s="402">
        <f>IFERROR(E2044*'01 Prod Physique Boites'!H2038,"-")</f>
        <v>0</v>
      </c>
      <c r="G2044" s="728">
        <f>IFERROR(E2044*'01 Prod Physique Boites'!L2038,"-")</f>
        <v>1597131.9935999999</v>
      </c>
      <c r="H2044" s="708">
        <v>20.76</v>
      </c>
      <c r="I2044" s="421">
        <f t="shared" si="1157"/>
        <v>0</v>
      </c>
      <c r="J2044" s="633">
        <f t="shared" si="1158"/>
        <v>1981998.7200000002</v>
      </c>
    </row>
    <row r="2045" spans="1:10" ht="27.75" customHeight="1" x14ac:dyDescent="0.3">
      <c r="A2045" s="274" t="s">
        <v>101</v>
      </c>
      <c r="B2045" s="1051"/>
      <c r="C2045" s="299" t="s">
        <v>541</v>
      </c>
      <c r="D2045" s="299" t="s">
        <v>334</v>
      </c>
      <c r="E2045" s="501">
        <v>17.8202</v>
      </c>
      <c r="F2045" s="402">
        <f>IFERROR(E2045*'01 Prod Physique Boites'!H2039,"-")</f>
        <v>0</v>
      </c>
      <c r="G2045" s="403">
        <f>IFERROR(E2045*'01 Prod Physique Boites'!L2039,"-")</f>
        <v>0</v>
      </c>
      <c r="H2045" s="385">
        <v>21.22</v>
      </c>
      <c r="I2045" s="421">
        <f t="shared" si="1157"/>
        <v>0</v>
      </c>
      <c r="J2045" s="633">
        <f>IFERROR(H2045*(G2045/E2045),"-")</f>
        <v>0</v>
      </c>
    </row>
    <row r="2046" spans="1:10" ht="27.75" customHeight="1" x14ac:dyDescent="0.3">
      <c r="A2046" s="274"/>
      <c r="B2046" s="1051"/>
      <c r="C2046" s="299" t="s">
        <v>460</v>
      </c>
      <c r="D2046" s="299" t="s">
        <v>334</v>
      </c>
      <c r="E2046" s="501">
        <v>14.608000000000001</v>
      </c>
      <c r="F2046" s="402">
        <f>IFERROR(E2046*'01 Prod Physique Boites'!H2040,"-")</f>
        <v>0</v>
      </c>
      <c r="G2046" s="403">
        <f>IFERROR(E2046*'01 Prod Physique Boites'!L2040,"-")</f>
        <v>58110.624000000003</v>
      </c>
      <c r="H2046" s="385">
        <v>21.22</v>
      </c>
      <c r="I2046" s="421">
        <f t="shared" si="1157"/>
        <v>0</v>
      </c>
      <c r="J2046" s="633">
        <f>IFERROR(H2046*(G2046/E2046),"-")</f>
        <v>84413.159999999989</v>
      </c>
    </row>
    <row r="2047" spans="1:10" ht="27.75" customHeight="1" x14ac:dyDescent="0.3">
      <c r="A2047" s="274"/>
      <c r="B2047" s="1051"/>
      <c r="C2047" s="299" t="s">
        <v>433</v>
      </c>
      <c r="D2047" s="299" t="s">
        <v>540</v>
      </c>
      <c r="E2047" s="711">
        <v>16.7288</v>
      </c>
      <c r="F2047" s="402">
        <f>IFERROR(E2047*'01 Prod Physique Boites'!H2041,"-")</f>
        <v>0</v>
      </c>
      <c r="G2047" s="403">
        <f>IFERROR(E2047*'01 Prod Physique Boites'!L2041,"-")</f>
        <v>2129509.3248000001</v>
      </c>
      <c r="H2047" s="385">
        <v>25</v>
      </c>
      <c r="I2047" s="423">
        <f t="shared" si="1157"/>
        <v>0</v>
      </c>
      <c r="J2047" s="634">
        <f t="shared" ref="J2047:J2049" si="1159">IFERROR(H2047*(G2047/E2047),"-")</f>
        <v>3182400</v>
      </c>
    </row>
    <row r="2048" spans="1:10" ht="27.75" customHeight="1" x14ac:dyDescent="0.3">
      <c r="A2048" s="274"/>
      <c r="B2048" s="1051"/>
      <c r="C2048" s="299" t="s">
        <v>458</v>
      </c>
      <c r="D2048" s="300" t="s">
        <v>280</v>
      </c>
      <c r="E2048" s="711">
        <v>17.8202</v>
      </c>
      <c r="F2048" s="402">
        <f>IFERROR(E2048*'01 Prod Physique Boites'!H2042,"-")</f>
        <v>0</v>
      </c>
      <c r="G2048" s="403">
        <f>IFERROR(E2048*'01 Prod Physique Boites'!L2042,"-")</f>
        <v>0</v>
      </c>
      <c r="H2048" s="385">
        <v>24.93</v>
      </c>
      <c r="I2048" s="730">
        <f t="shared" si="1157"/>
        <v>0</v>
      </c>
      <c r="J2048" s="634">
        <f t="shared" si="1159"/>
        <v>0</v>
      </c>
    </row>
    <row r="2049" spans="1:10" ht="27.75" customHeight="1" thickBot="1" x14ac:dyDescent="0.35">
      <c r="A2049" s="274" t="s">
        <v>101</v>
      </c>
      <c r="B2049" s="1051"/>
      <c r="C2049" s="299" t="s">
        <v>27</v>
      </c>
      <c r="D2049" s="300" t="s">
        <v>234</v>
      </c>
      <c r="E2049" s="501">
        <v>17.8202</v>
      </c>
      <c r="F2049" s="402">
        <f>IFERROR(E2049*'01 Prod Physique Boites'!H2043,"-")</f>
        <v>0</v>
      </c>
      <c r="G2049" s="403">
        <f>IFERROR(E2049*'01 Prod Physique Boites'!L2043,"-")</f>
        <v>70888.755600000004</v>
      </c>
      <c r="H2049" s="385">
        <v>24.93</v>
      </c>
      <c r="I2049" s="423">
        <f t="shared" si="1157"/>
        <v>0</v>
      </c>
      <c r="J2049" s="634">
        <f t="shared" si="1159"/>
        <v>99171.540000000008</v>
      </c>
    </row>
    <row r="2050" spans="1:10" ht="27.75" customHeight="1" thickBot="1" x14ac:dyDescent="0.35">
      <c r="A2050" s="274" t="s">
        <v>101</v>
      </c>
      <c r="B2050" s="1051"/>
      <c r="C2050" s="304"/>
      <c r="D2050" s="305" t="s">
        <v>52</v>
      </c>
      <c r="E2050" s="397"/>
      <c r="F2050" s="414">
        <f t="shared" ref="F2050" si="1160">SUM(F2043:F2049)</f>
        <v>0</v>
      </c>
      <c r="G2050" s="415">
        <f>SUM(G2043:G2049)</f>
        <v>6832968.4331999999</v>
      </c>
      <c r="H2050" s="398"/>
      <c r="I2050" s="414">
        <f t="shared" ref="I2050:J2050" si="1161">SUM(I2043:I2049)</f>
        <v>0</v>
      </c>
      <c r="J2050" s="430">
        <f t="shared" si="1161"/>
        <v>9817266.4199999999</v>
      </c>
    </row>
    <row r="2051" spans="1:10" ht="27.75" customHeight="1" thickBot="1" x14ac:dyDescent="0.35">
      <c r="A2051" s="985" t="s">
        <v>101</v>
      </c>
      <c r="B2051" s="1054" t="s">
        <v>162</v>
      </c>
      <c r="C2051" s="1055"/>
      <c r="D2051" s="1056"/>
      <c r="E2051" s="399"/>
      <c r="F2051" s="416">
        <f t="shared" ref="F2051" si="1162">+F2042+F2050</f>
        <v>5653457.2224000003</v>
      </c>
      <c r="G2051" s="417">
        <f>+G2042+G2050</f>
        <v>33647372.787600003</v>
      </c>
      <c r="H2051" s="400"/>
      <c r="I2051" s="416">
        <f t="shared" ref="I2051:J2051" si="1163">+I2042+I2050</f>
        <v>8605328.9399999995</v>
      </c>
      <c r="J2051" s="431">
        <f t="shared" si="1163"/>
        <v>48953228.219999999</v>
      </c>
    </row>
    <row r="2052" spans="1:10" ht="27.75" customHeight="1" x14ac:dyDescent="0.3">
      <c r="A2052" s="274" t="s">
        <v>101</v>
      </c>
      <c r="B2052" s="1051" t="s">
        <v>30</v>
      </c>
      <c r="C2052" s="303" t="s">
        <v>446</v>
      </c>
      <c r="D2052" s="299" t="s">
        <v>492</v>
      </c>
      <c r="E2052" s="736">
        <v>27.917000000000002</v>
      </c>
      <c r="F2052" s="402">
        <f>IFERROR(E2052*'01 Prod Physique Boites'!H2046,"-")</f>
        <v>104521.24800000001</v>
      </c>
      <c r="G2052" s="728">
        <f>IFERROR(E2052*'01 Prod Physique Boites'!L2046,"-")</f>
        <v>7316487.3600000003</v>
      </c>
      <c r="H2052" s="734">
        <v>42.28</v>
      </c>
      <c r="I2052" s="419">
        <f>IFERROR(H2052*(F2052/E2052),"-")</f>
        <v>158296.32000000001</v>
      </c>
      <c r="J2052" s="420">
        <f t="shared" ref="J2052:J2054" si="1164">IFERROR(H2052*(G2052/E2052),"-")</f>
        <v>11080742.4</v>
      </c>
    </row>
    <row r="2053" spans="1:10" ht="27.75" customHeight="1" x14ac:dyDescent="0.3">
      <c r="A2053" s="274" t="s">
        <v>101</v>
      </c>
      <c r="B2053" s="1051"/>
      <c r="C2053" s="300" t="s">
        <v>548</v>
      </c>
      <c r="D2053" s="303" t="s">
        <v>522</v>
      </c>
      <c r="E2053" s="733">
        <v>28.526700000000002</v>
      </c>
      <c r="F2053" s="402">
        <f>IFERROR(E2053*'01 Prod Physique Boites'!H2047,"-")</f>
        <v>0</v>
      </c>
      <c r="G2053" s="728">
        <f>IFERROR(E2053*'01 Prod Physique Boites'!L2047,"-")</f>
        <v>0</v>
      </c>
      <c r="H2053" s="735">
        <v>37.89</v>
      </c>
      <c r="I2053" s="421">
        <f>IFERROR(H2053*(F2053/E2053),"-")</f>
        <v>0</v>
      </c>
      <c r="J2053" s="422">
        <f t="shared" si="1164"/>
        <v>0</v>
      </c>
    </row>
    <row r="2054" spans="1:10" ht="27.75" customHeight="1" thickBot="1" x14ac:dyDescent="0.35">
      <c r="A2054" s="274" t="s">
        <v>101</v>
      </c>
      <c r="B2054" s="1051"/>
      <c r="C2054" s="300" t="s">
        <v>291</v>
      </c>
      <c r="D2054" s="300" t="s">
        <v>366</v>
      </c>
      <c r="E2054" s="501">
        <v>25.751300000000001</v>
      </c>
      <c r="F2054" s="724">
        <f>IFERROR(E2054*'01 Prod Physique Boites'!H2048,"-")</f>
        <v>0</v>
      </c>
      <c r="G2054" s="728">
        <f>IFERROR(E2054*'01 Prod Physique Boites'!L2048,"-")</f>
        <v>1334638.3764</v>
      </c>
      <c r="H2054" s="387">
        <v>37.89</v>
      </c>
      <c r="I2054" s="423">
        <f>IFERROR(H2054*(F2054/E2054),"-")</f>
        <v>0</v>
      </c>
      <c r="J2054" s="424">
        <f t="shared" si="1164"/>
        <v>1963762.92</v>
      </c>
    </row>
    <row r="2055" spans="1:10" ht="27.75" customHeight="1" thickBot="1" x14ac:dyDescent="0.35">
      <c r="A2055" s="274" t="s">
        <v>101</v>
      </c>
      <c r="B2055" s="1051"/>
      <c r="C2055" s="301"/>
      <c r="D2055" s="302" t="s">
        <v>50</v>
      </c>
      <c r="E2055" s="390"/>
      <c r="F2055" s="406">
        <f t="shared" ref="F2055:G2055" si="1165">SUM(F2052:F2054)</f>
        <v>104521.24800000001</v>
      </c>
      <c r="G2055" s="407">
        <f t="shared" si="1165"/>
        <v>8651125.7364000008</v>
      </c>
      <c r="H2055" s="391"/>
      <c r="I2055" s="406">
        <f t="shared" ref="I2055" si="1166">SUM(I2052:I2054)</f>
        <v>158296.32000000001</v>
      </c>
      <c r="J2055" s="425">
        <f>SUM(J2052:J2054)</f>
        <v>13044505.32</v>
      </c>
    </row>
    <row r="2056" spans="1:10" ht="27.75" customHeight="1" x14ac:dyDescent="0.3">
      <c r="A2056" s="274" t="s">
        <v>101</v>
      </c>
      <c r="B2056" s="1051"/>
      <c r="C2056" s="297" t="s">
        <v>439</v>
      </c>
      <c r="D2056" s="297" t="s">
        <v>92</v>
      </c>
      <c r="E2056" s="504">
        <v>24.2607</v>
      </c>
      <c r="F2056" s="402">
        <f>IFERROR(E2056*'01 Prod Physique Boites'!H2050,"-")</f>
        <v>0</v>
      </c>
      <c r="G2056" s="728">
        <f>IFERROR(E2056*'01 Prod Physique Boites'!L2050,"-")</f>
        <v>0</v>
      </c>
      <c r="H2056" s="381">
        <v>28.31</v>
      </c>
      <c r="I2056" s="638">
        <f>IFERROR(H2056*(F2056/E2056),"-")</f>
        <v>0</v>
      </c>
      <c r="J2056" s="420">
        <f t="shared" ref="J2056:J2061" si="1167">IFERROR(H2056*(G2056/E2056),"-")</f>
        <v>0</v>
      </c>
    </row>
    <row r="2057" spans="1:10" ht="27.75" customHeight="1" x14ac:dyDescent="0.3">
      <c r="A2057" s="274"/>
      <c r="B2057" s="1051"/>
      <c r="C2057" s="303" t="s">
        <v>449</v>
      </c>
      <c r="D2057" s="299" t="s">
        <v>334</v>
      </c>
      <c r="E2057" s="504">
        <v>24.2607</v>
      </c>
      <c r="F2057" s="402">
        <f>IFERROR(E2057*'01 Prod Physique Boites'!H2051,"-")</f>
        <v>0</v>
      </c>
      <c r="G2057" s="728">
        <f>IFERROR(E2057*'01 Prod Physique Boites'!L2051,"-")</f>
        <v>0</v>
      </c>
      <c r="H2057" s="381">
        <v>28.88</v>
      </c>
      <c r="I2057" s="638">
        <f t="shared" ref="I2057:I2061" si="1168">IFERROR(H2057*(F2057/E2057),"-")</f>
        <v>0</v>
      </c>
      <c r="J2057" s="420">
        <f t="shared" si="1167"/>
        <v>0</v>
      </c>
    </row>
    <row r="2058" spans="1:10" ht="27.75" customHeight="1" x14ac:dyDescent="0.3">
      <c r="A2058" s="274"/>
      <c r="B2058" s="1051"/>
      <c r="C2058" s="303" t="s">
        <v>452</v>
      </c>
      <c r="D2058" s="299" t="s">
        <v>334</v>
      </c>
      <c r="E2058" s="504">
        <v>25.4041</v>
      </c>
      <c r="F2058" s="402">
        <f>IFERROR(E2058*'01 Prod Physique Boites'!H2052,"-")</f>
        <v>0</v>
      </c>
      <c r="G2058" s="728">
        <f>IFERROR(E2058*'01 Prod Physique Boites'!L2052,"-")</f>
        <v>0</v>
      </c>
      <c r="H2058" s="381">
        <v>28.21</v>
      </c>
      <c r="I2058" s="638">
        <f t="shared" si="1168"/>
        <v>0</v>
      </c>
      <c r="J2058" s="420">
        <f t="shared" si="1167"/>
        <v>0</v>
      </c>
    </row>
    <row r="2059" spans="1:10" ht="27.75" customHeight="1" x14ac:dyDescent="0.3">
      <c r="A2059" s="274" t="s">
        <v>101</v>
      </c>
      <c r="B2059" s="1051"/>
      <c r="C2059" s="303" t="s">
        <v>501</v>
      </c>
      <c r="D2059" s="300" t="s">
        <v>423</v>
      </c>
      <c r="E2059" s="505">
        <v>23.697399999999998</v>
      </c>
      <c r="F2059" s="724">
        <f>IFERROR(E2059*'01 Prod Physique Boites'!H2053,"-")</f>
        <v>0</v>
      </c>
      <c r="G2059" s="728">
        <f>IFERROR(E2059*'01 Prod Physique Boites'!L2053,"-")</f>
        <v>177446.13119999997</v>
      </c>
      <c r="H2059" s="385">
        <v>28.21</v>
      </c>
      <c r="I2059" s="638">
        <f t="shared" si="1168"/>
        <v>0</v>
      </c>
      <c r="J2059" s="420">
        <f t="shared" si="1167"/>
        <v>211236.47999999998</v>
      </c>
    </row>
    <row r="2060" spans="1:10" ht="27.75" customHeight="1" x14ac:dyDescent="0.3">
      <c r="A2060" s="274"/>
      <c r="B2060" s="1051"/>
      <c r="C2060" s="300" t="s">
        <v>459</v>
      </c>
      <c r="D2060" s="300" t="s">
        <v>366</v>
      </c>
      <c r="E2060" s="501">
        <v>22.094999999999999</v>
      </c>
      <c r="F2060" s="724">
        <f>IFERROR(E2060*'01 Prod Physique Boites'!H2054,"-")</f>
        <v>0</v>
      </c>
      <c r="G2060" s="728">
        <f>IFERROR(E2060*'01 Prod Physique Boites'!L2054,"-")</f>
        <v>1737197.2799999998</v>
      </c>
      <c r="H2060" s="745">
        <v>37.11</v>
      </c>
      <c r="I2060" s="638">
        <f t="shared" si="1168"/>
        <v>0</v>
      </c>
      <c r="J2060" s="420">
        <f t="shared" si="1167"/>
        <v>2917736.64</v>
      </c>
    </row>
    <row r="2061" spans="1:10" ht="27.75" customHeight="1" thickBot="1" x14ac:dyDescent="0.35">
      <c r="A2061" s="274" t="s">
        <v>101</v>
      </c>
      <c r="B2061" s="1051"/>
      <c r="C2061" s="300" t="s">
        <v>438</v>
      </c>
      <c r="D2061" s="300" t="s">
        <v>423</v>
      </c>
      <c r="E2061" s="501">
        <v>23.697399999999998</v>
      </c>
      <c r="F2061" s="402">
        <f>IFERROR(E2061*'01 Prod Physique Boites'!H2055,"-")</f>
        <v>0</v>
      </c>
      <c r="G2061" s="403">
        <f>IFERROR(E2061*'01 Prod Physique Boites'!L2055,"-")</f>
        <v>0</v>
      </c>
      <c r="H2061" s="387">
        <v>28.21</v>
      </c>
      <c r="I2061" s="638">
        <f t="shared" si="1168"/>
        <v>0</v>
      </c>
      <c r="J2061" s="420">
        <f t="shared" si="1167"/>
        <v>0</v>
      </c>
    </row>
    <row r="2062" spans="1:10" ht="27.75" customHeight="1" thickBot="1" x14ac:dyDescent="0.35">
      <c r="A2062" s="274" t="s">
        <v>101</v>
      </c>
      <c r="B2062" s="1051"/>
      <c r="C2062" s="304"/>
      <c r="D2062" s="305" t="s">
        <v>51</v>
      </c>
      <c r="E2062" s="397"/>
      <c r="F2062" s="414">
        <f t="shared" ref="F2062:G2062" si="1169">SUM(F2056:F2061)</f>
        <v>0</v>
      </c>
      <c r="G2062" s="415">
        <f t="shared" si="1169"/>
        <v>1914643.4111999997</v>
      </c>
      <c r="H2062" s="398"/>
      <c r="I2062" s="414">
        <f t="shared" ref="I2062" si="1170">SUM(I2056:I2061)</f>
        <v>0</v>
      </c>
      <c r="J2062" s="430">
        <f>SUM(J2056:J2061)</f>
        <v>3128973.12</v>
      </c>
    </row>
    <row r="2063" spans="1:10" ht="27.75" customHeight="1" thickBot="1" x14ac:dyDescent="0.35">
      <c r="A2063" s="274" t="s">
        <v>101</v>
      </c>
      <c r="B2063" s="1054" t="s">
        <v>163</v>
      </c>
      <c r="C2063" s="1055"/>
      <c r="D2063" s="1056"/>
      <c r="E2063" s="399"/>
      <c r="F2063" s="416">
        <f t="shared" ref="F2063:G2063" si="1171">+F2055+F2062</f>
        <v>104521.24800000001</v>
      </c>
      <c r="G2063" s="417">
        <f t="shared" si="1171"/>
        <v>10565769.147600001</v>
      </c>
      <c r="H2063" s="400"/>
      <c r="I2063" s="416">
        <f t="shared" ref="I2063:J2063" si="1172">+I2055+I2062</f>
        <v>158296.32000000001</v>
      </c>
      <c r="J2063" s="431">
        <f t="shared" si="1172"/>
        <v>16173478.440000001</v>
      </c>
    </row>
    <row r="2064" spans="1:10" ht="27.75" customHeight="1" thickBot="1" x14ac:dyDescent="0.35">
      <c r="A2064" s="274" t="s">
        <v>101</v>
      </c>
      <c r="B2064" s="599" t="s">
        <v>32</v>
      </c>
      <c r="C2064" s="981"/>
      <c r="D2064" s="310"/>
      <c r="E2064" s="506">
        <v>12.2659</v>
      </c>
      <c r="F2064" s="408">
        <f>IFERROR(E2064*'01 Prod Physique Boites'!H2058,"-")</f>
        <v>0</v>
      </c>
      <c r="G2064" s="409">
        <f>IFERROR(E2064*'01 Prod Physique Boites'!L2058,"-")</f>
        <v>0</v>
      </c>
      <c r="H2064" s="392"/>
      <c r="I2064" s="426">
        <f>IFERROR(H2064*(F2064/E2064),"-")</f>
        <v>0</v>
      </c>
      <c r="J2064" s="427">
        <f>IFERROR(H2064*(G2064/E2064),"-")</f>
        <v>0</v>
      </c>
    </row>
    <row r="2065" spans="1:10" ht="27.75" customHeight="1" thickBot="1" x14ac:dyDescent="0.35">
      <c r="A2065" s="274" t="s">
        <v>101</v>
      </c>
      <c r="B2065" s="1047" t="s">
        <v>21</v>
      </c>
      <c r="C2065" s="1048"/>
      <c r="D2065" s="1049"/>
      <c r="E2065" s="393"/>
      <c r="F2065" s="410">
        <f t="shared" ref="F2065" si="1173">+F2051+F2063+F2064</f>
        <v>5757978.4704</v>
      </c>
      <c r="G2065" s="411">
        <f>+G2051+G2063+G2064</f>
        <v>44213141.935200006</v>
      </c>
      <c r="H2065" s="394"/>
      <c r="I2065" s="410">
        <f t="shared" ref="I2065:J2065" si="1174">+I2051+I2063+I2064</f>
        <v>8763625.2599999998</v>
      </c>
      <c r="J2065" s="428">
        <f t="shared" si="1174"/>
        <v>65126706.659999996</v>
      </c>
    </row>
    <row r="2066" spans="1:10" ht="27.75" customHeight="1" thickBot="1" x14ac:dyDescent="0.35">
      <c r="A2066" s="274" t="s">
        <v>101</v>
      </c>
      <c r="B2066" s="1019" t="s">
        <v>171</v>
      </c>
      <c r="C2066" s="1020"/>
      <c r="D2066" s="1021"/>
      <c r="E2066" s="395"/>
      <c r="F2066" s="412">
        <f t="shared" ref="F2066:G2066" si="1175">+F2065</f>
        <v>5757978.4704</v>
      </c>
      <c r="G2066" s="413">
        <f t="shared" si="1175"/>
        <v>44213141.935200006</v>
      </c>
      <c r="H2066" s="396"/>
      <c r="I2066" s="412">
        <f t="shared" ref="I2066:J2066" si="1176">+I2065</f>
        <v>8763625.2599999998</v>
      </c>
      <c r="J2066" s="429">
        <f t="shared" si="1176"/>
        <v>65126706.659999996</v>
      </c>
    </row>
    <row r="2067" spans="1:10" ht="27.75" customHeight="1" x14ac:dyDescent="0.3">
      <c r="A2067" s="268" t="s">
        <v>102</v>
      </c>
      <c r="B2067" s="1022" t="s">
        <v>401</v>
      </c>
      <c r="C2067" s="311" t="s">
        <v>113</v>
      </c>
      <c r="D2067" s="311"/>
      <c r="E2067" s="709">
        <v>254.89750000000001</v>
      </c>
      <c r="F2067" s="402">
        <f>IFERROR(E2067*'01 Prod Physique Boites'!H2061,"-")</f>
        <v>0</v>
      </c>
      <c r="G2067" s="403">
        <f>IFERROR(E2067*'01 Prod Physique Boites'!L2061,"-")</f>
        <v>0</v>
      </c>
      <c r="H2067" s="381">
        <v>445.38</v>
      </c>
      <c r="I2067" s="419">
        <f>IFERROR(H2067*(F2067/E2067),"-")</f>
        <v>0</v>
      </c>
      <c r="J2067" s="420">
        <f t="shared" ref="J2067:J2069" si="1177">IFERROR(H2067*(G2067/E2067),"-")</f>
        <v>0</v>
      </c>
    </row>
    <row r="2068" spans="1:10" ht="27.75" customHeight="1" x14ac:dyDescent="0.3">
      <c r="A2068" s="274" t="s">
        <v>102</v>
      </c>
      <c r="B2068" s="1023"/>
      <c r="C2068" s="312" t="s">
        <v>247</v>
      </c>
      <c r="D2068" s="312"/>
      <c r="E2068" s="503">
        <v>246.51390000000001</v>
      </c>
      <c r="F2068" s="402">
        <f>IFERROR(E2068*'01 Prod Physique Boites'!H2062,"-")</f>
        <v>0</v>
      </c>
      <c r="G2068" s="403">
        <f>IFERROR(E2068*'01 Prod Physique Boites'!L2062,"-")</f>
        <v>2255355.6710999999</v>
      </c>
      <c r="H2068" s="385">
        <v>430.02</v>
      </c>
      <c r="I2068" s="421">
        <f>IFERROR(H2068*(F2068/E2068),"-")</f>
        <v>0</v>
      </c>
      <c r="J2068" s="422">
        <f t="shared" si="1177"/>
        <v>3934252.98</v>
      </c>
    </row>
    <row r="2069" spans="1:10" ht="27.75" customHeight="1" thickBot="1" x14ac:dyDescent="0.35">
      <c r="A2069" s="274" t="s">
        <v>102</v>
      </c>
      <c r="B2069" s="1024"/>
      <c r="C2069" s="313" t="s">
        <v>33</v>
      </c>
      <c r="D2069" s="313"/>
      <c r="E2069" s="500">
        <v>225.7713</v>
      </c>
      <c r="F2069" s="402">
        <f>IFERROR(E2069*'01 Prod Physique Boites'!H2063,"-")</f>
        <v>0</v>
      </c>
      <c r="G2069" s="403">
        <f>IFERROR(E2069*'01 Prod Physique Boites'!L2063,"-")</f>
        <v>0</v>
      </c>
      <c r="H2069" s="387"/>
      <c r="I2069" s="423">
        <f>IFERROR(H2069*(F2069/E2069),"-")</f>
        <v>0</v>
      </c>
      <c r="J2069" s="424">
        <f t="shared" si="1177"/>
        <v>0</v>
      </c>
    </row>
    <row r="2070" spans="1:10" ht="27.75" customHeight="1" thickBot="1" x14ac:dyDescent="0.35">
      <c r="A2070" s="274" t="s">
        <v>102</v>
      </c>
      <c r="B2070" s="1025" t="s">
        <v>34</v>
      </c>
      <c r="C2070" s="1026"/>
      <c r="D2070" s="1027"/>
      <c r="E2070" s="390"/>
      <c r="F2070" s="406">
        <f t="shared" ref="F2070:G2070" si="1178">SUM(F2067:F2069)</f>
        <v>0</v>
      </c>
      <c r="G2070" s="407">
        <f t="shared" si="1178"/>
        <v>2255355.6710999999</v>
      </c>
      <c r="H2070" s="391"/>
      <c r="I2070" s="406">
        <f t="shared" ref="I2070:J2070" si="1179">SUM(I2067:I2069)</f>
        <v>0</v>
      </c>
      <c r="J2070" s="425">
        <f t="shared" si="1179"/>
        <v>3934252.98</v>
      </c>
    </row>
    <row r="2071" spans="1:10" ht="27.75" customHeight="1" x14ac:dyDescent="0.3">
      <c r="A2071" s="274" t="s">
        <v>102</v>
      </c>
      <c r="B2071" s="1022" t="s">
        <v>35</v>
      </c>
      <c r="C2071" s="311" t="s">
        <v>113</v>
      </c>
      <c r="D2071" s="311"/>
      <c r="E2071" s="502">
        <v>254.89750000000001</v>
      </c>
      <c r="F2071" s="402">
        <f>IFERROR(E2071*'01 Prod Physique Boites'!H2065,"-")</f>
        <v>0</v>
      </c>
      <c r="G2071" s="403">
        <f>IFERROR(E2071*'01 Prod Physique Boites'!L2065,"-")</f>
        <v>0</v>
      </c>
      <c r="H2071" s="381">
        <v>445.38</v>
      </c>
      <c r="I2071" s="419">
        <f>IFERROR(H2071*(F2071/E2071),"-")</f>
        <v>0</v>
      </c>
      <c r="J2071" s="420">
        <f t="shared" ref="J2071:J2074" si="1180">IFERROR(H2071*(G2071/E2071),"-")</f>
        <v>0</v>
      </c>
    </row>
    <row r="2072" spans="1:10" ht="27.75" customHeight="1" x14ac:dyDescent="0.3">
      <c r="A2072" s="274" t="s">
        <v>102</v>
      </c>
      <c r="B2072" s="1023"/>
      <c r="C2072" s="312" t="s">
        <v>247</v>
      </c>
      <c r="D2072" s="312"/>
      <c r="E2072" s="503">
        <v>246.51390000000001</v>
      </c>
      <c r="F2072" s="402">
        <f>IFERROR(E2072*'01 Prod Physique Boites'!H2066,"-")</f>
        <v>867728.92800000007</v>
      </c>
      <c r="G2072" s="403">
        <f>IFERROR(E2072*'01 Prod Physique Boites'!L2066,"-")</f>
        <v>6784062.5279999999</v>
      </c>
      <c r="H2072" s="385">
        <v>430.02</v>
      </c>
      <c r="I2072" s="421">
        <f>IFERROR(H2072*(F2072/E2072),"-")</f>
        <v>1513670.4</v>
      </c>
      <c r="J2072" s="422">
        <f t="shared" si="1180"/>
        <v>11834150.4</v>
      </c>
    </row>
    <row r="2073" spans="1:10" ht="27.75" customHeight="1" x14ac:dyDescent="0.3">
      <c r="A2073" s="274" t="s">
        <v>102</v>
      </c>
      <c r="B2073" s="1023"/>
      <c r="C2073" s="312" t="s">
        <v>184</v>
      </c>
      <c r="D2073" s="312" t="s">
        <v>183</v>
      </c>
      <c r="E2073" s="503">
        <v>254.89750000000001</v>
      </c>
      <c r="F2073" s="402">
        <f>IFERROR(E2073*'01 Prod Physique Boites'!H2067,"-")</f>
        <v>0</v>
      </c>
      <c r="G2073" s="403">
        <f>IFERROR(E2073*'01 Prod Physique Boites'!L2067,"-")</f>
        <v>0</v>
      </c>
      <c r="H2073" s="385"/>
      <c r="I2073" s="421">
        <f>IFERROR(H2073*(F2073/E2073),"-")</f>
        <v>0</v>
      </c>
      <c r="J2073" s="422">
        <f t="shared" si="1180"/>
        <v>0</v>
      </c>
    </row>
    <row r="2074" spans="1:10" ht="27.75" customHeight="1" thickBot="1" x14ac:dyDescent="0.35">
      <c r="A2074" s="274" t="s">
        <v>102</v>
      </c>
      <c r="B2074" s="1024"/>
      <c r="C2074" s="313" t="s">
        <v>36</v>
      </c>
      <c r="D2074" s="313"/>
      <c r="E2074" s="500">
        <v>229.99359999999999</v>
      </c>
      <c r="F2074" s="402">
        <f>IFERROR(E2074*'01 Prod Physique Boites'!H2068,"-")</f>
        <v>0</v>
      </c>
      <c r="G2074" s="403">
        <f>IFERROR(E2074*'01 Prod Physique Boites'!L2068,"-")</f>
        <v>0</v>
      </c>
      <c r="H2074" s="387"/>
      <c r="I2074" s="423">
        <f>IFERROR(H2074*(F2074/E2074),"-")</f>
        <v>0</v>
      </c>
      <c r="J2074" s="424">
        <f t="shared" si="1180"/>
        <v>0</v>
      </c>
    </row>
    <row r="2075" spans="1:10" ht="27.75" customHeight="1" thickBot="1" x14ac:dyDescent="0.35">
      <c r="A2075" s="274" t="s">
        <v>102</v>
      </c>
      <c r="B2075" s="1025" t="s">
        <v>37</v>
      </c>
      <c r="C2075" s="1026"/>
      <c r="D2075" s="1027"/>
      <c r="E2075" s="390"/>
      <c r="F2075" s="406">
        <f t="shared" ref="F2075:G2075" si="1181">SUM(F2071:F2074)</f>
        <v>867728.92800000007</v>
      </c>
      <c r="G2075" s="407">
        <f t="shared" si="1181"/>
        <v>6784062.5279999999</v>
      </c>
      <c r="H2075" s="391"/>
      <c r="I2075" s="406">
        <f>SUM(I2071:I2074)</f>
        <v>1513670.4</v>
      </c>
      <c r="J2075" s="425">
        <f>SUM(J2071:J2074)</f>
        <v>11834150.4</v>
      </c>
    </row>
    <row r="2076" spans="1:10" ht="27.75" customHeight="1" x14ac:dyDescent="0.3">
      <c r="A2076" s="274" t="s">
        <v>102</v>
      </c>
      <c r="B2076" s="1022" t="s">
        <v>402</v>
      </c>
      <c r="C2076" s="314" t="s">
        <v>116</v>
      </c>
      <c r="D2076" s="314"/>
      <c r="E2076" s="502">
        <v>195.2808</v>
      </c>
      <c r="F2076" s="402">
        <f>IFERROR(E2076*'01 Prod Physique Boites'!H2070,"-")</f>
        <v>0</v>
      </c>
      <c r="G2076" s="403">
        <f>IFERROR(E2076*'01 Prod Physique Boites'!L2070,"-")</f>
        <v>0</v>
      </c>
      <c r="H2076" s="681">
        <v>256.7</v>
      </c>
      <c r="I2076" s="419">
        <f>IFERROR(H2076*(F2076/E2076),"-")</f>
        <v>0</v>
      </c>
      <c r="J2076" s="420">
        <f t="shared" ref="J2076:J2077" si="1182">IFERROR(H2076*(G2076/E2076),"-")</f>
        <v>0</v>
      </c>
    </row>
    <row r="2077" spans="1:10" ht="27.75" customHeight="1" thickBot="1" x14ac:dyDescent="0.35">
      <c r="A2077" s="274" t="s">
        <v>102</v>
      </c>
      <c r="B2077" s="1024"/>
      <c r="C2077" s="286" t="s">
        <v>132</v>
      </c>
      <c r="D2077" s="286"/>
      <c r="E2077" s="500">
        <v>189.91890000000001</v>
      </c>
      <c r="F2077" s="402">
        <f>IFERROR(E2077*'01 Prod Physique Boites'!H2071,"-")</f>
        <v>0</v>
      </c>
      <c r="G2077" s="403">
        <f>IFERROR(E2077*'01 Prod Physique Boites'!L2071,"-")</f>
        <v>4138332.8310000002</v>
      </c>
      <c r="H2077" s="387">
        <v>320.35000000000002</v>
      </c>
      <c r="I2077" s="423">
        <f>IFERROR(H2077*(F2077/E2077),"-")</f>
        <v>0</v>
      </c>
      <c r="J2077" s="424">
        <f t="shared" si="1182"/>
        <v>6980426.5000000009</v>
      </c>
    </row>
    <row r="2078" spans="1:10" ht="27.75" customHeight="1" thickBot="1" x14ac:dyDescent="0.35">
      <c r="A2078" s="985" t="s">
        <v>102</v>
      </c>
      <c r="B2078" s="1025" t="s">
        <v>38</v>
      </c>
      <c r="C2078" s="1026"/>
      <c r="D2078" s="1027"/>
      <c r="E2078" s="390"/>
      <c r="F2078" s="406">
        <f>SUM(F2076:F2077)</f>
        <v>0</v>
      </c>
      <c r="G2078" s="407">
        <f t="shared" ref="G2078" si="1183">SUM(G2076:G2077)</f>
        <v>4138332.8310000002</v>
      </c>
      <c r="H2078" s="391"/>
      <c r="I2078" s="406">
        <f t="shared" ref="I2078:J2078" si="1184">SUM(I2076:I2077)</f>
        <v>0</v>
      </c>
      <c r="J2078" s="425">
        <f t="shared" si="1184"/>
        <v>6980426.5000000009</v>
      </c>
    </row>
    <row r="2079" spans="1:10" ht="27.75" customHeight="1" x14ac:dyDescent="0.3">
      <c r="A2079" s="274" t="s">
        <v>102</v>
      </c>
      <c r="B2079" s="1022" t="s">
        <v>403</v>
      </c>
      <c r="C2079" s="269" t="s">
        <v>306</v>
      </c>
      <c r="D2079" s="269" t="s">
        <v>238</v>
      </c>
      <c r="E2079" s="504">
        <v>37.248699999999999</v>
      </c>
      <c r="F2079" s="402">
        <f>IFERROR(E2079*'01 Prod Physique Boites'!H2073,"-")</f>
        <v>1716420.0959999999</v>
      </c>
      <c r="G2079" s="403">
        <f>IFERROR(E2079*'01 Prod Physique Boites'!L2073,"-")</f>
        <v>16344878.5548</v>
      </c>
      <c r="H2079" s="381">
        <v>71.44</v>
      </c>
      <c r="I2079" s="419">
        <f>IFERROR(H2079*(F2079/E2079),"-")</f>
        <v>3291955.1999999997</v>
      </c>
      <c r="J2079" s="420">
        <f>IFERROR(H2079*(G2079/E2079),"-")</f>
        <v>31348157.759999998</v>
      </c>
    </row>
    <row r="2080" spans="1:10" ht="27.75" customHeight="1" x14ac:dyDescent="0.3">
      <c r="A2080" s="274" t="s">
        <v>102</v>
      </c>
      <c r="B2080" s="1023"/>
      <c r="C2080" s="269" t="s">
        <v>156</v>
      </c>
      <c r="D2080" s="275"/>
      <c r="E2080" s="504">
        <v>37.248699999999999</v>
      </c>
      <c r="F2080" s="402">
        <f>IFERROR(E2080*'01 Prod Physique Boites'!H2074,"-")</f>
        <v>0</v>
      </c>
      <c r="G2080" s="403">
        <f>IFERROR(E2080*'01 Prod Physique Boites'!L2074,"-")</f>
        <v>0</v>
      </c>
      <c r="H2080" s="385"/>
      <c r="I2080" s="421">
        <f>IFERROR(H2080*(F2080/E2080),"-")</f>
        <v>0</v>
      </c>
      <c r="J2080" s="422">
        <f t="shared" ref="J2080:J2082" si="1185">IFERROR(H2080*(G2080/E2080),"-")</f>
        <v>0</v>
      </c>
    </row>
    <row r="2081" spans="1:10" ht="27.75" customHeight="1" x14ac:dyDescent="0.3">
      <c r="A2081" s="274" t="s">
        <v>102</v>
      </c>
      <c r="B2081" s="1023"/>
      <c r="C2081" s="275" t="s">
        <v>345</v>
      </c>
      <c r="D2081" s="269" t="s">
        <v>238</v>
      </c>
      <c r="E2081" s="504">
        <v>37.248699999999999</v>
      </c>
      <c r="F2081" s="402">
        <f>IFERROR(E2081*'01 Prod Physique Boites'!H2075,"-")</f>
        <v>0</v>
      </c>
      <c r="G2081" s="403">
        <f>IFERROR(E2081*'01 Prod Physique Boites'!L2075,"-")</f>
        <v>1826378.2583999999</v>
      </c>
      <c r="H2081" s="385">
        <v>71.44</v>
      </c>
      <c r="I2081" s="421">
        <f>IFERROR(H2081*(F2081/E2081),"-")</f>
        <v>0</v>
      </c>
      <c r="J2081" s="422">
        <f t="shared" si="1185"/>
        <v>3502846.08</v>
      </c>
    </row>
    <row r="2082" spans="1:10" ht="27.75" customHeight="1" thickBot="1" x14ac:dyDescent="0.35">
      <c r="A2082" s="274" t="s">
        <v>102</v>
      </c>
      <c r="B2082" s="1023"/>
      <c r="C2082" s="275" t="s">
        <v>157</v>
      </c>
      <c r="D2082" s="275"/>
      <c r="E2082" s="505">
        <v>38.466099999999997</v>
      </c>
      <c r="F2082" s="402">
        <f>IFERROR(E2082*'01 Prod Physique Boites'!H2076,"-")</f>
        <v>0</v>
      </c>
      <c r="G2082" s="403">
        <f>IFERROR(E2082*'01 Prod Physique Boites'!L2076,"-")</f>
        <v>0</v>
      </c>
      <c r="H2082" s="385"/>
      <c r="I2082" s="421">
        <f>IFERROR(H2082*(F2082/E2082),"-")</f>
        <v>0</v>
      </c>
      <c r="J2082" s="422">
        <f t="shared" si="1185"/>
        <v>0</v>
      </c>
    </row>
    <row r="2083" spans="1:10" ht="27.75" customHeight="1" thickBot="1" x14ac:dyDescent="0.35">
      <c r="A2083" s="274" t="s">
        <v>102</v>
      </c>
      <c r="B2083" s="1025" t="s">
        <v>39</v>
      </c>
      <c r="C2083" s="1026"/>
      <c r="D2083" s="1027"/>
      <c r="E2083" s="390"/>
      <c r="F2083" s="406">
        <f>SUM(F2079:F2082)</f>
        <v>1716420.0959999999</v>
      </c>
      <c r="G2083" s="407">
        <f>SUM(G2079:G2082)</f>
        <v>18171256.813200001</v>
      </c>
      <c r="H2083" s="391"/>
      <c r="I2083" s="406">
        <f>SUM(I2079:I2082)</f>
        <v>3291955.1999999997</v>
      </c>
      <c r="J2083" s="406">
        <f>SUM(J2079:J2082)</f>
        <v>34851003.839999996</v>
      </c>
    </row>
    <row r="2084" spans="1:10" ht="27.75" customHeight="1" x14ac:dyDescent="0.3">
      <c r="A2084" s="274" t="s">
        <v>102</v>
      </c>
      <c r="B2084" s="1022" t="s">
        <v>40</v>
      </c>
      <c r="C2084" s="269" t="s">
        <v>186</v>
      </c>
      <c r="D2084" s="269" t="s">
        <v>183</v>
      </c>
      <c r="E2084" s="504">
        <v>30.7499</v>
      </c>
      <c r="F2084" s="402">
        <f>IFERROR(E2084*'01 Prod Physique Boites'!H2079,"-")</f>
        <v>0</v>
      </c>
      <c r="G2084" s="402">
        <f>IFERROR(E2084*'01 Prod Physique Boites'!L2079,"-")</f>
        <v>0</v>
      </c>
      <c r="H2084" s="381"/>
      <c r="I2084" s="419">
        <f>IFERROR(H2084*(F2084/E2084),"-")</f>
        <v>0</v>
      </c>
      <c r="J2084" s="420">
        <f>IFERROR(H2084*(G2084/E2084),"-")</f>
        <v>0</v>
      </c>
    </row>
    <row r="2085" spans="1:10" ht="27.75" customHeight="1" x14ac:dyDescent="0.3">
      <c r="A2085" s="274" t="s">
        <v>102</v>
      </c>
      <c r="B2085" s="1023"/>
      <c r="C2085" s="275" t="s">
        <v>159</v>
      </c>
      <c r="D2085" s="275"/>
      <c r="E2085" s="684">
        <v>30.073599999999999</v>
      </c>
      <c r="F2085" s="402">
        <f>IFERROR(E2085*'01 Prod Physique Boites'!H2080,"-")</f>
        <v>0</v>
      </c>
      <c r="G2085" s="403">
        <f>IFERROR(E2085*'01 Prod Physique Boites'!L2080,"-")</f>
        <v>342839.03999999998</v>
      </c>
      <c r="H2085" s="385">
        <v>59.96</v>
      </c>
      <c r="I2085" s="421">
        <f>IFERROR(H2085*(F2085/E2085),"-")</f>
        <v>0</v>
      </c>
      <c r="J2085" s="422">
        <f t="shared" ref="J2085:J2086" si="1186">IFERROR(H2085*(G2085/E2085),"-")</f>
        <v>683544</v>
      </c>
    </row>
    <row r="2086" spans="1:10" ht="27.75" customHeight="1" thickBot="1" x14ac:dyDescent="0.35">
      <c r="A2086" s="274" t="s">
        <v>102</v>
      </c>
      <c r="B2086" s="1024"/>
      <c r="C2086" s="279" t="s">
        <v>186</v>
      </c>
      <c r="D2086" s="279" t="s">
        <v>185</v>
      </c>
      <c r="E2086" s="501">
        <v>30.073599999999999</v>
      </c>
      <c r="F2086" s="402">
        <f>IFERROR(E2086*'01 Prod Physique Boites'!H2081,"-")</f>
        <v>0</v>
      </c>
      <c r="G2086" s="403">
        <f>IFERROR(E2086*'01 Prod Physique Boites'!L2081,"-")</f>
        <v>0</v>
      </c>
      <c r="H2086" s="387"/>
      <c r="I2086" s="423">
        <f>IFERROR(H2086*(F2086/E2086),"-")</f>
        <v>0</v>
      </c>
      <c r="J2086" s="424">
        <f t="shared" si="1186"/>
        <v>0</v>
      </c>
    </row>
    <row r="2087" spans="1:10" ht="27.75" customHeight="1" thickBot="1" x14ac:dyDescent="0.35">
      <c r="A2087" s="274" t="s">
        <v>102</v>
      </c>
      <c r="B2087" s="1034" t="s">
        <v>41</v>
      </c>
      <c r="C2087" s="1035"/>
      <c r="D2087" s="1036"/>
      <c r="E2087" s="390"/>
      <c r="F2087" s="406">
        <f t="shared" ref="F2087:G2087" si="1187">SUM(F2084:F2086)</f>
        <v>0</v>
      </c>
      <c r="G2087" s="407">
        <f t="shared" si="1187"/>
        <v>342839.03999999998</v>
      </c>
      <c r="H2087" s="391"/>
      <c r="I2087" s="406">
        <f t="shared" ref="I2087:J2087" si="1188">SUM(I2084:I2086)</f>
        <v>0</v>
      </c>
      <c r="J2087" s="425">
        <f t="shared" si="1188"/>
        <v>683544</v>
      </c>
    </row>
    <row r="2088" spans="1:10" ht="27.75" customHeight="1" x14ac:dyDescent="0.3">
      <c r="A2088" s="274" t="s">
        <v>102</v>
      </c>
      <c r="B2088" s="1022" t="s">
        <v>42</v>
      </c>
      <c r="C2088" s="269" t="s">
        <v>160</v>
      </c>
      <c r="D2088" s="269"/>
      <c r="E2088" s="504">
        <v>36.684899999999999</v>
      </c>
      <c r="F2088" s="402">
        <f>IFERROR(E2088*'01 Prod Physique Boites'!H2083,"-")</f>
        <v>58695.839999999997</v>
      </c>
      <c r="G2088" s="402">
        <f>IFERROR(E2088*'01 Prod Physique Boites'!L2083,"-")</f>
        <v>352175.04</v>
      </c>
      <c r="H2088" s="381">
        <v>42</v>
      </c>
      <c r="I2088" s="382">
        <f t="shared" ref="I2088:I2089" si="1189">IFERROR(H2088*(F2088/E2088),"-")</f>
        <v>67200</v>
      </c>
      <c r="J2088" s="383">
        <f t="shared" ref="J2088:J2089" si="1190">IFERROR(H2088*(G2088/E2088),"-")</f>
        <v>403200</v>
      </c>
    </row>
    <row r="2089" spans="1:10" ht="27.75" customHeight="1" thickBot="1" x14ac:dyDescent="0.35">
      <c r="A2089" s="274" t="s">
        <v>102</v>
      </c>
      <c r="B2089" s="1024"/>
      <c r="C2089" s="279" t="s">
        <v>161</v>
      </c>
      <c r="D2089" s="279"/>
      <c r="E2089" s="501">
        <v>37.002800000000001</v>
      </c>
      <c r="F2089" s="402">
        <f>IFERROR(E2089*'01 Prod Physique Boites'!H2084,"-")</f>
        <v>0</v>
      </c>
      <c r="G2089" s="402">
        <f>IFERROR(E2089*'01 Prod Physique Boites'!L2084,"-")</f>
        <v>0</v>
      </c>
      <c r="H2089" s="387"/>
      <c r="I2089" s="388">
        <f t="shared" si="1189"/>
        <v>0</v>
      </c>
      <c r="J2089" s="389">
        <f t="shared" si="1190"/>
        <v>0</v>
      </c>
    </row>
    <row r="2090" spans="1:10" ht="27.75" customHeight="1" thickBot="1" x14ac:dyDescent="0.35">
      <c r="A2090" s="274" t="s">
        <v>102</v>
      </c>
      <c r="B2090" s="1034" t="s">
        <v>43</v>
      </c>
      <c r="C2090" s="1035"/>
      <c r="D2090" s="1036"/>
      <c r="E2090" s="390"/>
      <c r="F2090" s="402">
        <f>SUM(F2088:F2089)</f>
        <v>58695.839999999997</v>
      </c>
      <c r="G2090" s="407">
        <f>SUM(G2088:G2089)</f>
        <v>352175.04</v>
      </c>
      <c r="H2090" s="391"/>
      <c r="I2090" s="406">
        <f t="shared" ref="I2090:J2090" si="1191">SUM(I2088:I2089)</f>
        <v>67200</v>
      </c>
      <c r="J2090" s="425">
        <f t="shared" si="1191"/>
        <v>403200</v>
      </c>
    </row>
    <row r="2091" spans="1:10" ht="27.75" customHeight="1" thickBot="1" x14ac:dyDescent="0.35">
      <c r="A2091" s="274" t="s">
        <v>102</v>
      </c>
      <c r="B2091" s="1028" t="s">
        <v>25</v>
      </c>
      <c r="C2091" s="1029"/>
      <c r="D2091" s="1030"/>
      <c r="E2091" s="393"/>
      <c r="F2091" s="410">
        <f>+F2070+F2075+F2078+F2083+F2087+F2090</f>
        <v>2642844.8640000001</v>
      </c>
      <c r="G2091" s="411">
        <f>+G2070+G2075+G2078+G2083+G2087+G2090</f>
        <v>32044021.923299998</v>
      </c>
      <c r="H2091" s="394"/>
      <c r="I2091" s="410">
        <f>+I2070+I2075+I2078+I2083+I2087+I2090</f>
        <v>4872825.5999999996</v>
      </c>
      <c r="J2091" s="428">
        <f>+J2070+J2075+J2078+J2083+J2087+J2090</f>
        <v>58686577.719999999</v>
      </c>
    </row>
    <row r="2092" spans="1:10" ht="27.75" customHeight="1" thickBot="1" x14ac:dyDescent="0.35">
      <c r="A2092" s="318" t="s">
        <v>102</v>
      </c>
      <c r="B2092" s="1020" t="s">
        <v>173</v>
      </c>
      <c r="C2092" s="1020"/>
      <c r="D2092" s="1021"/>
      <c r="E2092" s="395"/>
      <c r="F2092" s="412">
        <f t="shared" ref="F2092:G2092" si="1192">+F2091</f>
        <v>2642844.8640000001</v>
      </c>
      <c r="G2092" s="413">
        <f t="shared" si="1192"/>
        <v>32044021.923299998</v>
      </c>
      <c r="H2092" s="396"/>
      <c r="I2092" s="412">
        <f t="shared" ref="I2092" si="1193">+I2091</f>
        <v>4872825.5999999996</v>
      </c>
      <c r="J2092" s="429">
        <f>+J2091</f>
        <v>58686577.719999999</v>
      </c>
    </row>
    <row r="2093" spans="1:10" ht="27.75" customHeight="1" thickBot="1" x14ac:dyDescent="0.35">
      <c r="A2093" s="319"/>
      <c r="B2093" s="1031" t="s">
        <v>174</v>
      </c>
      <c r="C2093" s="1032"/>
      <c r="D2093" s="1033"/>
      <c r="E2093" s="401"/>
      <c r="F2093" s="418">
        <f>+F2031+F2066+F2092</f>
        <v>9826590.7303999998</v>
      </c>
      <c r="G2093" s="418">
        <f>+G2031+G2066+G2092</f>
        <v>124187729.70969999</v>
      </c>
      <c r="H2093" s="401"/>
      <c r="I2093" s="418">
        <f>+I2031+I2066+I2092</f>
        <v>15118832.939999999</v>
      </c>
      <c r="J2093" s="432">
        <f>+J2031+J2066+J2092</f>
        <v>178117109.57999998</v>
      </c>
    </row>
    <row r="2094" spans="1:10" ht="27.75" customHeight="1" x14ac:dyDescent="0.3">
      <c r="A2094" s="1057" t="s">
        <v>1</v>
      </c>
      <c r="B2094" s="1060" t="s">
        <v>2</v>
      </c>
      <c r="C2094" s="1063" t="s">
        <v>396</v>
      </c>
      <c r="D2094" s="1063" t="s">
        <v>397</v>
      </c>
      <c r="E2094" s="1092" t="s">
        <v>405</v>
      </c>
      <c r="F2094" s="1093"/>
      <c r="G2094" s="1093"/>
      <c r="H2094" s="442"/>
      <c r="I2094" s="442"/>
      <c r="J2094" s="443"/>
    </row>
    <row r="2095" spans="1:10" ht="27.75" customHeight="1" x14ac:dyDescent="0.3">
      <c r="A2095" s="1058"/>
      <c r="B2095" s="1061"/>
      <c r="C2095" s="1064"/>
      <c r="D2095" s="1064"/>
      <c r="E2095" s="1094" t="s">
        <v>408</v>
      </c>
      <c r="F2095" s="1095"/>
      <c r="G2095" s="1096"/>
      <c r="H2095" s="1094" t="s">
        <v>168</v>
      </c>
      <c r="I2095" s="1095"/>
      <c r="J2095" s="1096"/>
    </row>
    <row r="2096" spans="1:10" ht="27.75" customHeight="1" x14ac:dyDescent="0.3">
      <c r="A2096" s="1059"/>
      <c r="B2096" s="1090"/>
      <c r="C2096" s="1091"/>
      <c r="D2096" s="1091"/>
      <c r="E2096" s="379" t="s">
        <v>170</v>
      </c>
      <c r="F2096" s="992" t="s">
        <v>407</v>
      </c>
      <c r="G2096" s="993" t="s">
        <v>406</v>
      </c>
      <c r="H2096" s="1097" t="s">
        <v>170</v>
      </c>
      <c r="I2096" s="1099" t="s">
        <v>137</v>
      </c>
      <c r="J2096" s="1101" t="s">
        <v>406</v>
      </c>
    </row>
    <row r="2097" spans="1:10" ht="27.75" customHeight="1" thickBot="1" x14ac:dyDescent="0.35">
      <c r="A2097" s="1059"/>
      <c r="B2097" s="1062"/>
      <c r="C2097" s="1065"/>
      <c r="D2097" s="1065"/>
      <c r="E2097" s="1103" t="s">
        <v>590</v>
      </c>
      <c r="F2097" s="1104"/>
      <c r="G2097" s="1105"/>
      <c r="H2097" s="1098"/>
      <c r="I2097" s="1100"/>
      <c r="J2097" s="1102"/>
    </row>
    <row r="2098" spans="1:10" ht="27.75" customHeight="1" x14ac:dyDescent="0.3">
      <c r="A2098" s="268" t="s">
        <v>103</v>
      </c>
      <c r="B2098" s="1043" t="s">
        <v>16</v>
      </c>
      <c r="C2098" s="269" t="s">
        <v>368</v>
      </c>
      <c r="D2098" s="269" t="s">
        <v>369</v>
      </c>
      <c r="E2098" s="705">
        <v>81.360699999999994</v>
      </c>
      <c r="F2098" s="402">
        <f>IFERROR(E2098*'01 Prod Physique Boites'!H2092,"-")</f>
        <v>0</v>
      </c>
      <c r="G2098" s="402">
        <f>IFERROR(E2098*'01 Prod Physique Boites'!L2092,"-")</f>
        <v>1514936.2339999999</v>
      </c>
      <c r="H2098" s="681">
        <v>143.28</v>
      </c>
      <c r="I2098" s="419">
        <f>IFERROR(H2098*(F2098/E2098),"-")</f>
        <v>0</v>
      </c>
      <c r="J2098" s="420">
        <f t="shared" ref="J2098:J2100" si="1194">IFERROR(H2098*(G2098/E2098),"-")</f>
        <v>2667873.6</v>
      </c>
    </row>
    <row r="2099" spans="1:10" ht="27.75" customHeight="1" x14ac:dyDescent="0.3">
      <c r="A2099" s="713"/>
      <c r="B2099" s="1044"/>
      <c r="C2099" s="275" t="s">
        <v>470</v>
      </c>
      <c r="D2099" s="275" t="s">
        <v>375</v>
      </c>
      <c r="E2099" s="505">
        <v>81.360699999999994</v>
      </c>
      <c r="F2099" s="402">
        <f>IFERROR(E2099*'01 Prod Physique Boites'!H2093,"-")</f>
        <v>0</v>
      </c>
      <c r="G2099" s="402">
        <f>IFERROR(E2099*'01 Prod Physique Boites'!L2093,"-")</f>
        <v>0</v>
      </c>
      <c r="H2099" s="708">
        <v>143.28</v>
      </c>
      <c r="I2099" s="419">
        <f>IFERROR(H2099*(F2099/E2099),"-")</f>
        <v>0</v>
      </c>
      <c r="J2099" s="420">
        <f t="shared" si="1194"/>
        <v>0</v>
      </c>
    </row>
    <row r="2100" spans="1:10" ht="27.75" customHeight="1" x14ac:dyDescent="0.3">
      <c r="A2100" s="274" t="s">
        <v>103</v>
      </c>
      <c r="B2100" s="1044"/>
      <c r="C2100" s="275" t="s">
        <v>430</v>
      </c>
      <c r="D2100" s="275" t="s">
        <v>384</v>
      </c>
      <c r="E2100" s="684">
        <v>77.170400000000001</v>
      </c>
      <c r="F2100" s="402">
        <f>IFERROR(E2100*'01 Prod Physique Boites'!H2094,"-")</f>
        <v>222250.75200000001</v>
      </c>
      <c r="G2100" s="402">
        <f>IFERROR(E2100*'01 Prod Physique Boites'!L2094,"-")</f>
        <v>1567330.824</v>
      </c>
      <c r="H2100" s="385">
        <v>0</v>
      </c>
      <c r="I2100" s="419">
        <f>IFERROR(H2100*(F2100/E2100),"-")</f>
        <v>0</v>
      </c>
      <c r="J2100" s="420">
        <f t="shared" si="1194"/>
        <v>0</v>
      </c>
    </row>
    <row r="2101" spans="1:10" ht="27.75" customHeight="1" thickBot="1" x14ac:dyDescent="0.35">
      <c r="A2101" s="274" t="s">
        <v>103</v>
      </c>
      <c r="B2101" s="1045"/>
      <c r="C2101" s="279" t="s">
        <v>262</v>
      </c>
      <c r="D2101" s="279" t="s">
        <v>231</v>
      </c>
      <c r="E2101" s="501">
        <v>60.703499999999998</v>
      </c>
      <c r="F2101" s="402">
        <f>IFERROR(E2101*'01 Prod Physique Boites'!H2095,"-")</f>
        <v>0</v>
      </c>
      <c r="G2101" s="402">
        <f>IFERROR(E2101*'01 Prod Physique Boites'!L2095,"-")</f>
        <v>0</v>
      </c>
      <c r="H2101" s="387">
        <v>111.09</v>
      </c>
      <c r="I2101" s="419">
        <f>IFERROR(H2101*(F2101/E2101),"-")</f>
        <v>0</v>
      </c>
      <c r="J2101" s="420">
        <f>IFERROR(H2101*(G2101/E2101),"-")</f>
        <v>0</v>
      </c>
    </row>
    <row r="2102" spans="1:10" ht="27.75" customHeight="1" thickBot="1" x14ac:dyDescent="0.35">
      <c r="A2102" s="274" t="s">
        <v>103</v>
      </c>
      <c r="B2102" s="1025" t="s">
        <v>44</v>
      </c>
      <c r="C2102" s="1026"/>
      <c r="D2102" s="1027"/>
      <c r="E2102" s="390"/>
      <c r="F2102" s="406">
        <f t="shared" ref="F2102" si="1195">SUM(F2098:F2101)</f>
        <v>222250.75200000001</v>
      </c>
      <c r="G2102" s="407">
        <f>SUM(G2098:G2101)</f>
        <v>3082267.0580000002</v>
      </c>
      <c r="H2102" s="391"/>
      <c r="I2102" s="406">
        <f t="shared" ref="I2102:J2102" si="1196">SUM(I2098:I2101)</f>
        <v>0</v>
      </c>
      <c r="J2102" s="425">
        <f t="shared" si="1196"/>
        <v>2667873.6</v>
      </c>
    </row>
    <row r="2103" spans="1:10" ht="27.75" customHeight="1" x14ac:dyDescent="0.3">
      <c r="A2103" s="274" t="s">
        <v>103</v>
      </c>
      <c r="B2103" s="1043" t="s">
        <v>17</v>
      </c>
      <c r="C2103" s="269" t="s">
        <v>294</v>
      </c>
      <c r="D2103" s="269"/>
      <c r="E2103" s="504">
        <v>12.5275</v>
      </c>
      <c r="F2103" s="402">
        <f>IFERROR(E2103*'01 Prod Physique Boites'!H2097,"-")</f>
        <v>0</v>
      </c>
      <c r="G2103" s="402">
        <f>IFERROR(E2103*'01 Prod Physique Boites'!L2097,"-")</f>
        <v>0</v>
      </c>
      <c r="H2103" s="681">
        <v>18.836400000000001</v>
      </c>
      <c r="I2103" s="419">
        <f t="shared" ref="I2103:I2109" si="1197">IFERROR(H2103*(F2103/E2103),"-")</f>
        <v>0</v>
      </c>
      <c r="J2103" s="420">
        <f t="shared" ref="J2103:J2108" si="1198">IFERROR(H2103*(G2103/E2103),"-")</f>
        <v>0</v>
      </c>
    </row>
    <row r="2104" spans="1:10" ht="27.75" customHeight="1" x14ac:dyDescent="0.3">
      <c r="A2104" s="274" t="s">
        <v>103</v>
      </c>
      <c r="B2104" s="1044"/>
      <c r="C2104" s="275" t="s">
        <v>344</v>
      </c>
      <c r="D2104" s="275" t="s">
        <v>232</v>
      </c>
      <c r="E2104" s="677">
        <v>13.002700000000001</v>
      </c>
      <c r="F2104" s="402">
        <f>IFERROR(E2104*'01 Prod Physique Boites'!H2098,"-")</f>
        <v>0</v>
      </c>
      <c r="G2104" s="402">
        <f>IFERROR(E2104*'01 Prod Physique Boites'!L2098,"-")</f>
        <v>77756.146000000008</v>
      </c>
      <c r="H2104" s="385">
        <v>21.18</v>
      </c>
      <c r="I2104" s="421">
        <f t="shared" si="1197"/>
        <v>0</v>
      </c>
      <c r="J2104" s="422">
        <f t="shared" si="1198"/>
        <v>126656.4</v>
      </c>
    </row>
    <row r="2105" spans="1:10" ht="27.75" customHeight="1" x14ac:dyDescent="0.3">
      <c r="A2105" s="274" t="s">
        <v>103</v>
      </c>
      <c r="B2105" s="1044"/>
      <c r="C2105" s="275" t="s">
        <v>351</v>
      </c>
      <c r="D2105" s="275" t="s">
        <v>187</v>
      </c>
      <c r="E2105" s="677">
        <v>12.9049</v>
      </c>
      <c r="F2105" s="402">
        <f>IFERROR(E2105*'01 Prod Physique Boites'!H2099,"-")</f>
        <v>394889.94</v>
      </c>
      <c r="G2105" s="402">
        <f>IFERROR(E2105*'01 Prod Physique Boites'!L2099,"-")</f>
        <v>17612091.324000001</v>
      </c>
      <c r="H2105" s="385">
        <v>20.5</v>
      </c>
      <c r="I2105" s="421">
        <f t="shared" si="1197"/>
        <v>627300</v>
      </c>
      <c r="J2105" s="422">
        <f t="shared" si="1198"/>
        <v>27977580.000000004</v>
      </c>
    </row>
    <row r="2106" spans="1:10" ht="27.75" customHeight="1" x14ac:dyDescent="0.3">
      <c r="A2106" s="274" t="s">
        <v>103</v>
      </c>
      <c r="B2106" s="1044"/>
      <c r="C2106" s="275" t="s">
        <v>530</v>
      </c>
      <c r="D2106" s="275" t="s">
        <v>529</v>
      </c>
      <c r="E2106" s="505">
        <v>13.1958</v>
      </c>
      <c r="F2106" s="402">
        <f>IFERROR(E2106*'01 Prod Physique Boites'!H2100,"-")</f>
        <v>0</v>
      </c>
      <c r="G2106" s="402">
        <f>IFERROR(E2106*'01 Prod Physique Boites'!L2100,"-")</f>
        <v>545646.32999999996</v>
      </c>
      <c r="H2106" s="708">
        <v>21.28</v>
      </c>
      <c r="I2106" s="421">
        <f t="shared" si="1197"/>
        <v>0</v>
      </c>
      <c r="J2106" s="422">
        <f t="shared" si="1198"/>
        <v>879927.99999999988</v>
      </c>
    </row>
    <row r="2107" spans="1:10" ht="27.75" customHeight="1" x14ac:dyDescent="0.3">
      <c r="A2107" s="274" t="s">
        <v>103</v>
      </c>
      <c r="B2107" s="1044"/>
      <c r="C2107" s="275" t="s">
        <v>323</v>
      </c>
      <c r="D2107" s="275" t="s">
        <v>318</v>
      </c>
      <c r="E2107" s="505">
        <v>13.1958</v>
      </c>
      <c r="F2107" s="402">
        <f>IFERROR(E2107*'01 Prod Physique Boites'!H2101,"-")</f>
        <v>0</v>
      </c>
      <c r="G2107" s="402">
        <f>IFERROR(E2107*'01 Prod Physique Boites'!L2101,"-")</f>
        <v>0</v>
      </c>
      <c r="H2107" s="385">
        <v>21.28</v>
      </c>
      <c r="I2107" s="421">
        <f t="shared" si="1197"/>
        <v>0</v>
      </c>
      <c r="J2107" s="422">
        <f t="shared" si="1198"/>
        <v>0</v>
      </c>
    </row>
    <row r="2108" spans="1:10" ht="27.75" customHeight="1" x14ac:dyDescent="0.3">
      <c r="A2108" s="274">
        <v>1</v>
      </c>
      <c r="B2108" s="1044"/>
      <c r="C2108" s="275" t="s">
        <v>528</v>
      </c>
      <c r="D2108" s="275" t="s">
        <v>189</v>
      </c>
      <c r="E2108" s="677">
        <v>13.1958</v>
      </c>
      <c r="F2108" s="402">
        <f>IFERROR(E2108*'01 Prod Physique Boites'!H2102,"-")</f>
        <v>0</v>
      </c>
      <c r="G2108" s="402">
        <f>IFERROR(E2108*'01 Prod Physique Boites'!L2102,"-")</f>
        <v>445490.20799999998</v>
      </c>
      <c r="H2108" s="664">
        <v>21.28</v>
      </c>
      <c r="I2108" s="421">
        <f t="shared" si="1197"/>
        <v>0</v>
      </c>
      <c r="J2108" s="422">
        <f t="shared" si="1198"/>
        <v>718412.80000000005</v>
      </c>
    </row>
    <row r="2109" spans="1:10" ht="27.75" customHeight="1" thickBot="1" x14ac:dyDescent="0.35">
      <c r="A2109" s="274" t="s">
        <v>103</v>
      </c>
      <c r="B2109" s="1045"/>
      <c r="C2109" s="279" t="s">
        <v>341</v>
      </c>
      <c r="D2109" s="279" t="s">
        <v>175</v>
      </c>
      <c r="E2109" s="501">
        <v>13.6509</v>
      </c>
      <c r="F2109" s="402">
        <f>IFERROR(E2109*'01 Prod Physique Boites'!H2103,"-")</f>
        <v>0</v>
      </c>
      <c r="G2109" s="402">
        <f>IFERROR(E2109*'01 Prod Physique Boites'!L2103,"-")</f>
        <v>0</v>
      </c>
      <c r="H2109" s="387">
        <v>21.18</v>
      </c>
      <c r="I2109" s="423">
        <f t="shared" si="1197"/>
        <v>0</v>
      </c>
      <c r="J2109" s="424">
        <f>IFERROR(H2109*(G2109/E2109),"-")</f>
        <v>0</v>
      </c>
    </row>
    <row r="2110" spans="1:10" ht="27.75" customHeight="1" thickBot="1" x14ac:dyDescent="0.35">
      <c r="A2110" s="274" t="s">
        <v>103</v>
      </c>
      <c r="B2110" s="1025" t="s">
        <v>45</v>
      </c>
      <c r="C2110" s="1026"/>
      <c r="D2110" s="1027"/>
      <c r="E2110" s="390"/>
      <c r="F2110" s="406">
        <f t="shared" ref="F2110" si="1199">SUM(F2103:F2109)</f>
        <v>394889.94</v>
      </c>
      <c r="G2110" s="407">
        <f>SUM(G2103:G2109)</f>
        <v>18680984.008000001</v>
      </c>
      <c r="H2110" s="391"/>
      <c r="I2110" s="406">
        <f t="shared" ref="I2110" si="1200">SUM(I2103:I2109)</f>
        <v>627300</v>
      </c>
      <c r="J2110" s="425">
        <f>SUM(J2103:J2109)</f>
        <v>29702577.200000003</v>
      </c>
    </row>
    <row r="2111" spans="1:10" ht="27.75" customHeight="1" x14ac:dyDescent="0.3">
      <c r="A2111" s="274" t="s">
        <v>103</v>
      </c>
      <c r="B2111" s="1043" t="s">
        <v>18</v>
      </c>
      <c r="C2111" s="269" t="s">
        <v>312</v>
      </c>
      <c r="D2111" s="269" t="s">
        <v>92</v>
      </c>
      <c r="E2111" s="504">
        <v>17.8202</v>
      </c>
      <c r="F2111" s="402">
        <f>IFERROR(E2111*'01 Prod Physique Boites'!H2105,"-")</f>
        <v>0</v>
      </c>
      <c r="G2111" s="403">
        <f>IFERROR(E2111*'01 Prod Physique Boites'!L2105,"-")</f>
        <v>0</v>
      </c>
      <c r="H2111" s="381">
        <v>24.93</v>
      </c>
      <c r="I2111" s="419">
        <f t="shared" ref="I2111:I2117" si="1201">IFERROR(H2111*(F2111/E2111),"-")</f>
        <v>0</v>
      </c>
      <c r="J2111" s="420">
        <f t="shared" ref="J2111:J2113" si="1202">IFERROR(H2111*(G2111/E2111),"-")</f>
        <v>0</v>
      </c>
    </row>
    <row r="2112" spans="1:10" ht="27.75" customHeight="1" x14ac:dyDescent="0.3">
      <c r="A2112" s="274" t="s">
        <v>103</v>
      </c>
      <c r="B2112" s="1044"/>
      <c r="C2112" s="275" t="s">
        <v>130</v>
      </c>
      <c r="D2112" s="275"/>
      <c r="E2112" s="505">
        <v>17.8202</v>
      </c>
      <c r="F2112" s="402">
        <f>IFERROR(E2112*'01 Prod Physique Boites'!H2106,"-")</f>
        <v>0</v>
      </c>
      <c r="G2112" s="403">
        <f>IFERROR(E2112*'01 Prod Physique Boites'!L2106,"-")</f>
        <v>0</v>
      </c>
      <c r="H2112" s="385">
        <v>0</v>
      </c>
      <c r="I2112" s="421">
        <f t="shared" si="1201"/>
        <v>0</v>
      </c>
      <c r="J2112" s="422">
        <f t="shared" si="1202"/>
        <v>0</v>
      </c>
    </row>
    <row r="2113" spans="1:10" ht="27.75" customHeight="1" x14ac:dyDescent="0.3">
      <c r="A2113" s="274" t="s">
        <v>103</v>
      </c>
      <c r="B2113" s="1044"/>
      <c r="C2113" s="275" t="s">
        <v>115</v>
      </c>
      <c r="D2113" s="275"/>
      <c r="E2113" s="505">
        <v>16.4071</v>
      </c>
      <c r="F2113" s="402">
        <f>IFERROR(E2113*'01 Prod Physique Boites'!H2107,"-")</f>
        <v>0</v>
      </c>
      <c r="G2113" s="403">
        <f>IFERROR(E2113*'01 Prod Physique Boites'!L2107,"-")</f>
        <v>0</v>
      </c>
      <c r="H2113" s="385">
        <v>0</v>
      </c>
      <c r="I2113" s="421">
        <f t="shared" si="1201"/>
        <v>0</v>
      </c>
      <c r="J2113" s="422">
        <f t="shared" si="1202"/>
        <v>0</v>
      </c>
    </row>
    <row r="2114" spans="1:10" ht="27.75" customHeight="1" x14ac:dyDescent="0.3">
      <c r="A2114" s="274" t="s">
        <v>103</v>
      </c>
      <c r="B2114" s="1044"/>
      <c r="C2114" s="275" t="s">
        <v>122</v>
      </c>
      <c r="D2114" s="275"/>
      <c r="E2114" s="505">
        <v>17.8202</v>
      </c>
      <c r="F2114" s="402">
        <f>IFERROR(E2114*'01 Prod Physique Boites'!H2108,"-")</f>
        <v>0</v>
      </c>
      <c r="G2114" s="403">
        <f>IFERROR(E2114*'01 Prod Physique Boites'!L2108,"-")</f>
        <v>0</v>
      </c>
      <c r="H2114" s="385">
        <v>0</v>
      </c>
      <c r="I2114" s="421">
        <f t="shared" si="1201"/>
        <v>0</v>
      </c>
      <c r="J2114" s="422">
        <f>IFERROR(H2114*(G2114/E2114),"-")</f>
        <v>0</v>
      </c>
    </row>
    <row r="2115" spans="1:10" ht="27.75" customHeight="1" x14ac:dyDescent="0.3">
      <c r="A2115" s="274" t="s">
        <v>103</v>
      </c>
      <c r="B2115" s="1044"/>
      <c r="C2115" s="275" t="s">
        <v>176</v>
      </c>
      <c r="D2115" s="275" t="s">
        <v>177</v>
      </c>
      <c r="E2115" s="505">
        <v>17.8202</v>
      </c>
      <c r="F2115" s="402">
        <f>IFERROR(E2115*'01 Prod Physique Boites'!H2109,"-")</f>
        <v>0</v>
      </c>
      <c r="G2115" s="403">
        <f>IFERROR(E2115*'01 Prod Physique Boites'!L2109,"-")</f>
        <v>0</v>
      </c>
      <c r="H2115" s="385">
        <v>0</v>
      </c>
      <c r="I2115" s="421">
        <f t="shared" si="1201"/>
        <v>0</v>
      </c>
      <c r="J2115" s="422">
        <f t="shared" ref="J2115:J2117" si="1203">IFERROR(H2115*(G2115/E2115),"-")</f>
        <v>0</v>
      </c>
    </row>
    <row r="2116" spans="1:10" ht="27.75" customHeight="1" x14ac:dyDescent="0.3">
      <c r="A2116" s="274" t="s">
        <v>103</v>
      </c>
      <c r="B2116" s="1044"/>
      <c r="C2116" s="275" t="s">
        <v>179</v>
      </c>
      <c r="D2116" s="275" t="s">
        <v>178</v>
      </c>
      <c r="E2116" s="505">
        <v>16.7288</v>
      </c>
      <c r="F2116" s="402">
        <f>IFERROR(E2116*'01 Prod Physique Boites'!H2110,"-")</f>
        <v>0</v>
      </c>
      <c r="G2116" s="403">
        <f>IFERROR(E2116*'01 Prod Physique Boites'!L2110,"-")</f>
        <v>0</v>
      </c>
      <c r="H2116" s="385">
        <v>0</v>
      </c>
      <c r="I2116" s="421">
        <f t="shared" si="1201"/>
        <v>0</v>
      </c>
      <c r="J2116" s="422">
        <f t="shared" si="1203"/>
        <v>0</v>
      </c>
    </row>
    <row r="2117" spans="1:10" ht="27.75" customHeight="1" thickBot="1" x14ac:dyDescent="0.35">
      <c r="A2117" s="274" t="s">
        <v>103</v>
      </c>
      <c r="B2117" s="1045"/>
      <c r="C2117" s="286" t="s">
        <v>180</v>
      </c>
      <c r="D2117" s="286" t="s">
        <v>107</v>
      </c>
      <c r="E2117" s="501">
        <v>17.8202</v>
      </c>
      <c r="F2117" s="402">
        <f>IFERROR(E2117*'01 Prod Physique Boites'!H2111,"-")</f>
        <v>0</v>
      </c>
      <c r="G2117" s="403">
        <f>IFERROR(E2117*'01 Prod Physique Boites'!L2111,"-")</f>
        <v>0</v>
      </c>
      <c r="H2117" s="385">
        <v>0</v>
      </c>
      <c r="I2117" s="423">
        <f t="shared" si="1201"/>
        <v>0</v>
      </c>
      <c r="J2117" s="424">
        <f t="shared" si="1203"/>
        <v>0</v>
      </c>
    </row>
    <row r="2118" spans="1:10" ht="27.75" customHeight="1" thickBot="1" x14ac:dyDescent="0.35">
      <c r="A2118" s="274" t="s">
        <v>103</v>
      </c>
      <c r="B2118" s="1025" t="s">
        <v>29</v>
      </c>
      <c r="C2118" s="1083"/>
      <c r="D2118" s="1084"/>
      <c r="E2118" s="841"/>
      <c r="F2118" s="856">
        <f t="shared" ref="F2118:G2118" si="1204">SUM(F2111:F2117)</f>
        <v>0</v>
      </c>
      <c r="G2118" s="415">
        <f t="shared" si="1204"/>
        <v>0</v>
      </c>
      <c r="H2118" s="391"/>
      <c r="I2118" s="406">
        <f t="shared" ref="I2118:J2118" si="1205">SUM(I2111:I2117)</f>
        <v>0</v>
      </c>
      <c r="J2118" s="425">
        <f t="shared" si="1205"/>
        <v>0</v>
      </c>
    </row>
    <row r="2119" spans="1:10" ht="27.75" customHeight="1" x14ac:dyDescent="0.3">
      <c r="A2119" s="274"/>
      <c r="B2119" s="1037" t="s">
        <v>19</v>
      </c>
      <c r="C2119" s="669" t="s">
        <v>235</v>
      </c>
      <c r="D2119" s="669" t="s">
        <v>177</v>
      </c>
      <c r="E2119" s="850">
        <v>12.2659</v>
      </c>
      <c r="F2119" s="658">
        <f>IFERROR(E2119*'01 Prod Physique Boites'!H2113,"-")</f>
        <v>310866.96960000001</v>
      </c>
      <c r="G2119" s="1003">
        <f>IFERROR(E2119*'01 Prod Physique Boites'!L2113,"-")</f>
        <v>7046317.9775999999</v>
      </c>
      <c r="H2119" s="1006">
        <v>14.79</v>
      </c>
      <c r="I2119" s="1005">
        <f t="shared" ref="I2119:I2125" si="1206">IFERROR(H2119*(F2119/E2119),"-")</f>
        <v>374837.75999999995</v>
      </c>
      <c r="J2119" s="638">
        <f>IFERROR(H2119*(G2119/E2119),"-")</f>
        <v>8496322.5599999987</v>
      </c>
    </row>
    <row r="2120" spans="1:10" ht="27.75" customHeight="1" x14ac:dyDescent="0.3">
      <c r="A2120" s="274"/>
      <c r="B2120" s="1038"/>
      <c r="C2120" s="840" t="s">
        <v>359</v>
      </c>
      <c r="D2120" s="840" t="s">
        <v>423</v>
      </c>
      <c r="E2120" s="851">
        <v>12.2659</v>
      </c>
      <c r="F2120" s="643">
        <f>IFERROR(E2120*'01 Prod Physique Boites'!H2114,"-")</f>
        <v>310866.96960000001</v>
      </c>
      <c r="G2120" s="1002">
        <f>IFERROR(E2120*'01 Prod Physique Boites'!L2114,"-")</f>
        <v>7460807.2703999998</v>
      </c>
      <c r="H2120" s="1007">
        <v>14.55</v>
      </c>
      <c r="I2120" s="848">
        <f t="shared" si="1206"/>
        <v>368755.20000000001</v>
      </c>
      <c r="J2120" s="643">
        <f>IFERROR(H2120*(G2120/E2120),"-")</f>
        <v>8850124.8000000007</v>
      </c>
    </row>
    <row r="2121" spans="1:10" ht="27.75" customHeight="1" x14ac:dyDescent="0.3">
      <c r="A2121" s="274"/>
      <c r="B2121" s="1038"/>
      <c r="C2121" s="840" t="s">
        <v>235</v>
      </c>
      <c r="D2121" s="840" t="s">
        <v>522</v>
      </c>
      <c r="E2121" s="851">
        <v>12.2659</v>
      </c>
      <c r="F2121" s="643">
        <f>IFERROR(E2121*'01 Prod Physique Boites'!H2115,"-")</f>
        <v>0</v>
      </c>
      <c r="G2121" s="1002">
        <f>IFERROR(E2121*'01 Prod Physique Boites'!L2115,"-")</f>
        <v>2621370.0208000001</v>
      </c>
      <c r="H2121" s="1008">
        <v>0</v>
      </c>
      <c r="I2121" s="848">
        <f t="shared" si="1206"/>
        <v>0</v>
      </c>
      <c r="J2121" s="643">
        <f t="shared" ref="J2121:J2124" si="1207">IFERROR(H2121*(G2121/E2121),"-")</f>
        <v>0</v>
      </c>
    </row>
    <row r="2122" spans="1:10" ht="27.75" customHeight="1" x14ac:dyDescent="0.3">
      <c r="A2122" s="274"/>
      <c r="B2122" s="1038"/>
      <c r="C2122" s="840" t="s">
        <v>377</v>
      </c>
      <c r="D2122" s="840" t="s">
        <v>522</v>
      </c>
      <c r="E2122" s="851">
        <v>12.2659</v>
      </c>
      <c r="F2122" s="643">
        <f>IFERROR(E2122*'01 Prod Physique Boites'!H2116,"-")</f>
        <v>0</v>
      </c>
      <c r="G2122" s="1002">
        <f>IFERROR(E2122*'01 Prod Physique Boites'!L2116,"-")</f>
        <v>3523158.9887999999</v>
      </c>
      <c r="H2122" s="1008">
        <v>0</v>
      </c>
      <c r="I2122" s="848">
        <f t="shared" si="1206"/>
        <v>0</v>
      </c>
      <c r="J2122" s="643">
        <f t="shared" si="1207"/>
        <v>0</v>
      </c>
    </row>
    <row r="2123" spans="1:10" ht="27.75" customHeight="1" x14ac:dyDescent="0.3">
      <c r="A2123" s="274"/>
      <c r="B2123" s="1038"/>
      <c r="C2123" s="840" t="s">
        <v>536</v>
      </c>
      <c r="D2123" s="840" t="s">
        <v>522</v>
      </c>
      <c r="E2123" s="851">
        <v>12.2659</v>
      </c>
      <c r="F2123" s="643">
        <f>IFERROR(E2123*'01 Prod Physique Boites'!H2117,"-")</f>
        <v>0</v>
      </c>
      <c r="G2123" s="1002">
        <f>IFERROR(E2123*'01 Prod Physique Boites'!L2117,"-")</f>
        <v>1839296.2368000001</v>
      </c>
      <c r="H2123" s="1008">
        <v>0</v>
      </c>
      <c r="I2123" s="848">
        <f t="shared" si="1206"/>
        <v>0</v>
      </c>
      <c r="J2123" s="643">
        <f t="shared" si="1207"/>
        <v>0</v>
      </c>
    </row>
    <row r="2124" spans="1:10" ht="27.75" customHeight="1" x14ac:dyDescent="0.3">
      <c r="A2124" s="274"/>
      <c r="B2124" s="1038"/>
      <c r="C2124" s="840"/>
      <c r="D2124" s="840"/>
      <c r="E2124" s="851">
        <v>12.2659</v>
      </c>
      <c r="F2124" s="643">
        <f>IFERROR(E2124*'01 Prod Physique Boites'!H2118,"-")</f>
        <v>0</v>
      </c>
      <c r="G2124" s="1002">
        <f>IFERROR(E2124*'01 Prod Physique Boites'!L2118,"-")</f>
        <v>0</v>
      </c>
      <c r="H2124" s="1007">
        <v>14.55</v>
      </c>
      <c r="I2124" s="848">
        <f t="shared" si="1206"/>
        <v>0</v>
      </c>
      <c r="J2124" s="643">
        <f t="shared" si="1207"/>
        <v>0</v>
      </c>
    </row>
    <row r="2125" spans="1:10" ht="27.75" customHeight="1" thickBot="1" x14ac:dyDescent="0.35">
      <c r="A2125" s="994" t="s">
        <v>103</v>
      </c>
      <c r="B2125" s="1039"/>
      <c r="C2125" s="670" t="s">
        <v>342</v>
      </c>
      <c r="D2125" s="670"/>
      <c r="E2125" s="852">
        <v>0</v>
      </c>
      <c r="F2125" s="927">
        <f>IFERROR(E2125*'01 Prod Physique Boites'!H2119,"-")</f>
        <v>0</v>
      </c>
      <c r="G2125" s="1004">
        <f>IFERROR(E2125*'01 Prod Physique Boites'!L2119,"-")</f>
        <v>0</v>
      </c>
      <c r="H2125" s="1009">
        <v>0</v>
      </c>
      <c r="I2125" s="848" t="str">
        <f t="shared" si="1206"/>
        <v>-</v>
      </c>
      <c r="J2125" s="427" t="str">
        <f t="shared" ref="J2125" si="1208">IFERROR(I2125*(G2125/F2125),"-")</f>
        <v>-</v>
      </c>
    </row>
    <row r="2126" spans="1:10" ht="27.75" customHeight="1" thickBot="1" x14ac:dyDescent="0.35">
      <c r="A2126" s="274" t="s">
        <v>103</v>
      </c>
      <c r="B2126" s="1025" t="s">
        <v>46</v>
      </c>
      <c r="C2126" s="1041"/>
      <c r="D2126" s="1042"/>
      <c r="E2126" s="842"/>
      <c r="F2126" s="523">
        <f>SUM(F2119:F2125)</f>
        <v>621733.93920000002</v>
      </c>
      <c r="G2126" s="523">
        <f>SUM(G2119:G2125)</f>
        <v>22490950.494399998</v>
      </c>
      <c r="H2126" s="391"/>
      <c r="I2126" s="406">
        <f>SUM(I2119:I2125)</f>
        <v>743592.95999999996</v>
      </c>
      <c r="J2126" s="425">
        <f>SUM(J2119:J2125)</f>
        <v>17346447.359999999</v>
      </c>
    </row>
    <row r="2127" spans="1:10" ht="27.75" customHeight="1" x14ac:dyDescent="0.3">
      <c r="A2127" s="274" t="s">
        <v>103</v>
      </c>
      <c r="B2127" s="1043" t="s">
        <v>20</v>
      </c>
      <c r="C2127" s="291" t="s">
        <v>583</v>
      </c>
      <c r="D2127" s="995" t="s">
        <v>289</v>
      </c>
      <c r="E2127" s="996">
        <v>0</v>
      </c>
      <c r="F2127" s="402">
        <f>IFERROR(E2127*'01 Prod Physique Boites'!H2121,"-")</f>
        <v>0</v>
      </c>
      <c r="G2127" s="403">
        <f>IFERROR(E2127*'01 Prod Physique Boites'!L2121,"-")</f>
        <v>0</v>
      </c>
      <c r="H2127" s="681">
        <v>0</v>
      </c>
      <c r="I2127" s="419" t="str">
        <f>IFERROR(H2127*(F2127/E2127),"-")</f>
        <v>-</v>
      </c>
      <c r="J2127" s="420" t="str">
        <f t="shared" ref="J2127:J2129" si="1209">IFERROR(H2127*(G2127/E2127),"-")</f>
        <v>-</v>
      </c>
    </row>
    <row r="2128" spans="1:10" ht="27.75" customHeight="1" x14ac:dyDescent="0.3">
      <c r="A2128" s="274" t="s">
        <v>103</v>
      </c>
      <c r="B2128" s="1044"/>
      <c r="C2128" s="292" t="s">
        <v>114</v>
      </c>
      <c r="D2128" s="292"/>
      <c r="E2128" s="384">
        <v>24.2607</v>
      </c>
      <c r="F2128" s="402">
        <f>IFERROR(E2128*'01 Prod Physique Boites'!H2122,"-")</f>
        <v>0</v>
      </c>
      <c r="G2128" s="403">
        <f>IFERROR(E2128*'01 Prod Physique Boites'!L2122,"-")</f>
        <v>0</v>
      </c>
      <c r="H2128" s="385">
        <v>37.369999999999997</v>
      </c>
      <c r="I2128" s="421">
        <f>IFERROR(H2128*(F2128/E2128),"-")</f>
        <v>0</v>
      </c>
      <c r="J2128" s="422">
        <f t="shared" si="1209"/>
        <v>0</v>
      </c>
    </row>
    <row r="2129" spans="1:10" ht="27.75" customHeight="1" thickBot="1" x14ac:dyDescent="0.35">
      <c r="A2129" s="274" t="s">
        <v>103</v>
      </c>
      <c r="B2129" s="1045"/>
      <c r="C2129" s="293" t="s">
        <v>120</v>
      </c>
      <c r="D2129" s="293"/>
      <c r="E2129" s="386">
        <v>26.035799999999998</v>
      </c>
      <c r="F2129" s="402">
        <f>IFERROR(E2129*'01 Prod Physique Boites'!H2123,"-")</f>
        <v>0</v>
      </c>
      <c r="G2129" s="403">
        <f>IFERROR(E2129*'01 Prod Physique Boites'!L2123,"-")</f>
        <v>0</v>
      </c>
      <c r="H2129" s="387">
        <v>37.11</v>
      </c>
      <c r="I2129" s="423">
        <f>IFERROR(H2129*(F2129/E2129),"-")</f>
        <v>0</v>
      </c>
      <c r="J2129" s="424">
        <f t="shared" si="1209"/>
        <v>0</v>
      </c>
    </row>
    <row r="2130" spans="1:10" ht="27.75" customHeight="1" thickBot="1" x14ac:dyDescent="0.35">
      <c r="A2130" s="274" t="s">
        <v>103</v>
      </c>
      <c r="B2130" s="1026" t="s">
        <v>47</v>
      </c>
      <c r="C2130" s="1026"/>
      <c r="D2130" s="1046"/>
      <c r="E2130" s="390"/>
      <c r="F2130" s="406">
        <f t="shared" ref="F2130:G2130" si="1210">SUM(F2127:F2129)</f>
        <v>0</v>
      </c>
      <c r="G2130" s="407">
        <f t="shared" si="1210"/>
        <v>0</v>
      </c>
      <c r="H2130" s="391"/>
      <c r="I2130" s="406">
        <f t="shared" ref="I2130:J2130" si="1211">SUM(I2127:I2129)</f>
        <v>0</v>
      </c>
      <c r="J2130" s="425">
        <f t="shared" si="1211"/>
        <v>0</v>
      </c>
    </row>
    <row r="2131" spans="1:10" ht="27.75" customHeight="1" thickBot="1" x14ac:dyDescent="0.35">
      <c r="A2131" s="274" t="s">
        <v>103</v>
      </c>
      <c r="B2131" s="1047" t="s">
        <v>21</v>
      </c>
      <c r="C2131" s="1048"/>
      <c r="D2131" s="1049"/>
      <c r="E2131" s="393"/>
      <c r="F2131" s="410">
        <f>+F2102+F2110+F2118+F2126+F2130</f>
        <v>1238874.6312000002</v>
      </c>
      <c r="G2131" s="411">
        <f>+G2102+G2110+G2118+G2126+G2130</f>
        <v>44254201.560399994</v>
      </c>
      <c r="H2131" s="394"/>
      <c r="I2131" s="410">
        <f>+I2102+I2110+I2118+I2126+I2130</f>
        <v>1370892.96</v>
      </c>
      <c r="J2131" s="428">
        <f>+J2102+J2110+J2118+J2126+J2130</f>
        <v>49716898.160000004</v>
      </c>
    </row>
    <row r="2132" spans="1:10" ht="27.75" customHeight="1" x14ac:dyDescent="0.3">
      <c r="A2132" s="274" t="s">
        <v>103</v>
      </c>
      <c r="B2132" s="1043" t="s">
        <v>400</v>
      </c>
      <c r="C2132" s="269" t="s">
        <v>125</v>
      </c>
      <c r="D2132" s="269"/>
      <c r="E2132" s="380">
        <v>22.820599999999999</v>
      </c>
      <c r="F2132" s="402">
        <f>IFERROR(E2132*'01 Prod Physique Boites'!H2126,"-")</f>
        <v>0</v>
      </c>
      <c r="G2132" s="403">
        <f>IFERROR(E2132*'01 Prod Physique Boites'!L2126,"-")</f>
        <v>0</v>
      </c>
      <c r="H2132" s="381">
        <v>27.5</v>
      </c>
      <c r="I2132" s="419">
        <f>IFERROR(H2132*(F2132/E2132),"-")</f>
        <v>0</v>
      </c>
      <c r="J2132" s="420">
        <f t="shared" ref="J2132:J2135" si="1212">IFERROR(H2132*(G2132/E2132),"-")</f>
        <v>0</v>
      </c>
    </row>
    <row r="2133" spans="1:10" ht="27.75" customHeight="1" x14ac:dyDescent="0.3">
      <c r="A2133" s="274" t="s">
        <v>103</v>
      </c>
      <c r="B2133" s="1044"/>
      <c r="C2133" s="295" t="s">
        <v>263</v>
      </c>
      <c r="D2133" s="295" t="s">
        <v>181</v>
      </c>
      <c r="E2133" s="384">
        <v>23.570699999999999</v>
      </c>
      <c r="F2133" s="402">
        <f>IFERROR(E2133*'01 Prod Physique Boites'!H2127,"-")</f>
        <v>0</v>
      </c>
      <c r="G2133" s="403">
        <f>IFERROR(E2133*'01 Prod Physique Boites'!L2127,"-")</f>
        <v>0</v>
      </c>
      <c r="H2133" s="385">
        <v>27.5</v>
      </c>
      <c r="I2133" s="421">
        <f>IFERROR(H2133*(F2133/E2133),"-")</f>
        <v>0</v>
      </c>
      <c r="J2133" s="422">
        <f t="shared" si="1212"/>
        <v>0</v>
      </c>
    </row>
    <row r="2134" spans="1:10" ht="27.75" customHeight="1" x14ac:dyDescent="0.3">
      <c r="A2134" s="274" t="s">
        <v>103</v>
      </c>
      <c r="B2134" s="1044"/>
      <c r="C2134" s="295" t="s">
        <v>362</v>
      </c>
      <c r="D2134" s="295" t="s">
        <v>181</v>
      </c>
      <c r="E2134" s="384">
        <v>22.820599999999999</v>
      </c>
      <c r="F2134" s="402">
        <f>IFERROR(E2134*'01 Prod Physique Boites'!H2128,"-")</f>
        <v>0</v>
      </c>
      <c r="G2134" s="403">
        <f>IFERROR(E2134*'01 Prod Physique Boites'!L2128,"-")</f>
        <v>1084434.912</v>
      </c>
      <c r="H2134" s="385">
        <v>27.5</v>
      </c>
      <c r="I2134" s="421">
        <f>IFERROR(H2134*(F2134/E2134),"-")</f>
        <v>0</v>
      </c>
      <c r="J2134" s="422">
        <f t="shared" si="1212"/>
        <v>1306800</v>
      </c>
    </row>
    <row r="2135" spans="1:10" ht="27.75" customHeight="1" thickBot="1" x14ac:dyDescent="0.35">
      <c r="A2135" s="274" t="s">
        <v>103</v>
      </c>
      <c r="B2135" s="1045"/>
      <c r="C2135" s="279" t="s">
        <v>182</v>
      </c>
      <c r="D2135" s="279" t="s">
        <v>93</v>
      </c>
      <c r="E2135" s="386">
        <v>22.238499999999998</v>
      </c>
      <c r="F2135" s="402">
        <f>IFERROR(E2135*'01 Prod Physique Boites'!H2129,"-")</f>
        <v>0</v>
      </c>
      <c r="G2135" s="403">
        <f>IFERROR(E2135*'01 Prod Physique Boites'!L2129,"-")</f>
        <v>3830804.01</v>
      </c>
      <c r="H2135" s="387">
        <v>27</v>
      </c>
      <c r="I2135" s="423">
        <f>IFERROR(H2135*(F2135/E2135),"-")</f>
        <v>0</v>
      </c>
      <c r="J2135" s="424">
        <f t="shared" si="1212"/>
        <v>4651020</v>
      </c>
    </row>
    <row r="2136" spans="1:10" ht="27.75" customHeight="1" thickBot="1" x14ac:dyDescent="0.35">
      <c r="A2136" s="274" t="s">
        <v>103</v>
      </c>
      <c r="B2136" s="1025" t="s">
        <v>48</v>
      </c>
      <c r="C2136" s="1026"/>
      <c r="D2136" s="1027"/>
      <c r="E2136" s="390"/>
      <c r="F2136" s="406">
        <f t="shared" ref="F2136:G2136" si="1213">SUM(F2132:F2135)</f>
        <v>0</v>
      </c>
      <c r="G2136" s="407">
        <f t="shared" si="1213"/>
        <v>4915238.9220000003</v>
      </c>
      <c r="H2136" s="391"/>
      <c r="I2136" s="406">
        <f t="shared" ref="I2136:J2136" si="1214">SUM(I2132:I2135)</f>
        <v>0</v>
      </c>
      <c r="J2136" s="425">
        <f t="shared" si="1214"/>
        <v>5957820</v>
      </c>
    </row>
    <row r="2137" spans="1:10" ht="27.75" customHeight="1" x14ac:dyDescent="0.3">
      <c r="A2137" s="274" t="s">
        <v>103</v>
      </c>
      <c r="B2137" s="1043" t="s">
        <v>23</v>
      </c>
      <c r="C2137" s="275" t="s">
        <v>500</v>
      </c>
      <c r="D2137" s="296" t="s">
        <v>238</v>
      </c>
      <c r="E2137" s="380">
        <v>101.4935</v>
      </c>
      <c r="F2137" s="402">
        <f>IFERROR(E2137*'01 Prod Physique Boites'!H2131,"-")</f>
        <v>0</v>
      </c>
      <c r="G2137" s="403">
        <f>IFERROR(E2137*'01 Prod Physique Boites'!L2131,"-")</f>
        <v>0</v>
      </c>
      <c r="H2137" s="385">
        <v>160.44999999999999</v>
      </c>
      <c r="I2137" s="419">
        <f t="shared" ref="I2137:I2145" si="1215">IFERROR(H2137*(F2137/E2137),"-")</f>
        <v>0</v>
      </c>
      <c r="J2137" s="420">
        <f t="shared" ref="J2137:J2145" si="1216">IFERROR(H2137*(G2137/E2137),"-")</f>
        <v>0</v>
      </c>
    </row>
    <row r="2138" spans="1:10" ht="27.75" customHeight="1" x14ac:dyDescent="0.3">
      <c r="A2138" s="274" t="s">
        <v>103</v>
      </c>
      <c r="B2138" s="1044"/>
      <c r="C2138" s="275" t="s">
        <v>24</v>
      </c>
      <c r="D2138" s="275" t="s">
        <v>238</v>
      </c>
      <c r="E2138" s="384">
        <v>101.4935</v>
      </c>
      <c r="F2138" s="402">
        <f>IFERROR(E2138*'01 Prod Physique Boites'!H2132,"-")</f>
        <v>0</v>
      </c>
      <c r="G2138" s="403">
        <f>IFERROR(E2138*'01 Prod Physique Boites'!L2132,"-")</f>
        <v>0</v>
      </c>
      <c r="H2138" s="385">
        <v>160.44999999999999</v>
      </c>
      <c r="I2138" s="421">
        <f t="shared" si="1215"/>
        <v>0</v>
      </c>
      <c r="J2138" s="422">
        <f t="shared" si="1216"/>
        <v>0</v>
      </c>
    </row>
    <row r="2139" spans="1:10" ht="27.75" customHeight="1" x14ac:dyDescent="0.3">
      <c r="A2139" s="274" t="s">
        <v>103</v>
      </c>
      <c r="B2139" s="1044"/>
      <c r="C2139" s="275" t="s">
        <v>236</v>
      </c>
      <c r="D2139" s="275" t="s">
        <v>238</v>
      </c>
      <c r="E2139" s="384">
        <v>101.4935</v>
      </c>
      <c r="F2139" s="402">
        <f>IFERROR(E2139*'01 Prod Physique Boites'!H2133,"-")</f>
        <v>0</v>
      </c>
      <c r="G2139" s="403">
        <f>IFERROR(E2139*'01 Prod Physique Boites'!L2133,"-")</f>
        <v>0</v>
      </c>
      <c r="H2139" s="385">
        <v>160.44999999999999</v>
      </c>
      <c r="I2139" s="421">
        <f t="shared" si="1215"/>
        <v>0</v>
      </c>
      <c r="J2139" s="422">
        <f t="shared" si="1216"/>
        <v>0</v>
      </c>
    </row>
    <row r="2140" spans="1:10" ht="27.75" customHeight="1" x14ac:dyDescent="0.3">
      <c r="A2140" s="274" t="s">
        <v>103</v>
      </c>
      <c r="B2140" s="1044"/>
      <c r="C2140" s="275" t="s">
        <v>239</v>
      </c>
      <c r="D2140" s="275" t="s">
        <v>238</v>
      </c>
      <c r="E2140" s="384">
        <v>101.4935</v>
      </c>
      <c r="F2140" s="402">
        <f>IFERROR(E2140*'01 Prod Physique Boites'!H2134,"-")</f>
        <v>0</v>
      </c>
      <c r="G2140" s="403">
        <f>IFERROR(E2140*'01 Prod Physique Boites'!L2134,"-")</f>
        <v>0</v>
      </c>
      <c r="H2140" s="385">
        <v>160.44999999999999</v>
      </c>
      <c r="I2140" s="421">
        <f t="shared" si="1215"/>
        <v>0</v>
      </c>
      <c r="J2140" s="422">
        <f t="shared" si="1216"/>
        <v>0</v>
      </c>
    </row>
    <row r="2141" spans="1:10" ht="27.75" customHeight="1" x14ac:dyDescent="0.3">
      <c r="A2141" s="274" t="s">
        <v>103</v>
      </c>
      <c r="B2141" s="1044"/>
      <c r="C2141" s="295" t="s">
        <v>394</v>
      </c>
      <c r="D2141" s="275" t="s">
        <v>238</v>
      </c>
      <c r="E2141" s="384">
        <v>101.4935</v>
      </c>
      <c r="F2141" s="402">
        <f>IFERROR(E2141*'01 Prod Physique Boites'!H2135,"-")</f>
        <v>0</v>
      </c>
      <c r="G2141" s="403">
        <f>IFERROR(E2141*'01 Prod Physique Boites'!L2135,"-")</f>
        <v>0</v>
      </c>
      <c r="H2141" s="385">
        <v>160.44999999999999</v>
      </c>
      <c r="I2141" s="421">
        <f t="shared" si="1215"/>
        <v>0</v>
      </c>
      <c r="J2141" s="422">
        <f t="shared" si="1216"/>
        <v>0</v>
      </c>
    </row>
    <row r="2142" spans="1:10" ht="27.75" customHeight="1" x14ac:dyDescent="0.3">
      <c r="A2142" s="274" t="s">
        <v>103</v>
      </c>
      <c r="B2142" s="1044"/>
      <c r="C2142" s="295" t="s">
        <v>422</v>
      </c>
      <c r="D2142" s="275" t="s">
        <v>238</v>
      </c>
      <c r="E2142" s="384">
        <v>101.4935</v>
      </c>
      <c r="F2142" s="402">
        <f>IFERROR(E2142*'01 Prod Physique Boites'!H2136,"-")</f>
        <v>0</v>
      </c>
      <c r="G2142" s="403">
        <f>IFERROR(E2142*'01 Prod Physique Boites'!L2136,"-")</f>
        <v>0</v>
      </c>
      <c r="H2142" s="385">
        <v>160.44999999999999</v>
      </c>
      <c r="I2142" s="421">
        <f t="shared" si="1215"/>
        <v>0</v>
      </c>
      <c r="J2142" s="422">
        <f t="shared" si="1216"/>
        <v>0</v>
      </c>
    </row>
    <row r="2143" spans="1:10" ht="27.75" customHeight="1" x14ac:dyDescent="0.3">
      <c r="A2143" s="274" t="s">
        <v>103</v>
      </c>
      <c r="B2143" s="1044"/>
      <c r="C2143" s="295" t="s">
        <v>241</v>
      </c>
      <c r="D2143" s="275" t="s">
        <v>547</v>
      </c>
      <c r="E2143" s="384">
        <v>101.4935</v>
      </c>
      <c r="F2143" s="402">
        <f>IFERROR(E2143*'01 Prod Physique Boites'!H2137,"-")</f>
        <v>0</v>
      </c>
      <c r="G2143" s="403">
        <f>IFERROR(E2143*'01 Prod Physique Boites'!L2137,"-")</f>
        <v>0</v>
      </c>
      <c r="H2143" s="385">
        <v>160.44999999999999</v>
      </c>
      <c r="I2143" s="421">
        <f t="shared" si="1215"/>
        <v>0</v>
      </c>
      <c r="J2143" s="422">
        <f t="shared" si="1216"/>
        <v>0</v>
      </c>
    </row>
    <row r="2144" spans="1:10" ht="27.75" customHeight="1" x14ac:dyDescent="0.3">
      <c r="A2144" s="274"/>
      <c r="B2144" s="1045"/>
      <c r="C2144" s="295" t="s">
        <v>546</v>
      </c>
      <c r="D2144" s="275" t="s">
        <v>238</v>
      </c>
      <c r="E2144" s="386">
        <v>101.49</v>
      </c>
      <c r="F2144" s="402">
        <f>IFERROR(E2144*'01 Prod Physique Boites'!H2138,"-")</f>
        <v>0</v>
      </c>
      <c r="G2144" s="403">
        <f>IFERROR(E2144*'01 Prod Physique Boites'!L2138,"-")</f>
        <v>0</v>
      </c>
      <c r="H2144" s="385">
        <v>160.44999999999999</v>
      </c>
      <c r="I2144" s="421">
        <f t="shared" si="1215"/>
        <v>0</v>
      </c>
      <c r="J2144" s="422">
        <f t="shared" si="1216"/>
        <v>0</v>
      </c>
    </row>
    <row r="2145" spans="1:10" ht="27.75" customHeight="1" thickBot="1" x14ac:dyDescent="0.35">
      <c r="A2145" s="274" t="s">
        <v>103</v>
      </c>
      <c r="B2145" s="1045"/>
      <c r="C2145" s="295" t="s">
        <v>242</v>
      </c>
      <c r="D2145" s="275" t="s">
        <v>238</v>
      </c>
      <c r="E2145" s="386">
        <v>101.4935</v>
      </c>
      <c r="F2145" s="402">
        <f>IFERROR(E2145*'01 Prod Physique Boites'!H2139,"-")</f>
        <v>0</v>
      </c>
      <c r="G2145" s="403">
        <f>IFERROR(E2145*'01 Prod Physique Boites'!L2139,"-")</f>
        <v>0</v>
      </c>
      <c r="H2145" s="385">
        <v>160.44999999999999</v>
      </c>
      <c r="I2145" s="421">
        <f t="shared" si="1215"/>
        <v>0</v>
      </c>
      <c r="J2145" s="424">
        <f t="shared" si="1216"/>
        <v>0</v>
      </c>
    </row>
    <row r="2146" spans="1:10" ht="27.75" customHeight="1" thickBot="1" x14ac:dyDescent="0.35">
      <c r="A2146" s="274" t="s">
        <v>103</v>
      </c>
      <c r="B2146" s="1025" t="s">
        <v>49</v>
      </c>
      <c r="C2146" s="1026"/>
      <c r="D2146" s="1027"/>
      <c r="E2146" s="390"/>
      <c r="F2146" s="406">
        <f t="shared" ref="F2146" si="1217">SUM(F2137:F2145)</f>
        <v>0</v>
      </c>
      <c r="G2146" s="407">
        <f>SUM(G2137:G2145)</f>
        <v>0</v>
      </c>
      <c r="H2146" s="391"/>
      <c r="I2146" s="406">
        <f t="shared" ref="I2146" si="1218">SUM(I2137:I2145)</f>
        <v>0</v>
      </c>
      <c r="J2146" s="425">
        <f>SUM(J2137:J2145)</f>
        <v>0</v>
      </c>
    </row>
    <row r="2147" spans="1:10" ht="27.75" customHeight="1" thickBot="1" x14ac:dyDescent="0.35">
      <c r="A2147" s="274" t="s">
        <v>103</v>
      </c>
      <c r="B2147" s="1047" t="s">
        <v>25</v>
      </c>
      <c r="C2147" s="1048"/>
      <c r="D2147" s="1049"/>
      <c r="E2147" s="393"/>
      <c r="F2147" s="410">
        <f t="shared" ref="F2147" si="1219">+F2136+F2146</f>
        <v>0</v>
      </c>
      <c r="G2147" s="411">
        <f>+G2136+G2146</f>
        <v>4915238.9220000003</v>
      </c>
      <c r="H2147" s="394"/>
      <c r="I2147" s="410">
        <f t="shared" ref="I2147:J2147" si="1220">+I2136+I2146</f>
        <v>0</v>
      </c>
      <c r="J2147" s="428">
        <f t="shared" si="1220"/>
        <v>5957820</v>
      </c>
    </row>
    <row r="2148" spans="1:10" ht="27.75" customHeight="1" thickBot="1" x14ac:dyDescent="0.35">
      <c r="A2148" s="274" t="s">
        <v>103</v>
      </c>
      <c r="B2148" s="1019" t="s">
        <v>172</v>
      </c>
      <c r="C2148" s="1020"/>
      <c r="D2148" s="1021"/>
      <c r="E2148" s="395"/>
      <c r="F2148" s="412">
        <f t="shared" ref="F2148" si="1221">+F2131+F2147</f>
        <v>1238874.6312000002</v>
      </c>
      <c r="G2148" s="413">
        <f>+G2131+G2147</f>
        <v>49169440.482399993</v>
      </c>
      <c r="H2148" s="396"/>
      <c r="I2148" s="412">
        <f t="shared" ref="I2148:J2148" si="1222">+I2131+I2147</f>
        <v>1370892.96</v>
      </c>
      <c r="J2148" s="429">
        <f t="shared" si="1222"/>
        <v>55674718.160000004</v>
      </c>
    </row>
    <row r="2149" spans="1:10" ht="27.75" customHeight="1" x14ac:dyDescent="0.3">
      <c r="A2149" s="268" t="s">
        <v>101</v>
      </c>
      <c r="B2149" s="1051" t="s">
        <v>26</v>
      </c>
      <c r="C2149" s="893" t="s">
        <v>297</v>
      </c>
      <c r="D2149" s="898" t="s">
        <v>177</v>
      </c>
      <c r="E2149" s="504">
        <v>13.1272</v>
      </c>
      <c r="F2149" s="402">
        <f>IFERROR(E2149*'01 Prod Physique Boites'!H2143,"-")</f>
        <v>0</v>
      </c>
      <c r="G2149" s="403">
        <f>IFERROR(E2149*'01 Prod Physique Boites'!L2143,"-")</f>
        <v>0</v>
      </c>
      <c r="H2149" s="381">
        <v>20.76</v>
      </c>
      <c r="I2149" s="419">
        <f t="shared" ref="I2149:I2158" si="1223">IFERROR(H2149*(F2149/E2149),"-")</f>
        <v>0</v>
      </c>
      <c r="J2149" s="632">
        <f t="shared" ref="J2149:J2158" si="1224">IFERROR(H2149*(G2149/E2149),"-")</f>
        <v>0</v>
      </c>
    </row>
    <row r="2150" spans="1:10" ht="27.75" customHeight="1" x14ac:dyDescent="0.3">
      <c r="A2150" s="274" t="s">
        <v>101</v>
      </c>
      <c r="B2150" s="1051"/>
      <c r="C2150" s="253" t="s">
        <v>424</v>
      </c>
      <c r="D2150" s="899" t="s">
        <v>423</v>
      </c>
      <c r="E2150" s="505">
        <v>16.7288</v>
      </c>
      <c r="F2150" s="402">
        <f>IFERROR(E2150*'01 Prod Physique Boites'!H2144,"-")</f>
        <v>0</v>
      </c>
      <c r="G2150" s="403">
        <f>IFERROR(E2150*'01 Prod Physique Boites'!L2144,"-")</f>
        <v>4392112.9824000001</v>
      </c>
      <c r="H2150" s="385">
        <v>20.76</v>
      </c>
      <c r="I2150" s="421">
        <f t="shared" si="1223"/>
        <v>0</v>
      </c>
      <c r="J2150" s="633">
        <f t="shared" si="1224"/>
        <v>5450496.4800000004</v>
      </c>
    </row>
    <row r="2151" spans="1:10" ht="27.75" customHeight="1" x14ac:dyDescent="0.3">
      <c r="A2151" s="274" t="s">
        <v>101</v>
      </c>
      <c r="B2151" s="1051"/>
      <c r="C2151" s="813" t="s">
        <v>27</v>
      </c>
      <c r="D2151" s="899" t="s">
        <v>334</v>
      </c>
      <c r="E2151" s="501">
        <v>14.608000000000001</v>
      </c>
      <c r="F2151" s="402">
        <f>IFERROR(E2151*'01 Prod Physique Boites'!H2145,"-")</f>
        <v>0</v>
      </c>
      <c r="G2151" s="403">
        <f>IFERROR(E2151*'01 Prod Physique Boites'!L2145,"-")</f>
        <v>522995.61600000004</v>
      </c>
      <c r="H2151" s="385">
        <v>21.22</v>
      </c>
      <c r="I2151" s="643">
        <f t="shared" si="1223"/>
        <v>0</v>
      </c>
      <c r="J2151" s="633">
        <f t="shared" si="1224"/>
        <v>759718.44</v>
      </c>
    </row>
    <row r="2152" spans="1:10" ht="27.75" customHeight="1" x14ac:dyDescent="0.3">
      <c r="A2152" s="274" t="s">
        <v>101</v>
      </c>
      <c r="B2152" s="1051"/>
      <c r="C2152" s="813" t="s">
        <v>27</v>
      </c>
      <c r="D2152" s="900" t="s">
        <v>492</v>
      </c>
      <c r="E2152" s="501">
        <v>17.8202</v>
      </c>
      <c r="F2152" s="402">
        <f>IFERROR(E2152*'01 Prod Physique Boites'!H2146,"-")</f>
        <v>0</v>
      </c>
      <c r="G2152" s="403">
        <f>IFERROR(E2152*'01 Prod Physique Boites'!L2146,"-")</f>
        <v>4820435.3808000004</v>
      </c>
      <c r="H2152" s="385">
        <v>26.75</v>
      </c>
      <c r="I2152" s="643">
        <f t="shared" si="1223"/>
        <v>0</v>
      </c>
      <c r="J2152" s="633">
        <f t="shared" si="1224"/>
        <v>7235982</v>
      </c>
    </row>
    <row r="2153" spans="1:10" ht="27.75" customHeight="1" x14ac:dyDescent="0.3">
      <c r="A2153" s="274" t="s">
        <v>101</v>
      </c>
      <c r="B2153" s="1051"/>
      <c r="C2153" s="893" t="s">
        <v>521</v>
      </c>
      <c r="D2153" s="899" t="s">
        <v>234</v>
      </c>
      <c r="E2153" s="501">
        <v>14.608000000000001</v>
      </c>
      <c r="F2153" s="402">
        <f>IFERROR(E2153*'01 Prod Physique Boites'!H2147,"-")</f>
        <v>0</v>
      </c>
      <c r="G2153" s="403">
        <f>IFERROR(E2153*'01 Prod Physique Boites'!L2147,"-")</f>
        <v>813548.73600000003</v>
      </c>
      <c r="H2153" s="385">
        <v>24.93</v>
      </c>
      <c r="I2153" s="643">
        <f t="shared" si="1223"/>
        <v>0</v>
      </c>
      <c r="J2153" s="633">
        <f t="shared" si="1224"/>
        <v>1388401.56</v>
      </c>
    </row>
    <row r="2154" spans="1:10" ht="27.75" customHeight="1" x14ac:dyDescent="0.3">
      <c r="A2154" s="274"/>
      <c r="B2154" s="1051"/>
      <c r="C2154" s="813" t="s">
        <v>575</v>
      </c>
      <c r="D2154" s="899" t="s">
        <v>178</v>
      </c>
      <c r="E2154" s="501">
        <v>16.7288</v>
      </c>
      <c r="F2154" s="402">
        <f>IFERROR(E2154*'01 Prod Physique Boites'!H2148,"-")</f>
        <v>2329150.824</v>
      </c>
      <c r="G2154" s="403">
        <f>IFERROR(E2154*'01 Prod Physique Boites'!L2148,"-")</f>
        <v>8185301.4671999998</v>
      </c>
      <c r="H2154" s="387">
        <v>25.49</v>
      </c>
      <c r="I2154" s="643">
        <f t="shared" si="1223"/>
        <v>3548972.6999999997</v>
      </c>
      <c r="J2154" s="634">
        <f t="shared" si="1224"/>
        <v>12472104.059999999</v>
      </c>
    </row>
    <row r="2155" spans="1:10" ht="27.75" customHeight="1" x14ac:dyDescent="0.3">
      <c r="A2155" s="274"/>
      <c r="B2155" s="1051"/>
      <c r="C2155" s="813" t="s">
        <v>333</v>
      </c>
      <c r="D2155" s="899" t="s">
        <v>94</v>
      </c>
      <c r="E2155" s="501">
        <v>17.8202</v>
      </c>
      <c r="F2155" s="724">
        <f>IFERROR(E2155*'01 Prod Physique Boites'!H2149,"-")</f>
        <v>0</v>
      </c>
      <c r="G2155" s="403">
        <f>IFERROR(E2155*'01 Prod Physique Boites'!L2149,"-")</f>
        <v>0</v>
      </c>
      <c r="H2155" s="387">
        <v>24.93</v>
      </c>
      <c r="I2155" s="730">
        <f t="shared" si="1223"/>
        <v>0</v>
      </c>
      <c r="J2155" s="634">
        <f t="shared" si="1224"/>
        <v>0</v>
      </c>
    </row>
    <row r="2156" spans="1:10" ht="27.75" customHeight="1" x14ac:dyDescent="0.3">
      <c r="A2156" s="725"/>
      <c r="B2156" s="1051"/>
      <c r="C2156" s="813" t="s">
        <v>433</v>
      </c>
      <c r="D2156" s="899" t="s">
        <v>540</v>
      </c>
      <c r="E2156" s="727">
        <v>16.7288</v>
      </c>
      <c r="F2156" s="724">
        <f>IFERROR(E2156*'01 Prod Physique Boites'!H2150,"-")</f>
        <v>0</v>
      </c>
      <c r="G2156" s="728">
        <f>IFERROR(E2156*'01 Prod Physique Boites'!L2150,"-")</f>
        <v>5922697.8096000003</v>
      </c>
      <c r="H2156" s="729">
        <v>25</v>
      </c>
      <c r="I2156" s="730">
        <f t="shared" si="1223"/>
        <v>0</v>
      </c>
      <c r="J2156" s="634">
        <f t="shared" si="1224"/>
        <v>8851050</v>
      </c>
    </row>
    <row r="2157" spans="1:10" ht="27.75" customHeight="1" x14ac:dyDescent="0.3">
      <c r="A2157" s="725"/>
      <c r="B2157" s="1051"/>
      <c r="C2157" s="813" t="s">
        <v>382</v>
      </c>
      <c r="D2157" s="899" t="s">
        <v>366</v>
      </c>
      <c r="E2157" s="727">
        <v>16.345199999999998</v>
      </c>
      <c r="F2157" s="724">
        <f>IFERROR(E2157*'01 Prod Physique Boites'!H2151,"-")</f>
        <v>0</v>
      </c>
      <c r="G2157" s="728">
        <f>IFERROR(E2157*'01 Prod Physique Boites'!L2151,"-")</f>
        <v>4486463.1864</v>
      </c>
      <c r="H2157" s="729">
        <v>23.78</v>
      </c>
      <c r="I2157" s="730">
        <f t="shared" si="1223"/>
        <v>0</v>
      </c>
      <c r="J2157" s="634">
        <f t="shared" si="1224"/>
        <v>6527181.96</v>
      </c>
    </row>
    <row r="2158" spans="1:10" ht="27.75" customHeight="1" thickBot="1" x14ac:dyDescent="0.35">
      <c r="A2158" s="274" t="s">
        <v>101</v>
      </c>
      <c r="B2158" s="1051"/>
      <c r="C2158" s="894" t="s">
        <v>290</v>
      </c>
      <c r="D2158" s="901" t="s">
        <v>289</v>
      </c>
      <c r="E2158" s="501">
        <v>12.6997</v>
      </c>
      <c r="F2158" s="402">
        <f>IFERROR(E2158*'01 Prod Physique Boites'!H2152,"-")</f>
        <v>0</v>
      </c>
      <c r="G2158" s="728">
        <f>IFERROR(E2158*'01 Prod Physique Boites'!L2152,"-")</f>
        <v>0</v>
      </c>
      <c r="H2158" s="387">
        <v>13.25</v>
      </c>
      <c r="I2158" s="730">
        <f t="shared" si="1223"/>
        <v>0</v>
      </c>
      <c r="J2158" s="634">
        <f t="shared" si="1224"/>
        <v>0</v>
      </c>
    </row>
    <row r="2159" spans="1:10" ht="27.75" customHeight="1" thickBot="1" x14ac:dyDescent="0.35">
      <c r="A2159" s="274" t="s">
        <v>101</v>
      </c>
      <c r="B2159" s="1052"/>
      <c r="C2159" s="301"/>
      <c r="D2159" s="302" t="s">
        <v>52</v>
      </c>
      <c r="E2159" s="390"/>
      <c r="F2159" s="406">
        <f>SUM(F2149:F2158)</f>
        <v>2329150.824</v>
      </c>
      <c r="G2159" s="407">
        <f>SUM(G2149:G2158)</f>
        <v>29143555.178400002</v>
      </c>
      <c r="H2159" s="391"/>
      <c r="I2159" s="406">
        <f>SUM(I2149:I2158)</f>
        <v>3548972.6999999997</v>
      </c>
      <c r="J2159" s="425">
        <f>SUM(J2149:J2158)</f>
        <v>42684934.5</v>
      </c>
    </row>
    <row r="2160" spans="1:10" ht="27.75" customHeight="1" x14ac:dyDescent="0.3">
      <c r="A2160" s="274" t="s">
        <v>101</v>
      </c>
      <c r="B2160" s="1053" t="s">
        <v>28</v>
      </c>
      <c r="C2160" s="299" t="s">
        <v>27</v>
      </c>
      <c r="D2160" s="297" t="s">
        <v>492</v>
      </c>
      <c r="E2160" s="504">
        <v>17.8202</v>
      </c>
      <c r="F2160" s="402">
        <f>IFERROR(E2160*'01 Prod Physique Boites'!H2154,"-")</f>
        <v>0</v>
      </c>
      <c r="G2160" s="403">
        <f>IFERROR(E2160*'01 Prod Physique Boites'!L2154,"-")</f>
        <v>2977327.7352</v>
      </c>
      <c r="H2160" s="381">
        <v>26.75</v>
      </c>
      <c r="I2160" s="419">
        <f t="shared" ref="I2160:I2166" si="1225">IFERROR(H2160*(F2160/E2160),"-")</f>
        <v>0</v>
      </c>
      <c r="J2160" s="632">
        <f t="shared" ref="J2160:J2161" si="1226">IFERROR(H2160*(G2160/E2160),"-")</f>
        <v>4469283</v>
      </c>
    </row>
    <row r="2161" spans="1:10" ht="27.75" customHeight="1" x14ac:dyDescent="0.3">
      <c r="A2161" s="274" t="s">
        <v>101</v>
      </c>
      <c r="B2161" s="1051"/>
      <c r="C2161" s="299" t="s">
        <v>386</v>
      </c>
      <c r="D2161" s="299" t="s">
        <v>334</v>
      </c>
      <c r="E2161" s="711">
        <v>16.7288</v>
      </c>
      <c r="F2161" s="402">
        <f>IFERROR(E2161*'01 Prod Physique Boites'!H2155,"-")</f>
        <v>0</v>
      </c>
      <c r="G2161" s="728">
        <f>IFERROR(E2161*'01 Prod Physique Boites'!L2155,"-")</f>
        <v>1597131.9935999999</v>
      </c>
      <c r="H2161" s="708">
        <v>20.76</v>
      </c>
      <c r="I2161" s="421">
        <f t="shared" si="1225"/>
        <v>0</v>
      </c>
      <c r="J2161" s="633">
        <f t="shared" si="1226"/>
        <v>1981998.7200000002</v>
      </c>
    </row>
    <row r="2162" spans="1:10" ht="27.75" customHeight="1" x14ac:dyDescent="0.3">
      <c r="A2162" s="274" t="s">
        <v>101</v>
      </c>
      <c r="B2162" s="1051"/>
      <c r="C2162" s="299" t="s">
        <v>541</v>
      </c>
      <c r="D2162" s="299" t="s">
        <v>334</v>
      </c>
      <c r="E2162" s="501">
        <v>17.8202</v>
      </c>
      <c r="F2162" s="402">
        <f>IFERROR(E2162*'01 Prod Physique Boites'!H2156,"-")</f>
        <v>0</v>
      </c>
      <c r="G2162" s="403">
        <f>IFERROR(E2162*'01 Prod Physique Boites'!L2156,"-")</f>
        <v>0</v>
      </c>
      <c r="H2162" s="385">
        <v>21.22</v>
      </c>
      <c r="I2162" s="421">
        <f t="shared" si="1225"/>
        <v>0</v>
      </c>
      <c r="J2162" s="633">
        <f>IFERROR(H2162*(G2162/E2162),"-")</f>
        <v>0</v>
      </c>
    </row>
    <row r="2163" spans="1:10" ht="27.75" customHeight="1" x14ac:dyDescent="0.3">
      <c r="A2163" s="274"/>
      <c r="B2163" s="1051"/>
      <c r="C2163" s="299" t="s">
        <v>460</v>
      </c>
      <c r="D2163" s="299" t="s">
        <v>334</v>
      </c>
      <c r="E2163" s="501">
        <v>14.608000000000001</v>
      </c>
      <c r="F2163" s="402">
        <f>IFERROR(E2163*'01 Prod Physique Boites'!H2157,"-")</f>
        <v>0</v>
      </c>
      <c r="G2163" s="403">
        <f>IFERROR(E2163*'01 Prod Physique Boites'!L2157,"-")</f>
        <v>58110.624000000003</v>
      </c>
      <c r="H2163" s="385">
        <v>21.22</v>
      </c>
      <c r="I2163" s="421">
        <f t="shared" si="1225"/>
        <v>0</v>
      </c>
      <c r="J2163" s="633">
        <f>IFERROR(H2163*(G2163/E2163),"-")</f>
        <v>84413.159999999989</v>
      </c>
    </row>
    <row r="2164" spans="1:10" ht="27.75" customHeight="1" x14ac:dyDescent="0.3">
      <c r="A2164" s="274"/>
      <c r="B2164" s="1051"/>
      <c r="C2164" s="299" t="s">
        <v>433</v>
      </c>
      <c r="D2164" s="299" t="s">
        <v>540</v>
      </c>
      <c r="E2164" s="711">
        <v>16.7288</v>
      </c>
      <c r="F2164" s="402">
        <f>IFERROR(E2164*'01 Prod Physique Boites'!H2158,"-")</f>
        <v>0</v>
      </c>
      <c r="G2164" s="403">
        <f>IFERROR(E2164*'01 Prod Physique Boites'!L2158,"-")</f>
        <v>2129509.3248000001</v>
      </c>
      <c r="H2164" s="385">
        <v>25</v>
      </c>
      <c r="I2164" s="423">
        <f t="shared" si="1225"/>
        <v>0</v>
      </c>
      <c r="J2164" s="634">
        <f t="shared" ref="J2164:J2166" si="1227">IFERROR(H2164*(G2164/E2164),"-")</f>
        <v>3182400</v>
      </c>
    </row>
    <row r="2165" spans="1:10" ht="27.75" customHeight="1" x14ac:dyDescent="0.3">
      <c r="A2165" s="274"/>
      <c r="B2165" s="1051"/>
      <c r="C2165" s="299" t="s">
        <v>458</v>
      </c>
      <c r="D2165" s="300" t="s">
        <v>280</v>
      </c>
      <c r="E2165" s="711">
        <v>17.8202</v>
      </c>
      <c r="F2165" s="402">
        <f>IFERROR(E2165*'01 Prod Physique Boites'!H2159,"-")</f>
        <v>0</v>
      </c>
      <c r="G2165" s="403">
        <f>IFERROR(E2165*'01 Prod Physique Boites'!L2159,"-")</f>
        <v>0</v>
      </c>
      <c r="H2165" s="385">
        <v>24.93</v>
      </c>
      <c r="I2165" s="730">
        <f t="shared" si="1225"/>
        <v>0</v>
      </c>
      <c r="J2165" s="634">
        <f t="shared" si="1227"/>
        <v>0</v>
      </c>
    </row>
    <row r="2166" spans="1:10" ht="27.75" customHeight="1" thickBot="1" x14ac:dyDescent="0.35">
      <c r="A2166" s="274" t="s">
        <v>101</v>
      </c>
      <c r="B2166" s="1051"/>
      <c r="C2166" s="299" t="s">
        <v>27</v>
      </c>
      <c r="D2166" s="300" t="s">
        <v>234</v>
      </c>
      <c r="E2166" s="501">
        <v>17.8202</v>
      </c>
      <c r="F2166" s="402">
        <f>IFERROR(E2166*'01 Prod Physique Boites'!H2160,"-")</f>
        <v>0</v>
      </c>
      <c r="G2166" s="403">
        <f>IFERROR(E2166*'01 Prod Physique Boites'!L2160,"-")</f>
        <v>70888.755600000004</v>
      </c>
      <c r="H2166" s="385">
        <v>24.93</v>
      </c>
      <c r="I2166" s="423">
        <f t="shared" si="1225"/>
        <v>0</v>
      </c>
      <c r="J2166" s="634">
        <f t="shared" si="1227"/>
        <v>99171.540000000008</v>
      </c>
    </row>
    <row r="2167" spans="1:10" ht="27.75" customHeight="1" thickBot="1" x14ac:dyDescent="0.35">
      <c r="A2167" s="274" t="s">
        <v>101</v>
      </c>
      <c r="B2167" s="1051"/>
      <c r="C2167" s="304"/>
      <c r="D2167" s="305" t="s">
        <v>52</v>
      </c>
      <c r="E2167" s="397"/>
      <c r="F2167" s="414">
        <f t="shared" ref="F2167" si="1228">SUM(F2160:F2166)</f>
        <v>0</v>
      </c>
      <c r="G2167" s="415">
        <f>SUM(G2160:G2166)</f>
        <v>6832968.4331999999</v>
      </c>
      <c r="H2167" s="398"/>
      <c r="I2167" s="414">
        <f t="shared" ref="I2167:J2167" si="1229">SUM(I2160:I2166)</f>
        <v>0</v>
      </c>
      <c r="J2167" s="430">
        <f t="shared" si="1229"/>
        <v>9817266.4199999999</v>
      </c>
    </row>
    <row r="2168" spans="1:10" ht="27.75" customHeight="1" thickBot="1" x14ac:dyDescent="0.35">
      <c r="A2168" s="994" t="s">
        <v>101</v>
      </c>
      <c r="B2168" s="1054" t="s">
        <v>162</v>
      </c>
      <c r="C2168" s="1055"/>
      <c r="D2168" s="1056"/>
      <c r="E2168" s="399"/>
      <c r="F2168" s="416">
        <f t="shared" ref="F2168" si="1230">+F2159+F2167</f>
        <v>2329150.824</v>
      </c>
      <c r="G2168" s="417">
        <f>+G2159+G2167</f>
        <v>35976523.611600004</v>
      </c>
      <c r="H2168" s="400"/>
      <c r="I2168" s="416">
        <f t="shared" ref="I2168:J2168" si="1231">+I2159+I2167</f>
        <v>3548972.6999999997</v>
      </c>
      <c r="J2168" s="431">
        <f t="shared" si="1231"/>
        <v>52502200.920000002</v>
      </c>
    </row>
    <row r="2169" spans="1:10" ht="27.75" customHeight="1" x14ac:dyDescent="0.3">
      <c r="A2169" s="274" t="s">
        <v>101</v>
      </c>
      <c r="B2169" s="1051" t="s">
        <v>30</v>
      </c>
      <c r="C2169" s="303" t="s">
        <v>446</v>
      </c>
      <c r="D2169" s="299" t="s">
        <v>492</v>
      </c>
      <c r="E2169" s="736">
        <v>27.917000000000002</v>
      </c>
      <c r="F2169" s="402">
        <f>IFERROR(E2169*'01 Prod Physique Boites'!H2163,"-")</f>
        <v>1149733.7280000001</v>
      </c>
      <c r="G2169" s="728">
        <f>IFERROR(E2169*'01 Prod Physique Boites'!L2163,"-")</f>
        <v>8466221.0880000014</v>
      </c>
      <c r="H2169" s="734">
        <v>42.28</v>
      </c>
      <c r="I2169" s="419">
        <f>IFERROR(H2169*(F2169/E2169),"-")</f>
        <v>1741259.52</v>
      </c>
      <c r="J2169" s="420">
        <f t="shared" ref="J2169:J2171" si="1232">IFERROR(H2169*(G2169/E2169),"-")</f>
        <v>12822001.920000004</v>
      </c>
    </row>
    <row r="2170" spans="1:10" ht="27.75" customHeight="1" x14ac:dyDescent="0.3">
      <c r="A2170" s="274" t="s">
        <v>101</v>
      </c>
      <c r="B2170" s="1051"/>
      <c r="C2170" s="300" t="s">
        <v>548</v>
      </c>
      <c r="D2170" s="303" t="s">
        <v>522</v>
      </c>
      <c r="E2170" s="733">
        <v>28.526700000000002</v>
      </c>
      <c r="F2170" s="402">
        <f>IFERROR(E2170*'01 Prod Physique Boites'!H2164,"-")</f>
        <v>0</v>
      </c>
      <c r="G2170" s="728">
        <f>IFERROR(E2170*'01 Prod Physique Boites'!L2164,"-")</f>
        <v>0</v>
      </c>
      <c r="H2170" s="735">
        <v>37.89</v>
      </c>
      <c r="I2170" s="421">
        <f>IFERROR(H2170*(F2170/E2170),"-")</f>
        <v>0</v>
      </c>
      <c r="J2170" s="422">
        <f t="shared" si="1232"/>
        <v>0</v>
      </c>
    </row>
    <row r="2171" spans="1:10" ht="27.75" customHeight="1" thickBot="1" x14ac:dyDescent="0.35">
      <c r="A2171" s="274" t="s">
        <v>101</v>
      </c>
      <c r="B2171" s="1051"/>
      <c r="C2171" s="300" t="s">
        <v>291</v>
      </c>
      <c r="D2171" s="300" t="s">
        <v>366</v>
      </c>
      <c r="E2171" s="501">
        <v>25.751300000000001</v>
      </c>
      <c r="F2171" s="724">
        <f>IFERROR(E2171*'01 Prod Physique Boites'!H2165,"-")</f>
        <v>0</v>
      </c>
      <c r="G2171" s="728">
        <f>IFERROR(E2171*'01 Prod Physique Boites'!L2165,"-")</f>
        <v>1334638.3764</v>
      </c>
      <c r="H2171" s="387">
        <v>37.89</v>
      </c>
      <c r="I2171" s="423">
        <f>IFERROR(H2171*(F2171/E2171),"-")</f>
        <v>0</v>
      </c>
      <c r="J2171" s="424">
        <f t="shared" si="1232"/>
        <v>1963762.92</v>
      </c>
    </row>
    <row r="2172" spans="1:10" ht="27.75" customHeight="1" thickBot="1" x14ac:dyDescent="0.35">
      <c r="A2172" s="274" t="s">
        <v>101</v>
      </c>
      <c r="B2172" s="1051"/>
      <c r="C2172" s="301"/>
      <c r="D2172" s="302" t="s">
        <v>50</v>
      </c>
      <c r="E2172" s="390"/>
      <c r="F2172" s="406">
        <f t="shared" ref="F2172:G2172" si="1233">SUM(F2169:F2171)</f>
        <v>1149733.7280000001</v>
      </c>
      <c r="G2172" s="407">
        <f t="shared" si="1233"/>
        <v>9800859.4644000009</v>
      </c>
      <c r="H2172" s="391"/>
      <c r="I2172" s="406">
        <f t="shared" ref="I2172" si="1234">SUM(I2169:I2171)</f>
        <v>1741259.52</v>
      </c>
      <c r="J2172" s="425">
        <f>SUM(J2169:J2171)</f>
        <v>14785764.840000004</v>
      </c>
    </row>
    <row r="2173" spans="1:10" ht="27.75" customHeight="1" x14ac:dyDescent="0.3">
      <c r="A2173" s="274" t="s">
        <v>101</v>
      </c>
      <c r="B2173" s="1051"/>
      <c r="C2173" s="297" t="s">
        <v>439</v>
      </c>
      <c r="D2173" s="297" t="s">
        <v>92</v>
      </c>
      <c r="E2173" s="504">
        <v>24.2607</v>
      </c>
      <c r="F2173" s="402">
        <f>IFERROR(E2173*'01 Prod Physique Boites'!H2167,"-")</f>
        <v>0</v>
      </c>
      <c r="G2173" s="728">
        <f>IFERROR(E2173*'01 Prod Physique Boites'!L2167,"-")</f>
        <v>0</v>
      </c>
      <c r="H2173" s="381">
        <v>28.31</v>
      </c>
      <c r="I2173" s="638">
        <f>IFERROR(H2173*(F2173/E2173),"-")</f>
        <v>0</v>
      </c>
      <c r="J2173" s="420">
        <f t="shared" ref="J2173:J2178" si="1235">IFERROR(H2173*(G2173/E2173),"-")</f>
        <v>0</v>
      </c>
    </row>
    <row r="2174" spans="1:10" ht="27.75" customHeight="1" x14ac:dyDescent="0.3">
      <c r="A2174" s="274"/>
      <c r="B2174" s="1051"/>
      <c r="C2174" s="303" t="s">
        <v>449</v>
      </c>
      <c r="D2174" s="299" t="s">
        <v>334</v>
      </c>
      <c r="E2174" s="504">
        <v>24.2607</v>
      </c>
      <c r="F2174" s="402">
        <f>IFERROR(E2174*'01 Prod Physique Boites'!H2168,"-")</f>
        <v>0</v>
      </c>
      <c r="G2174" s="728">
        <f>IFERROR(E2174*'01 Prod Physique Boites'!L2168,"-")</f>
        <v>0</v>
      </c>
      <c r="H2174" s="381">
        <v>28.88</v>
      </c>
      <c r="I2174" s="638">
        <f t="shared" ref="I2174:I2178" si="1236">IFERROR(H2174*(F2174/E2174),"-")</f>
        <v>0</v>
      </c>
      <c r="J2174" s="420">
        <f t="shared" si="1235"/>
        <v>0</v>
      </c>
    </row>
    <row r="2175" spans="1:10" ht="27.75" customHeight="1" x14ac:dyDescent="0.3">
      <c r="A2175" s="274"/>
      <c r="B2175" s="1051"/>
      <c r="C2175" s="303" t="s">
        <v>452</v>
      </c>
      <c r="D2175" s="299" t="s">
        <v>334</v>
      </c>
      <c r="E2175" s="504">
        <v>25.4041</v>
      </c>
      <c r="F2175" s="402">
        <f>IFERROR(E2175*'01 Prod Physique Boites'!H2169,"-")</f>
        <v>0</v>
      </c>
      <c r="G2175" s="728">
        <f>IFERROR(E2175*'01 Prod Physique Boites'!L2169,"-")</f>
        <v>0</v>
      </c>
      <c r="H2175" s="381">
        <v>28.21</v>
      </c>
      <c r="I2175" s="638">
        <f t="shared" si="1236"/>
        <v>0</v>
      </c>
      <c r="J2175" s="420">
        <f t="shared" si="1235"/>
        <v>0</v>
      </c>
    </row>
    <row r="2176" spans="1:10" ht="27.75" customHeight="1" x14ac:dyDescent="0.3">
      <c r="A2176" s="274" t="s">
        <v>101</v>
      </c>
      <c r="B2176" s="1051"/>
      <c r="C2176" s="303" t="s">
        <v>501</v>
      </c>
      <c r="D2176" s="300" t="s">
        <v>423</v>
      </c>
      <c r="E2176" s="505">
        <v>23.697399999999998</v>
      </c>
      <c r="F2176" s="724">
        <f>IFERROR(E2176*'01 Prod Physique Boites'!H2170,"-")</f>
        <v>0</v>
      </c>
      <c r="G2176" s="728">
        <f>IFERROR(E2176*'01 Prod Physique Boites'!L2170,"-")</f>
        <v>177446.13119999997</v>
      </c>
      <c r="H2176" s="385">
        <v>28.21</v>
      </c>
      <c r="I2176" s="638">
        <f t="shared" si="1236"/>
        <v>0</v>
      </c>
      <c r="J2176" s="420">
        <f t="shared" si="1235"/>
        <v>211236.47999999998</v>
      </c>
    </row>
    <row r="2177" spans="1:10" ht="27.75" customHeight="1" x14ac:dyDescent="0.3">
      <c r="A2177" s="274"/>
      <c r="B2177" s="1051"/>
      <c r="C2177" s="300" t="s">
        <v>459</v>
      </c>
      <c r="D2177" s="300" t="s">
        <v>366</v>
      </c>
      <c r="E2177" s="501">
        <v>22.094999999999999</v>
      </c>
      <c r="F2177" s="724">
        <f>IFERROR(E2177*'01 Prod Physique Boites'!H2171,"-")</f>
        <v>0</v>
      </c>
      <c r="G2177" s="728">
        <f>IFERROR(E2177*'01 Prod Physique Boites'!L2171,"-")</f>
        <v>1737197.2799999998</v>
      </c>
      <c r="H2177" s="745">
        <v>37.11</v>
      </c>
      <c r="I2177" s="638">
        <f t="shared" si="1236"/>
        <v>0</v>
      </c>
      <c r="J2177" s="420">
        <f t="shared" si="1235"/>
        <v>2917736.64</v>
      </c>
    </row>
    <row r="2178" spans="1:10" ht="27.75" customHeight="1" thickBot="1" x14ac:dyDescent="0.35">
      <c r="A2178" s="274" t="s">
        <v>101</v>
      </c>
      <c r="B2178" s="1051"/>
      <c r="C2178" s="300" t="s">
        <v>438</v>
      </c>
      <c r="D2178" s="300" t="s">
        <v>423</v>
      </c>
      <c r="E2178" s="501">
        <v>23.697399999999998</v>
      </c>
      <c r="F2178" s="402">
        <f>IFERROR(E2178*'01 Prod Physique Boites'!H2172,"-")</f>
        <v>0</v>
      </c>
      <c r="G2178" s="403">
        <f>IFERROR(E2178*'01 Prod Physique Boites'!L2172,"-")</f>
        <v>0</v>
      </c>
      <c r="H2178" s="387">
        <v>28.21</v>
      </c>
      <c r="I2178" s="638">
        <f t="shared" si="1236"/>
        <v>0</v>
      </c>
      <c r="J2178" s="420">
        <f t="shared" si="1235"/>
        <v>0</v>
      </c>
    </row>
    <row r="2179" spans="1:10" ht="27.75" customHeight="1" thickBot="1" x14ac:dyDescent="0.35">
      <c r="A2179" s="274" t="s">
        <v>101</v>
      </c>
      <c r="B2179" s="1051"/>
      <c r="C2179" s="304"/>
      <c r="D2179" s="305" t="s">
        <v>51</v>
      </c>
      <c r="E2179" s="397"/>
      <c r="F2179" s="414">
        <f t="shared" ref="F2179:G2179" si="1237">SUM(F2173:F2178)</f>
        <v>0</v>
      </c>
      <c r="G2179" s="415">
        <f t="shared" si="1237"/>
        <v>1914643.4111999997</v>
      </c>
      <c r="H2179" s="398"/>
      <c r="I2179" s="414">
        <f t="shared" ref="I2179" si="1238">SUM(I2173:I2178)</f>
        <v>0</v>
      </c>
      <c r="J2179" s="430">
        <f>SUM(J2173:J2178)</f>
        <v>3128973.12</v>
      </c>
    </row>
    <row r="2180" spans="1:10" ht="27.75" customHeight="1" thickBot="1" x14ac:dyDescent="0.35">
      <c r="A2180" s="274" t="s">
        <v>101</v>
      </c>
      <c r="B2180" s="1054" t="s">
        <v>163</v>
      </c>
      <c r="C2180" s="1055"/>
      <c r="D2180" s="1056"/>
      <c r="E2180" s="399"/>
      <c r="F2180" s="416">
        <f t="shared" ref="F2180:G2180" si="1239">+F2172+F2179</f>
        <v>1149733.7280000001</v>
      </c>
      <c r="G2180" s="417">
        <f t="shared" si="1239"/>
        <v>11715502.875600001</v>
      </c>
      <c r="H2180" s="400"/>
      <c r="I2180" s="416">
        <f t="shared" ref="I2180:J2180" si="1240">+I2172+I2179</f>
        <v>1741259.52</v>
      </c>
      <c r="J2180" s="431">
        <f t="shared" si="1240"/>
        <v>17914737.960000005</v>
      </c>
    </row>
    <row r="2181" spans="1:10" ht="27.75" customHeight="1" thickBot="1" x14ac:dyDescent="0.35">
      <c r="A2181" s="274" t="s">
        <v>101</v>
      </c>
      <c r="B2181" s="599" t="s">
        <v>32</v>
      </c>
      <c r="C2181" s="989"/>
      <c r="D2181" s="310"/>
      <c r="E2181" s="506">
        <v>12.2659</v>
      </c>
      <c r="F2181" s="408">
        <f>IFERROR(E2181*'01 Prod Physique Boites'!H2175,"-")</f>
        <v>0</v>
      </c>
      <c r="G2181" s="409">
        <f>IFERROR(E2181*'01 Prod Physique Boites'!L2175,"-")</f>
        <v>0</v>
      </c>
      <c r="H2181" s="392"/>
      <c r="I2181" s="426">
        <f>IFERROR(H2181*(F2181/E2181),"-")</f>
        <v>0</v>
      </c>
      <c r="J2181" s="427">
        <f>IFERROR(H2181*(G2181/E2181),"-")</f>
        <v>0</v>
      </c>
    </row>
    <row r="2182" spans="1:10" ht="27.75" customHeight="1" thickBot="1" x14ac:dyDescent="0.35">
      <c r="A2182" s="274" t="s">
        <v>101</v>
      </c>
      <c r="B2182" s="1047" t="s">
        <v>21</v>
      </c>
      <c r="C2182" s="1048"/>
      <c r="D2182" s="1049"/>
      <c r="E2182" s="393"/>
      <c r="F2182" s="410">
        <f t="shared" ref="F2182" si="1241">+F2168+F2180+F2181</f>
        <v>3478884.5520000001</v>
      </c>
      <c r="G2182" s="411">
        <f>+G2168+G2180+G2181</f>
        <v>47692026.487200007</v>
      </c>
      <c r="H2182" s="394"/>
      <c r="I2182" s="410">
        <f t="shared" ref="I2182:J2182" si="1242">+I2168+I2180+I2181</f>
        <v>5290232.22</v>
      </c>
      <c r="J2182" s="428">
        <f t="shared" si="1242"/>
        <v>70416938.88000001</v>
      </c>
    </row>
    <row r="2183" spans="1:10" ht="27.75" customHeight="1" thickBot="1" x14ac:dyDescent="0.35">
      <c r="A2183" s="274" t="s">
        <v>101</v>
      </c>
      <c r="B2183" s="1019" t="s">
        <v>171</v>
      </c>
      <c r="C2183" s="1020"/>
      <c r="D2183" s="1021"/>
      <c r="E2183" s="395"/>
      <c r="F2183" s="412">
        <f t="shared" ref="F2183:G2183" si="1243">+F2182</f>
        <v>3478884.5520000001</v>
      </c>
      <c r="G2183" s="413">
        <f t="shared" si="1243"/>
        <v>47692026.487200007</v>
      </c>
      <c r="H2183" s="396"/>
      <c r="I2183" s="412">
        <f t="shared" ref="I2183:J2183" si="1244">+I2182</f>
        <v>5290232.22</v>
      </c>
      <c r="J2183" s="429">
        <f t="shared" si="1244"/>
        <v>70416938.88000001</v>
      </c>
    </row>
    <row r="2184" spans="1:10" ht="27.75" customHeight="1" x14ac:dyDescent="0.3">
      <c r="A2184" s="268" t="s">
        <v>102</v>
      </c>
      <c r="B2184" s="1022" t="s">
        <v>401</v>
      </c>
      <c r="C2184" s="311" t="s">
        <v>113</v>
      </c>
      <c r="D2184" s="311"/>
      <c r="E2184" s="709">
        <v>254.89750000000001</v>
      </c>
      <c r="F2184" s="402">
        <f>IFERROR(E2184*'01 Prod Physique Boites'!H2178,"-")</f>
        <v>0</v>
      </c>
      <c r="G2184" s="403">
        <f>IFERROR(E2184*'01 Prod Physique Boites'!L2178,"-")</f>
        <v>0</v>
      </c>
      <c r="H2184" s="381">
        <v>445.38</v>
      </c>
      <c r="I2184" s="419">
        <f>IFERROR(H2184*(F2184/E2184),"-")</f>
        <v>0</v>
      </c>
      <c r="J2184" s="420">
        <f t="shared" ref="J2184:J2186" si="1245">IFERROR(H2184*(G2184/E2184),"-")</f>
        <v>0</v>
      </c>
    </row>
    <row r="2185" spans="1:10" ht="27.75" customHeight="1" x14ac:dyDescent="0.3">
      <c r="A2185" s="274" t="s">
        <v>102</v>
      </c>
      <c r="B2185" s="1023"/>
      <c r="C2185" s="312" t="s">
        <v>247</v>
      </c>
      <c r="D2185" s="312"/>
      <c r="E2185" s="503">
        <v>246.51390000000001</v>
      </c>
      <c r="F2185" s="402">
        <f>IFERROR(E2185*'01 Prod Physique Boites'!H2179,"-")</f>
        <v>0</v>
      </c>
      <c r="G2185" s="403">
        <f>IFERROR(E2185*'01 Prod Physique Boites'!L2179,"-")</f>
        <v>2255355.6710999999</v>
      </c>
      <c r="H2185" s="385">
        <v>430.02</v>
      </c>
      <c r="I2185" s="421">
        <f>IFERROR(H2185*(F2185/E2185),"-")</f>
        <v>0</v>
      </c>
      <c r="J2185" s="422">
        <f t="shared" si="1245"/>
        <v>3934252.98</v>
      </c>
    </row>
    <row r="2186" spans="1:10" ht="27.75" customHeight="1" thickBot="1" x14ac:dyDescent="0.35">
      <c r="A2186" s="274" t="s">
        <v>102</v>
      </c>
      <c r="B2186" s="1024"/>
      <c r="C2186" s="313" t="s">
        <v>33</v>
      </c>
      <c r="D2186" s="313"/>
      <c r="E2186" s="500">
        <v>225.7713</v>
      </c>
      <c r="F2186" s="402">
        <f>IFERROR(E2186*'01 Prod Physique Boites'!H2180,"-")</f>
        <v>0</v>
      </c>
      <c r="G2186" s="403">
        <f>IFERROR(E2186*'01 Prod Physique Boites'!L2180,"-")</f>
        <v>0</v>
      </c>
      <c r="H2186" s="387"/>
      <c r="I2186" s="423">
        <f>IFERROR(H2186*(F2186/E2186),"-")</f>
        <v>0</v>
      </c>
      <c r="J2186" s="424">
        <f t="shared" si="1245"/>
        <v>0</v>
      </c>
    </row>
    <row r="2187" spans="1:10" ht="27.75" customHeight="1" thickBot="1" x14ac:dyDescent="0.35">
      <c r="A2187" s="274" t="s">
        <v>102</v>
      </c>
      <c r="B2187" s="1025" t="s">
        <v>34</v>
      </c>
      <c r="C2187" s="1026"/>
      <c r="D2187" s="1027"/>
      <c r="E2187" s="390"/>
      <c r="F2187" s="406">
        <f t="shared" ref="F2187:G2187" si="1246">SUM(F2184:F2186)</f>
        <v>0</v>
      </c>
      <c r="G2187" s="407">
        <f t="shared" si="1246"/>
        <v>2255355.6710999999</v>
      </c>
      <c r="H2187" s="391"/>
      <c r="I2187" s="406">
        <f t="shared" ref="I2187:J2187" si="1247">SUM(I2184:I2186)</f>
        <v>0</v>
      </c>
      <c r="J2187" s="425">
        <f t="shared" si="1247"/>
        <v>3934252.98</v>
      </c>
    </row>
    <row r="2188" spans="1:10" ht="27.75" customHeight="1" x14ac:dyDescent="0.3">
      <c r="A2188" s="274" t="s">
        <v>102</v>
      </c>
      <c r="B2188" s="1022" t="s">
        <v>35</v>
      </c>
      <c r="C2188" s="311" t="s">
        <v>113</v>
      </c>
      <c r="D2188" s="311"/>
      <c r="E2188" s="502">
        <v>254.89750000000001</v>
      </c>
      <c r="F2188" s="402">
        <f>IFERROR(E2188*'01 Prod Physique Boites'!H2182,"-")</f>
        <v>0</v>
      </c>
      <c r="G2188" s="403">
        <f>IFERROR(E2188*'01 Prod Physique Boites'!L2182,"-")</f>
        <v>0</v>
      </c>
      <c r="H2188" s="381">
        <v>445.38</v>
      </c>
      <c r="I2188" s="419">
        <f>IFERROR(H2188*(F2188/E2188),"-")</f>
        <v>0</v>
      </c>
      <c r="J2188" s="420">
        <f t="shared" ref="J2188:J2191" si="1248">IFERROR(H2188*(G2188/E2188),"-")</f>
        <v>0</v>
      </c>
    </row>
    <row r="2189" spans="1:10" ht="27.75" customHeight="1" x14ac:dyDescent="0.3">
      <c r="A2189" s="274" t="s">
        <v>102</v>
      </c>
      <c r="B2189" s="1023"/>
      <c r="C2189" s="312" t="s">
        <v>247</v>
      </c>
      <c r="D2189" s="312"/>
      <c r="E2189" s="503">
        <v>246.51390000000001</v>
      </c>
      <c r="F2189" s="402">
        <f>IFERROR(E2189*'01 Prod Physique Boites'!H2183,"-")</f>
        <v>788844.48</v>
      </c>
      <c r="G2189" s="403">
        <f>IFERROR(E2189*'01 Prod Physique Boites'!L2183,"-")</f>
        <v>7572907.0080000004</v>
      </c>
      <c r="H2189" s="385">
        <v>430.02</v>
      </c>
      <c r="I2189" s="421">
        <f>IFERROR(H2189*(F2189/E2189),"-")</f>
        <v>1376064</v>
      </c>
      <c r="J2189" s="422">
        <f t="shared" si="1248"/>
        <v>13210214.399999999</v>
      </c>
    </row>
    <row r="2190" spans="1:10" ht="27.75" customHeight="1" x14ac:dyDescent="0.3">
      <c r="A2190" s="274" t="s">
        <v>102</v>
      </c>
      <c r="B2190" s="1023"/>
      <c r="C2190" s="312" t="s">
        <v>184</v>
      </c>
      <c r="D2190" s="312" t="s">
        <v>183</v>
      </c>
      <c r="E2190" s="503">
        <v>254.89750000000001</v>
      </c>
      <c r="F2190" s="402">
        <f>IFERROR(E2190*'01 Prod Physique Boites'!H2184,"-")</f>
        <v>0</v>
      </c>
      <c r="G2190" s="403">
        <f>IFERROR(E2190*'01 Prod Physique Boites'!L2184,"-")</f>
        <v>0</v>
      </c>
      <c r="H2190" s="385"/>
      <c r="I2190" s="421">
        <f>IFERROR(H2190*(F2190/E2190),"-")</f>
        <v>0</v>
      </c>
      <c r="J2190" s="422">
        <f t="shared" si="1248"/>
        <v>0</v>
      </c>
    </row>
    <row r="2191" spans="1:10" ht="27.75" customHeight="1" thickBot="1" x14ac:dyDescent="0.35">
      <c r="A2191" s="274" t="s">
        <v>102</v>
      </c>
      <c r="B2191" s="1024"/>
      <c r="C2191" s="313" t="s">
        <v>36</v>
      </c>
      <c r="D2191" s="313"/>
      <c r="E2191" s="500">
        <v>229.99359999999999</v>
      </c>
      <c r="F2191" s="402">
        <f>IFERROR(E2191*'01 Prod Physique Boites'!H2185,"-")</f>
        <v>0</v>
      </c>
      <c r="G2191" s="403">
        <f>IFERROR(E2191*'01 Prod Physique Boites'!L2185,"-")</f>
        <v>0</v>
      </c>
      <c r="H2191" s="387"/>
      <c r="I2191" s="423">
        <f>IFERROR(H2191*(F2191/E2191),"-")</f>
        <v>0</v>
      </c>
      <c r="J2191" s="424">
        <f t="shared" si="1248"/>
        <v>0</v>
      </c>
    </row>
    <row r="2192" spans="1:10" ht="27.75" customHeight="1" thickBot="1" x14ac:dyDescent="0.35">
      <c r="A2192" s="274" t="s">
        <v>102</v>
      </c>
      <c r="B2192" s="1025" t="s">
        <v>37</v>
      </c>
      <c r="C2192" s="1026"/>
      <c r="D2192" s="1027"/>
      <c r="E2192" s="390"/>
      <c r="F2192" s="406">
        <f t="shared" ref="F2192:G2192" si="1249">SUM(F2188:F2191)</f>
        <v>788844.48</v>
      </c>
      <c r="G2192" s="407">
        <f t="shared" si="1249"/>
        <v>7572907.0080000004</v>
      </c>
      <c r="H2192" s="391"/>
      <c r="I2192" s="406">
        <f>SUM(I2188:I2191)</f>
        <v>1376064</v>
      </c>
      <c r="J2192" s="425">
        <f>SUM(J2188:J2191)</f>
        <v>13210214.399999999</v>
      </c>
    </row>
    <row r="2193" spans="1:10" ht="27.75" customHeight="1" x14ac:dyDescent="0.3">
      <c r="A2193" s="274" t="s">
        <v>102</v>
      </c>
      <c r="B2193" s="1022" t="s">
        <v>402</v>
      </c>
      <c r="C2193" s="314" t="s">
        <v>116</v>
      </c>
      <c r="D2193" s="314"/>
      <c r="E2193" s="502">
        <v>195.2808</v>
      </c>
      <c r="F2193" s="402">
        <f>IFERROR(E2193*'01 Prod Physique Boites'!H2187,"-")</f>
        <v>0</v>
      </c>
      <c r="G2193" s="403">
        <f>IFERROR(E2193*'01 Prod Physique Boites'!L2187,"-")</f>
        <v>0</v>
      </c>
      <c r="H2193" s="681">
        <v>256.7</v>
      </c>
      <c r="I2193" s="419">
        <f>IFERROR(H2193*(F2193/E2193),"-")</f>
        <v>0</v>
      </c>
      <c r="J2193" s="420">
        <f t="shared" ref="J2193:J2194" si="1250">IFERROR(H2193*(G2193/E2193),"-")</f>
        <v>0</v>
      </c>
    </row>
    <row r="2194" spans="1:10" ht="27.75" customHeight="1" thickBot="1" x14ac:dyDescent="0.35">
      <c r="A2194" s="274" t="s">
        <v>102</v>
      </c>
      <c r="B2194" s="1024"/>
      <c r="C2194" s="286" t="s">
        <v>132</v>
      </c>
      <c r="D2194" s="286"/>
      <c r="E2194" s="500">
        <v>189.91890000000001</v>
      </c>
      <c r="F2194" s="402">
        <f>IFERROR(E2194*'01 Prod Physique Boites'!H2188,"-")</f>
        <v>0</v>
      </c>
      <c r="G2194" s="403">
        <f>IFERROR(E2194*'01 Prod Physique Boites'!L2188,"-")</f>
        <v>4138332.8310000002</v>
      </c>
      <c r="H2194" s="387">
        <v>320.35000000000002</v>
      </c>
      <c r="I2194" s="423">
        <f>IFERROR(H2194*(F2194/E2194),"-")</f>
        <v>0</v>
      </c>
      <c r="J2194" s="424">
        <f t="shared" si="1250"/>
        <v>6980426.5000000009</v>
      </c>
    </row>
    <row r="2195" spans="1:10" ht="27.75" customHeight="1" thickBot="1" x14ac:dyDescent="0.35">
      <c r="A2195" s="994" t="s">
        <v>102</v>
      </c>
      <c r="B2195" s="1025" t="s">
        <v>38</v>
      </c>
      <c r="C2195" s="1026"/>
      <c r="D2195" s="1027"/>
      <c r="E2195" s="390"/>
      <c r="F2195" s="406">
        <f>SUM(F2193:F2194)</f>
        <v>0</v>
      </c>
      <c r="G2195" s="407">
        <f t="shared" ref="G2195" si="1251">SUM(G2193:G2194)</f>
        <v>4138332.8310000002</v>
      </c>
      <c r="H2195" s="391"/>
      <c r="I2195" s="406">
        <f t="shared" ref="I2195:J2195" si="1252">SUM(I2193:I2194)</f>
        <v>0</v>
      </c>
      <c r="J2195" s="425">
        <f t="shared" si="1252"/>
        <v>6980426.5000000009</v>
      </c>
    </row>
    <row r="2196" spans="1:10" ht="27.75" customHeight="1" x14ac:dyDescent="0.3">
      <c r="A2196" s="274" t="s">
        <v>102</v>
      </c>
      <c r="B2196" s="1022" t="s">
        <v>403</v>
      </c>
      <c r="C2196" s="269" t="s">
        <v>306</v>
      </c>
      <c r="D2196" s="269" t="s">
        <v>238</v>
      </c>
      <c r="E2196" s="504">
        <v>37.248699999999999</v>
      </c>
      <c r="F2196" s="402">
        <f>IFERROR(E2196*'01 Prod Physique Boites'!H2190,"-")</f>
        <v>0</v>
      </c>
      <c r="G2196" s="403">
        <f>IFERROR(E2196*'01 Prod Physique Boites'!L2190,"-")</f>
        <v>16344878.5548</v>
      </c>
      <c r="H2196" s="381">
        <v>71.44</v>
      </c>
      <c r="I2196" s="419">
        <f>IFERROR(H2196*(F2196/E2196),"-")</f>
        <v>0</v>
      </c>
      <c r="J2196" s="420">
        <f>IFERROR(H2196*(G2196/E2196),"-")</f>
        <v>31348157.759999998</v>
      </c>
    </row>
    <row r="2197" spans="1:10" ht="27.75" customHeight="1" x14ac:dyDescent="0.3">
      <c r="A2197" s="274" t="s">
        <v>102</v>
      </c>
      <c r="B2197" s="1023"/>
      <c r="C2197" s="269" t="s">
        <v>156</v>
      </c>
      <c r="D2197" s="275"/>
      <c r="E2197" s="504">
        <v>37.248699999999999</v>
      </c>
      <c r="F2197" s="402">
        <f>IFERROR(E2197*'01 Prod Physique Boites'!H2191,"-")</f>
        <v>0</v>
      </c>
      <c r="G2197" s="403">
        <f>IFERROR(E2197*'01 Prod Physique Boites'!L2191,"-")</f>
        <v>0</v>
      </c>
      <c r="H2197" s="385"/>
      <c r="I2197" s="421">
        <f>IFERROR(H2197*(F2197/E2197),"-")</f>
        <v>0</v>
      </c>
      <c r="J2197" s="422">
        <f t="shared" ref="J2197:J2199" si="1253">IFERROR(H2197*(G2197/E2197),"-")</f>
        <v>0</v>
      </c>
    </row>
    <row r="2198" spans="1:10" ht="27.75" customHeight="1" x14ac:dyDescent="0.3">
      <c r="A2198" s="274" t="s">
        <v>102</v>
      </c>
      <c r="B2198" s="1023"/>
      <c r="C2198" s="275" t="s">
        <v>345</v>
      </c>
      <c r="D2198" s="269" t="s">
        <v>238</v>
      </c>
      <c r="E2198" s="504">
        <v>37.248699999999999</v>
      </c>
      <c r="F2198" s="402">
        <f>IFERROR(E2198*'01 Prod Physique Boites'!H2192,"-")</f>
        <v>429105.02399999998</v>
      </c>
      <c r="G2198" s="403">
        <f>IFERROR(E2198*'01 Prod Physique Boites'!L2192,"-")</f>
        <v>2255483.2823999999</v>
      </c>
      <c r="H2198" s="385">
        <v>71.44</v>
      </c>
      <c r="I2198" s="421">
        <f>IFERROR(H2198*(F2198/E2198),"-")</f>
        <v>822988.79999999993</v>
      </c>
      <c r="J2198" s="422">
        <f t="shared" si="1253"/>
        <v>4325834.88</v>
      </c>
    </row>
    <row r="2199" spans="1:10" ht="27.75" customHeight="1" thickBot="1" x14ac:dyDescent="0.35">
      <c r="A2199" s="274" t="s">
        <v>102</v>
      </c>
      <c r="B2199" s="1023"/>
      <c r="C2199" s="275" t="s">
        <v>157</v>
      </c>
      <c r="D2199" s="275"/>
      <c r="E2199" s="505">
        <v>38.466099999999997</v>
      </c>
      <c r="F2199" s="402">
        <f>IFERROR(E2199*'01 Prod Physique Boites'!H2193,"-")</f>
        <v>0</v>
      </c>
      <c r="G2199" s="403">
        <f>IFERROR(E2199*'01 Prod Physique Boites'!L2193,"-")</f>
        <v>0</v>
      </c>
      <c r="H2199" s="385"/>
      <c r="I2199" s="421">
        <f>IFERROR(H2199*(F2199/E2199),"-")</f>
        <v>0</v>
      </c>
      <c r="J2199" s="422">
        <f t="shared" si="1253"/>
        <v>0</v>
      </c>
    </row>
    <row r="2200" spans="1:10" ht="27.75" customHeight="1" thickBot="1" x14ac:dyDescent="0.35">
      <c r="A2200" s="274" t="s">
        <v>102</v>
      </c>
      <c r="B2200" s="1025" t="s">
        <v>39</v>
      </c>
      <c r="C2200" s="1026"/>
      <c r="D2200" s="1027"/>
      <c r="E2200" s="390"/>
      <c r="F2200" s="406">
        <f>SUM(F2196:F2199)</f>
        <v>429105.02399999998</v>
      </c>
      <c r="G2200" s="407">
        <f>SUM(G2196:G2199)</f>
        <v>18600361.837200001</v>
      </c>
      <c r="H2200" s="391"/>
      <c r="I2200" s="406">
        <f>SUM(I2196:I2199)</f>
        <v>822988.79999999993</v>
      </c>
      <c r="J2200" s="406">
        <f>SUM(J2196:J2199)</f>
        <v>35673992.640000001</v>
      </c>
    </row>
    <row r="2201" spans="1:10" ht="27.75" customHeight="1" x14ac:dyDescent="0.3">
      <c r="A2201" s="274" t="s">
        <v>102</v>
      </c>
      <c r="B2201" s="1022" t="s">
        <v>40</v>
      </c>
      <c r="C2201" s="269" t="s">
        <v>186</v>
      </c>
      <c r="D2201" s="269" t="s">
        <v>183</v>
      </c>
      <c r="E2201" s="504">
        <v>30.7499</v>
      </c>
      <c r="F2201" s="402">
        <f>IFERROR(E2201*'01 Prod Physique Boites'!H2196,"-")</f>
        <v>0</v>
      </c>
      <c r="G2201" s="402">
        <f>IFERROR(E2201*'01 Prod Physique Boites'!L2196,"-")</f>
        <v>0</v>
      </c>
      <c r="H2201" s="381"/>
      <c r="I2201" s="419">
        <f>IFERROR(H2201*(F2201/E2201),"-")</f>
        <v>0</v>
      </c>
      <c r="J2201" s="420">
        <f>IFERROR(H2201*(G2201/E2201),"-")</f>
        <v>0</v>
      </c>
    </row>
    <row r="2202" spans="1:10" ht="27.75" customHeight="1" x14ac:dyDescent="0.3">
      <c r="A2202" s="274" t="s">
        <v>102</v>
      </c>
      <c r="B2202" s="1023"/>
      <c r="C2202" s="275" t="s">
        <v>159</v>
      </c>
      <c r="D2202" s="275"/>
      <c r="E2202" s="684">
        <v>30.073599999999999</v>
      </c>
      <c r="F2202" s="402">
        <f>IFERROR(E2202*'01 Prod Physique Boites'!H2197,"-")</f>
        <v>0</v>
      </c>
      <c r="G2202" s="403">
        <f>IFERROR(E2202*'01 Prod Physique Boites'!L2197,"-")</f>
        <v>342839.03999999998</v>
      </c>
      <c r="H2202" s="385">
        <v>59.96</v>
      </c>
      <c r="I2202" s="421">
        <f>IFERROR(H2202*(F2202/E2202),"-")</f>
        <v>0</v>
      </c>
      <c r="J2202" s="422">
        <f t="shared" ref="J2202:J2203" si="1254">IFERROR(H2202*(G2202/E2202),"-")</f>
        <v>683544</v>
      </c>
    </row>
    <row r="2203" spans="1:10" ht="27.75" customHeight="1" thickBot="1" x14ac:dyDescent="0.35">
      <c r="A2203" s="274" t="s">
        <v>102</v>
      </c>
      <c r="B2203" s="1024"/>
      <c r="C2203" s="279" t="s">
        <v>186</v>
      </c>
      <c r="D2203" s="279" t="s">
        <v>185</v>
      </c>
      <c r="E2203" s="501">
        <v>30.073599999999999</v>
      </c>
      <c r="F2203" s="402">
        <f>IFERROR(E2203*'01 Prod Physique Boites'!H2198,"-")</f>
        <v>0</v>
      </c>
      <c r="G2203" s="403">
        <f>IFERROR(E2203*'01 Prod Physique Boites'!L2198,"-")</f>
        <v>0</v>
      </c>
      <c r="H2203" s="387"/>
      <c r="I2203" s="423">
        <f>IFERROR(H2203*(F2203/E2203),"-")</f>
        <v>0</v>
      </c>
      <c r="J2203" s="424">
        <f t="shared" si="1254"/>
        <v>0</v>
      </c>
    </row>
    <row r="2204" spans="1:10" ht="27.75" customHeight="1" thickBot="1" x14ac:dyDescent="0.35">
      <c r="A2204" s="274" t="s">
        <v>102</v>
      </c>
      <c r="B2204" s="1034" t="s">
        <v>41</v>
      </c>
      <c r="C2204" s="1035"/>
      <c r="D2204" s="1036"/>
      <c r="E2204" s="390"/>
      <c r="F2204" s="406">
        <f t="shared" ref="F2204:G2204" si="1255">SUM(F2201:F2203)</f>
        <v>0</v>
      </c>
      <c r="G2204" s="407">
        <f t="shared" si="1255"/>
        <v>342839.03999999998</v>
      </c>
      <c r="H2204" s="391"/>
      <c r="I2204" s="406">
        <f t="shared" ref="I2204:J2204" si="1256">SUM(I2201:I2203)</f>
        <v>0</v>
      </c>
      <c r="J2204" s="425">
        <f t="shared" si="1256"/>
        <v>683544</v>
      </c>
    </row>
    <row r="2205" spans="1:10" ht="27.75" customHeight="1" x14ac:dyDescent="0.3">
      <c r="A2205" s="274" t="s">
        <v>102</v>
      </c>
      <c r="B2205" s="1022" t="s">
        <v>42</v>
      </c>
      <c r="C2205" s="269" t="s">
        <v>160</v>
      </c>
      <c r="D2205" s="269"/>
      <c r="E2205" s="504">
        <v>36.684899999999999</v>
      </c>
      <c r="F2205" s="402">
        <f>IFERROR(E2205*'01 Prod Physique Boites'!H2200,"-")</f>
        <v>410870.88</v>
      </c>
      <c r="G2205" s="402">
        <f>IFERROR(E2205*'01 Prod Physique Boites'!L2200,"-")</f>
        <v>763045.91999999993</v>
      </c>
      <c r="H2205" s="381">
        <v>42</v>
      </c>
      <c r="I2205" s="382">
        <f t="shared" ref="I2205:I2206" si="1257">IFERROR(H2205*(F2205/E2205),"-")</f>
        <v>470400</v>
      </c>
      <c r="J2205" s="383">
        <f t="shared" ref="J2205:J2206" si="1258">IFERROR(H2205*(G2205/E2205),"-")</f>
        <v>873600</v>
      </c>
    </row>
    <row r="2206" spans="1:10" ht="27.75" customHeight="1" thickBot="1" x14ac:dyDescent="0.35">
      <c r="A2206" s="274" t="s">
        <v>102</v>
      </c>
      <c r="B2206" s="1024"/>
      <c r="C2206" s="279" t="s">
        <v>161</v>
      </c>
      <c r="D2206" s="279"/>
      <c r="E2206" s="501">
        <v>37.002800000000001</v>
      </c>
      <c r="F2206" s="402">
        <f>IFERROR(E2206*'01 Prod Physique Boites'!H2201,"-")</f>
        <v>0</v>
      </c>
      <c r="G2206" s="402">
        <f>IFERROR(E2206*'01 Prod Physique Boites'!L2201,"-")</f>
        <v>0</v>
      </c>
      <c r="H2206" s="387"/>
      <c r="I2206" s="388">
        <f t="shared" si="1257"/>
        <v>0</v>
      </c>
      <c r="J2206" s="389">
        <f t="shared" si="1258"/>
        <v>0</v>
      </c>
    </row>
    <row r="2207" spans="1:10" ht="27.75" customHeight="1" thickBot="1" x14ac:dyDescent="0.35">
      <c r="A2207" s="274" t="s">
        <v>102</v>
      </c>
      <c r="B2207" s="1034" t="s">
        <v>43</v>
      </c>
      <c r="C2207" s="1035"/>
      <c r="D2207" s="1036"/>
      <c r="E2207" s="390"/>
      <c r="F2207" s="402">
        <f>SUM(F2205:F2206)</f>
        <v>410870.88</v>
      </c>
      <c r="G2207" s="407">
        <f>SUM(G2205:G2206)</f>
        <v>763045.91999999993</v>
      </c>
      <c r="H2207" s="391"/>
      <c r="I2207" s="406">
        <f t="shared" ref="I2207:J2207" si="1259">SUM(I2205:I2206)</f>
        <v>470400</v>
      </c>
      <c r="J2207" s="425">
        <f t="shared" si="1259"/>
        <v>873600</v>
      </c>
    </row>
    <row r="2208" spans="1:10" ht="27.75" customHeight="1" thickBot="1" x14ac:dyDescent="0.35">
      <c r="A2208" s="274" t="s">
        <v>102</v>
      </c>
      <c r="B2208" s="1028" t="s">
        <v>25</v>
      </c>
      <c r="C2208" s="1029"/>
      <c r="D2208" s="1030"/>
      <c r="E2208" s="393"/>
      <c r="F2208" s="410">
        <f>+F2187+F2192+F2195+F2200+F2204+F2207</f>
        <v>1628820.3840000001</v>
      </c>
      <c r="G2208" s="411">
        <f>+G2187+G2192+G2195+G2200+G2204+G2207</f>
        <v>33672842.307300001</v>
      </c>
      <c r="H2208" s="394"/>
      <c r="I2208" s="410">
        <f>+I2187+I2192+I2195+I2200+I2204+I2207</f>
        <v>2669452.7999999998</v>
      </c>
      <c r="J2208" s="428">
        <f>+J2187+J2192+J2195+J2200+J2204+J2207</f>
        <v>61356030.519999996</v>
      </c>
    </row>
    <row r="2209" spans="1:10" ht="27.75" customHeight="1" thickBot="1" x14ac:dyDescent="0.35">
      <c r="A2209" s="318" t="s">
        <v>102</v>
      </c>
      <c r="B2209" s="1020" t="s">
        <v>173</v>
      </c>
      <c r="C2209" s="1020"/>
      <c r="D2209" s="1021"/>
      <c r="E2209" s="395"/>
      <c r="F2209" s="412">
        <f t="shared" ref="F2209:G2209" si="1260">+F2208</f>
        <v>1628820.3840000001</v>
      </c>
      <c r="G2209" s="413">
        <f t="shared" si="1260"/>
        <v>33672842.307300001</v>
      </c>
      <c r="H2209" s="396"/>
      <c r="I2209" s="412">
        <f t="shared" ref="I2209" si="1261">+I2208</f>
        <v>2669452.7999999998</v>
      </c>
      <c r="J2209" s="429">
        <f>+J2208</f>
        <v>61356030.519999996</v>
      </c>
    </row>
    <row r="2210" spans="1:10" ht="27.75" customHeight="1" thickBot="1" x14ac:dyDescent="0.35">
      <c r="A2210" s="319"/>
      <c r="B2210" s="1031" t="s">
        <v>174</v>
      </c>
      <c r="C2210" s="1032"/>
      <c r="D2210" s="1033"/>
      <c r="E2210" s="401"/>
      <c r="F2210" s="418">
        <f>+F2148+F2183+F2209</f>
        <v>6346579.5671999995</v>
      </c>
      <c r="G2210" s="418">
        <f>+G2148+G2183+G2209</f>
        <v>130534309.27689999</v>
      </c>
      <c r="H2210" s="401"/>
      <c r="I2210" s="418">
        <f>+I2148+I2183+I2209</f>
        <v>9330577.9800000004</v>
      </c>
      <c r="J2210" s="432">
        <f>+J2148+J2183+J2209</f>
        <v>187447687.56</v>
      </c>
    </row>
    <row r="2211" spans="1:10" ht="27.75" customHeight="1" x14ac:dyDescent="0.3">
      <c r="A2211" s="1057" t="s">
        <v>1</v>
      </c>
      <c r="B2211" s="1060" t="s">
        <v>2</v>
      </c>
      <c r="C2211" s="1063" t="s">
        <v>396</v>
      </c>
      <c r="D2211" s="1063" t="s">
        <v>397</v>
      </c>
      <c r="E2211" s="1092" t="s">
        <v>405</v>
      </c>
      <c r="F2211" s="1093"/>
      <c r="G2211" s="1093"/>
      <c r="H2211" s="442"/>
      <c r="I2211" s="442"/>
      <c r="J2211" s="443"/>
    </row>
    <row r="2212" spans="1:10" ht="27.75" customHeight="1" x14ac:dyDescent="0.3">
      <c r="A2212" s="1058"/>
      <c r="B2212" s="1061"/>
      <c r="C2212" s="1064"/>
      <c r="D2212" s="1064"/>
      <c r="E2212" s="1094" t="s">
        <v>408</v>
      </c>
      <c r="F2212" s="1095"/>
      <c r="G2212" s="1096"/>
      <c r="H2212" s="1094" t="s">
        <v>168</v>
      </c>
      <c r="I2212" s="1095"/>
      <c r="J2212" s="1096"/>
    </row>
    <row r="2213" spans="1:10" ht="27.75" customHeight="1" x14ac:dyDescent="0.3">
      <c r="A2213" s="1059"/>
      <c r="B2213" s="1090"/>
      <c r="C2213" s="1091"/>
      <c r="D2213" s="1091"/>
      <c r="E2213" s="379" t="s">
        <v>170</v>
      </c>
      <c r="F2213" s="1016" t="s">
        <v>407</v>
      </c>
      <c r="G2213" s="1017" t="s">
        <v>406</v>
      </c>
      <c r="H2213" s="1097" t="s">
        <v>170</v>
      </c>
      <c r="I2213" s="1099" t="s">
        <v>137</v>
      </c>
      <c r="J2213" s="1101" t="s">
        <v>406</v>
      </c>
    </row>
    <row r="2214" spans="1:10" ht="27.75" customHeight="1" thickBot="1" x14ac:dyDescent="0.35">
      <c r="A2214" s="1059"/>
      <c r="B2214" s="1062"/>
      <c r="C2214" s="1065"/>
      <c r="D2214" s="1065"/>
      <c r="E2214" s="1103" t="s">
        <v>594</v>
      </c>
      <c r="F2214" s="1104"/>
      <c r="G2214" s="1105"/>
      <c r="H2214" s="1098"/>
      <c r="I2214" s="1100"/>
      <c r="J2214" s="1102"/>
    </row>
    <row r="2215" spans="1:10" ht="27.75" customHeight="1" x14ac:dyDescent="0.3">
      <c r="A2215" s="268" t="s">
        <v>103</v>
      </c>
      <c r="B2215" s="1043" t="s">
        <v>16</v>
      </c>
      <c r="C2215" s="269" t="s">
        <v>368</v>
      </c>
      <c r="D2215" s="269" t="s">
        <v>369</v>
      </c>
      <c r="E2215" s="705">
        <v>81.360699999999994</v>
      </c>
      <c r="F2215" s="402">
        <f>IFERROR(E2215*'01 Prod Physique Boites'!H2209,"-")</f>
        <v>0</v>
      </c>
      <c r="G2215" s="402">
        <f>IFERROR(E2215*'01 Prod Physique Boites'!L2209,"-")</f>
        <v>1514936.2339999999</v>
      </c>
      <c r="H2215" s="681">
        <v>143.28</v>
      </c>
      <c r="I2215" s="419">
        <f>IFERROR(H2215*(F2215/E2215),"-")</f>
        <v>0</v>
      </c>
      <c r="J2215" s="420">
        <f t="shared" ref="J2215:J2217" si="1262">IFERROR(H2215*(G2215/E2215),"-")</f>
        <v>2667873.6</v>
      </c>
    </row>
    <row r="2216" spans="1:10" ht="27.75" customHeight="1" x14ac:dyDescent="0.3">
      <c r="A2216" s="713"/>
      <c r="B2216" s="1044"/>
      <c r="C2216" s="275" t="s">
        <v>470</v>
      </c>
      <c r="D2216" s="275" t="s">
        <v>375</v>
      </c>
      <c r="E2216" s="505">
        <v>81.360699999999994</v>
      </c>
      <c r="F2216" s="402">
        <f>IFERROR(E2216*'01 Prod Physique Boites'!H2210,"-")</f>
        <v>0</v>
      </c>
      <c r="G2216" s="402">
        <f>IFERROR(E2216*'01 Prod Physique Boites'!L2210,"-")</f>
        <v>0</v>
      </c>
      <c r="H2216" s="708">
        <v>143.28</v>
      </c>
      <c r="I2216" s="419">
        <f>IFERROR(H2216*(F2216/E2216),"-")</f>
        <v>0</v>
      </c>
      <c r="J2216" s="420">
        <f t="shared" si="1262"/>
        <v>0</v>
      </c>
    </row>
    <row r="2217" spans="1:10" ht="27.75" customHeight="1" x14ac:dyDescent="0.3">
      <c r="A2217" s="274" t="s">
        <v>103</v>
      </c>
      <c r="B2217" s="1044"/>
      <c r="C2217" s="275" t="s">
        <v>430</v>
      </c>
      <c r="D2217" s="275" t="s">
        <v>384</v>
      </c>
      <c r="E2217" s="684">
        <v>77.170400000000001</v>
      </c>
      <c r="F2217" s="402">
        <f>IFERROR(E2217*'01 Prod Physique Boites'!H2211,"-")</f>
        <v>98778.111999999994</v>
      </c>
      <c r="G2217" s="402">
        <f>IFERROR(E2217*'01 Prod Physique Boites'!L2211,"-")</f>
        <v>1666108.936</v>
      </c>
      <c r="H2217" s="385">
        <v>0</v>
      </c>
      <c r="I2217" s="419">
        <f>IFERROR(H2217*(F2217/E2217),"-")</f>
        <v>0</v>
      </c>
      <c r="J2217" s="420">
        <f t="shared" si="1262"/>
        <v>0</v>
      </c>
    </row>
    <row r="2218" spans="1:10" ht="27.75" customHeight="1" thickBot="1" x14ac:dyDescent="0.35">
      <c r="A2218" s="274" t="s">
        <v>103</v>
      </c>
      <c r="B2218" s="1045"/>
      <c r="C2218" s="279" t="s">
        <v>262</v>
      </c>
      <c r="D2218" s="279" t="s">
        <v>231</v>
      </c>
      <c r="E2218" s="501">
        <v>60.703499999999998</v>
      </c>
      <c r="F2218" s="402">
        <f>IFERROR(E2218*'01 Prod Physique Boites'!H2212,"-")</f>
        <v>0</v>
      </c>
      <c r="G2218" s="402">
        <f>IFERROR(E2218*'01 Prod Physique Boites'!L2212,"-")</f>
        <v>0</v>
      </c>
      <c r="H2218" s="387">
        <v>111.09</v>
      </c>
      <c r="I2218" s="419">
        <f>IFERROR(H2218*(F2218/E2218),"-")</f>
        <v>0</v>
      </c>
      <c r="J2218" s="420">
        <f>IFERROR(H2218*(G2218/E2218),"-")</f>
        <v>0</v>
      </c>
    </row>
    <row r="2219" spans="1:10" ht="27.75" customHeight="1" thickBot="1" x14ac:dyDescent="0.35">
      <c r="A2219" s="274" t="s">
        <v>103</v>
      </c>
      <c r="B2219" s="1025" t="s">
        <v>44</v>
      </c>
      <c r="C2219" s="1026"/>
      <c r="D2219" s="1027"/>
      <c r="E2219" s="390"/>
      <c r="F2219" s="406">
        <f t="shared" ref="F2219" si="1263">SUM(F2215:F2218)</f>
        <v>98778.111999999994</v>
      </c>
      <c r="G2219" s="407">
        <f>SUM(G2215:G2218)</f>
        <v>3181045.17</v>
      </c>
      <c r="H2219" s="391"/>
      <c r="I2219" s="406">
        <f t="shared" ref="I2219:J2219" si="1264">SUM(I2215:I2218)</f>
        <v>0</v>
      </c>
      <c r="J2219" s="425">
        <f t="shared" si="1264"/>
        <v>2667873.6</v>
      </c>
    </row>
    <row r="2220" spans="1:10" ht="27.75" customHeight="1" x14ac:dyDescent="0.3">
      <c r="A2220" s="274" t="s">
        <v>103</v>
      </c>
      <c r="B2220" s="1043" t="s">
        <v>17</v>
      </c>
      <c r="C2220" s="269" t="s">
        <v>294</v>
      </c>
      <c r="D2220" s="269"/>
      <c r="E2220" s="504">
        <v>12.5275</v>
      </c>
      <c r="F2220" s="402">
        <f>IFERROR(E2220*'01 Prod Physique Boites'!H2214,"-")</f>
        <v>0</v>
      </c>
      <c r="G2220" s="402">
        <f>IFERROR(E2220*'01 Prod Physique Boites'!L2214,"-")</f>
        <v>0</v>
      </c>
      <c r="H2220" s="681">
        <v>18.836400000000001</v>
      </c>
      <c r="I2220" s="419">
        <f t="shared" ref="I2220:I2226" si="1265">IFERROR(H2220*(F2220/E2220),"-")</f>
        <v>0</v>
      </c>
      <c r="J2220" s="420">
        <f t="shared" ref="J2220:J2225" si="1266">IFERROR(H2220*(G2220/E2220),"-")</f>
        <v>0</v>
      </c>
    </row>
    <row r="2221" spans="1:10" ht="27.75" customHeight="1" x14ac:dyDescent="0.3">
      <c r="A2221" s="274" t="s">
        <v>103</v>
      </c>
      <c r="B2221" s="1044"/>
      <c r="C2221" s="275" t="s">
        <v>344</v>
      </c>
      <c r="D2221" s="275" t="s">
        <v>232</v>
      </c>
      <c r="E2221" s="677">
        <v>13.002700000000001</v>
      </c>
      <c r="F2221" s="402">
        <f>IFERROR(E2221*'01 Prod Physique Boites'!H2215,"-")</f>
        <v>0</v>
      </c>
      <c r="G2221" s="402">
        <f>IFERROR(E2221*'01 Prod Physique Boites'!L2215,"-")</f>
        <v>77756.146000000008</v>
      </c>
      <c r="H2221" s="385">
        <v>21.18</v>
      </c>
      <c r="I2221" s="421">
        <f t="shared" si="1265"/>
        <v>0</v>
      </c>
      <c r="J2221" s="422">
        <f t="shared" si="1266"/>
        <v>126656.4</v>
      </c>
    </row>
    <row r="2222" spans="1:10" ht="27.75" customHeight="1" x14ac:dyDescent="0.3">
      <c r="A2222" s="274" t="s">
        <v>103</v>
      </c>
      <c r="B2222" s="1044"/>
      <c r="C2222" s="275" t="s">
        <v>351</v>
      </c>
      <c r="D2222" s="275" t="s">
        <v>187</v>
      </c>
      <c r="E2222" s="677">
        <v>12.9049</v>
      </c>
      <c r="F2222" s="402">
        <f>IFERROR(E2222*'01 Prod Physique Boites'!H2216,"-")</f>
        <v>710801.89199999999</v>
      </c>
      <c r="G2222" s="402">
        <f>IFERROR(E2222*'01 Prod Physique Boites'!L2216,"-")</f>
        <v>18322893.215999998</v>
      </c>
      <c r="H2222" s="385">
        <v>20.5</v>
      </c>
      <c r="I2222" s="421">
        <f t="shared" si="1265"/>
        <v>1129140</v>
      </c>
      <c r="J2222" s="422">
        <f t="shared" si="1266"/>
        <v>29106720</v>
      </c>
    </row>
    <row r="2223" spans="1:10" ht="27.75" customHeight="1" x14ac:dyDescent="0.3">
      <c r="A2223" s="274" t="s">
        <v>103</v>
      </c>
      <c r="B2223" s="1044"/>
      <c r="C2223" s="275" t="s">
        <v>530</v>
      </c>
      <c r="D2223" s="275" t="s">
        <v>529</v>
      </c>
      <c r="E2223" s="505">
        <v>13.1958</v>
      </c>
      <c r="F2223" s="402">
        <f>IFERROR(E2223*'01 Prod Physique Boites'!H2217,"-")</f>
        <v>0</v>
      </c>
      <c r="G2223" s="402">
        <f>IFERROR(E2223*'01 Prod Physique Boites'!L2217,"-")</f>
        <v>545646.32999999996</v>
      </c>
      <c r="H2223" s="708">
        <v>21.28</v>
      </c>
      <c r="I2223" s="421">
        <f t="shared" si="1265"/>
        <v>0</v>
      </c>
      <c r="J2223" s="422">
        <f t="shared" si="1266"/>
        <v>879927.99999999988</v>
      </c>
    </row>
    <row r="2224" spans="1:10" ht="27.75" customHeight="1" x14ac:dyDescent="0.3">
      <c r="A2224" s="274" t="s">
        <v>103</v>
      </c>
      <c r="B2224" s="1044"/>
      <c r="C2224" s="275" t="s">
        <v>323</v>
      </c>
      <c r="D2224" s="275" t="s">
        <v>318</v>
      </c>
      <c r="E2224" s="505">
        <v>13.1958</v>
      </c>
      <c r="F2224" s="402">
        <f>IFERROR(E2224*'01 Prod Physique Boites'!H2218,"-")</f>
        <v>0</v>
      </c>
      <c r="G2224" s="402">
        <f>IFERROR(E2224*'01 Prod Physique Boites'!L2218,"-")</f>
        <v>0</v>
      </c>
      <c r="H2224" s="385">
        <v>21.28</v>
      </c>
      <c r="I2224" s="421">
        <f t="shared" si="1265"/>
        <v>0</v>
      </c>
      <c r="J2224" s="422">
        <f t="shared" si="1266"/>
        <v>0</v>
      </c>
    </row>
    <row r="2225" spans="1:10" ht="27.75" customHeight="1" x14ac:dyDescent="0.3">
      <c r="A2225" s="274">
        <v>1</v>
      </c>
      <c r="B2225" s="1044"/>
      <c r="C2225" s="275" t="s">
        <v>528</v>
      </c>
      <c r="D2225" s="275" t="s">
        <v>189</v>
      </c>
      <c r="E2225" s="677">
        <v>13.1958</v>
      </c>
      <c r="F2225" s="402">
        <f>IFERROR(E2225*'01 Prod Physique Boites'!H2219,"-")</f>
        <v>0</v>
      </c>
      <c r="G2225" s="402">
        <f>IFERROR(E2225*'01 Prod Physique Boites'!L2219,"-")</f>
        <v>445490.20799999998</v>
      </c>
      <c r="H2225" s="664">
        <v>21.28</v>
      </c>
      <c r="I2225" s="421">
        <f t="shared" si="1265"/>
        <v>0</v>
      </c>
      <c r="J2225" s="422">
        <f t="shared" si="1266"/>
        <v>718412.80000000005</v>
      </c>
    </row>
    <row r="2226" spans="1:10" ht="27.75" customHeight="1" thickBot="1" x14ac:dyDescent="0.35">
      <c r="A2226" s="274" t="s">
        <v>103</v>
      </c>
      <c r="B2226" s="1045"/>
      <c r="C2226" s="279" t="s">
        <v>341</v>
      </c>
      <c r="D2226" s="279" t="s">
        <v>175</v>
      </c>
      <c r="E2226" s="501">
        <v>13.6509</v>
      </c>
      <c r="F2226" s="402">
        <f>IFERROR(E2226*'01 Prod Physique Boites'!H2220,"-")</f>
        <v>0</v>
      </c>
      <c r="G2226" s="402">
        <f>IFERROR(E2226*'01 Prod Physique Boites'!L2220,"-")</f>
        <v>0</v>
      </c>
      <c r="H2226" s="387">
        <v>21.18</v>
      </c>
      <c r="I2226" s="423">
        <f t="shared" si="1265"/>
        <v>0</v>
      </c>
      <c r="J2226" s="424">
        <f>IFERROR(H2226*(G2226/E2226),"-")</f>
        <v>0</v>
      </c>
    </row>
    <row r="2227" spans="1:10" ht="27.75" customHeight="1" thickBot="1" x14ac:dyDescent="0.35">
      <c r="A2227" s="274" t="s">
        <v>103</v>
      </c>
      <c r="B2227" s="1025" t="s">
        <v>45</v>
      </c>
      <c r="C2227" s="1026"/>
      <c r="D2227" s="1027"/>
      <c r="E2227" s="390"/>
      <c r="F2227" s="406">
        <f t="shared" ref="F2227" si="1267">SUM(F2220:F2226)</f>
        <v>710801.89199999999</v>
      </c>
      <c r="G2227" s="407">
        <f>SUM(G2220:G2226)</f>
        <v>19391785.899999999</v>
      </c>
      <c r="H2227" s="391"/>
      <c r="I2227" s="406">
        <f t="shared" ref="I2227" si="1268">SUM(I2220:I2226)</f>
        <v>1129140</v>
      </c>
      <c r="J2227" s="425">
        <f>SUM(J2220:J2226)</f>
        <v>30831717.199999999</v>
      </c>
    </row>
    <row r="2228" spans="1:10" ht="27.75" customHeight="1" x14ac:dyDescent="0.3">
      <c r="A2228" s="274" t="s">
        <v>103</v>
      </c>
      <c r="B2228" s="1043" t="s">
        <v>18</v>
      </c>
      <c r="C2228" s="269" t="s">
        <v>312</v>
      </c>
      <c r="D2228" s="269" t="s">
        <v>92</v>
      </c>
      <c r="E2228" s="504">
        <v>17.8202</v>
      </c>
      <c r="F2228" s="402">
        <f>IFERROR(E2228*'01 Prod Physique Boites'!H2222,"-")</f>
        <v>0</v>
      </c>
      <c r="G2228" s="403">
        <f>IFERROR(E2228*'01 Prod Physique Boites'!L2222,"-")</f>
        <v>0</v>
      </c>
      <c r="H2228" s="381">
        <v>24.93</v>
      </c>
      <c r="I2228" s="419">
        <f t="shared" ref="I2228:I2234" si="1269">IFERROR(H2228*(F2228/E2228),"-")</f>
        <v>0</v>
      </c>
      <c r="J2228" s="420">
        <f t="shared" ref="J2228:J2230" si="1270">IFERROR(H2228*(G2228/E2228),"-")</f>
        <v>0</v>
      </c>
    </row>
    <row r="2229" spans="1:10" ht="27.75" customHeight="1" x14ac:dyDescent="0.3">
      <c r="A2229" s="274" t="s">
        <v>103</v>
      </c>
      <c r="B2229" s="1044"/>
      <c r="C2229" s="275" t="s">
        <v>130</v>
      </c>
      <c r="D2229" s="275"/>
      <c r="E2229" s="505">
        <v>17.8202</v>
      </c>
      <c r="F2229" s="402">
        <f>IFERROR(E2229*'01 Prod Physique Boites'!H2223,"-")</f>
        <v>0</v>
      </c>
      <c r="G2229" s="403">
        <f>IFERROR(E2229*'01 Prod Physique Boites'!L2223,"-")</f>
        <v>0</v>
      </c>
      <c r="H2229" s="385">
        <v>0</v>
      </c>
      <c r="I2229" s="421">
        <f t="shared" si="1269"/>
        <v>0</v>
      </c>
      <c r="J2229" s="422">
        <f t="shared" si="1270"/>
        <v>0</v>
      </c>
    </row>
    <row r="2230" spans="1:10" ht="27.75" customHeight="1" x14ac:dyDescent="0.3">
      <c r="A2230" s="274" t="s">
        <v>103</v>
      </c>
      <c r="B2230" s="1044"/>
      <c r="C2230" s="275" t="s">
        <v>115</v>
      </c>
      <c r="D2230" s="275"/>
      <c r="E2230" s="505">
        <v>16.4071</v>
      </c>
      <c r="F2230" s="402">
        <f>IFERROR(E2230*'01 Prod Physique Boites'!H2224,"-")</f>
        <v>0</v>
      </c>
      <c r="G2230" s="403">
        <f>IFERROR(E2230*'01 Prod Physique Boites'!L2224,"-")</f>
        <v>0</v>
      </c>
      <c r="H2230" s="385">
        <v>0</v>
      </c>
      <c r="I2230" s="421">
        <f t="shared" si="1269"/>
        <v>0</v>
      </c>
      <c r="J2230" s="422">
        <f t="shared" si="1270"/>
        <v>0</v>
      </c>
    </row>
    <row r="2231" spans="1:10" ht="27.75" customHeight="1" x14ac:dyDescent="0.3">
      <c r="A2231" s="274" t="s">
        <v>103</v>
      </c>
      <c r="B2231" s="1044"/>
      <c r="C2231" s="275" t="s">
        <v>122</v>
      </c>
      <c r="D2231" s="275"/>
      <c r="E2231" s="505">
        <v>17.8202</v>
      </c>
      <c r="F2231" s="402">
        <f>IFERROR(E2231*'01 Prod Physique Boites'!H2225,"-")</f>
        <v>0</v>
      </c>
      <c r="G2231" s="403">
        <f>IFERROR(E2231*'01 Prod Physique Boites'!L2225,"-")</f>
        <v>0</v>
      </c>
      <c r="H2231" s="385">
        <v>0</v>
      </c>
      <c r="I2231" s="421">
        <f t="shared" si="1269"/>
        <v>0</v>
      </c>
      <c r="J2231" s="422">
        <f>IFERROR(H2231*(G2231/E2231),"-")</f>
        <v>0</v>
      </c>
    </row>
    <row r="2232" spans="1:10" ht="27.75" customHeight="1" x14ac:dyDescent="0.3">
      <c r="A2232" s="274" t="s">
        <v>103</v>
      </c>
      <c r="B2232" s="1044"/>
      <c r="C2232" s="275" t="s">
        <v>176</v>
      </c>
      <c r="D2232" s="275" t="s">
        <v>177</v>
      </c>
      <c r="E2232" s="505">
        <v>17.8202</v>
      </c>
      <c r="F2232" s="402">
        <f>IFERROR(E2232*'01 Prod Physique Boites'!H2226,"-")</f>
        <v>0</v>
      </c>
      <c r="G2232" s="403">
        <f>IFERROR(E2232*'01 Prod Physique Boites'!L2226,"-")</f>
        <v>0</v>
      </c>
      <c r="H2232" s="385">
        <v>0</v>
      </c>
      <c r="I2232" s="421">
        <f t="shared" si="1269"/>
        <v>0</v>
      </c>
      <c r="J2232" s="422">
        <f t="shared" ref="J2232:J2234" si="1271">IFERROR(H2232*(G2232/E2232),"-")</f>
        <v>0</v>
      </c>
    </row>
    <row r="2233" spans="1:10" ht="27.75" customHeight="1" x14ac:dyDescent="0.3">
      <c r="A2233" s="274" t="s">
        <v>103</v>
      </c>
      <c r="B2233" s="1044"/>
      <c r="C2233" s="275" t="s">
        <v>179</v>
      </c>
      <c r="D2233" s="275" t="s">
        <v>178</v>
      </c>
      <c r="E2233" s="505">
        <v>16.7288</v>
      </c>
      <c r="F2233" s="402">
        <f>IFERROR(E2233*'01 Prod Physique Boites'!H2227,"-")</f>
        <v>0</v>
      </c>
      <c r="G2233" s="403">
        <f>IFERROR(E2233*'01 Prod Physique Boites'!L2227,"-")</f>
        <v>0</v>
      </c>
      <c r="H2233" s="385">
        <v>0</v>
      </c>
      <c r="I2233" s="421">
        <f t="shared" si="1269"/>
        <v>0</v>
      </c>
      <c r="J2233" s="422">
        <f t="shared" si="1271"/>
        <v>0</v>
      </c>
    </row>
    <row r="2234" spans="1:10" ht="27.75" customHeight="1" thickBot="1" x14ac:dyDescent="0.35">
      <c r="A2234" s="274" t="s">
        <v>103</v>
      </c>
      <c r="B2234" s="1045"/>
      <c r="C2234" s="286" t="s">
        <v>180</v>
      </c>
      <c r="D2234" s="286" t="s">
        <v>107</v>
      </c>
      <c r="E2234" s="501">
        <v>17.8202</v>
      </c>
      <c r="F2234" s="402">
        <f>IFERROR(E2234*'01 Prod Physique Boites'!H2228,"-")</f>
        <v>0</v>
      </c>
      <c r="G2234" s="403">
        <f>IFERROR(E2234*'01 Prod Physique Boites'!L2228,"-")</f>
        <v>0</v>
      </c>
      <c r="H2234" s="385">
        <v>0</v>
      </c>
      <c r="I2234" s="423">
        <f t="shared" si="1269"/>
        <v>0</v>
      </c>
      <c r="J2234" s="424">
        <f t="shared" si="1271"/>
        <v>0</v>
      </c>
    </row>
    <row r="2235" spans="1:10" ht="27.75" customHeight="1" thickBot="1" x14ac:dyDescent="0.35">
      <c r="A2235" s="274" t="s">
        <v>103</v>
      </c>
      <c r="B2235" s="1025" t="s">
        <v>29</v>
      </c>
      <c r="C2235" s="1083"/>
      <c r="D2235" s="1084"/>
      <c r="E2235" s="841"/>
      <c r="F2235" s="856">
        <f t="shared" ref="F2235:G2235" si="1272">SUM(F2228:F2234)</f>
        <v>0</v>
      </c>
      <c r="G2235" s="415">
        <f t="shared" si="1272"/>
        <v>0</v>
      </c>
      <c r="H2235" s="391"/>
      <c r="I2235" s="406">
        <f t="shared" ref="I2235:J2235" si="1273">SUM(I2228:I2234)</f>
        <v>0</v>
      </c>
      <c r="J2235" s="425">
        <f t="shared" si="1273"/>
        <v>0</v>
      </c>
    </row>
    <row r="2236" spans="1:10" ht="27.75" customHeight="1" x14ac:dyDescent="0.3">
      <c r="A2236" s="274"/>
      <c r="B2236" s="1037" t="s">
        <v>19</v>
      </c>
      <c r="C2236" s="669" t="s">
        <v>235</v>
      </c>
      <c r="D2236" s="669" t="s">
        <v>177</v>
      </c>
      <c r="E2236" s="850">
        <v>12.2659</v>
      </c>
      <c r="F2236" s="658">
        <f>IFERROR(E2236*'01 Prod Physique Boites'!H2230,"-")</f>
        <v>414489.2928</v>
      </c>
      <c r="G2236" s="1003">
        <f>IFERROR(E2236*'01 Prod Physique Boites'!L2230,"-")</f>
        <v>7460807.2703999998</v>
      </c>
      <c r="H2236" s="1006">
        <v>14.79</v>
      </c>
      <c r="I2236" s="1005">
        <f t="shared" ref="I2236:I2242" si="1274">IFERROR(H2236*(F2236/E2236),"-")</f>
        <v>499783.67999999999</v>
      </c>
      <c r="J2236" s="638">
        <f>IFERROR(H2236*(G2236/E2236),"-")</f>
        <v>8996106.2400000002</v>
      </c>
    </row>
    <row r="2237" spans="1:10" ht="27.75" customHeight="1" x14ac:dyDescent="0.3">
      <c r="A2237" s="274"/>
      <c r="B2237" s="1038"/>
      <c r="C2237" s="840" t="s">
        <v>359</v>
      </c>
      <c r="D2237" s="840" t="s">
        <v>423</v>
      </c>
      <c r="E2237" s="851">
        <v>12.2659</v>
      </c>
      <c r="F2237" s="643">
        <f>IFERROR(E2237*'01 Prod Physique Boites'!H2231,"-")</f>
        <v>0</v>
      </c>
      <c r="G2237" s="1002">
        <f>IFERROR(E2237*'01 Prod Physique Boites'!L2231,"-")</f>
        <v>7460807.2703999998</v>
      </c>
      <c r="H2237" s="1007">
        <v>14.55</v>
      </c>
      <c r="I2237" s="848">
        <f t="shared" si="1274"/>
        <v>0</v>
      </c>
      <c r="J2237" s="643">
        <f>IFERROR(H2237*(G2237/E2237),"-")</f>
        <v>8850124.8000000007</v>
      </c>
    </row>
    <row r="2238" spans="1:10" ht="27.75" customHeight="1" x14ac:dyDescent="0.3">
      <c r="A2238" s="274"/>
      <c r="B2238" s="1038"/>
      <c r="C2238" s="840" t="s">
        <v>235</v>
      </c>
      <c r="D2238" s="840" t="s">
        <v>522</v>
      </c>
      <c r="E2238" s="851">
        <v>12.2659</v>
      </c>
      <c r="F2238" s="643">
        <f>IFERROR(E2238*'01 Prod Physique Boites'!H2232,"-")</f>
        <v>0</v>
      </c>
      <c r="G2238" s="1002">
        <f>IFERROR(E2238*'01 Prod Physique Boites'!L2232,"-")</f>
        <v>2621370.0208000001</v>
      </c>
      <c r="H2238" s="1008">
        <v>16.41</v>
      </c>
      <c r="I2238" s="848">
        <f t="shared" si="1274"/>
        <v>0</v>
      </c>
      <c r="J2238" s="643">
        <f t="shared" ref="J2238:J2241" si="1275">IFERROR(H2238*(G2238/E2238),"-")</f>
        <v>3507013.92</v>
      </c>
    </row>
    <row r="2239" spans="1:10" ht="27.75" customHeight="1" x14ac:dyDescent="0.3">
      <c r="A2239" s="274"/>
      <c r="B2239" s="1038"/>
      <c r="C2239" s="840" t="s">
        <v>377</v>
      </c>
      <c r="D2239" s="840" t="s">
        <v>522</v>
      </c>
      <c r="E2239" s="851">
        <v>12.2659</v>
      </c>
      <c r="F2239" s="643">
        <f>IFERROR(E2239*'01 Prod Physique Boites'!H2233,"-")</f>
        <v>0</v>
      </c>
      <c r="G2239" s="1002">
        <f>IFERROR(E2239*'01 Prod Physique Boites'!L2233,"-")</f>
        <v>3523158.9887999999</v>
      </c>
      <c r="H2239" s="1008">
        <v>16.41</v>
      </c>
      <c r="I2239" s="848">
        <f t="shared" si="1274"/>
        <v>0</v>
      </c>
      <c r="J2239" s="643">
        <f t="shared" si="1275"/>
        <v>4713477.12</v>
      </c>
    </row>
    <row r="2240" spans="1:10" ht="27.75" customHeight="1" x14ac:dyDescent="0.3">
      <c r="A2240" s="274"/>
      <c r="B2240" s="1038"/>
      <c r="C2240" s="840" t="s">
        <v>536</v>
      </c>
      <c r="D2240" s="840" t="s">
        <v>522</v>
      </c>
      <c r="E2240" s="851">
        <v>12.2659</v>
      </c>
      <c r="F2240" s="643">
        <f>IFERROR(E2240*'01 Prod Physique Boites'!H2234,"-")</f>
        <v>0</v>
      </c>
      <c r="G2240" s="1002">
        <f>IFERROR(E2240*'01 Prod Physique Boites'!L2234,"-")</f>
        <v>1839296.2368000001</v>
      </c>
      <c r="H2240" s="1008">
        <v>16.41</v>
      </c>
      <c r="I2240" s="848">
        <f t="shared" si="1274"/>
        <v>0</v>
      </c>
      <c r="J2240" s="643">
        <f t="shared" si="1275"/>
        <v>2460712.3199999998</v>
      </c>
    </row>
    <row r="2241" spans="1:10" ht="27.75" customHeight="1" x14ac:dyDescent="0.3">
      <c r="A2241" s="274"/>
      <c r="B2241" s="1038"/>
      <c r="C2241" s="840"/>
      <c r="D2241" s="840"/>
      <c r="E2241" s="851">
        <v>12.2659</v>
      </c>
      <c r="F2241" s="643">
        <f>IFERROR(E2241*'01 Prod Physique Boites'!H2235,"-")</f>
        <v>0</v>
      </c>
      <c r="G2241" s="1002">
        <f>IFERROR(E2241*'01 Prod Physique Boites'!L2235,"-")</f>
        <v>0</v>
      </c>
      <c r="H2241" s="1007">
        <v>14.55</v>
      </c>
      <c r="I2241" s="848">
        <f t="shared" si="1274"/>
        <v>0</v>
      </c>
      <c r="J2241" s="643">
        <f t="shared" si="1275"/>
        <v>0</v>
      </c>
    </row>
    <row r="2242" spans="1:10" ht="27.75" customHeight="1" thickBot="1" x14ac:dyDescent="0.35">
      <c r="A2242" s="1018" t="s">
        <v>103</v>
      </c>
      <c r="B2242" s="1039"/>
      <c r="C2242" s="670" t="s">
        <v>342</v>
      </c>
      <c r="D2242" s="670"/>
      <c r="E2242" s="852">
        <v>0</v>
      </c>
      <c r="F2242" s="927">
        <f>IFERROR(E2242*'01 Prod Physique Boites'!H2236,"-")</f>
        <v>0</v>
      </c>
      <c r="G2242" s="1004">
        <f>IFERROR(E2242*'01 Prod Physique Boites'!L2236,"-")</f>
        <v>0</v>
      </c>
      <c r="H2242" s="1009">
        <v>0</v>
      </c>
      <c r="I2242" s="848" t="str">
        <f t="shared" si="1274"/>
        <v>-</v>
      </c>
      <c r="J2242" s="427" t="str">
        <f t="shared" ref="J2242" si="1276">IFERROR(I2242*(G2242/F2242),"-")</f>
        <v>-</v>
      </c>
    </row>
    <row r="2243" spans="1:10" ht="27.75" customHeight="1" thickBot="1" x14ac:dyDescent="0.35">
      <c r="A2243" s="274" t="s">
        <v>103</v>
      </c>
      <c r="B2243" s="1025" t="s">
        <v>46</v>
      </c>
      <c r="C2243" s="1041"/>
      <c r="D2243" s="1042"/>
      <c r="E2243" s="842"/>
      <c r="F2243" s="523">
        <f>SUM(F2236:F2242)</f>
        <v>414489.2928</v>
      </c>
      <c r="G2243" s="523">
        <f>SUM(G2236:G2242)</f>
        <v>22905439.7872</v>
      </c>
      <c r="H2243" s="391"/>
      <c r="I2243" s="406">
        <f>SUM(I2236:I2242)</f>
        <v>499783.67999999999</v>
      </c>
      <c r="J2243" s="425">
        <f>SUM(J2236:J2242)</f>
        <v>28527434.400000002</v>
      </c>
    </row>
    <row r="2244" spans="1:10" ht="27.75" customHeight="1" x14ac:dyDescent="0.3">
      <c r="A2244" s="274" t="s">
        <v>103</v>
      </c>
      <c r="B2244" s="1043" t="s">
        <v>20</v>
      </c>
      <c r="C2244" s="291" t="s">
        <v>583</v>
      </c>
      <c r="D2244" s="995" t="s">
        <v>289</v>
      </c>
      <c r="E2244" s="996">
        <v>0</v>
      </c>
      <c r="F2244" s="402">
        <f>IFERROR(E2244*'01 Prod Physique Boites'!H2238,"-")</f>
        <v>0</v>
      </c>
      <c r="G2244" s="403">
        <f>IFERROR(E2244*'01 Prod Physique Boites'!L2238,"-")</f>
        <v>0</v>
      </c>
      <c r="H2244" s="681">
        <v>0</v>
      </c>
      <c r="I2244" s="419" t="str">
        <f>IFERROR(H2244*(F2244/E2244),"-")</f>
        <v>-</v>
      </c>
      <c r="J2244" s="420" t="str">
        <f t="shared" ref="J2244:J2246" si="1277">IFERROR(H2244*(G2244/E2244),"-")</f>
        <v>-</v>
      </c>
    </row>
    <row r="2245" spans="1:10" ht="27.75" customHeight="1" x14ac:dyDescent="0.3">
      <c r="A2245" s="274" t="s">
        <v>103</v>
      </c>
      <c r="B2245" s="1044"/>
      <c r="C2245" s="292" t="s">
        <v>114</v>
      </c>
      <c r="D2245" s="292"/>
      <c r="E2245" s="384">
        <v>24.2607</v>
      </c>
      <c r="F2245" s="402">
        <f>IFERROR(E2245*'01 Prod Physique Boites'!H2239,"-")</f>
        <v>0</v>
      </c>
      <c r="G2245" s="403">
        <f>IFERROR(E2245*'01 Prod Physique Boites'!L2239,"-")</f>
        <v>0</v>
      </c>
      <c r="H2245" s="385">
        <v>37.369999999999997</v>
      </c>
      <c r="I2245" s="421">
        <f>IFERROR(H2245*(F2245/E2245),"-")</f>
        <v>0</v>
      </c>
      <c r="J2245" s="422">
        <f t="shared" si="1277"/>
        <v>0</v>
      </c>
    </row>
    <row r="2246" spans="1:10" ht="27.75" customHeight="1" thickBot="1" x14ac:dyDescent="0.35">
      <c r="A2246" s="274" t="s">
        <v>103</v>
      </c>
      <c r="B2246" s="1045"/>
      <c r="C2246" s="293" t="s">
        <v>120</v>
      </c>
      <c r="D2246" s="293"/>
      <c r="E2246" s="386">
        <v>26.035799999999998</v>
      </c>
      <c r="F2246" s="402">
        <f>IFERROR(E2246*'01 Prod Physique Boites'!H2240,"-")</f>
        <v>0</v>
      </c>
      <c r="G2246" s="403">
        <f>IFERROR(E2246*'01 Prod Physique Boites'!L2240,"-")</f>
        <v>0</v>
      </c>
      <c r="H2246" s="387">
        <v>37.11</v>
      </c>
      <c r="I2246" s="423">
        <f>IFERROR(H2246*(F2246/E2246),"-")</f>
        <v>0</v>
      </c>
      <c r="J2246" s="424">
        <f t="shared" si="1277"/>
        <v>0</v>
      </c>
    </row>
    <row r="2247" spans="1:10" ht="27.75" customHeight="1" thickBot="1" x14ac:dyDescent="0.35">
      <c r="A2247" s="274" t="s">
        <v>103</v>
      </c>
      <c r="B2247" s="1026" t="s">
        <v>47</v>
      </c>
      <c r="C2247" s="1026"/>
      <c r="D2247" s="1046"/>
      <c r="E2247" s="390"/>
      <c r="F2247" s="406">
        <f t="shared" ref="F2247:G2247" si="1278">SUM(F2244:F2246)</f>
        <v>0</v>
      </c>
      <c r="G2247" s="407">
        <f t="shared" si="1278"/>
        <v>0</v>
      </c>
      <c r="H2247" s="391"/>
      <c r="I2247" s="406">
        <f t="shared" ref="I2247:J2247" si="1279">SUM(I2244:I2246)</f>
        <v>0</v>
      </c>
      <c r="J2247" s="425">
        <f t="shared" si="1279"/>
        <v>0</v>
      </c>
    </row>
    <row r="2248" spans="1:10" ht="27.75" customHeight="1" thickBot="1" x14ac:dyDescent="0.35">
      <c r="A2248" s="274" t="s">
        <v>103</v>
      </c>
      <c r="B2248" s="1047" t="s">
        <v>21</v>
      </c>
      <c r="C2248" s="1048"/>
      <c r="D2248" s="1049"/>
      <c r="E2248" s="393"/>
      <c r="F2248" s="410">
        <f>+F2219+F2227+F2235+F2243+F2247</f>
        <v>1224069.2967999999</v>
      </c>
      <c r="G2248" s="411">
        <f>+G2219+G2227+G2235+G2243+G2247</f>
        <v>45478270.857199997</v>
      </c>
      <c r="H2248" s="394"/>
      <c r="I2248" s="410">
        <f>+I2219+I2227+I2235+I2243+I2247</f>
        <v>1628923.68</v>
      </c>
      <c r="J2248" s="428">
        <f>+J2219+J2227+J2235+J2243+J2247</f>
        <v>62027025.200000003</v>
      </c>
    </row>
    <row r="2249" spans="1:10" ht="27.75" customHeight="1" x14ac:dyDescent="0.3">
      <c r="A2249" s="274" t="s">
        <v>103</v>
      </c>
      <c r="B2249" s="1043" t="s">
        <v>400</v>
      </c>
      <c r="C2249" s="269" t="s">
        <v>125</v>
      </c>
      <c r="D2249" s="269"/>
      <c r="E2249" s="380">
        <v>22.820599999999999</v>
      </c>
      <c r="F2249" s="402">
        <f>IFERROR(E2249*'01 Prod Physique Boites'!H2243,"-")</f>
        <v>0</v>
      </c>
      <c r="G2249" s="403">
        <f>IFERROR(E2249*'01 Prod Physique Boites'!L2243,"-")</f>
        <v>0</v>
      </c>
      <c r="H2249" s="381">
        <v>27.5</v>
      </c>
      <c r="I2249" s="419">
        <f>IFERROR(H2249*(F2249/E2249),"-")</f>
        <v>0</v>
      </c>
      <c r="J2249" s="420">
        <f t="shared" ref="J2249:J2252" si="1280">IFERROR(H2249*(G2249/E2249),"-")</f>
        <v>0</v>
      </c>
    </row>
    <row r="2250" spans="1:10" ht="27.75" customHeight="1" x14ac:dyDescent="0.3">
      <c r="A2250" s="274" t="s">
        <v>103</v>
      </c>
      <c r="B2250" s="1044"/>
      <c r="C2250" s="295" t="s">
        <v>263</v>
      </c>
      <c r="D2250" s="295" t="s">
        <v>181</v>
      </c>
      <c r="E2250" s="384">
        <v>23.570699999999999</v>
      </c>
      <c r="F2250" s="402">
        <f>IFERROR(E2250*'01 Prod Physique Boites'!H2244,"-")</f>
        <v>0</v>
      </c>
      <c r="G2250" s="403">
        <f>IFERROR(E2250*'01 Prod Physique Boites'!L2244,"-")</f>
        <v>0</v>
      </c>
      <c r="H2250" s="385">
        <v>27.5</v>
      </c>
      <c r="I2250" s="421">
        <f>IFERROR(H2250*(F2250/E2250),"-")</f>
        <v>0</v>
      </c>
      <c r="J2250" s="422">
        <f t="shared" si="1280"/>
        <v>0</v>
      </c>
    </row>
    <row r="2251" spans="1:10" ht="27.75" customHeight="1" x14ac:dyDescent="0.3">
      <c r="A2251" s="274" t="s">
        <v>103</v>
      </c>
      <c r="B2251" s="1044"/>
      <c r="C2251" s="295" t="s">
        <v>362</v>
      </c>
      <c r="D2251" s="295" t="s">
        <v>181</v>
      </c>
      <c r="E2251" s="384">
        <v>22.820599999999999</v>
      </c>
      <c r="F2251" s="402">
        <f>IFERROR(E2251*'01 Prod Physique Boites'!H2245,"-")</f>
        <v>90369.576000000001</v>
      </c>
      <c r="G2251" s="403">
        <f>IFERROR(E2251*'01 Prod Physique Boites'!L2245,"-")</f>
        <v>1174804.4879999999</v>
      </c>
      <c r="H2251" s="385">
        <v>27.5</v>
      </c>
      <c r="I2251" s="421">
        <f>IFERROR(H2251*(F2251/E2251),"-")</f>
        <v>108900.00000000001</v>
      </c>
      <c r="J2251" s="422">
        <f t="shared" si="1280"/>
        <v>1415700</v>
      </c>
    </row>
    <row r="2252" spans="1:10" ht="27.75" customHeight="1" thickBot="1" x14ac:dyDescent="0.35">
      <c r="A2252" s="274" t="s">
        <v>103</v>
      </c>
      <c r="B2252" s="1045"/>
      <c r="C2252" s="279" t="s">
        <v>182</v>
      </c>
      <c r="D2252" s="279" t="s">
        <v>93</v>
      </c>
      <c r="E2252" s="386">
        <v>22.238499999999998</v>
      </c>
      <c r="F2252" s="402">
        <f>IFERROR(E2252*'01 Prod Physique Boites'!H2246,"-")</f>
        <v>44032.229999999996</v>
      </c>
      <c r="G2252" s="403">
        <f>IFERROR(E2252*'01 Prod Physique Boites'!L2246,"-")</f>
        <v>3874836.2399999998</v>
      </c>
      <c r="H2252" s="387">
        <v>27</v>
      </c>
      <c r="I2252" s="423">
        <f>IFERROR(H2252*(F2252/E2252),"-")</f>
        <v>53460</v>
      </c>
      <c r="J2252" s="424">
        <f t="shared" si="1280"/>
        <v>4704480</v>
      </c>
    </row>
    <row r="2253" spans="1:10" ht="27.75" customHeight="1" thickBot="1" x14ac:dyDescent="0.35">
      <c r="A2253" s="274" t="s">
        <v>103</v>
      </c>
      <c r="B2253" s="1025" t="s">
        <v>48</v>
      </c>
      <c r="C2253" s="1026"/>
      <c r="D2253" s="1027"/>
      <c r="E2253" s="390"/>
      <c r="F2253" s="406">
        <f t="shared" ref="F2253:G2253" si="1281">SUM(F2249:F2252)</f>
        <v>134401.80599999998</v>
      </c>
      <c r="G2253" s="407">
        <f t="shared" si="1281"/>
        <v>5049640.7280000001</v>
      </c>
      <c r="H2253" s="391"/>
      <c r="I2253" s="406">
        <f t="shared" ref="I2253:J2253" si="1282">SUM(I2249:I2252)</f>
        <v>162360</v>
      </c>
      <c r="J2253" s="425">
        <f t="shared" si="1282"/>
        <v>6120180</v>
      </c>
    </row>
    <row r="2254" spans="1:10" ht="27.75" customHeight="1" x14ac:dyDescent="0.3">
      <c r="A2254" s="274" t="s">
        <v>103</v>
      </c>
      <c r="B2254" s="1043" t="s">
        <v>23</v>
      </c>
      <c r="C2254" s="275" t="s">
        <v>500</v>
      </c>
      <c r="D2254" s="296" t="s">
        <v>238</v>
      </c>
      <c r="E2254" s="380">
        <v>101.4935</v>
      </c>
      <c r="F2254" s="402">
        <f>IFERROR(E2254*'01 Prod Physique Boites'!H2248,"-")</f>
        <v>0</v>
      </c>
      <c r="G2254" s="403">
        <f>IFERROR(E2254*'01 Prod Physique Boites'!L2248,"-")</f>
        <v>0</v>
      </c>
      <c r="H2254" s="385">
        <v>160.44999999999999</v>
      </c>
      <c r="I2254" s="419">
        <f t="shared" ref="I2254:I2262" si="1283">IFERROR(H2254*(F2254/E2254),"-")</f>
        <v>0</v>
      </c>
      <c r="J2254" s="420">
        <f t="shared" ref="J2254:J2262" si="1284">IFERROR(H2254*(G2254/E2254),"-")</f>
        <v>0</v>
      </c>
    </row>
    <row r="2255" spans="1:10" ht="27.75" customHeight="1" x14ac:dyDescent="0.3">
      <c r="A2255" s="274" t="s">
        <v>103</v>
      </c>
      <c r="B2255" s="1044"/>
      <c r="C2255" s="275" t="s">
        <v>24</v>
      </c>
      <c r="D2255" s="275" t="s">
        <v>238</v>
      </c>
      <c r="E2255" s="384">
        <v>101.4935</v>
      </c>
      <c r="F2255" s="402">
        <f>IFERROR(E2255*'01 Prod Physique Boites'!H2249,"-")</f>
        <v>0</v>
      </c>
      <c r="G2255" s="403">
        <f>IFERROR(E2255*'01 Prod Physique Boites'!L2249,"-")</f>
        <v>0</v>
      </c>
      <c r="H2255" s="385">
        <v>160.44999999999999</v>
      </c>
      <c r="I2255" s="421">
        <f t="shared" si="1283"/>
        <v>0</v>
      </c>
      <c r="J2255" s="422">
        <f t="shared" si="1284"/>
        <v>0</v>
      </c>
    </row>
    <row r="2256" spans="1:10" ht="27.75" customHeight="1" x14ac:dyDescent="0.3">
      <c r="A2256" s="274" t="s">
        <v>103</v>
      </c>
      <c r="B2256" s="1044"/>
      <c r="C2256" s="275" t="s">
        <v>236</v>
      </c>
      <c r="D2256" s="275" t="s">
        <v>238</v>
      </c>
      <c r="E2256" s="384">
        <v>101.4935</v>
      </c>
      <c r="F2256" s="402">
        <f>IFERROR(E2256*'01 Prod Physique Boites'!H2250,"-")</f>
        <v>0</v>
      </c>
      <c r="G2256" s="403">
        <f>IFERROR(E2256*'01 Prod Physique Boites'!L2250,"-")</f>
        <v>0</v>
      </c>
      <c r="H2256" s="385">
        <v>160.44999999999999</v>
      </c>
      <c r="I2256" s="421">
        <f t="shared" si="1283"/>
        <v>0</v>
      </c>
      <c r="J2256" s="422">
        <f t="shared" si="1284"/>
        <v>0</v>
      </c>
    </row>
    <row r="2257" spans="1:10" ht="27.75" customHeight="1" x14ac:dyDescent="0.3">
      <c r="A2257" s="274" t="s">
        <v>103</v>
      </c>
      <c r="B2257" s="1044"/>
      <c r="C2257" s="275" t="s">
        <v>239</v>
      </c>
      <c r="D2257" s="275" t="s">
        <v>238</v>
      </c>
      <c r="E2257" s="384">
        <v>101.4935</v>
      </c>
      <c r="F2257" s="402">
        <f>IFERROR(E2257*'01 Prod Physique Boites'!H2251,"-")</f>
        <v>0</v>
      </c>
      <c r="G2257" s="403">
        <f>IFERROR(E2257*'01 Prod Physique Boites'!L2251,"-")</f>
        <v>0</v>
      </c>
      <c r="H2257" s="385">
        <v>160.44999999999999</v>
      </c>
      <c r="I2257" s="421">
        <f t="shared" si="1283"/>
        <v>0</v>
      </c>
      <c r="J2257" s="422">
        <f t="shared" si="1284"/>
        <v>0</v>
      </c>
    </row>
    <row r="2258" spans="1:10" ht="27.75" customHeight="1" x14ac:dyDescent="0.3">
      <c r="A2258" s="274" t="s">
        <v>103</v>
      </c>
      <c r="B2258" s="1044"/>
      <c r="C2258" s="295" t="s">
        <v>394</v>
      </c>
      <c r="D2258" s="275" t="s">
        <v>238</v>
      </c>
      <c r="E2258" s="384">
        <v>101.4935</v>
      </c>
      <c r="F2258" s="402">
        <f>IFERROR(E2258*'01 Prod Physique Boites'!H2252,"-")</f>
        <v>0</v>
      </c>
      <c r="G2258" s="403">
        <f>IFERROR(E2258*'01 Prod Physique Boites'!L2252,"-")</f>
        <v>0</v>
      </c>
      <c r="H2258" s="385">
        <v>160.44999999999999</v>
      </c>
      <c r="I2258" s="421">
        <f t="shared" si="1283"/>
        <v>0</v>
      </c>
      <c r="J2258" s="422">
        <f t="shared" si="1284"/>
        <v>0</v>
      </c>
    </row>
    <row r="2259" spans="1:10" ht="27.75" customHeight="1" x14ac:dyDescent="0.3">
      <c r="A2259" s="274" t="s">
        <v>103</v>
      </c>
      <c r="B2259" s="1044"/>
      <c r="C2259" s="295" t="s">
        <v>422</v>
      </c>
      <c r="D2259" s="275" t="s">
        <v>238</v>
      </c>
      <c r="E2259" s="384">
        <v>101.4935</v>
      </c>
      <c r="F2259" s="402">
        <f>IFERROR(E2259*'01 Prod Physique Boites'!H2253,"-")</f>
        <v>0</v>
      </c>
      <c r="G2259" s="403">
        <f>IFERROR(E2259*'01 Prod Physique Boites'!L2253,"-")</f>
        <v>0</v>
      </c>
      <c r="H2259" s="385">
        <v>160.44999999999999</v>
      </c>
      <c r="I2259" s="421">
        <f t="shared" si="1283"/>
        <v>0</v>
      </c>
      <c r="J2259" s="422">
        <f t="shared" si="1284"/>
        <v>0</v>
      </c>
    </row>
    <row r="2260" spans="1:10" ht="27.75" customHeight="1" x14ac:dyDescent="0.3">
      <c r="A2260" s="274" t="s">
        <v>103</v>
      </c>
      <c r="B2260" s="1044"/>
      <c r="C2260" s="295" t="s">
        <v>241</v>
      </c>
      <c r="D2260" s="275" t="s">
        <v>547</v>
      </c>
      <c r="E2260" s="384">
        <v>101.4935</v>
      </c>
      <c r="F2260" s="402">
        <f>IFERROR(E2260*'01 Prod Physique Boites'!H2254,"-")</f>
        <v>0</v>
      </c>
      <c r="G2260" s="403">
        <f>IFERROR(E2260*'01 Prod Physique Boites'!L2254,"-")</f>
        <v>0</v>
      </c>
      <c r="H2260" s="385">
        <v>160.44999999999999</v>
      </c>
      <c r="I2260" s="421">
        <f t="shared" si="1283"/>
        <v>0</v>
      </c>
      <c r="J2260" s="422">
        <f t="shared" si="1284"/>
        <v>0</v>
      </c>
    </row>
    <row r="2261" spans="1:10" ht="27.75" customHeight="1" x14ac:dyDescent="0.3">
      <c r="A2261" s="274"/>
      <c r="B2261" s="1045"/>
      <c r="C2261" s="295" t="s">
        <v>546</v>
      </c>
      <c r="D2261" s="275" t="s">
        <v>238</v>
      </c>
      <c r="E2261" s="386">
        <v>101.49</v>
      </c>
      <c r="F2261" s="402">
        <f>IFERROR(E2261*'01 Prod Physique Boites'!H2255,"-")</f>
        <v>0</v>
      </c>
      <c r="G2261" s="403">
        <f>IFERROR(E2261*'01 Prod Physique Boites'!L2255,"-")</f>
        <v>0</v>
      </c>
      <c r="H2261" s="385">
        <v>160.44999999999999</v>
      </c>
      <c r="I2261" s="421">
        <f t="shared" si="1283"/>
        <v>0</v>
      </c>
      <c r="J2261" s="422">
        <f t="shared" si="1284"/>
        <v>0</v>
      </c>
    </row>
    <row r="2262" spans="1:10" ht="27.75" customHeight="1" thickBot="1" x14ac:dyDescent="0.35">
      <c r="A2262" s="274" t="s">
        <v>103</v>
      </c>
      <c r="B2262" s="1045"/>
      <c r="C2262" s="295" t="s">
        <v>242</v>
      </c>
      <c r="D2262" s="275" t="s">
        <v>238</v>
      </c>
      <c r="E2262" s="386">
        <v>101.4935</v>
      </c>
      <c r="F2262" s="402">
        <f>IFERROR(E2262*'01 Prod Physique Boites'!H2256,"-")</f>
        <v>0</v>
      </c>
      <c r="G2262" s="403">
        <f>IFERROR(E2262*'01 Prod Physique Boites'!L2256,"-")</f>
        <v>0</v>
      </c>
      <c r="H2262" s="385">
        <v>160.44999999999999</v>
      </c>
      <c r="I2262" s="421">
        <f t="shared" si="1283"/>
        <v>0</v>
      </c>
      <c r="J2262" s="424">
        <f t="shared" si="1284"/>
        <v>0</v>
      </c>
    </row>
    <row r="2263" spans="1:10" ht="27.75" customHeight="1" thickBot="1" x14ac:dyDescent="0.35">
      <c r="A2263" s="274" t="s">
        <v>103</v>
      </c>
      <c r="B2263" s="1025" t="s">
        <v>49</v>
      </c>
      <c r="C2263" s="1026"/>
      <c r="D2263" s="1027"/>
      <c r="E2263" s="390"/>
      <c r="F2263" s="406">
        <f t="shared" ref="F2263" si="1285">SUM(F2254:F2262)</f>
        <v>0</v>
      </c>
      <c r="G2263" s="407">
        <f>SUM(G2254:G2262)</f>
        <v>0</v>
      </c>
      <c r="H2263" s="391"/>
      <c r="I2263" s="406">
        <f t="shared" ref="I2263" si="1286">SUM(I2254:I2262)</f>
        <v>0</v>
      </c>
      <c r="J2263" s="425">
        <f>SUM(J2254:J2262)</f>
        <v>0</v>
      </c>
    </row>
    <row r="2264" spans="1:10" ht="27.75" customHeight="1" thickBot="1" x14ac:dyDescent="0.35">
      <c r="A2264" s="274" t="s">
        <v>103</v>
      </c>
      <c r="B2264" s="1047" t="s">
        <v>25</v>
      </c>
      <c r="C2264" s="1048"/>
      <c r="D2264" s="1049"/>
      <c r="E2264" s="393"/>
      <c r="F2264" s="410">
        <f t="shared" ref="F2264" si="1287">+F2253+F2263</f>
        <v>134401.80599999998</v>
      </c>
      <c r="G2264" s="411">
        <f>+G2253+G2263</f>
        <v>5049640.7280000001</v>
      </c>
      <c r="H2264" s="394"/>
      <c r="I2264" s="410">
        <f t="shared" ref="I2264:J2264" si="1288">+I2253+I2263</f>
        <v>162360</v>
      </c>
      <c r="J2264" s="428">
        <f t="shared" si="1288"/>
        <v>6120180</v>
      </c>
    </row>
    <row r="2265" spans="1:10" ht="27.75" customHeight="1" thickBot="1" x14ac:dyDescent="0.35">
      <c r="A2265" s="274" t="s">
        <v>103</v>
      </c>
      <c r="B2265" s="1019" t="s">
        <v>172</v>
      </c>
      <c r="C2265" s="1020"/>
      <c r="D2265" s="1021"/>
      <c r="E2265" s="395"/>
      <c r="F2265" s="412">
        <f t="shared" ref="F2265" si="1289">+F2248+F2264</f>
        <v>1358471.1028</v>
      </c>
      <c r="G2265" s="413">
        <f>+G2248+G2264</f>
        <v>50527911.585199997</v>
      </c>
      <c r="H2265" s="396"/>
      <c r="I2265" s="412">
        <f t="shared" ref="I2265:J2265" si="1290">+I2248+I2264</f>
        <v>1791283.68</v>
      </c>
      <c r="J2265" s="429">
        <f t="shared" si="1290"/>
        <v>68147205.200000003</v>
      </c>
    </row>
    <row r="2266" spans="1:10" ht="27.75" customHeight="1" x14ac:dyDescent="0.3">
      <c r="A2266" s="268" t="s">
        <v>101</v>
      </c>
      <c r="B2266" s="1051" t="s">
        <v>26</v>
      </c>
      <c r="C2266" s="893" t="s">
        <v>297</v>
      </c>
      <c r="D2266" s="898" t="s">
        <v>177</v>
      </c>
      <c r="E2266" s="504">
        <v>13.1272</v>
      </c>
      <c r="F2266" s="402">
        <f>IFERROR(E2266*'01 Prod Physique Boites'!H2260,"-")</f>
        <v>0</v>
      </c>
      <c r="G2266" s="403">
        <f>IFERROR(E2266*'01 Prod Physique Boites'!L2260,"-")</f>
        <v>0</v>
      </c>
      <c r="H2266" s="381">
        <v>20.76</v>
      </c>
      <c r="I2266" s="419">
        <f t="shared" ref="I2266:I2275" si="1291">IFERROR(H2266*(F2266/E2266),"-")</f>
        <v>0</v>
      </c>
      <c r="J2266" s="632">
        <f t="shared" ref="J2266:J2275" si="1292">IFERROR(H2266*(G2266/E2266),"-")</f>
        <v>0</v>
      </c>
    </row>
    <row r="2267" spans="1:10" ht="27.75" customHeight="1" x14ac:dyDescent="0.3">
      <c r="A2267" s="274" t="s">
        <v>101</v>
      </c>
      <c r="B2267" s="1051"/>
      <c r="C2267" s="253" t="s">
        <v>424</v>
      </c>
      <c r="D2267" s="899" t="s">
        <v>423</v>
      </c>
      <c r="E2267" s="505">
        <v>16.7288</v>
      </c>
      <c r="F2267" s="402">
        <f>IFERROR(E2267*'01 Prod Physique Boites'!H2261,"-")</f>
        <v>0</v>
      </c>
      <c r="G2267" s="403">
        <f>IFERROR(E2267*'01 Prod Physique Boites'!L2261,"-")</f>
        <v>4392112.9824000001</v>
      </c>
      <c r="H2267" s="385">
        <v>20.76</v>
      </c>
      <c r="I2267" s="421">
        <f t="shared" si="1291"/>
        <v>0</v>
      </c>
      <c r="J2267" s="633">
        <f t="shared" si="1292"/>
        <v>5450496.4800000004</v>
      </c>
    </row>
    <row r="2268" spans="1:10" ht="27.75" customHeight="1" x14ac:dyDescent="0.3">
      <c r="A2268" s="274" t="s">
        <v>101</v>
      </c>
      <c r="B2268" s="1051"/>
      <c r="C2268" s="813" t="s">
        <v>27</v>
      </c>
      <c r="D2268" s="899" t="s">
        <v>334</v>
      </c>
      <c r="E2268" s="501">
        <v>14.608000000000001</v>
      </c>
      <c r="F2268" s="402">
        <f>IFERROR(E2268*'01 Prod Physique Boites'!H2262,"-")</f>
        <v>0</v>
      </c>
      <c r="G2268" s="403">
        <f>IFERROR(E2268*'01 Prod Physique Boites'!L2262,"-")</f>
        <v>522995.61600000004</v>
      </c>
      <c r="H2268" s="385">
        <v>21.22</v>
      </c>
      <c r="I2268" s="643">
        <f t="shared" si="1291"/>
        <v>0</v>
      </c>
      <c r="J2268" s="633">
        <f t="shared" si="1292"/>
        <v>759718.44</v>
      </c>
    </row>
    <row r="2269" spans="1:10" ht="27.75" customHeight="1" x14ac:dyDescent="0.3">
      <c r="A2269" s="274" t="s">
        <v>101</v>
      </c>
      <c r="B2269" s="1051"/>
      <c r="C2269" s="813" t="s">
        <v>27</v>
      </c>
      <c r="D2269" s="900" t="s">
        <v>492</v>
      </c>
      <c r="E2269" s="501">
        <v>17.8202</v>
      </c>
      <c r="F2269" s="402">
        <f>IFERROR(E2269*'01 Prod Physique Boites'!H2263,"-")</f>
        <v>0</v>
      </c>
      <c r="G2269" s="403">
        <f>IFERROR(E2269*'01 Prod Physique Boites'!L2263,"-")</f>
        <v>4820435.3808000004</v>
      </c>
      <c r="H2269" s="385">
        <v>26.75</v>
      </c>
      <c r="I2269" s="643">
        <f t="shared" si="1291"/>
        <v>0</v>
      </c>
      <c r="J2269" s="633">
        <f t="shared" si="1292"/>
        <v>7235982</v>
      </c>
    </row>
    <row r="2270" spans="1:10" ht="27.75" customHeight="1" x14ac:dyDescent="0.3">
      <c r="A2270" s="274" t="s">
        <v>101</v>
      </c>
      <c r="B2270" s="1051"/>
      <c r="C2270" s="893" t="s">
        <v>521</v>
      </c>
      <c r="D2270" s="899" t="s">
        <v>234</v>
      </c>
      <c r="E2270" s="501">
        <v>14.608000000000001</v>
      </c>
      <c r="F2270" s="402">
        <f>IFERROR(E2270*'01 Prod Physique Boites'!H2264,"-")</f>
        <v>0</v>
      </c>
      <c r="G2270" s="403">
        <f>IFERROR(E2270*'01 Prod Physique Boites'!L2264,"-")</f>
        <v>813548.73600000003</v>
      </c>
      <c r="H2270" s="385">
        <v>24.93</v>
      </c>
      <c r="I2270" s="643">
        <f t="shared" si="1291"/>
        <v>0</v>
      </c>
      <c r="J2270" s="633">
        <f t="shared" si="1292"/>
        <v>1388401.56</v>
      </c>
    </row>
    <row r="2271" spans="1:10" ht="27.75" customHeight="1" x14ac:dyDescent="0.3">
      <c r="A2271" s="274"/>
      <c r="B2271" s="1051"/>
      <c r="C2271" s="813" t="s">
        <v>575</v>
      </c>
      <c r="D2271" s="899" t="s">
        <v>178</v>
      </c>
      <c r="E2271" s="501">
        <v>16.7288</v>
      </c>
      <c r="F2271" s="402">
        <f>IFERROR(E2271*'01 Prod Physique Boites'!H2265,"-")</f>
        <v>66547.166400000002</v>
      </c>
      <c r="G2271" s="403">
        <f>IFERROR(E2271*'01 Prod Physique Boites'!L2265,"-")</f>
        <v>8251848.6336000003</v>
      </c>
      <c r="H2271" s="387">
        <v>25.490030000000001</v>
      </c>
      <c r="I2271" s="643">
        <f t="shared" si="1291"/>
        <v>101399.33934000001</v>
      </c>
      <c r="J2271" s="634">
        <f t="shared" si="1292"/>
        <v>12573518.078160001</v>
      </c>
    </row>
    <row r="2272" spans="1:10" ht="27.75" customHeight="1" x14ac:dyDescent="0.3">
      <c r="A2272" s="274"/>
      <c r="B2272" s="1051"/>
      <c r="C2272" s="813" t="s">
        <v>333</v>
      </c>
      <c r="D2272" s="899" t="s">
        <v>94</v>
      </c>
      <c r="E2272" s="501">
        <v>17.8202</v>
      </c>
      <c r="F2272" s="724">
        <f>IFERROR(E2272*'01 Prod Physique Boites'!H2266,"-")</f>
        <v>0</v>
      </c>
      <c r="G2272" s="403">
        <f>IFERROR(E2272*'01 Prod Physique Boites'!L2266,"-")</f>
        <v>0</v>
      </c>
      <c r="H2272" s="387">
        <v>24.93</v>
      </c>
      <c r="I2272" s="730">
        <f t="shared" si="1291"/>
        <v>0</v>
      </c>
      <c r="J2272" s="634">
        <f t="shared" si="1292"/>
        <v>0</v>
      </c>
    </row>
    <row r="2273" spans="1:10" ht="27.75" customHeight="1" x14ac:dyDescent="0.3">
      <c r="A2273" s="725"/>
      <c r="B2273" s="1051"/>
      <c r="C2273" s="813" t="s">
        <v>433</v>
      </c>
      <c r="D2273" s="899" t="s">
        <v>540</v>
      </c>
      <c r="E2273" s="727">
        <v>16.7288</v>
      </c>
      <c r="F2273" s="724">
        <f>IFERROR(E2273*'01 Prod Physique Boites'!H2267,"-")</f>
        <v>133094.3328</v>
      </c>
      <c r="G2273" s="728">
        <f>IFERROR(E2273*'01 Prod Physique Boites'!L2267,"-")</f>
        <v>6055792.1424000002</v>
      </c>
      <c r="H2273" s="729">
        <v>25</v>
      </c>
      <c r="I2273" s="730">
        <f t="shared" si="1291"/>
        <v>198900</v>
      </c>
      <c r="J2273" s="634">
        <f t="shared" si="1292"/>
        <v>9049950</v>
      </c>
    </row>
    <row r="2274" spans="1:10" ht="27.75" customHeight="1" x14ac:dyDescent="0.3">
      <c r="A2274" s="725"/>
      <c r="B2274" s="1051"/>
      <c r="C2274" s="813" t="s">
        <v>382</v>
      </c>
      <c r="D2274" s="899" t="s">
        <v>366</v>
      </c>
      <c r="E2274" s="727">
        <v>16.345199999999998</v>
      </c>
      <c r="F2274" s="724">
        <f>IFERROR(E2274*'01 Prod Physique Boites'!H2268,"-")</f>
        <v>195063.61679999999</v>
      </c>
      <c r="G2274" s="728">
        <f>IFERROR(E2274*'01 Prod Physique Boites'!L2268,"-")</f>
        <v>4681526.8032</v>
      </c>
      <c r="H2274" s="729">
        <v>23.78</v>
      </c>
      <c r="I2274" s="730">
        <f t="shared" si="1291"/>
        <v>283790.52</v>
      </c>
      <c r="J2274" s="634">
        <f t="shared" si="1292"/>
        <v>6810972.4800000004</v>
      </c>
    </row>
    <row r="2275" spans="1:10" ht="27.75" customHeight="1" thickBot="1" x14ac:dyDescent="0.35">
      <c r="A2275" s="274" t="s">
        <v>101</v>
      </c>
      <c r="B2275" s="1051"/>
      <c r="C2275" s="813" t="s">
        <v>575</v>
      </c>
      <c r="D2275" s="901" t="s">
        <v>601</v>
      </c>
      <c r="E2275" s="501">
        <v>16.7288</v>
      </c>
      <c r="F2275" s="402">
        <f>IFERROR(E2275*'01 Prod Physique Boites'!H2269,"-")</f>
        <v>4458660.1487999996</v>
      </c>
      <c r="G2275" s="728">
        <f>IFERROR(E2275*'01 Prod Physique Boites'!L2269,"-")</f>
        <v>4458660.1487999996</v>
      </c>
      <c r="H2275" s="387">
        <v>25</v>
      </c>
      <c r="I2275" s="730">
        <f t="shared" si="1291"/>
        <v>6663150</v>
      </c>
      <c r="J2275" s="634">
        <f t="shared" si="1292"/>
        <v>6663150</v>
      </c>
    </row>
    <row r="2276" spans="1:10" ht="27.75" customHeight="1" thickBot="1" x14ac:dyDescent="0.35">
      <c r="A2276" s="274" t="s">
        <v>101</v>
      </c>
      <c r="B2276" s="1052"/>
      <c r="C2276" s="301"/>
      <c r="D2276" s="302" t="s">
        <v>52</v>
      </c>
      <c r="E2276" s="390"/>
      <c r="F2276" s="406">
        <f>SUM(F2266:F2275)</f>
        <v>4853365.2648</v>
      </c>
      <c r="G2276" s="407">
        <f>SUM(G2266:G2275)</f>
        <v>33996920.4432</v>
      </c>
      <c r="H2276" s="391"/>
      <c r="I2276" s="406">
        <f>SUM(I2266:I2275)</f>
        <v>7247239.85934</v>
      </c>
      <c r="J2276" s="425">
        <f>SUM(J2266:J2275)</f>
        <v>49932189.038159996</v>
      </c>
    </row>
    <row r="2277" spans="1:10" ht="27.75" customHeight="1" x14ac:dyDescent="0.3">
      <c r="A2277" s="274" t="s">
        <v>101</v>
      </c>
      <c r="B2277" s="1053" t="s">
        <v>28</v>
      </c>
      <c r="C2277" s="299" t="s">
        <v>27</v>
      </c>
      <c r="D2277" s="297" t="s">
        <v>492</v>
      </c>
      <c r="E2277" s="504">
        <v>17.8202</v>
      </c>
      <c r="F2277" s="402">
        <f>IFERROR(E2277*'01 Prod Physique Boites'!H2271,"-")</f>
        <v>0</v>
      </c>
      <c r="G2277" s="403">
        <f>IFERROR(E2277*'01 Prod Physique Boites'!L2271,"-")</f>
        <v>2977327.7352</v>
      </c>
      <c r="H2277" s="381">
        <v>26.75</v>
      </c>
      <c r="I2277" s="419">
        <f t="shared" ref="I2277:I2283" si="1293">IFERROR(H2277*(F2277/E2277),"-")</f>
        <v>0</v>
      </c>
      <c r="J2277" s="632">
        <f t="shared" ref="J2277:J2278" si="1294">IFERROR(H2277*(G2277/E2277),"-")</f>
        <v>4469283</v>
      </c>
    </row>
    <row r="2278" spans="1:10" ht="27.75" customHeight="1" x14ac:dyDescent="0.3">
      <c r="A2278" s="274" t="s">
        <v>101</v>
      </c>
      <c r="B2278" s="1051"/>
      <c r="C2278" s="299" t="s">
        <v>386</v>
      </c>
      <c r="D2278" s="299" t="s">
        <v>334</v>
      </c>
      <c r="E2278" s="711">
        <v>16.7288</v>
      </c>
      <c r="F2278" s="402">
        <f>IFERROR(E2278*'01 Prod Physique Boites'!H2272,"-")</f>
        <v>0</v>
      </c>
      <c r="G2278" s="728">
        <f>IFERROR(E2278*'01 Prod Physique Boites'!L2272,"-")</f>
        <v>1597131.9935999999</v>
      </c>
      <c r="H2278" s="708">
        <v>20.76</v>
      </c>
      <c r="I2278" s="421">
        <f t="shared" si="1293"/>
        <v>0</v>
      </c>
      <c r="J2278" s="633">
        <f t="shared" si="1294"/>
        <v>1981998.7200000002</v>
      </c>
    </row>
    <row r="2279" spans="1:10" ht="27.75" customHeight="1" x14ac:dyDescent="0.3">
      <c r="A2279" s="274" t="s">
        <v>101</v>
      </c>
      <c r="B2279" s="1051"/>
      <c r="C2279" s="299" t="s">
        <v>541</v>
      </c>
      <c r="D2279" s="299" t="s">
        <v>334</v>
      </c>
      <c r="E2279" s="501">
        <v>17.8202</v>
      </c>
      <c r="F2279" s="402">
        <f>IFERROR(E2279*'01 Prod Physique Boites'!H2273,"-")</f>
        <v>0</v>
      </c>
      <c r="G2279" s="403">
        <f>IFERROR(E2279*'01 Prod Physique Boites'!L2273,"-")</f>
        <v>0</v>
      </c>
      <c r="H2279" s="385">
        <v>21.22</v>
      </c>
      <c r="I2279" s="421">
        <f t="shared" si="1293"/>
        <v>0</v>
      </c>
      <c r="J2279" s="633">
        <f>IFERROR(H2279*(G2279/E2279),"-")</f>
        <v>0</v>
      </c>
    </row>
    <row r="2280" spans="1:10" ht="27.75" customHeight="1" x14ac:dyDescent="0.3">
      <c r="A2280" s="274"/>
      <c r="B2280" s="1051"/>
      <c r="C2280" s="299" t="s">
        <v>460</v>
      </c>
      <c r="D2280" s="299" t="s">
        <v>334</v>
      </c>
      <c r="E2280" s="501">
        <v>14.608000000000001</v>
      </c>
      <c r="F2280" s="402">
        <f>IFERROR(E2280*'01 Prod Physique Boites'!H2274,"-")</f>
        <v>0</v>
      </c>
      <c r="G2280" s="403">
        <f>IFERROR(E2280*'01 Prod Physique Boites'!L2274,"-")</f>
        <v>58110.624000000003</v>
      </c>
      <c r="H2280" s="385">
        <v>21.22</v>
      </c>
      <c r="I2280" s="421">
        <f t="shared" si="1293"/>
        <v>0</v>
      </c>
      <c r="J2280" s="633">
        <f>IFERROR(H2280*(G2280/E2280),"-")</f>
        <v>84413.159999999989</v>
      </c>
    </row>
    <row r="2281" spans="1:10" ht="27.75" customHeight="1" x14ac:dyDescent="0.3">
      <c r="A2281" s="274"/>
      <c r="B2281" s="1051"/>
      <c r="C2281" s="299" t="s">
        <v>433</v>
      </c>
      <c r="D2281" s="299" t="s">
        <v>540</v>
      </c>
      <c r="E2281" s="711">
        <v>16.7288</v>
      </c>
      <c r="F2281" s="402">
        <f>IFERROR(E2281*'01 Prod Physique Boites'!H2275,"-")</f>
        <v>0</v>
      </c>
      <c r="G2281" s="403">
        <f>IFERROR(E2281*'01 Prod Physique Boites'!L2275,"-")</f>
        <v>2129509.3248000001</v>
      </c>
      <c r="H2281" s="385">
        <v>25</v>
      </c>
      <c r="I2281" s="423">
        <f t="shared" si="1293"/>
        <v>0</v>
      </c>
      <c r="J2281" s="634">
        <f t="shared" ref="J2281:J2283" si="1295">IFERROR(H2281*(G2281/E2281),"-")</f>
        <v>3182400</v>
      </c>
    </row>
    <row r="2282" spans="1:10" ht="27.75" customHeight="1" x14ac:dyDescent="0.3">
      <c r="A2282" s="274"/>
      <c r="B2282" s="1051"/>
      <c r="C2282" s="299" t="s">
        <v>458</v>
      </c>
      <c r="D2282" s="300" t="s">
        <v>280</v>
      </c>
      <c r="E2282" s="711">
        <v>17.8202</v>
      </c>
      <c r="F2282" s="402">
        <f>IFERROR(E2282*'01 Prod Physique Boites'!H2276,"-")</f>
        <v>0</v>
      </c>
      <c r="G2282" s="403">
        <f>IFERROR(E2282*'01 Prod Physique Boites'!L2276,"-")</f>
        <v>0</v>
      </c>
      <c r="H2282" s="385">
        <v>24.93</v>
      </c>
      <c r="I2282" s="730">
        <f t="shared" si="1293"/>
        <v>0</v>
      </c>
      <c r="J2282" s="634">
        <f t="shared" si="1295"/>
        <v>0</v>
      </c>
    </row>
    <row r="2283" spans="1:10" ht="27.75" customHeight="1" thickBot="1" x14ac:dyDescent="0.35">
      <c r="A2283" s="274" t="s">
        <v>101</v>
      </c>
      <c r="B2283" s="1051"/>
      <c r="C2283" s="299" t="s">
        <v>27</v>
      </c>
      <c r="D2283" s="300" t="s">
        <v>234</v>
      </c>
      <c r="E2283" s="501">
        <v>17.8202</v>
      </c>
      <c r="F2283" s="402">
        <f>IFERROR(E2283*'01 Prod Physique Boites'!H2277,"-")</f>
        <v>0</v>
      </c>
      <c r="G2283" s="403">
        <f>IFERROR(E2283*'01 Prod Physique Boites'!L2277,"-")</f>
        <v>70888.755600000004</v>
      </c>
      <c r="H2283" s="385">
        <v>24.93</v>
      </c>
      <c r="I2283" s="423">
        <f t="shared" si="1293"/>
        <v>0</v>
      </c>
      <c r="J2283" s="634">
        <f t="shared" si="1295"/>
        <v>99171.540000000008</v>
      </c>
    </row>
    <row r="2284" spans="1:10" ht="27.75" customHeight="1" thickBot="1" x14ac:dyDescent="0.35">
      <c r="A2284" s="274" t="s">
        <v>101</v>
      </c>
      <c r="B2284" s="1051"/>
      <c r="C2284" s="304"/>
      <c r="D2284" s="305" t="s">
        <v>52</v>
      </c>
      <c r="E2284" s="397"/>
      <c r="F2284" s="414">
        <f t="shared" ref="F2284" si="1296">SUM(F2277:F2283)</f>
        <v>0</v>
      </c>
      <c r="G2284" s="415">
        <f>SUM(G2277:G2283)</f>
        <v>6832968.4331999999</v>
      </c>
      <c r="H2284" s="398"/>
      <c r="I2284" s="414">
        <f t="shared" ref="I2284:J2284" si="1297">SUM(I2277:I2283)</f>
        <v>0</v>
      </c>
      <c r="J2284" s="430">
        <f t="shared" si="1297"/>
        <v>9817266.4199999999</v>
      </c>
    </row>
    <row r="2285" spans="1:10" ht="27.75" customHeight="1" thickBot="1" x14ac:dyDescent="0.35">
      <c r="A2285" s="1018" t="s">
        <v>101</v>
      </c>
      <c r="B2285" s="1054" t="s">
        <v>162</v>
      </c>
      <c r="C2285" s="1055"/>
      <c r="D2285" s="1056"/>
      <c r="E2285" s="399"/>
      <c r="F2285" s="416">
        <f t="shared" ref="F2285" si="1298">+F2276+F2284</f>
        <v>4853365.2648</v>
      </c>
      <c r="G2285" s="417">
        <f>+G2276+G2284</f>
        <v>40829888.876400001</v>
      </c>
      <c r="H2285" s="400"/>
      <c r="I2285" s="416">
        <f t="shared" ref="I2285:J2285" si="1299">+I2276+I2284</f>
        <v>7247239.85934</v>
      </c>
      <c r="J2285" s="431">
        <f t="shared" si="1299"/>
        <v>59749455.458159998</v>
      </c>
    </row>
    <row r="2286" spans="1:10" ht="27.75" customHeight="1" x14ac:dyDescent="0.3">
      <c r="A2286" s="274" t="s">
        <v>101</v>
      </c>
      <c r="B2286" s="1051" t="s">
        <v>30</v>
      </c>
      <c r="C2286" s="303" t="s">
        <v>446</v>
      </c>
      <c r="D2286" s="299" t="s">
        <v>492</v>
      </c>
      <c r="E2286" s="736">
        <v>27.917000000000002</v>
      </c>
      <c r="F2286" s="402">
        <f>IFERROR(E2286*'01 Prod Physique Boites'!H2280,"-")</f>
        <v>1358776.2240000002</v>
      </c>
      <c r="G2286" s="728">
        <f>IFERROR(E2286*'01 Prod Physique Boites'!L2280,"-")</f>
        <v>9824997.3120000008</v>
      </c>
      <c r="H2286" s="734">
        <v>42.28</v>
      </c>
      <c r="I2286" s="419">
        <f>IFERROR(H2286*(F2286/E2286),"-")</f>
        <v>2057852.1600000001</v>
      </c>
      <c r="J2286" s="420">
        <f t="shared" ref="J2286:J2288" si="1300">IFERROR(H2286*(G2286/E2286),"-")</f>
        <v>14879854.08</v>
      </c>
    </row>
    <row r="2287" spans="1:10" ht="27.75" customHeight="1" x14ac:dyDescent="0.3">
      <c r="A2287" s="274" t="s">
        <v>101</v>
      </c>
      <c r="B2287" s="1051"/>
      <c r="C2287" s="300" t="s">
        <v>548</v>
      </c>
      <c r="D2287" s="303" t="s">
        <v>522</v>
      </c>
      <c r="E2287" s="733">
        <v>28.526700000000002</v>
      </c>
      <c r="F2287" s="402">
        <f>IFERROR(E2287*'01 Prod Physique Boites'!H2281,"-")</f>
        <v>0</v>
      </c>
      <c r="G2287" s="728">
        <f>IFERROR(E2287*'01 Prod Physique Boites'!L2281,"-")</f>
        <v>0</v>
      </c>
      <c r="H2287" s="735">
        <v>37.89</v>
      </c>
      <c r="I2287" s="421">
        <f>IFERROR(H2287*(F2287/E2287),"-")</f>
        <v>0</v>
      </c>
      <c r="J2287" s="422">
        <f t="shared" si="1300"/>
        <v>0</v>
      </c>
    </row>
    <row r="2288" spans="1:10" ht="27.75" customHeight="1" thickBot="1" x14ac:dyDescent="0.35">
      <c r="A2288" s="274" t="s">
        <v>101</v>
      </c>
      <c r="B2288" s="1051"/>
      <c r="C2288" s="300" t="s">
        <v>291</v>
      </c>
      <c r="D2288" s="300" t="s">
        <v>366</v>
      </c>
      <c r="E2288" s="501">
        <v>25.751300000000001</v>
      </c>
      <c r="F2288" s="724">
        <f>IFERROR(E2288*'01 Prod Physique Boites'!H2282,"-")</f>
        <v>0</v>
      </c>
      <c r="G2288" s="728">
        <f>IFERROR(E2288*'01 Prod Physique Boites'!L2282,"-")</f>
        <v>1334638.3764</v>
      </c>
      <c r="H2288" s="387">
        <v>37.89</v>
      </c>
      <c r="I2288" s="423">
        <f>IFERROR(H2288*(F2288/E2288),"-")</f>
        <v>0</v>
      </c>
      <c r="J2288" s="424">
        <f t="shared" si="1300"/>
        <v>1963762.92</v>
      </c>
    </row>
    <row r="2289" spans="1:10" ht="27.75" customHeight="1" thickBot="1" x14ac:dyDescent="0.35">
      <c r="A2289" s="274" t="s">
        <v>101</v>
      </c>
      <c r="B2289" s="1051"/>
      <c r="C2289" s="301"/>
      <c r="D2289" s="302" t="s">
        <v>50</v>
      </c>
      <c r="E2289" s="390"/>
      <c r="F2289" s="406">
        <f t="shared" ref="F2289:G2289" si="1301">SUM(F2286:F2288)</f>
        <v>1358776.2240000002</v>
      </c>
      <c r="G2289" s="407">
        <f t="shared" si="1301"/>
        <v>11159635.6884</v>
      </c>
      <c r="H2289" s="391"/>
      <c r="I2289" s="406">
        <f t="shared" ref="I2289" si="1302">SUM(I2286:I2288)</f>
        <v>2057852.1600000001</v>
      </c>
      <c r="J2289" s="425">
        <f>SUM(J2286:J2288)</f>
        <v>16843617</v>
      </c>
    </row>
    <row r="2290" spans="1:10" ht="27.75" customHeight="1" x14ac:dyDescent="0.3">
      <c r="A2290" s="274" t="s">
        <v>101</v>
      </c>
      <c r="B2290" s="1051"/>
      <c r="C2290" s="297" t="s">
        <v>439</v>
      </c>
      <c r="D2290" s="297" t="s">
        <v>92</v>
      </c>
      <c r="E2290" s="504">
        <v>24.2607</v>
      </c>
      <c r="F2290" s="402">
        <f>IFERROR(E2290*'01 Prod Physique Boites'!H2284,"-")</f>
        <v>0</v>
      </c>
      <c r="G2290" s="728">
        <f>IFERROR(E2290*'01 Prod Physique Boites'!L2284,"-")</f>
        <v>0</v>
      </c>
      <c r="H2290" s="381">
        <v>28.31</v>
      </c>
      <c r="I2290" s="638">
        <f>IFERROR(H2290*(F2290/E2290),"-")</f>
        <v>0</v>
      </c>
      <c r="J2290" s="420">
        <f t="shared" ref="J2290:J2295" si="1303">IFERROR(H2290*(G2290/E2290),"-")</f>
        <v>0</v>
      </c>
    </row>
    <row r="2291" spans="1:10" ht="27.75" customHeight="1" x14ac:dyDescent="0.3">
      <c r="A2291" s="274"/>
      <c r="B2291" s="1051"/>
      <c r="C2291" s="303" t="s">
        <v>449</v>
      </c>
      <c r="D2291" s="299" t="s">
        <v>334</v>
      </c>
      <c r="E2291" s="504">
        <v>24.2607</v>
      </c>
      <c r="F2291" s="402">
        <f>IFERROR(E2291*'01 Prod Physique Boites'!H2285,"-")</f>
        <v>0</v>
      </c>
      <c r="G2291" s="728">
        <f>IFERROR(E2291*'01 Prod Physique Boites'!L2285,"-")</f>
        <v>0</v>
      </c>
      <c r="H2291" s="381">
        <v>28.88</v>
      </c>
      <c r="I2291" s="638">
        <f t="shared" ref="I2291:I2295" si="1304">IFERROR(H2291*(F2291/E2291),"-")</f>
        <v>0</v>
      </c>
      <c r="J2291" s="420">
        <f t="shared" si="1303"/>
        <v>0</v>
      </c>
    </row>
    <row r="2292" spans="1:10" ht="27.75" customHeight="1" x14ac:dyDescent="0.3">
      <c r="A2292" s="274"/>
      <c r="B2292" s="1051"/>
      <c r="C2292" s="303" t="s">
        <v>452</v>
      </c>
      <c r="D2292" s="299" t="s">
        <v>334</v>
      </c>
      <c r="E2292" s="504">
        <v>25.4041</v>
      </c>
      <c r="F2292" s="402">
        <f>IFERROR(E2292*'01 Prod Physique Boites'!H2286,"-")</f>
        <v>0</v>
      </c>
      <c r="G2292" s="728">
        <f>IFERROR(E2292*'01 Prod Physique Boites'!L2286,"-")</f>
        <v>0</v>
      </c>
      <c r="H2292" s="381">
        <v>28.21</v>
      </c>
      <c r="I2292" s="638">
        <f t="shared" si="1304"/>
        <v>0</v>
      </c>
      <c r="J2292" s="420">
        <f t="shared" si="1303"/>
        <v>0</v>
      </c>
    </row>
    <row r="2293" spans="1:10" ht="27.75" customHeight="1" x14ac:dyDescent="0.3">
      <c r="A2293" s="274" t="s">
        <v>101</v>
      </c>
      <c r="B2293" s="1051"/>
      <c r="C2293" s="303" t="s">
        <v>501</v>
      </c>
      <c r="D2293" s="300" t="s">
        <v>423</v>
      </c>
      <c r="E2293" s="505">
        <v>23.697399999999998</v>
      </c>
      <c r="F2293" s="724">
        <f>IFERROR(E2293*'01 Prod Physique Boites'!H2287,"-")</f>
        <v>0</v>
      </c>
      <c r="G2293" s="728">
        <f>IFERROR(E2293*'01 Prod Physique Boites'!L2287,"-")</f>
        <v>177446.13119999997</v>
      </c>
      <c r="H2293" s="385">
        <v>28.21</v>
      </c>
      <c r="I2293" s="638">
        <f t="shared" si="1304"/>
        <v>0</v>
      </c>
      <c r="J2293" s="420">
        <f t="shared" si="1303"/>
        <v>211236.47999999998</v>
      </c>
    </row>
    <row r="2294" spans="1:10" ht="27.75" customHeight="1" x14ac:dyDescent="0.3">
      <c r="A2294" s="274"/>
      <c r="B2294" s="1051"/>
      <c r="C2294" s="300" t="s">
        <v>459</v>
      </c>
      <c r="D2294" s="300" t="s">
        <v>366</v>
      </c>
      <c r="E2294" s="501">
        <v>22.094999999999999</v>
      </c>
      <c r="F2294" s="724">
        <f>IFERROR(E2294*'01 Prod Physique Boites'!H2288,"-")</f>
        <v>0</v>
      </c>
      <c r="G2294" s="728">
        <f>IFERROR(E2294*'01 Prod Physique Boites'!L2288,"-")</f>
        <v>1737197.2799999998</v>
      </c>
      <c r="H2294" s="745">
        <v>37.11</v>
      </c>
      <c r="I2294" s="638">
        <f t="shared" si="1304"/>
        <v>0</v>
      </c>
      <c r="J2294" s="420">
        <f t="shared" si="1303"/>
        <v>2917736.64</v>
      </c>
    </row>
    <row r="2295" spans="1:10" ht="27.75" customHeight="1" thickBot="1" x14ac:dyDescent="0.35">
      <c r="A2295" s="274" t="s">
        <v>101</v>
      </c>
      <c r="B2295" s="1051"/>
      <c r="C2295" s="300" t="s">
        <v>438</v>
      </c>
      <c r="D2295" s="300" t="s">
        <v>423</v>
      </c>
      <c r="E2295" s="501">
        <v>23.697399999999998</v>
      </c>
      <c r="F2295" s="402">
        <f>IFERROR(E2295*'01 Prod Physique Boites'!H2289,"-")</f>
        <v>0</v>
      </c>
      <c r="G2295" s="403">
        <f>IFERROR(E2295*'01 Prod Physique Boites'!L2289,"-")</f>
        <v>0</v>
      </c>
      <c r="H2295" s="387">
        <v>28.21</v>
      </c>
      <c r="I2295" s="638">
        <f t="shared" si="1304"/>
        <v>0</v>
      </c>
      <c r="J2295" s="420">
        <f t="shared" si="1303"/>
        <v>0</v>
      </c>
    </row>
    <row r="2296" spans="1:10" ht="27.75" customHeight="1" thickBot="1" x14ac:dyDescent="0.35">
      <c r="A2296" s="274" t="s">
        <v>101</v>
      </c>
      <c r="B2296" s="1051"/>
      <c r="C2296" s="304"/>
      <c r="D2296" s="305" t="s">
        <v>51</v>
      </c>
      <c r="E2296" s="397"/>
      <c r="F2296" s="414">
        <f t="shared" ref="F2296:G2296" si="1305">SUM(F2290:F2295)</f>
        <v>0</v>
      </c>
      <c r="G2296" s="415">
        <f t="shared" si="1305"/>
        <v>1914643.4111999997</v>
      </c>
      <c r="H2296" s="398"/>
      <c r="I2296" s="414">
        <f t="shared" ref="I2296" si="1306">SUM(I2290:I2295)</f>
        <v>0</v>
      </c>
      <c r="J2296" s="430">
        <f>SUM(J2290:J2295)</f>
        <v>3128973.12</v>
      </c>
    </row>
    <row r="2297" spans="1:10" ht="27.75" customHeight="1" thickBot="1" x14ac:dyDescent="0.35">
      <c r="A2297" s="274" t="s">
        <v>101</v>
      </c>
      <c r="B2297" s="1054" t="s">
        <v>163</v>
      </c>
      <c r="C2297" s="1055"/>
      <c r="D2297" s="1056"/>
      <c r="E2297" s="399"/>
      <c r="F2297" s="416">
        <f t="shared" ref="F2297:G2297" si="1307">+F2289+F2296</f>
        <v>1358776.2240000002</v>
      </c>
      <c r="G2297" s="417">
        <f t="shared" si="1307"/>
        <v>13074279.0996</v>
      </c>
      <c r="H2297" s="400"/>
      <c r="I2297" s="416">
        <f t="shared" ref="I2297:J2297" si="1308">+I2289+I2296</f>
        <v>2057852.1600000001</v>
      </c>
      <c r="J2297" s="431">
        <f t="shared" si="1308"/>
        <v>19972590.120000001</v>
      </c>
    </row>
    <row r="2298" spans="1:10" ht="27.75" customHeight="1" thickBot="1" x14ac:dyDescent="0.35">
      <c r="A2298" s="274" t="s">
        <v>101</v>
      </c>
      <c r="B2298" s="599" t="s">
        <v>32</v>
      </c>
      <c r="C2298" s="1013"/>
      <c r="D2298" s="310"/>
      <c r="E2298" s="506">
        <v>12.2659</v>
      </c>
      <c r="F2298" s="408">
        <f>IFERROR(E2298*'01 Prod Physique Boites'!H2292,"-")</f>
        <v>0</v>
      </c>
      <c r="G2298" s="409">
        <f>IFERROR(E2298*'01 Prod Physique Boites'!L2292,"-")</f>
        <v>0</v>
      </c>
      <c r="H2298" s="392"/>
      <c r="I2298" s="426">
        <f>IFERROR(H2298*(F2298/E2298),"-")</f>
        <v>0</v>
      </c>
      <c r="J2298" s="427">
        <f>IFERROR(H2298*(G2298/E2298),"-")</f>
        <v>0</v>
      </c>
    </row>
    <row r="2299" spans="1:10" ht="27.75" customHeight="1" thickBot="1" x14ac:dyDescent="0.35">
      <c r="A2299" s="274" t="s">
        <v>101</v>
      </c>
      <c r="B2299" s="1047" t="s">
        <v>21</v>
      </c>
      <c r="C2299" s="1048"/>
      <c r="D2299" s="1049"/>
      <c r="E2299" s="393"/>
      <c r="F2299" s="410">
        <f t="shared" ref="F2299" si="1309">+F2285+F2297+F2298</f>
        <v>6212141.4888000004</v>
      </c>
      <c r="G2299" s="411">
        <f>+G2285+G2297+G2298</f>
        <v>53904167.976000004</v>
      </c>
      <c r="H2299" s="394"/>
      <c r="I2299" s="410">
        <f t="shared" ref="I2299:J2299" si="1310">+I2285+I2297+I2298</f>
        <v>9305092.019340001</v>
      </c>
      <c r="J2299" s="428">
        <f t="shared" si="1310"/>
        <v>79722045.578160003</v>
      </c>
    </row>
    <row r="2300" spans="1:10" ht="27.75" customHeight="1" thickBot="1" x14ac:dyDescent="0.35">
      <c r="A2300" s="274" t="s">
        <v>101</v>
      </c>
      <c r="B2300" s="1019" t="s">
        <v>171</v>
      </c>
      <c r="C2300" s="1020"/>
      <c r="D2300" s="1021"/>
      <c r="E2300" s="395"/>
      <c r="F2300" s="412">
        <f t="shared" ref="F2300:G2300" si="1311">+F2299</f>
        <v>6212141.4888000004</v>
      </c>
      <c r="G2300" s="413">
        <f t="shared" si="1311"/>
        <v>53904167.976000004</v>
      </c>
      <c r="H2300" s="396"/>
      <c r="I2300" s="412">
        <f t="shared" ref="I2300:J2300" si="1312">+I2299</f>
        <v>9305092.019340001</v>
      </c>
      <c r="J2300" s="429">
        <f t="shared" si="1312"/>
        <v>79722045.578160003</v>
      </c>
    </row>
    <row r="2301" spans="1:10" ht="27.75" customHeight="1" x14ac:dyDescent="0.3">
      <c r="A2301" s="268" t="s">
        <v>102</v>
      </c>
      <c r="B2301" s="1022" t="s">
        <v>401</v>
      </c>
      <c r="C2301" s="311" t="s">
        <v>113</v>
      </c>
      <c r="D2301" s="311"/>
      <c r="E2301" s="709">
        <v>254.89750000000001</v>
      </c>
      <c r="F2301" s="402">
        <f>IFERROR(E2301*'01 Prod Physique Boites'!H2295,"-")</f>
        <v>0</v>
      </c>
      <c r="G2301" s="403">
        <f>IFERROR(E2301*'01 Prod Physique Boites'!L2295,"-")</f>
        <v>0</v>
      </c>
      <c r="H2301" s="381">
        <v>445.38</v>
      </c>
      <c r="I2301" s="419">
        <f>IFERROR(H2301*(F2301/E2301),"-")</f>
        <v>0</v>
      </c>
      <c r="J2301" s="420">
        <f t="shared" ref="J2301:J2303" si="1313">IFERROR(H2301*(G2301/E2301),"-")</f>
        <v>0</v>
      </c>
    </row>
    <row r="2302" spans="1:10" ht="27.75" customHeight="1" x14ac:dyDescent="0.3">
      <c r="A2302" s="274" t="s">
        <v>102</v>
      </c>
      <c r="B2302" s="1023"/>
      <c r="C2302" s="312" t="s">
        <v>247</v>
      </c>
      <c r="D2302" s="312"/>
      <c r="E2302" s="503">
        <v>246.51390000000001</v>
      </c>
      <c r="F2302" s="402">
        <f>IFERROR(E2302*'01 Prod Physique Boites'!H2296,"-")</f>
        <v>0</v>
      </c>
      <c r="G2302" s="403">
        <f>IFERROR(E2302*'01 Prod Physique Boites'!L2296,"-")</f>
        <v>2255355.6710999999</v>
      </c>
      <c r="H2302" s="385">
        <v>430.02</v>
      </c>
      <c r="I2302" s="421">
        <f>IFERROR(H2302*(F2302/E2302),"-")</f>
        <v>0</v>
      </c>
      <c r="J2302" s="422">
        <f t="shared" si="1313"/>
        <v>3934252.98</v>
      </c>
    </row>
    <row r="2303" spans="1:10" ht="27.75" customHeight="1" thickBot="1" x14ac:dyDescent="0.35">
      <c r="A2303" s="274" t="s">
        <v>102</v>
      </c>
      <c r="B2303" s="1024"/>
      <c r="C2303" s="313" t="s">
        <v>33</v>
      </c>
      <c r="D2303" s="313"/>
      <c r="E2303" s="500">
        <v>225.7713</v>
      </c>
      <c r="F2303" s="402">
        <f>IFERROR(E2303*'01 Prod Physique Boites'!H2297,"-")</f>
        <v>0</v>
      </c>
      <c r="G2303" s="403">
        <f>IFERROR(E2303*'01 Prod Physique Boites'!L2297,"-")</f>
        <v>0</v>
      </c>
      <c r="H2303" s="387"/>
      <c r="I2303" s="423">
        <f>IFERROR(H2303*(F2303/E2303),"-")</f>
        <v>0</v>
      </c>
      <c r="J2303" s="424">
        <f t="shared" si="1313"/>
        <v>0</v>
      </c>
    </row>
    <row r="2304" spans="1:10" ht="27.75" customHeight="1" thickBot="1" x14ac:dyDescent="0.35">
      <c r="A2304" s="274" t="s">
        <v>102</v>
      </c>
      <c r="B2304" s="1025" t="s">
        <v>34</v>
      </c>
      <c r="C2304" s="1026"/>
      <c r="D2304" s="1027"/>
      <c r="E2304" s="390"/>
      <c r="F2304" s="406">
        <f t="shared" ref="F2304:G2304" si="1314">SUM(F2301:F2303)</f>
        <v>0</v>
      </c>
      <c r="G2304" s="407">
        <f t="shared" si="1314"/>
        <v>2255355.6710999999</v>
      </c>
      <c r="H2304" s="391"/>
      <c r="I2304" s="406">
        <f t="shared" ref="I2304:J2304" si="1315">SUM(I2301:I2303)</f>
        <v>0</v>
      </c>
      <c r="J2304" s="425">
        <f t="shared" si="1315"/>
        <v>3934252.98</v>
      </c>
    </row>
    <row r="2305" spans="1:10" ht="27.75" customHeight="1" x14ac:dyDescent="0.3">
      <c r="A2305" s="274" t="s">
        <v>102</v>
      </c>
      <c r="B2305" s="1022" t="s">
        <v>35</v>
      </c>
      <c r="C2305" s="311" t="s">
        <v>113</v>
      </c>
      <c r="D2305" s="311"/>
      <c r="E2305" s="502">
        <v>254.89750000000001</v>
      </c>
      <c r="F2305" s="402">
        <f>IFERROR(E2305*'01 Prod Physique Boites'!H2299,"-")</f>
        <v>0</v>
      </c>
      <c r="G2305" s="403">
        <f>IFERROR(E2305*'01 Prod Physique Boites'!L2299,"-")</f>
        <v>0</v>
      </c>
      <c r="H2305" s="381">
        <v>445.38</v>
      </c>
      <c r="I2305" s="419">
        <f>IFERROR(H2305*(F2305/E2305),"-")</f>
        <v>0</v>
      </c>
      <c r="J2305" s="420">
        <f t="shared" ref="J2305:J2308" si="1316">IFERROR(H2305*(G2305/E2305),"-")</f>
        <v>0</v>
      </c>
    </row>
    <row r="2306" spans="1:10" ht="27.75" customHeight="1" x14ac:dyDescent="0.3">
      <c r="A2306" s="274" t="s">
        <v>102</v>
      </c>
      <c r="B2306" s="1023"/>
      <c r="C2306" s="312" t="s">
        <v>247</v>
      </c>
      <c r="D2306" s="312"/>
      <c r="E2306" s="503">
        <v>246.51390000000001</v>
      </c>
      <c r="F2306" s="402">
        <f>IFERROR(E2306*'01 Prod Physique Boites'!H2300,"-")</f>
        <v>738062.61660000007</v>
      </c>
      <c r="G2306" s="403">
        <f>IFERROR(E2306*'01 Prod Physique Boites'!L2300,"-")</f>
        <v>8310969.6246000007</v>
      </c>
      <c r="H2306" s="385">
        <v>430.02</v>
      </c>
      <c r="I2306" s="421">
        <f>IFERROR(H2306*(F2306/E2306),"-")</f>
        <v>1287479.8799999999</v>
      </c>
      <c r="J2306" s="422">
        <f t="shared" si="1316"/>
        <v>14497694.279999999</v>
      </c>
    </row>
    <row r="2307" spans="1:10" ht="27.75" customHeight="1" x14ac:dyDescent="0.3">
      <c r="A2307" s="274" t="s">
        <v>102</v>
      </c>
      <c r="B2307" s="1023"/>
      <c r="C2307" s="312" t="s">
        <v>184</v>
      </c>
      <c r="D2307" s="312" t="s">
        <v>183</v>
      </c>
      <c r="E2307" s="503">
        <v>254.89750000000001</v>
      </c>
      <c r="F2307" s="402">
        <f>IFERROR(E2307*'01 Prod Physique Boites'!H2301,"-")</f>
        <v>0</v>
      </c>
      <c r="G2307" s="403">
        <f>IFERROR(E2307*'01 Prod Physique Boites'!L2301,"-")</f>
        <v>0</v>
      </c>
      <c r="H2307" s="385"/>
      <c r="I2307" s="421">
        <f>IFERROR(H2307*(F2307/E2307),"-")</f>
        <v>0</v>
      </c>
      <c r="J2307" s="422">
        <f t="shared" si="1316"/>
        <v>0</v>
      </c>
    </row>
    <row r="2308" spans="1:10" ht="27.75" customHeight="1" thickBot="1" x14ac:dyDescent="0.35">
      <c r="A2308" s="274" t="s">
        <v>102</v>
      </c>
      <c r="B2308" s="1024"/>
      <c r="C2308" s="313" t="s">
        <v>36</v>
      </c>
      <c r="D2308" s="313"/>
      <c r="E2308" s="500">
        <v>229.99359999999999</v>
      </c>
      <c r="F2308" s="402">
        <f>IFERROR(E2308*'01 Prod Physique Boites'!H2302,"-")</f>
        <v>0</v>
      </c>
      <c r="G2308" s="403">
        <f>IFERROR(E2308*'01 Prod Physique Boites'!L2302,"-")</f>
        <v>0</v>
      </c>
      <c r="H2308" s="387"/>
      <c r="I2308" s="423">
        <f>IFERROR(H2308*(F2308/E2308),"-")</f>
        <v>0</v>
      </c>
      <c r="J2308" s="424">
        <f t="shared" si="1316"/>
        <v>0</v>
      </c>
    </row>
    <row r="2309" spans="1:10" ht="27.75" customHeight="1" thickBot="1" x14ac:dyDescent="0.35">
      <c r="A2309" s="274" t="s">
        <v>102</v>
      </c>
      <c r="B2309" s="1025" t="s">
        <v>37</v>
      </c>
      <c r="C2309" s="1026"/>
      <c r="D2309" s="1027"/>
      <c r="E2309" s="390"/>
      <c r="F2309" s="406">
        <f t="shared" ref="F2309:G2309" si="1317">SUM(F2305:F2308)</f>
        <v>738062.61660000007</v>
      </c>
      <c r="G2309" s="407">
        <f t="shared" si="1317"/>
        <v>8310969.6246000007</v>
      </c>
      <c r="H2309" s="391"/>
      <c r="I2309" s="406">
        <f>SUM(I2305:I2308)</f>
        <v>1287479.8799999999</v>
      </c>
      <c r="J2309" s="425">
        <f>SUM(J2305:J2308)</f>
        <v>14497694.279999999</v>
      </c>
    </row>
    <row r="2310" spans="1:10" ht="27.75" customHeight="1" x14ac:dyDescent="0.3">
      <c r="A2310" s="274" t="s">
        <v>102</v>
      </c>
      <c r="B2310" s="1022" t="s">
        <v>402</v>
      </c>
      <c r="C2310" s="314" t="s">
        <v>116</v>
      </c>
      <c r="D2310" s="314"/>
      <c r="E2310" s="502">
        <v>195.2808</v>
      </c>
      <c r="F2310" s="402">
        <f>IFERROR(E2310*'01 Prod Physique Boites'!H2304,"-")</f>
        <v>0</v>
      </c>
      <c r="G2310" s="403">
        <f>IFERROR(E2310*'01 Prod Physique Boites'!L2304,"-")</f>
        <v>0</v>
      </c>
      <c r="H2310" s="681">
        <v>256.7</v>
      </c>
      <c r="I2310" s="419">
        <f>IFERROR(H2310*(F2310/E2310),"-")</f>
        <v>0</v>
      </c>
      <c r="J2310" s="420">
        <f t="shared" ref="J2310:J2311" si="1318">IFERROR(H2310*(G2310/E2310),"-")</f>
        <v>0</v>
      </c>
    </row>
    <row r="2311" spans="1:10" ht="27.75" customHeight="1" thickBot="1" x14ac:dyDescent="0.35">
      <c r="A2311" s="274" t="s">
        <v>102</v>
      </c>
      <c r="B2311" s="1024"/>
      <c r="C2311" s="286" t="s">
        <v>132</v>
      </c>
      <c r="D2311" s="286"/>
      <c r="E2311" s="500">
        <v>189.91890000000001</v>
      </c>
      <c r="F2311" s="402">
        <f>IFERROR(E2311*'01 Prod Physique Boites'!H2305,"-")</f>
        <v>0</v>
      </c>
      <c r="G2311" s="403">
        <f>IFERROR(E2311*'01 Prod Physique Boites'!L2305,"-")</f>
        <v>4138332.8310000002</v>
      </c>
      <c r="H2311" s="387">
        <v>320.35000000000002</v>
      </c>
      <c r="I2311" s="423">
        <f>IFERROR(H2311*(F2311/E2311),"-")</f>
        <v>0</v>
      </c>
      <c r="J2311" s="424">
        <f t="shared" si="1318"/>
        <v>6980426.5000000009</v>
      </c>
    </row>
    <row r="2312" spans="1:10" ht="27.75" customHeight="1" thickBot="1" x14ac:dyDescent="0.35">
      <c r="A2312" s="1018" t="s">
        <v>102</v>
      </c>
      <c r="B2312" s="1025" t="s">
        <v>38</v>
      </c>
      <c r="C2312" s="1026"/>
      <c r="D2312" s="1027"/>
      <c r="E2312" s="390"/>
      <c r="F2312" s="406">
        <f>SUM(F2310:F2311)</f>
        <v>0</v>
      </c>
      <c r="G2312" s="407">
        <f t="shared" ref="G2312" si="1319">SUM(G2310:G2311)</f>
        <v>4138332.8310000002</v>
      </c>
      <c r="H2312" s="391"/>
      <c r="I2312" s="406">
        <f t="shared" ref="I2312:J2312" si="1320">SUM(I2310:I2311)</f>
        <v>0</v>
      </c>
      <c r="J2312" s="425">
        <f t="shared" si="1320"/>
        <v>6980426.5000000009</v>
      </c>
    </row>
    <row r="2313" spans="1:10" ht="27.75" customHeight="1" x14ac:dyDescent="0.3">
      <c r="A2313" s="274" t="s">
        <v>102</v>
      </c>
      <c r="B2313" s="1022" t="s">
        <v>403</v>
      </c>
      <c r="C2313" s="269" t="s">
        <v>306</v>
      </c>
      <c r="D2313" s="269" t="s">
        <v>238</v>
      </c>
      <c r="E2313" s="504">
        <v>37.248699999999999</v>
      </c>
      <c r="F2313" s="402">
        <f>IFERROR(E2313*'01 Prod Physique Boites'!H2307,"-")</f>
        <v>0</v>
      </c>
      <c r="G2313" s="403">
        <f>IFERROR(E2313*'01 Prod Physique Boites'!L2307,"-")</f>
        <v>16344878.5548</v>
      </c>
      <c r="H2313" s="381">
        <v>71.44</v>
      </c>
      <c r="I2313" s="419">
        <f>IFERROR(H2313*(F2313/E2313),"-")</f>
        <v>0</v>
      </c>
      <c r="J2313" s="420">
        <f>IFERROR(H2313*(G2313/E2313),"-")</f>
        <v>31348157.759999998</v>
      </c>
    </row>
    <row r="2314" spans="1:10" ht="27.75" customHeight="1" x14ac:dyDescent="0.3">
      <c r="A2314" s="274" t="s">
        <v>102</v>
      </c>
      <c r="B2314" s="1023"/>
      <c r="C2314" s="269" t="s">
        <v>156</v>
      </c>
      <c r="D2314" s="275"/>
      <c r="E2314" s="504">
        <v>37.248699999999999</v>
      </c>
      <c r="F2314" s="402">
        <f>IFERROR(E2314*'01 Prod Physique Boites'!H2308,"-")</f>
        <v>0</v>
      </c>
      <c r="G2314" s="403">
        <f>IFERROR(E2314*'01 Prod Physique Boites'!L2308,"-")</f>
        <v>0</v>
      </c>
      <c r="H2314" s="385"/>
      <c r="I2314" s="421">
        <f>IFERROR(H2314*(F2314/E2314),"-")</f>
        <v>0</v>
      </c>
      <c r="J2314" s="422">
        <f t="shared" ref="J2314:J2316" si="1321">IFERROR(H2314*(G2314/E2314),"-")</f>
        <v>0</v>
      </c>
    </row>
    <row r="2315" spans="1:10" ht="27.75" customHeight="1" x14ac:dyDescent="0.3">
      <c r="A2315" s="274" t="s">
        <v>102</v>
      </c>
      <c r="B2315" s="1023"/>
      <c r="C2315" s="275" t="s">
        <v>345</v>
      </c>
      <c r="D2315" s="269" t="s">
        <v>238</v>
      </c>
      <c r="E2315" s="504">
        <v>37.248699999999999</v>
      </c>
      <c r="F2315" s="402">
        <f>IFERROR(E2315*'01 Prod Physique Boites'!H2309,"-")</f>
        <v>429105.02399999998</v>
      </c>
      <c r="G2315" s="403">
        <f>IFERROR(E2315*'01 Prod Physique Boites'!L2309,"-")</f>
        <v>2684588.3064000001</v>
      </c>
      <c r="H2315" s="385">
        <v>71.44</v>
      </c>
      <c r="I2315" s="421">
        <f>IFERROR(H2315*(F2315/E2315),"-")</f>
        <v>822988.79999999993</v>
      </c>
      <c r="J2315" s="422">
        <f t="shared" si="1321"/>
        <v>5148823.68</v>
      </c>
    </row>
    <row r="2316" spans="1:10" ht="27.75" customHeight="1" thickBot="1" x14ac:dyDescent="0.35">
      <c r="A2316" s="274" t="s">
        <v>102</v>
      </c>
      <c r="B2316" s="1023"/>
      <c r="C2316" s="275" t="s">
        <v>157</v>
      </c>
      <c r="D2316" s="275"/>
      <c r="E2316" s="505">
        <v>38.466099999999997</v>
      </c>
      <c r="F2316" s="402">
        <f>IFERROR(E2316*'01 Prod Physique Boites'!H2310,"-")</f>
        <v>0</v>
      </c>
      <c r="G2316" s="403">
        <f>IFERROR(E2316*'01 Prod Physique Boites'!L2310,"-")</f>
        <v>0</v>
      </c>
      <c r="H2316" s="385"/>
      <c r="I2316" s="421">
        <f>IFERROR(H2316*(F2316/E2316),"-")</f>
        <v>0</v>
      </c>
      <c r="J2316" s="422">
        <f t="shared" si="1321"/>
        <v>0</v>
      </c>
    </row>
    <row r="2317" spans="1:10" ht="27.75" customHeight="1" thickBot="1" x14ac:dyDescent="0.35">
      <c r="A2317" s="274" t="s">
        <v>102</v>
      </c>
      <c r="B2317" s="1025" t="s">
        <v>39</v>
      </c>
      <c r="C2317" s="1026"/>
      <c r="D2317" s="1027"/>
      <c r="E2317" s="390"/>
      <c r="F2317" s="406">
        <f>SUM(F2313:F2316)</f>
        <v>429105.02399999998</v>
      </c>
      <c r="G2317" s="407">
        <f>SUM(G2313:G2316)</f>
        <v>19029466.861200001</v>
      </c>
      <c r="H2317" s="391"/>
      <c r="I2317" s="406">
        <f>SUM(I2313:I2316)</f>
        <v>822988.79999999993</v>
      </c>
      <c r="J2317" s="406">
        <f>SUM(J2313:J2316)</f>
        <v>36496981.439999998</v>
      </c>
    </row>
    <row r="2318" spans="1:10" ht="27.75" customHeight="1" x14ac:dyDescent="0.3">
      <c r="A2318" s="274" t="s">
        <v>102</v>
      </c>
      <c r="B2318" s="1022" t="s">
        <v>40</v>
      </c>
      <c r="C2318" s="269" t="s">
        <v>186</v>
      </c>
      <c r="D2318" s="269" t="s">
        <v>183</v>
      </c>
      <c r="E2318" s="504">
        <v>30.7499</v>
      </c>
      <c r="F2318" s="402">
        <f>IFERROR(E2318*'01 Prod Physique Boites'!H2313,"-")</f>
        <v>0</v>
      </c>
      <c r="G2318" s="402">
        <f>IFERROR(E2318*'01 Prod Physique Boites'!L2313,"-")</f>
        <v>0</v>
      </c>
      <c r="H2318" s="381"/>
      <c r="I2318" s="419">
        <f>IFERROR(H2318*(F2318/E2318),"-")</f>
        <v>0</v>
      </c>
      <c r="J2318" s="420">
        <f>IFERROR(H2318*(G2318/E2318),"-")</f>
        <v>0</v>
      </c>
    </row>
    <row r="2319" spans="1:10" ht="27.75" customHeight="1" x14ac:dyDescent="0.3">
      <c r="A2319" s="274" t="s">
        <v>102</v>
      </c>
      <c r="B2319" s="1023"/>
      <c r="C2319" s="275" t="s">
        <v>159</v>
      </c>
      <c r="D2319" s="275"/>
      <c r="E2319" s="684">
        <v>30.073599999999999</v>
      </c>
      <c r="F2319" s="402">
        <f>IFERROR(E2319*'01 Prod Physique Boites'!H2314,"-")</f>
        <v>0</v>
      </c>
      <c r="G2319" s="403">
        <f>IFERROR(E2319*'01 Prod Physique Boites'!L2314,"-")</f>
        <v>342839.03999999998</v>
      </c>
      <c r="H2319" s="385">
        <v>59.96</v>
      </c>
      <c r="I2319" s="421">
        <f>IFERROR(H2319*(F2319/E2319),"-")</f>
        <v>0</v>
      </c>
      <c r="J2319" s="422">
        <f t="shared" ref="J2319:J2320" si="1322">IFERROR(H2319*(G2319/E2319),"-")</f>
        <v>683544</v>
      </c>
    </row>
    <row r="2320" spans="1:10" ht="27.75" customHeight="1" thickBot="1" x14ac:dyDescent="0.35">
      <c r="A2320" s="274" t="s">
        <v>102</v>
      </c>
      <c r="B2320" s="1024"/>
      <c r="C2320" s="279" t="s">
        <v>186</v>
      </c>
      <c r="D2320" s="279" t="s">
        <v>185</v>
      </c>
      <c r="E2320" s="501">
        <v>30.073599999999999</v>
      </c>
      <c r="F2320" s="402">
        <f>IFERROR(E2320*'01 Prod Physique Boites'!H2315,"-")</f>
        <v>0</v>
      </c>
      <c r="G2320" s="403">
        <f>IFERROR(E2320*'01 Prod Physique Boites'!L2315,"-")</f>
        <v>0</v>
      </c>
      <c r="H2320" s="387"/>
      <c r="I2320" s="423">
        <f>IFERROR(H2320*(F2320/E2320),"-")</f>
        <v>0</v>
      </c>
      <c r="J2320" s="424">
        <f t="shared" si="1322"/>
        <v>0</v>
      </c>
    </row>
    <row r="2321" spans="1:11" ht="27.75" customHeight="1" thickBot="1" x14ac:dyDescent="0.35">
      <c r="A2321" s="274" t="s">
        <v>102</v>
      </c>
      <c r="B2321" s="1034" t="s">
        <v>41</v>
      </c>
      <c r="C2321" s="1035"/>
      <c r="D2321" s="1036"/>
      <c r="E2321" s="390"/>
      <c r="F2321" s="406">
        <f t="shared" ref="F2321:G2321" si="1323">SUM(F2318:F2320)</f>
        <v>0</v>
      </c>
      <c r="G2321" s="407">
        <f t="shared" si="1323"/>
        <v>342839.03999999998</v>
      </c>
      <c r="H2321" s="391"/>
      <c r="I2321" s="406">
        <f t="shared" ref="I2321:J2321" si="1324">SUM(I2318:I2320)</f>
        <v>0</v>
      </c>
      <c r="J2321" s="425">
        <f t="shared" si="1324"/>
        <v>683544</v>
      </c>
    </row>
    <row r="2322" spans="1:11" ht="27.75" customHeight="1" x14ac:dyDescent="0.3">
      <c r="A2322" s="274" t="s">
        <v>102</v>
      </c>
      <c r="B2322" s="1022" t="s">
        <v>42</v>
      </c>
      <c r="C2322" s="269" t="s">
        <v>160</v>
      </c>
      <c r="D2322" s="269"/>
      <c r="E2322" s="504">
        <v>36.684899999999999</v>
      </c>
      <c r="F2322" s="402">
        <f>IFERROR(E2322*'01 Prod Physique Boites'!H2317,"-")</f>
        <v>410870.88</v>
      </c>
      <c r="G2322" s="402">
        <f>IFERROR(E2322*'01 Prod Physique Boites'!L2317,"-")</f>
        <v>1173916.8</v>
      </c>
      <c r="H2322" s="381">
        <v>42</v>
      </c>
      <c r="I2322" s="382">
        <f t="shared" ref="I2322:I2323" si="1325">IFERROR(H2322*(F2322/E2322),"-")</f>
        <v>470400</v>
      </c>
      <c r="J2322" s="383">
        <f t="shared" ref="J2322:J2323" si="1326">IFERROR(H2322*(G2322/E2322),"-")</f>
        <v>1344000.0000000002</v>
      </c>
    </row>
    <row r="2323" spans="1:11" ht="27.75" customHeight="1" thickBot="1" x14ac:dyDescent="0.35">
      <c r="A2323" s="274" t="s">
        <v>102</v>
      </c>
      <c r="B2323" s="1024"/>
      <c r="C2323" s="279" t="s">
        <v>161</v>
      </c>
      <c r="D2323" s="279"/>
      <c r="E2323" s="501">
        <v>37.002800000000001</v>
      </c>
      <c r="F2323" s="402">
        <f>IFERROR(E2323*'01 Prod Physique Boites'!H2318,"-")</f>
        <v>0</v>
      </c>
      <c r="G2323" s="402">
        <f>IFERROR(E2323*'01 Prod Physique Boites'!L2318,"-")</f>
        <v>0</v>
      </c>
      <c r="H2323" s="387"/>
      <c r="I2323" s="388">
        <f t="shared" si="1325"/>
        <v>0</v>
      </c>
      <c r="J2323" s="389">
        <f t="shared" si="1326"/>
        <v>0</v>
      </c>
    </row>
    <row r="2324" spans="1:11" ht="27.75" customHeight="1" thickBot="1" x14ac:dyDescent="0.35">
      <c r="A2324" s="274" t="s">
        <v>102</v>
      </c>
      <c r="B2324" s="1034" t="s">
        <v>43</v>
      </c>
      <c r="C2324" s="1035"/>
      <c r="D2324" s="1036"/>
      <c r="E2324" s="390"/>
      <c r="F2324" s="402">
        <f>SUM(F2322:F2323)</f>
        <v>410870.88</v>
      </c>
      <c r="G2324" s="407">
        <f>SUM(G2322:G2323)</f>
        <v>1173916.8</v>
      </c>
      <c r="H2324" s="391"/>
      <c r="I2324" s="406">
        <f t="shared" ref="I2324:J2324" si="1327">SUM(I2322:I2323)</f>
        <v>470400</v>
      </c>
      <c r="J2324" s="425">
        <f t="shared" si="1327"/>
        <v>1344000.0000000002</v>
      </c>
    </row>
    <row r="2325" spans="1:11" ht="27.75" customHeight="1" thickBot="1" x14ac:dyDescent="0.35">
      <c r="A2325" s="274" t="s">
        <v>102</v>
      </c>
      <c r="B2325" s="1028" t="s">
        <v>25</v>
      </c>
      <c r="C2325" s="1029"/>
      <c r="D2325" s="1030"/>
      <c r="E2325" s="393"/>
      <c r="F2325" s="410">
        <f>+F2304+F2309+F2312+F2317+F2321+F2324</f>
        <v>1578038.5205999999</v>
      </c>
      <c r="G2325" s="411">
        <f>+G2304+G2309+G2312+G2317+G2321+G2324</f>
        <v>35250880.8279</v>
      </c>
      <c r="H2325" s="394"/>
      <c r="I2325" s="410">
        <f>+I2304+I2309+I2312+I2317+I2321+I2324</f>
        <v>2580868.6799999997</v>
      </c>
      <c r="J2325" s="428">
        <f>+J2304+J2309+J2312+J2317+J2321+J2324</f>
        <v>63936899.199999996</v>
      </c>
    </row>
    <row r="2326" spans="1:11" ht="27.75" customHeight="1" thickBot="1" x14ac:dyDescent="0.35">
      <c r="A2326" s="318" t="s">
        <v>102</v>
      </c>
      <c r="B2326" s="1020" t="s">
        <v>173</v>
      </c>
      <c r="C2326" s="1020"/>
      <c r="D2326" s="1021"/>
      <c r="E2326" s="395"/>
      <c r="F2326" s="412">
        <f t="shared" ref="F2326:G2326" si="1328">+F2325</f>
        <v>1578038.5205999999</v>
      </c>
      <c r="G2326" s="413">
        <f t="shared" si="1328"/>
        <v>35250880.8279</v>
      </c>
      <c r="H2326" s="396"/>
      <c r="I2326" s="412">
        <f t="shared" ref="I2326" si="1329">+I2325</f>
        <v>2580868.6799999997</v>
      </c>
      <c r="J2326" s="429">
        <f>+J2325</f>
        <v>63936899.199999996</v>
      </c>
    </row>
    <row r="2327" spans="1:11" ht="27.75" customHeight="1" thickBot="1" x14ac:dyDescent="0.35">
      <c r="A2327" s="319"/>
      <c r="B2327" s="1031" t="s">
        <v>174</v>
      </c>
      <c r="C2327" s="1032"/>
      <c r="D2327" s="1033"/>
      <c r="E2327" s="401"/>
      <c r="F2327" s="418">
        <f>+F2265+F2300+F2326</f>
        <v>9148651.1122000013</v>
      </c>
      <c r="G2327" s="418">
        <f>+G2265+G2300+G2326</f>
        <v>139682960.38909999</v>
      </c>
      <c r="H2327" s="401"/>
      <c r="I2327" s="418">
        <f>+I2265+I2300+I2326</f>
        <v>13677244.37934</v>
      </c>
      <c r="J2327" s="432">
        <f>+J2265+J2300+J2326</f>
        <v>211806149.97815999</v>
      </c>
    </row>
    <row r="2329" spans="1:11" x14ac:dyDescent="0.3">
      <c r="H2329" s="377"/>
      <c r="K2329" s="377"/>
    </row>
  </sheetData>
  <mergeCells count="1001">
    <mergeCell ref="B2325:D2325"/>
    <mergeCell ref="B2326:D2326"/>
    <mergeCell ref="B2327:D2327"/>
    <mergeCell ref="B2309:D2309"/>
    <mergeCell ref="B2310:B2311"/>
    <mergeCell ref="B2312:D2312"/>
    <mergeCell ref="B2313:B2316"/>
    <mergeCell ref="B2317:D2317"/>
    <mergeCell ref="B2318:B2320"/>
    <mergeCell ref="B2321:D2321"/>
    <mergeCell ref="B2322:B2323"/>
    <mergeCell ref="B2324:D2324"/>
    <mergeCell ref="B2277:B2284"/>
    <mergeCell ref="B2285:D2285"/>
    <mergeCell ref="B2286:B2296"/>
    <mergeCell ref="B2297:D2297"/>
    <mergeCell ref="B2299:D2299"/>
    <mergeCell ref="B2300:D2300"/>
    <mergeCell ref="B2301:B2303"/>
    <mergeCell ref="B2304:D2304"/>
    <mergeCell ref="B2305:B2308"/>
    <mergeCell ref="B2247:D2247"/>
    <mergeCell ref="B2248:D2248"/>
    <mergeCell ref="B2249:B2252"/>
    <mergeCell ref="B2253:D2253"/>
    <mergeCell ref="B2254:B2262"/>
    <mergeCell ref="B2263:D2263"/>
    <mergeCell ref="B2264:D2264"/>
    <mergeCell ref="B2265:D2265"/>
    <mergeCell ref="B2266:B2276"/>
    <mergeCell ref="B2215:B2218"/>
    <mergeCell ref="B2219:D2219"/>
    <mergeCell ref="B2220:B2226"/>
    <mergeCell ref="B2227:D2227"/>
    <mergeCell ref="B2228:B2234"/>
    <mergeCell ref="B2235:D2235"/>
    <mergeCell ref="B2236:B2242"/>
    <mergeCell ref="B2243:D2243"/>
    <mergeCell ref="B2244:B2246"/>
    <mergeCell ref="A2211:A2214"/>
    <mergeCell ref="B2211:B2214"/>
    <mergeCell ref="C2211:C2214"/>
    <mergeCell ref="D2211:D2214"/>
    <mergeCell ref="E2211:G2211"/>
    <mergeCell ref="E2212:G2212"/>
    <mergeCell ref="H2212:J2212"/>
    <mergeCell ref="H2213:H2214"/>
    <mergeCell ref="I2213:I2214"/>
    <mergeCell ref="J2213:J2214"/>
    <mergeCell ref="E2214:G2214"/>
    <mergeCell ref="B1974:D1974"/>
    <mergeCell ref="B1975:D1975"/>
    <mergeCell ref="B1976:D1976"/>
    <mergeCell ref="B1958:D1958"/>
    <mergeCell ref="B1959:B1960"/>
    <mergeCell ref="B1961:D1961"/>
    <mergeCell ref="B1962:B1965"/>
    <mergeCell ref="B1966:D1966"/>
    <mergeCell ref="B1967:B1969"/>
    <mergeCell ref="B1970:D1970"/>
    <mergeCell ref="B1971:B1972"/>
    <mergeCell ref="B1973:D1973"/>
    <mergeCell ref="E1977:G1977"/>
    <mergeCell ref="E1978:G1978"/>
    <mergeCell ref="H1978:J1978"/>
    <mergeCell ref="H1979:H1980"/>
    <mergeCell ref="I1979:I1980"/>
    <mergeCell ref="J1979:J1980"/>
    <mergeCell ref="E1980:G1980"/>
    <mergeCell ref="B1981:B1984"/>
    <mergeCell ref="B1985:D1985"/>
    <mergeCell ref="B1926:B1933"/>
    <mergeCell ref="B1934:D1934"/>
    <mergeCell ref="B1935:B1945"/>
    <mergeCell ref="B1946:D1946"/>
    <mergeCell ref="B1948:D1948"/>
    <mergeCell ref="B1949:D1949"/>
    <mergeCell ref="B1950:B1952"/>
    <mergeCell ref="B1953:D1953"/>
    <mergeCell ref="B1954:B1957"/>
    <mergeCell ref="B1896:D1896"/>
    <mergeCell ref="B1897:D1897"/>
    <mergeCell ref="B1898:B1901"/>
    <mergeCell ref="B1902:D1902"/>
    <mergeCell ref="B1903:B1911"/>
    <mergeCell ref="B1912:D1912"/>
    <mergeCell ref="B1913:D1913"/>
    <mergeCell ref="B1914:D1914"/>
    <mergeCell ref="B1915:B1925"/>
    <mergeCell ref="B1864:B1867"/>
    <mergeCell ref="B1868:D1868"/>
    <mergeCell ref="B1869:B1875"/>
    <mergeCell ref="B1876:D1876"/>
    <mergeCell ref="B1877:B1883"/>
    <mergeCell ref="B1884:D1884"/>
    <mergeCell ref="B1885:B1891"/>
    <mergeCell ref="B1892:D1892"/>
    <mergeCell ref="B1893:B1895"/>
    <mergeCell ref="A1860:A1863"/>
    <mergeCell ref="B1860:B1863"/>
    <mergeCell ref="C1860:C1863"/>
    <mergeCell ref="D1860:D1863"/>
    <mergeCell ref="E1860:G1860"/>
    <mergeCell ref="E1861:G1861"/>
    <mergeCell ref="H1861:J1861"/>
    <mergeCell ref="H1862:H1863"/>
    <mergeCell ref="I1862:I1863"/>
    <mergeCell ref="J1862:J1863"/>
    <mergeCell ref="E1863:G1863"/>
    <mergeCell ref="B1798:B1808"/>
    <mergeCell ref="B1747:B1750"/>
    <mergeCell ref="B1751:D1751"/>
    <mergeCell ref="B1752:B1758"/>
    <mergeCell ref="B1759:D1759"/>
    <mergeCell ref="B1760:B1766"/>
    <mergeCell ref="B1767:D1767"/>
    <mergeCell ref="B1768:B1774"/>
    <mergeCell ref="B1775:D1775"/>
    <mergeCell ref="B1776:B1778"/>
    <mergeCell ref="B1857:D1857"/>
    <mergeCell ref="B1858:D1858"/>
    <mergeCell ref="B1859:D1859"/>
    <mergeCell ref="B1841:D1841"/>
    <mergeCell ref="B1842:B1843"/>
    <mergeCell ref="B1844:D1844"/>
    <mergeCell ref="B1845:B1848"/>
    <mergeCell ref="B1849:D1849"/>
    <mergeCell ref="B1850:B1852"/>
    <mergeCell ref="B1853:D1853"/>
    <mergeCell ref="B1854:B1855"/>
    <mergeCell ref="B1856:D1856"/>
    <mergeCell ref="B1809:B1816"/>
    <mergeCell ref="B1817:D1817"/>
    <mergeCell ref="B1818:B1828"/>
    <mergeCell ref="B1829:D1829"/>
    <mergeCell ref="B1831:D1831"/>
    <mergeCell ref="B1832:D1832"/>
    <mergeCell ref="B1833:B1835"/>
    <mergeCell ref="B1836:D1836"/>
    <mergeCell ref="B1837:B1840"/>
    <mergeCell ref="E1743:G1743"/>
    <mergeCell ref="E1744:G1744"/>
    <mergeCell ref="H1744:J1744"/>
    <mergeCell ref="H1745:H1746"/>
    <mergeCell ref="I1745:I1746"/>
    <mergeCell ref="J1745:J1746"/>
    <mergeCell ref="E1746:G1746"/>
    <mergeCell ref="B1506:D1506"/>
    <mergeCell ref="B1507:D1507"/>
    <mergeCell ref="B1508:D1508"/>
    <mergeCell ref="B1490:D1490"/>
    <mergeCell ref="B1491:B1492"/>
    <mergeCell ref="B1493:D1493"/>
    <mergeCell ref="B1494:B1497"/>
    <mergeCell ref="B1498:D1498"/>
    <mergeCell ref="B1499:B1501"/>
    <mergeCell ref="B1502:D1502"/>
    <mergeCell ref="B1503:B1504"/>
    <mergeCell ref="B1505:D1505"/>
    <mergeCell ref="E1509:G1509"/>
    <mergeCell ref="E1510:G1510"/>
    <mergeCell ref="H1510:J1510"/>
    <mergeCell ref="H1511:H1512"/>
    <mergeCell ref="I1511:I1512"/>
    <mergeCell ref="J1511:J1512"/>
    <mergeCell ref="E1512:G1512"/>
    <mergeCell ref="B1513:B1516"/>
    <mergeCell ref="B1517:D1517"/>
    <mergeCell ref="B1458:B1465"/>
    <mergeCell ref="B1466:D1466"/>
    <mergeCell ref="B1467:B1477"/>
    <mergeCell ref="B1478:D1478"/>
    <mergeCell ref="B1480:D1480"/>
    <mergeCell ref="B1481:D1481"/>
    <mergeCell ref="B1482:B1484"/>
    <mergeCell ref="B1485:D1485"/>
    <mergeCell ref="B1486:B1489"/>
    <mergeCell ref="B1428:D1428"/>
    <mergeCell ref="B1429:D1429"/>
    <mergeCell ref="B1430:B1433"/>
    <mergeCell ref="B1434:D1434"/>
    <mergeCell ref="B1435:B1443"/>
    <mergeCell ref="B1444:D1444"/>
    <mergeCell ref="B1445:D1445"/>
    <mergeCell ref="B1446:D1446"/>
    <mergeCell ref="B1447:B1457"/>
    <mergeCell ref="B1396:B1399"/>
    <mergeCell ref="B1400:D1400"/>
    <mergeCell ref="B1401:B1407"/>
    <mergeCell ref="B1408:D1408"/>
    <mergeCell ref="B1409:B1415"/>
    <mergeCell ref="B1416:D1416"/>
    <mergeCell ref="B1417:B1423"/>
    <mergeCell ref="B1424:D1424"/>
    <mergeCell ref="B1425:B1427"/>
    <mergeCell ref="A1392:A1395"/>
    <mergeCell ref="B1392:B1395"/>
    <mergeCell ref="C1392:C1395"/>
    <mergeCell ref="D1392:D1395"/>
    <mergeCell ref="E1392:G1392"/>
    <mergeCell ref="E1393:G1393"/>
    <mergeCell ref="H1393:J1393"/>
    <mergeCell ref="H1394:H1395"/>
    <mergeCell ref="I1394:I1395"/>
    <mergeCell ref="J1394:J1395"/>
    <mergeCell ref="E1395:G1395"/>
    <mergeCell ref="B1389:D1389"/>
    <mergeCell ref="B1390:D1390"/>
    <mergeCell ref="B1391:D1391"/>
    <mergeCell ref="B1373:D1373"/>
    <mergeCell ref="B1374:B1375"/>
    <mergeCell ref="B1376:D1376"/>
    <mergeCell ref="B1377:B1380"/>
    <mergeCell ref="B1381:D1381"/>
    <mergeCell ref="B1382:B1384"/>
    <mergeCell ref="B1385:D1385"/>
    <mergeCell ref="B1386:B1387"/>
    <mergeCell ref="B1388:D1388"/>
    <mergeCell ref="B1341:B1348"/>
    <mergeCell ref="B1349:D1349"/>
    <mergeCell ref="B1350:B1360"/>
    <mergeCell ref="B1361:D1361"/>
    <mergeCell ref="B1363:D1363"/>
    <mergeCell ref="B1364:D1364"/>
    <mergeCell ref="B1365:B1367"/>
    <mergeCell ref="B1368:D1368"/>
    <mergeCell ref="B1369:B1372"/>
    <mergeCell ref="B1311:D1311"/>
    <mergeCell ref="B1312:D1312"/>
    <mergeCell ref="B1313:B1316"/>
    <mergeCell ref="B1317:D1317"/>
    <mergeCell ref="B1318:B1326"/>
    <mergeCell ref="B1327:D1327"/>
    <mergeCell ref="B1328:D1328"/>
    <mergeCell ref="B1329:D1329"/>
    <mergeCell ref="B1330:B1340"/>
    <mergeCell ref="B1279:B1282"/>
    <mergeCell ref="B1283:D1283"/>
    <mergeCell ref="B1284:B1290"/>
    <mergeCell ref="B1291:D1291"/>
    <mergeCell ref="B1292:B1298"/>
    <mergeCell ref="B1299:D1299"/>
    <mergeCell ref="B1300:B1306"/>
    <mergeCell ref="B1307:D1307"/>
    <mergeCell ref="B1308:B1310"/>
    <mergeCell ref="A1275:A1278"/>
    <mergeCell ref="B1275:B1278"/>
    <mergeCell ref="C1275:C1278"/>
    <mergeCell ref="D1275:D1278"/>
    <mergeCell ref="E1275:G1275"/>
    <mergeCell ref="E1276:G1276"/>
    <mergeCell ref="H1276:J1276"/>
    <mergeCell ref="H1277:H1278"/>
    <mergeCell ref="I1277:I1278"/>
    <mergeCell ref="J1277:J1278"/>
    <mergeCell ref="E1278:G1278"/>
    <mergeCell ref="B1272:D1272"/>
    <mergeCell ref="B1273:D1273"/>
    <mergeCell ref="B1274:D1274"/>
    <mergeCell ref="B1256:D1256"/>
    <mergeCell ref="B1257:B1258"/>
    <mergeCell ref="B1259:D1259"/>
    <mergeCell ref="B1260:B1263"/>
    <mergeCell ref="B1264:D1264"/>
    <mergeCell ref="B1265:B1267"/>
    <mergeCell ref="B1268:D1268"/>
    <mergeCell ref="B1269:B1270"/>
    <mergeCell ref="B1271:D1271"/>
    <mergeCell ref="D1158:D1161"/>
    <mergeCell ref="E1158:G1158"/>
    <mergeCell ref="E1159:G1159"/>
    <mergeCell ref="H1159:J1159"/>
    <mergeCell ref="H1160:H1161"/>
    <mergeCell ref="I1160:I1161"/>
    <mergeCell ref="J1160:J1161"/>
    <mergeCell ref="E1161:G1161"/>
    <mergeCell ref="B1224:B1231"/>
    <mergeCell ref="B1232:D1232"/>
    <mergeCell ref="B1233:B1243"/>
    <mergeCell ref="B1244:D1244"/>
    <mergeCell ref="B1246:D1246"/>
    <mergeCell ref="B1247:D1247"/>
    <mergeCell ref="B1248:B1250"/>
    <mergeCell ref="B1251:D1251"/>
    <mergeCell ref="B1252:B1255"/>
    <mergeCell ref="B1194:D1194"/>
    <mergeCell ref="B1195:D1195"/>
    <mergeCell ref="B1196:B1199"/>
    <mergeCell ref="B1200:D1200"/>
    <mergeCell ref="B1201:B1209"/>
    <mergeCell ref="B1210:D1210"/>
    <mergeCell ref="B1211:D1211"/>
    <mergeCell ref="B1212:D1212"/>
    <mergeCell ref="B1213:B1223"/>
    <mergeCell ref="B1038:D1038"/>
    <mergeCell ref="B1039:D1039"/>
    <mergeCell ref="B1040:D1040"/>
    <mergeCell ref="B1022:D1022"/>
    <mergeCell ref="B1023:B1024"/>
    <mergeCell ref="B1025:D1025"/>
    <mergeCell ref="B1026:B1029"/>
    <mergeCell ref="B1030:D1030"/>
    <mergeCell ref="B1031:B1033"/>
    <mergeCell ref="B1034:D1034"/>
    <mergeCell ref="B1035:B1036"/>
    <mergeCell ref="B1037:D1037"/>
    <mergeCell ref="B990:B997"/>
    <mergeCell ref="B998:D998"/>
    <mergeCell ref="B999:B1009"/>
    <mergeCell ref="B1010:D1010"/>
    <mergeCell ref="B1012:D1012"/>
    <mergeCell ref="B1013:D1013"/>
    <mergeCell ref="B1014:B1016"/>
    <mergeCell ref="B1017:D1017"/>
    <mergeCell ref="B1018:B1021"/>
    <mergeCell ref="B960:D960"/>
    <mergeCell ref="B961:D961"/>
    <mergeCell ref="B962:B965"/>
    <mergeCell ref="B966:D966"/>
    <mergeCell ref="B967:B975"/>
    <mergeCell ref="B976:D976"/>
    <mergeCell ref="B977:D977"/>
    <mergeCell ref="B978:D978"/>
    <mergeCell ref="B979:B989"/>
    <mergeCell ref="B929:B932"/>
    <mergeCell ref="B933:D933"/>
    <mergeCell ref="B934:B940"/>
    <mergeCell ref="B941:D941"/>
    <mergeCell ref="B942:B948"/>
    <mergeCell ref="B949:D949"/>
    <mergeCell ref="B950:B955"/>
    <mergeCell ref="B956:D956"/>
    <mergeCell ref="B957:B959"/>
    <mergeCell ref="A925:A928"/>
    <mergeCell ref="B925:B928"/>
    <mergeCell ref="C925:C928"/>
    <mergeCell ref="D925:D928"/>
    <mergeCell ref="E925:G925"/>
    <mergeCell ref="E926:G926"/>
    <mergeCell ref="H926:J926"/>
    <mergeCell ref="H927:H928"/>
    <mergeCell ref="I927:I928"/>
    <mergeCell ref="J927:J928"/>
    <mergeCell ref="E928:G928"/>
    <mergeCell ref="B922:D922"/>
    <mergeCell ref="B923:D923"/>
    <mergeCell ref="B924:D924"/>
    <mergeCell ref="B906:D906"/>
    <mergeCell ref="B907:B908"/>
    <mergeCell ref="B909:D909"/>
    <mergeCell ref="B910:B913"/>
    <mergeCell ref="B914:D914"/>
    <mergeCell ref="B915:B917"/>
    <mergeCell ref="B918:D918"/>
    <mergeCell ref="B919:B920"/>
    <mergeCell ref="B921:D921"/>
    <mergeCell ref="B874:B881"/>
    <mergeCell ref="B882:D882"/>
    <mergeCell ref="B883:B893"/>
    <mergeCell ref="B894:D894"/>
    <mergeCell ref="B896:D896"/>
    <mergeCell ref="B897:D897"/>
    <mergeCell ref="B898:B900"/>
    <mergeCell ref="B901:D901"/>
    <mergeCell ref="B902:B905"/>
    <mergeCell ref="B844:D844"/>
    <mergeCell ref="B845:D845"/>
    <mergeCell ref="B846:B849"/>
    <mergeCell ref="B850:D850"/>
    <mergeCell ref="B851:B859"/>
    <mergeCell ref="B860:D860"/>
    <mergeCell ref="B861:D861"/>
    <mergeCell ref="B862:D862"/>
    <mergeCell ref="B863:B873"/>
    <mergeCell ref="B814:B817"/>
    <mergeCell ref="B818:D818"/>
    <mergeCell ref="B819:B825"/>
    <mergeCell ref="B826:D826"/>
    <mergeCell ref="B827:B833"/>
    <mergeCell ref="B834:D834"/>
    <mergeCell ref="B835:B839"/>
    <mergeCell ref="B840:D840"/>
    <mergeCell ref="B841:B843"/>
    <mergeCell ref="A810:A813"/>
    <mergeCell ref="B810:B813"/>
    <mergeCell ref="C810:C813"/>
    <mergeCell ref="D810:D813"/>
    <mergeCell ref="E810:G810"/>
    <mergeCell ref="E811:G811"/>
    <mergeCell ref="H811:J811"/>
    <mergeCell ref="H812:H813"/>
    <mergeCell ref="I812:I813"/>
    <mergeCell ref="J812:J813"/>
    <mergeCell ref="E813:G813"/>
    <mergeCell ref="B807:D807"/>
    <mergeCell ref="B808:D808"/>
    <mergeCell ref="B809:D809"/>
    <mergeCell ref="B791:D791"/>
    <mergeCell ref="B792:B793"/>
    <mergeCell ref="B794:D794"/>
    <mergeCell ref="B795:B798"/>
    <mergeCell ref="B799:D799"/>
    <mergeCell ref="B800:B802"/>
    <mergeCell ref="B803:D803"/>
    <mergeCell ref="B804:B805"/>
    <mergeCell ref="B806:D806"/>
    <mergeCell ref="B759:B766"/>
    <mergeCell ref="B767:D767"/>
    <mergeCell ref="B768:B778"/>
    <mergeCell ref="B779:D779"/>
    <mergeCell ref="B781:D781"/>
    <mergeCell ref="B782:D782"/>
    <mergeCell ref="B783:B785"/>
    <mergeCell ref="B786:D786"/>
    <mergeCell ref="B787:B790"/>
    <mergeCell ref="B729:D729"/>
    <mergeCell ref="B730:D730"/>
    <mergeCell ref="B731:B734"/>
    <mergeCell ref="B735:D735"/>
    <mergeCell ref="B736:B744"/>
    <mergeCell ref="B745:D745"/>
    <mergeCell ref="B746:D746"/>
    <mergeCell ref="B747:D747"/>
    <mergeCell ref="B748:B758"/>
    <mergeCell ref="B699:B702"/>
    <mergeCell ref="B703:D703"/>
    <mergeCell ref="B704:B710"/>
    <mergeCell ref="B711:D711"/>
    <mergeCell ref="B712:B718"/>
    <mergeCell ref="B719:D719"/>
    <mergeCell ref="B720:B724"/>
    <mergeCell ref="B725:D725"/>
    <mergeCell ref="B726:B728"/>
    <mergeCell ref="A695:A698"/>
    <mergeCell ref="B695:B698"/>
    <mergeCell ref="C695:C698"/>
    <mergeCell ref="D695:D698"/>
    <mergeCell ref="E695:G695"/>
    <mergeCell ref="E696:G696"/>
    <mergeCell ref="H696:J696"/>
    <mergeCell ref="H697:H698"/>
    <mergeCell ref="I697:I698"/>
    <mergeCell ref="J697:J698"/>
    <mergeCell ref="E698:G698"/>
    <mergeCell ref="B692:D692"/>
    <mergeCell ref="B693:D693"/>
    <mergeCell ref="B694:D694"/>
    <mergeCell ref="B676:D676"/>
    <mergeCell ref="B677:B678"/>
    <mergeCell ref="B679:D679"/>
    <mergeCell ref="B680:B683"/>
    <mergeCell ref="B684:D684"/>
    <mergeCell ref="B685:B687"/>
    <mergeCell ref="B688:D688"/>
    <mergeCell ref="B689:B690"/>
    <mergeCell ref="B691:D691"/>
    <mergeCell ref="B644:B651"/>
    <mergeCell ref="B652:D652"/>
    <mergeCell ref="B653:B663"/>
    <mergeCell ref="B664:D664"/>
    <mergeCell ref="B666:D666"/>
    <mergeCell ref="B667:D667"/>
    <mergeCell ref="B668:B670"/>
    <mergeCell ref="B671:D671"/>
    <mergeCell ref="B672:B675"/>
    <mergeCell ref="B614:D614"/>
    <mergeCell ref="B615:D615"/>
    <mergeCell ref="B616:B619"/>
    <mergeCell ref="B620:D620"/>
    <mergeCell ref="B621:B629"/>
    <mergeCell ref="B630:D630"/>
    <mergeCell ref="B631:D631"/>
    <mergeCell ref="B632:D632"/>
    <mergeCell ref="B633:B643"/>
    <mergeCell ref="B584:B587"/>
    <mergeCell ref="B588:D588"/>
    <mergeCell ref="B589:B595"/>
    <mergeCell ref="B596:D596"/>
    <mergeCell ref="B597:B603"/>
    <mergeCell ref="B604:D604"/>
    <mergeCell ref="B605:B609"/>
    <mergeCell ref="B610:D610"/>
    <mergeCell ref="B611:B613"/>
    <mergeCell ref="A580:A583"/>
    <mergeCell ref="B580:B583"/>
    <mergeCell ref="C580:C583"/>
    <mergeCell ref="D580:D583"/>
    <mergeCell ref="E580:G580"/>
    <mergeCell ref="E581:G581"/>
    <mergeCell ref="H581:J581"/>
    <mergeCell ref="H582:H583"/>
    <mergeCell ref="I582:I583"/>
    <mergeCell ref="J582:J583"/>
    <mergeCell ref="E583:G583"/>
    <mergeCell ref="B577:D577"/>
    <mergeCell ref="B578:D578"/>
    <mergeCell ref="B579:D579"/>
    <mergeCell ref="B561:D561"/>
    <mergeCell ref="B562:B563"/>
    <mergeCell ref="B564:D564"/>
    <mergeCell ref="B565:B568"/>
    <mergeCell ref="B569:D569"/>
    <mergeCell ref="B570:B572"/>
    <mergeCell ref="B573:D573"/>
    <mergeCell ref="B574:B575"/>
    <mergeCell ref="B576:D576"/>
    <mergeCell ref="B529:B536"/>
    <mergeCell ref="B537:D537"/>
    <mergeCell ref="B538:B548"/>
    <mergeCell ref="B549:D549"/>
    <mergeCell ref="B551:D551"/>
    <mergeCell ref="B552:D552"/>
    <mergeCell ref="B553:B555"/>
    <mergeCell ref="B556:D556"/>
    <mergeCell ref="B557:B560"/>
    <mergeCell ref="B499:D499"/>
    <mergeCell ref="B500:D500"/>
    <mergeCell ref="B501:B504"/>
    <mergeCell ref="B505:D505"/>
    <mergeCell ref="B506:B514"/>
    <mergeCell ref="B515:D515"/>
    <mergeCell ref="B516:D516"/>
    <mergeCell ref="B517:D517"/>
    <mergeCell ref="B518:B528"/>
    <mergeCell ref="B471:B474"/>
    <mergeCell ref="B475:D475"/>
    <mergeCell ref="B476:B482"/>
    <mergeCell ref="B483:D483"/>
    <mergeCell ref="B484:B490"/>
    <mergeCell ref="B491:D491"/>
    <mergeCell ref="B492:B494"/>
    <mergeCell ref="B495:D495"/>
    <mergeCell ref="B496:B498"/>
    <mergeCell ref="A467:A470"/>
    <mergeCell ref="B467:B470"/>
    <mergeCell ref="C467:C470"/>
    <mergeCell ref="D467:D470"/>
    <mergeCell ref="E467:G467"/>
    <mergeCell ref="E468:G468"/>
    <mergeCell ref="H468:J468"/>
    <mergeCell ref="H469:H470"/>
    <mergeCell ref="I469:I470"/>
    <mergeCell ref="J469:J470"/>
    <mergeCell ref="E470:G470"/>
    <mergeCell ref="B463:D463"/>
    <mergeCell ref="B464:D464"/>
    <mergeCell ref="B465:D465"/>
    <mergeCell ref="B447:D447"/>
    <mergeCell ref="B448:B449"/>
    <mergeCell ref="B450:D450"/>
    <mergeCell ref="B451:B454"/>
    <mergeCell ref="B455:D455"/>
    <mergeCell ref="B456:B458"/>
    <mergeCell ref="B459:D459"/>
    <mergeCell ref="B460:B461"/>
    <mergeCell ref="B462:D462"/>
    <mergeCell ref="B415:B422"/>
    <mergeCell ref="B423:D423"/>
    <mergeCell ref="B424:B434"/>
    <mergeCell ref="B435:D435"/>
    <mergeCell ref="B437:D437"/>
    <mergeCell ref="B438:D438"/>
    <mergeCell ref="B439:B441"/>
    <mergeCell ref="B442:D442"/>
    <mergeCell ref="B443:B446"/>
    <mergeCell ref="B385:D385"/>
    <mergeCell ref="B386:D386"/>
    <mergeCell ref="B387:B390"/>
    <mergeCell ref="B391:D391"/>
    <mergeCell ref="B392:B400"/>
    <mergeCell ref="B401:D401"/>
    <mergeCell ref="B402:D402"/>
    <mergeCell ref="B403:D403"/>
    <mergeCell ref="B404:B414"/>
    <mergeCell ref="B357:B360"/>
    <mergeCell ref="B361:D361"/>
    <mergeCell ref="B362:B368"/>
    <mergeCell ref="B369:D369"/>
    <mergeCell ref="B370:B376"/>
    <mergeCell ref="B377:D377"/>
    <mergeCell ref="B378:B380"/>
    <mergeCell ref="B381:D381"/>
    <mergeCell ref="B382:B384"/>
    <mergeCell ref="A353:A356"/>
    <mergeCell ref="B353:B356"/>
    <mergeCell ref="C353:C356"/>
    <mergeCell ref="D353:D356"/>
    <mergeCell ref="E353:G353"/>
    <mergeCell ref="E354:G354"/>
    <mergeCell ref="H354:J354"/>
    <mergeCell ref="H355:H356"/>
    <mergeCell ref="I355:I356"/>
    <mergeCell ref="J355:J356"/>
    <mergeCell ref="E356:G356"/>
    <mergeCell ref="B122:D122"/>
    <mergeCell ref="B123:D123"/>
    <mergeCell ref="B117:D117"/>
    <mergeCell ref="B118:B119"/>
    <mergeCell ref="B120:D120"/>
    <mergeCell ref="B121:D121"/>
    <mergeCell ref="B43:D43"/>
    <mergeCell ref="B82:B92"/>
    <mergeCell ref="B93:D93"/>
    <mergeCell ref="B95:D95"/>
    <mergeCell ref="B96:D96"/>
    <mergeCell ref="B114:B116"/>
    <mergeCell ref="B105:D105"/>
    <mergeCell ref="B106:B107"/>
    <mergeCell ref="B108:D108"/>
    <mergeCell ref="B109:B112"/>
    <mergeCell ref="B113:D113"/>
    <mergeCell ref="B97:B99"/>
    <mergeCell ref="B100:D100"/>
    <mergeCell ref="B101:B104"/>
    <mergeCell ref="B60:D60"/>
    <mergeCell ref="B61:D61"/>
    <mergeCell ref="B62:B72"/>
    <mergeCell ref="B73:B80"/>
    <mergeCell ref="B81:D81"/>
    <mergeCell ref="B44:D44"/>
    <mergeCell ref="B45:B48"/>
    <mergeCell ref="B49:D49"/>
    <mergeCell ref="B50:B58"/>
    <mergeCell ref="B59:D59"/>
    <mergeCell ref="B15:B18"/>
    <mergeCell ref="B19:D19"/>
    <mergeCell ref="B20:B26"/>
    <mergeCell ref="B27:D27"/>
    <mergeCell ref="B28:B34"/>
    <mergeCell ref="B35:D35"/>
    <mergeCell ref="B36:B38"/>
    <mergeCell ref="B39:D39"/>
    <mergeCell ref="B40:B42"/>
    <mergeCell ref="A9:J9"/>
    <mergeCell ref="A11:A14"/>
    <mergeCell ref="B11:B14"/>
    <mergeCell ref="C11:C14"/>
    <mergeCell ref="D11:D14"/>
    <mergeCell ref="E11:G11"/>
    <mergeCell ref="E12:G12"/>
    <mergeCell ref="H12:J12"/>
    <mergeCell ref="H13:H14"/>
    <mergeCell ref="I13:I14"/>
    <mergeCell ref="J13:J14"/>
    <mergeCell ref="E14:G14"/>
    <mergeCell ref="H126:J126"/>
    <mergeCell ref="H127:H128"/>
    <mergeCell ref="I127:I128"/>
    <mergeCell ref="J127:J128"/>
    <mergeCell ref="E128:G128"/>
    <mergeCell ref="A125:A128"/>
    <mergeCell ref="B125:B128"/>
    <mergeCell ref="C125:C128"/>
    <mergeCell ref="D125:D128"/>
    <mergeCell ref="E125:G125"/>
    <mergeCell ref="E126:G126"/>
    <mergeCell ref="B149:D149"/>
    <mergeCell ref="B150:B152"/>
    <mergeCell ref="B153:D153"/>
    <mergeCell ref="B154:B156"/>
    <mergeCell ref="B157:D157"/>
    <mergeCell ref="B129:B132"/>
    <mergeCell ref="B133:D133"/>
    <mergeCell ref="B134:B140"/>
    <mergeCell ref="B141:D141"/>
    <mergeCell ref="B142:B148"/>
    <mergeCell ref="B174:D174"/>
    <mergeCell ref="B175:D175"/>
    <mergeCell ref="B176:B186"/>
    <mergeCell ref="B187:B194"/>
    <mergeCell ref="B195:D195"/>
    <mergeCell ref="B158:D158"/>
    <mergeCell ref="B159:B162"/>
    <mergeCell ref="B163:D163"/>
    <mergeCell ref="B164:B172"/>
    <mergeCell ref="B173:D173"/>
    <mergeCell ref="B214:D214"/>
    <mergeCell ref="B215:B218"/>
    <mergeCell ref="B219:D219"/>
    <mergeCell ref="B220:B221"/>
    <mergeCell ref="B222:D222"/>
    <mergeCell ref="B196:B206"/>
    <mergeCell ref="B207:D207"/>
    <mergeCell ref="B209:D209"/>
    <mergeCell ref="B210:D210"/>
    <mergeCell ref="B211:B213"/>
    <mergeCell ref="B234:D234"/>
    <mergeCell ref="B235:D235"/>
    <mergeCell ref="B236:D236"/>
    <mergeCell ref="B237:D237"/>
    <mergeCell ref="B223:B226"/>
    <mergeCell ref="B227:D227"/>
    <mergeCell ref="B228:B230"/>
    <mergeCell ref="B231:D231"/>
    <mergeCell ref="B232:B233"/>
    <mergeCell ref="A239:A242"/>
    <mergeCell ref="B239:B242"/>
    <mergeCell ref="C239:C242"/>
    <mergeCell ref="D239:D242"/>
    <mergeCell ref="E239:G239"/>
    <mergeCell ref="E240:G240"/>
    <mergeCell ref="H240:J240"/>
    <mergeCell ref="H241:H242"/>
    <mergeCell ref="I241:I242"/>
    <mergeCell ref="J241:J242"/>
    <mergeCell ref="E242:G242"/>
    <mergeCell ref="B243:B246"/>
    <mergeCell ref="B247:D247"/>
    <mergeCell ref="B248:B254"/>
    <mergeCell ref="B255:D255"/>
    <mergeCell ref="B256:B262"/>
    <mergeCell ref="B263:D263"/>
    <mergeCell ref="B264:B266"/>
    <mergeCell ref="B267:D267"/>
    <mergeCell ref="B268:B270"/>
    <mergeCell ref="B271:D271"/>
    <mergeCell ref="B272:D272"/>
    <mergeCell ref="B273:B276"/>
    <mergeCell ref="B277:D277"/>
    <mergeCell ref="B278:B286"/>
    <mergeCell ref="B287:D287"/>
    <mergeCell ref="B288:D288"/>
    <mergeCell ref="B289:D289"/>
    <mergeCell ref="B290:B300"/>
    <mergeCell ref="B301:B308"/>
    <mergeCell ref="B309:D309"/>
    <mergeCell ref="B310:B320"/>
    <mergeCell ref="B321:D321"/>
    <mergeCell ref="B323:D323"/>
    <mergeCell ref="B324:D324"/>
    <mergeCell ref="B325:B327"/>
    <mergeCell ref="B328:D328"/>
    <mergeCell ref="B329:B332"/>
    <mergeCell ref="B349:D349"/>
    <mergeCell ref="B350:D350"/>
    <mergeCell ref="B351:D351"/>
    <mergeCell ref="B333:D333"/>
    <mergeCell ref="B334:B335"/>
    <mergeCell ref="B336:D336"/>
    <mergeCell ref="B337:B340"/>
    <mergeCell ref="B341:D341"/>
    <mergeCell ref="B342:B344"/>
    <mergeCell ref="B345:D345"/>
    <mergeCell ref="B346:B347"/>
    <mergeCell ref="B348:D348"/>
    <mergeCell ref="A1041:A1044"/>
    <mergeCell ref="B1041:B1044"/>
    <mergeCell ref="C1041:C1044"/>
    <mergeCell ref="D1041:D1044"/>
    <mergeCell ref="E1041:G1041"/>
    <mergeCell ref="E1042:G1042"/>
    <mergeCell ref="H1042:J1042"/>
    <mergeCell ref="H1043:H1044"/>
    <mergeCell ref="I1043:I1044"/>
    <mergeCell ref="J1043:J1044"/>
    <mergeCell ref="E1044:G1044"/>
    <mergeCell ref="B1045:B1048"/>
    <mergeCell ref="B1049:D1049"/>
    <mergeCell ref="B1050:B1056"/>
    <mergeCell ref="B1057:D1057"/>
    <mergeCell ref="B1058:B1064"/>
    <mergeCell ref="B1065:D1065"/>
    <mergeCell ref="B1066:B1072"/>
    <mergeCell ref="B1073:D1073"/>
    <mergeCell ref="B1074:B1076"/>
    <mergeCell ref="B1077:D1077"/>
    <mergeCell ref="B1078:D1078"/>
    <mergeCell ref="B1079:B1082"/>
    <mergeCell ref="B1083:D1083"/>
    <mergeCell ref="B1084:B1092"/>
    <mergeCell ref="B1093:D1093"/>
    <mergeCell ref="B1094:D1094"/>
    <mergeCell ref="B1095:D1095"/>
    <mergeCell ref="B1096:B1106"/>
    <mergeCell ref="B1107:B1114"/>
    <mergeCell ref="B1115:D1115"/>
    <mergeCell ref="B1116:B1126"/>
    <mergeCell ref="B1127:D1127"/>
    <mergeCell ref="B1129:D1129"/>
    <mergeCell ref="B1130:D1130"/>
    <mergeCell ref="B1131:B1133"/>
    <mergeCell ref="B1134:D1134"/>
    <mergeCell ref="B1135:B1138"/>
    <mergeCell ref="B1155:D1155"/>
    <mergeCell ref="B1156:D1156"/>
    <mergeCell ref="B1157:D1157"/>
    <mergeCell ref="B1139:D1139"/>
    <mergeCell ref="B1140:B1141"/>
    <mergeCell ref="B1142:D1142"/>
    <mergeCell ref="B1143:B1146"/>
    <mergeCell ref="B1147:D1147"/>
    <mergeCell ref="B1148:B1150"/>
    <mergeCell ref="B1151:D1151"/>
    <mergeCell ref="B1152:B1153"/>
    <mergeCell ref="B1154:D1154"/>
    <mergeCell ref="A1509:A1512"/>
    <mergeCell ref="B1509:B1512"/>
    <mergeCell ref="C1509:C1512"/>
    <mergeCell ref="D1509:D1512"/>
    <mergeCell ref="B1162:B1165"/>
    <mergeCell ref="B1166:D1166"/>
    <mergeCell ref="B1167:B1173"/>
    <mergeCell ref="B1174:D1174"/>
    <mergeCell ref="B1175:B1181"/>
    <mergeCell ref="B1182:D1182"/>
    <mergeCell ref="B1183:B1189"/>
    <mergeCell ref="B1190:D1190"/>
    <mergeCell ref="B1191:B1193"/>
    <mergeCell ref="A1158:A1161"/>
    <mergeCell ref="B1158:B1161"/>
    <mergeCell ref="C1158:C1161"/>
    <mergeCell ref="B1518:B1524"/>
    <mergeCell ref="B1525:D1525"/>
    <mergeCell ref="B1526:B1532"/>
    <mergeCell ref="B1533:D1533"/>
    <mergeCell ref="B1534:B1540"/>
    <mergeCell ref="B1541:D1541"/>
    <mergeCell ref="B1542:B1544"/>
    <mergeCell ref="B1545:D1545"/>
    <mergeCell ref="B1546:D1546"/>
    <mergeCell ref="B1547:B1550"/>
    <mergeCell ref="B1551:D1551"/>
    <mergeCell ref="B1552:B1560"/>
    <mergeCell ref="B1561:D1561"/>
    <mergeCell ref="B1562:D1562"/>
    <mergeCell ref="B1563:D1563"/>
    <mergeCell ref="B1564:B1574"/>
    <mergeCell ref="B1575:B1582"/>
    <mergeCell ref="B1583:D1583"/>
    <mergeCell ref="B1584:B1594"/>
    <mergeCell ref="B1595:D1595"/>
    <mergeCell ref="B1597:D1597"/>
    <mergeCell ref="B1598:D1598"/>
    <mergeCell ref="B1599:B1601"/>
    <mergeCell ref="B1602:D1602"/>
    <mergeCell ref="B1603:B1606"/>
    <mergeCell ref="B1623:D1623"/>
    <mergeCell ref="B1624:D1624"/>
    <mergeCell ref="B1625:D1625"/>
    <mergeCell ref="B1607:D1607"/>
    <mergeCell ref="B1608:B1609"/>
    <mergeCell ref="B1610:D1610"/>
    <mergeCell ref="B1611:B1614"/>
    <mergeCell ref="B1615:D1615"/>
    <mergeCell ref="B1616:B1618"/>
    <mergeCell ref="B1619:D1619"/>
    <mergeCell ref="B1620:B1621"/>
    <mergeCell ref="B1622:D1622"/>
    <mergeCell ref="A1626:A1629"/>
    <mergeCell ref="B1626:B1629"/>
    <mergeCell ref="C1626:C1629"/>
    <mergeCell ref="D1626:D1629"/>
    <mergeCell ref="E1626:G1626"/>
    <mergeCell ref="E1627:G1627"/>
    <mergeCell ref="H1627:J1627"/>
    <mergeCell ref="H1628:H1629"/>
    <mergeCell ref="I1628:I1629"/>
    <mergeCell ref="J1628:J1629"/>
    <mergeCell ref="E1629:G1629"/>
    <mergeCell ref="B1630:B1633"/>
    <mergeCell ref="B1634:D1634"/>
    <mergeCell ref="B1635:B1641"/>
    <mergeCell ref="B1642:D1642"/>
    <mergeCell ref="B1643:B1649"/>
    <mergeCell ref="B1650:D1650"/>
    <mergeCell ref="B1651:B1657"/>
    <mergeCell ref="B1658:D1658"/>
    <mergeCell ref="B1659:B1661"/>
    <mergeCell ref="B1662:D1662"/>
    <mergeCell ref="B1663:D1663"/>
    <mergeCell ref="B1664:B1667"/>
    <mergeCell ref="B1668:D1668"/>
    <mergeCell ref="B1669:B1677"/>
    <mergeCell ref="B1678:D1678"/>
    <mergeCell ref="B1679:D1679"/>
    <mergeCell ref="B1680:D1680"/>
    <mergeCell ref="B1681:B1691"/>
    <mergeCell ref="B1692:B1699"/>
    <mergeCell ref="B1700:D1700"/>
    <mergeCell ref="B1701:B1711"/>
    <mergeCell ref="B1712:D1712"/>
    <mergeCell ref="B1714:D1714"/>
    <mergeCell ref="B1715:D1715"/>
    <mergeCell ref="B1716:B1718"/>
    <mergeCell ref="B1719:D1719"/>
    <mergeCell ref="B1720:B1723"/>
    <mergeCell ref="B1740:D1740"/>
    <mergeCell ref="B1741:D1741"/>
    <mergeCell ref="B1742:D1742"/>
    <mergeCell ref="B1724:D1724"/>
    <mergeCell ref="B1725:B1726"/>
    <mergeCell ref="B1727:D1727"/>
    <mergeCell ref="B1728:B1731"/>
    <mergeCell ref="B1732:D1732"/>
    <mergeCell ref="B1733:B1735"/>
    <mergeCell ref="B1736:D1736"/>
    <mergeCell ref="B1737:B1738"/>
    <mergeCell ref="B1739:D1739"/>
    <mergeCell ref="A1977:A1980"/>
    <mergeCell ref="B1977:B1980"/>
    <mergeCell ref="C1977:C1980"/>
    <mergeCell ref="D1977:D1980"/>
    <mergeCell ref="A1743:A1746"/>
    <mergeCell ref="B1743:B1746"/>
    <mergeCell ref="C1743:C1746"/>
    <mergeCell ref="D1743:D1746"/>
    <mergeCell ref="B1779:D1779"/>
    <mergeCell ref="B1780:D1780"/>
    <mergeCell ref="B1781:B1784"/>
    <mergeCell ref="B1785:D1785"/>
    <mergeCell ref="B1786:B1794"/>
    <mergeCell ref="B1795:D1795"/>
    <mergeCell ref="B1796:D1796"/>
    <mergeCell ref="B1797:D1797"/>
    <mergeCell ref="B1986:B1992"/>
    <mergeCell ref="B1993:D1993"/>
    <mergeCell ref="B1994:B2000"/>
    <mergeCell ref="B2001:D2001"/>
    <mergeCell ref="B2002:B2008"/>
    <mergeCell ref="B2009:D2009"/>
    <mergeCell ref="B2010:B2012"/>
    <mergeCell ref="B2013:D2013"/>
    <mergeCell ref="B2014:D2014"/>
    <mergeCell ref="B2015:B2018"/>
    <mergeCell ref="B2019:D2019"/>
    <mergeCell ref="B2020:B2028"/>
    <mergeCell ref="B2029:D2029"/>
    <mergeCell ref="B2030:D2030"/>
    <mergeCell ref="B2031:D2031"/>
    <mergeCell ref="B2032:B2042"/>
    <mergeCell ref="B2043:B2050"/>
    <mergeCell ref="B2051:D2051"/>
    <mergeCell ref="B2052:B2062"/>
    <mergeCell ref="B2063:D2063"/>
    <mergeCell ref="B2065:D2065"/>
    <mergeCell ref="B2066:D2066"/>
    <mergeCell ref="B2067:B2069"/>
    <mergeCell ref="B2070:D2070"/>
    <mergeCell ref="B2071:B2074"/>
    <mergeCell ref="B2091:D2091"/>
    <mergeCell ref="B2092:D2092"/>
    <mergeCell ref="B2093:D2093"/>
    <mergeCell ref="B2075:D2075"/>
    <mergeCell ref="B2076:B2077"/>
    <mergeCell ref="B2078:D2078"/>
    <mergeCell ref="B2079:B2082"/>
    <mergeCell ref="B2083:D2083"/>
    <mergeCell ref="B2084:B2086"/>
    <mergeCell ref="B2087:D2087"/>
    <mergeCell ref="B2088:B2089"/>
    <mergeCell ref="B2090:D2090"/>
    <mergeCell ref="B2182:D2182"/>
    <mergeCell ref="A2094:A2097"/>
    <mergeCell ref="B2094:B2097"/>
    <mergeCell ref="C2094:C2097"/>
    <mergeCell ref="D2094:D2097"/>
    <mergeCell ref="E2094:G2094"/>
    <mergeCell ref="E2095:G2095"/>
    <mergeCell ref="H2095:J2095"/>
    <mergeCell ref="H2096:H2097"/>
    <mergeCell ref="I2096:I2097"/>
    <mergeCell ref="J2096:J2097"/>
    <mergeCell ref="E2097:G2097"/>
    <mergeCell ref="B2098:B2101"/>
    <mergeCell ref="B2102:D2102"/>
    <mergeCell ref="B2103:B2109"/>
    <mergeCell ref="B2110:D2110"/>
    <mergeCell ref="B2111:B2117"/>
    <mergeCell ref="B2118:D2118"/>
    <mergeCell ref="B2183:D2183"/>
    <mergeCell ref="B2184:B2186"/>
    <mergeCell ref="B2187:D2187"/>
    <mergeCell ref="B2188:B2191"/>
    <mergeCell ref="B2208:D2208"/>
    <mergeCell ref="B2209:D2209"/>
    <mergeCell ref="B2210:D2210"/>
    <mergeCell ref="B2192:D2192"/>
    <mergeCell ref="B2193:B2194"/>
    <mergeCell ref="B2195:D2195"/>
    <mergeCell ref="B2196:B2199"/>
    <mergeCell ref="B2200:D2200"/>
    <mergeCell ref="B2201:B2203"/>
    <mergeCell ref="B2204:D2204"/>
    <mergeCell ref="B2205:B2206"/>
    <mergeCell ref="B2207:D2207"/>
    <mergeCell ref="B2119:B2125"/>
    <mergeCell ref="B2126:D2126"/>
    <mergeCell ref="B2127:B2129"/>
    <mergeCell ref="B2130:D2130"/>
    <mergeCell ref="B2131:D2131"/>
    <mergeCell ref="B2132:B2135"/>
    <mergeCell ref="B2136:D2136"/>
    <mergeCell ref="B2137:B2145"/>
    <mergeCell ref="B2146:D2146"/>
    <mergeCell ref="B2147:D2147"/>
    <mergeCell ref="B2148:D2148"/>
    <mergeCell ref="B2149:B2159"/>
    <mergeCell ref="B2160:B2167"/>
    <mergeCell ref="B2168:D2168"/>
    <mergeCell ref="B2169:B2179"/>
    <mergeCell ref="B2180:D2180"/>
  </mergeCells>
  <pageMargins left="0.19685039370078741" right="0.19685039370078741" top="0.19685039370078741" bottom="0.19685039370078741" header="0.19685039370078741" footer="0.19685039370078741"/>
  <pageSetup paperSize="9" scale="25" orientation="portrait" verticalDpi="300" r:id="rId1"/>
  <rowBreaks count="19" manualBreakCount="19">
    <brk id="123" max="9" man="1"/>
    <brk id="237" max="9" man="1"/>
    <brk id="351" max="9" man="1"/>
    <brk id="465" max="9" man="1"/>
    <brk id="579" max="9" man="1"/>
    <brk id="694" max="9" man="1"/>
    <brk id="809" max="9" man="1"/>
    <brk id="924" max="9" man="1"/>
    <brk id="1040" max="9" man="1"/>
    <brk id="1157" max="9" man="1"/>
    <brk id="1274" max="9" man="1"/>
    <brk id="1391" max="9" man="1"/>
    <brk id="1508" max="9" man="1"/>
    <brk id="1625" max="9" man="1"/>
    <brk id="1742" max="9" man="1"/>
    <brk id="1859" max="9" man="1"/>
    <brk id="1976" max="9" man="1"/>
    <brk id="2093" max="9" man="1"/>
    <brk id="2210" max="9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B050"/>
  </sheetPr>
  <dimension ref="A7:Q1292"/>
  <sheetViews>
    <sheetView view="pageBreakPreview" topLeftCell="A1239" zoomScale="50" zoomScaleNormal="70" zoomScaleSheetLayoutView="50" workbookViewId="0">
      <selection activeCell="H1249" sqref="H1249"/>
    </sheetView>
  </sheetViews>
  <sheetFormatPr defaultColWidth="9.109375" defaultRowHeight="13.8" x14ac:dyDescent="0.3"/>
  <cols>
    <col min="1" max="1" width="10.109375" style="229" customWidth="1"/>
    <col min="2" max="2" width="25" style="266" customWidth="1"/>
    <col min="3" max="3" width="70.5546875" style="266" customWidth="1"/>
    <col min="4" max="4" width="15.6640625" style="222" customWidth="1"/>
    <col min="5" max="5" width="18" style="222" customWidth="1"/>
    <col min="6" max="6" width="15.6640625" style="223" customWidth="1"/>
    <col min="7" max="7" width="17.44140625" style="222" customWidth="1"/>
    <col min="8" max="8" width="15.6640625" style="222" customWidth="1"/>
    <col min="9" max="9" width="18.44140625" style="224" customWidth="1"/>
    <col min="10" max="10" width="19" style="223" customWidth="1"/>
    <col min="11" max="11" width="19.109375" style="222" customWidth="1"/>
    <col min="12" max="12" width="15.6640625" style="222" customWidth="1"/>
    <col min="13" max="13" width="14.6640625" style="224" customWidth="1"/>
    <col min="14" max="14" width="17.5546875" style="224" customWidth="1"/>
    <col min="15" max="15" width="14.6640625" style="229" customWidth="1"/>
    <col min="16" max="17" width="33.109375" style="229" customWidth="1"/>
    <col min="18" max="16384" width="9.109375" style="229"/>
  </cols>
  <sheetData>
    <row r="7" spans="1:17" ht="67.2" customHeight="1" x14ac:dyDescent="0.3">
      <c r="A7" s="220" t="s">
        <v>0</v>
      </c>
    </row>
    <row r="9" spans="1:17" ht="81" customHeight="1" x14ac:dyDescent="0.3">
      <c r="A9" s="1088" t="s">
        <v>480</v>
      </c>
      <c r="B9" s="1088"/>
      <c r="C9" s="1088"/>
      <c r="D9" s="1088"/>
      <c r="E9" s="1088"/>
      <c r="F9" s="1088"/>
      <c r="G9" s="1088"/>
      <c r="H9" s="1088"/>
      <c r="I9" s="1088"/>
      <c r="J9" s="1088"/>
      <c r="K9" s="1088"/>
      <c r="L9" s="1088"/>
      <c r="M9" s="1088"/>
      <c r="N9" s="1088"/>
      <c r="O9" s="1088"/>
      <c r="P9" s="1088"/>
      <c r="Q9" s="1088"/>
    </row>
    <row r="10" spans="1:17" ht="24.6" customHeight="1" thickBot="1" x14ac:dyDescent="0.35">
      <c r="A10" s="230"/>
      <c r="B10" s="230"/>
      <c r="C10" s="230"/>
      <c r="D10" s="232"/>
      <c r="E10" s="232"/>
      <c r="F10" s="232"/>
      <c r="G10" s="267"/>
      <c r="H10" s="267"/>
      <c r="I10" s="234"/>
      <c r="J10" s="232"/>
      <c r="K10" s="232"/>
      <c r="L10" s="232"/>
      <c r="M10" s="234"/>
      <c r="N10" s="234"/>
    </row>
    <row r="11" spans="1:17" ht="22.5" customHeight="1" x14ac:dyDescent="0.3">
      <c r="A11" s="1115" t="s">
        <v>1</v>
      </c>
      <c r="B11" s="1118" t="s">
        <v>2</v>
      </c>
      <c r="C11" s="1121" t="s">
        <v>396</v>
      </c>
      <c r="D11" s="1066" t="s">
        <v>4</v>
      </c>
      <c r="E11" s="1067"/>
      <c r="F11" s="1067"/>
      <c r="G11" s="1067"/>
      <c r="H11" s="1067"/>
      <c r="I11" s="1067"/>
      <c r="J11" s="1067"/>
      <c r="K11" s="1067"/>
      <c r="L11" s="1067"/>
      <c r="M11" s="1067"/>
      <c r="N11" s="1068"/>
      <c r="O11" s="1092" t="s">
        <v>167</v>
      </c>
      <c r="P11" s="1093"/>
      <c r="Q11" s="1124"/>
    </row>
    <row r="12" spans="1:17" ht="22.5" customHeight="1" x14ac:dyDescent="0.3">
      <c r="A12" s="1116"/>
      <c r="B12" s="1119"/>
      <c r="C12" s="1122"/>
      <c r="D12" s="1069" t="s">
        <v>7</v>
      </c>
      <c r="E12" s="1071" t="s">
        <v>108</v>
      </c>
      <c r="F12" s="1125" t="s">
        <v>475</v>
      </c>
      <c r="G12" s="1074"/>
      <c r="H12" s="1074"/>
      <c r="I12" s="1075"/>
      <c r="J12" s="1076" t="s">
        <v>8</v>
      </c>
      <c r="K12" s="1077"/>
      <c r="L12" s="1078"/>
      <c r="M12" s="1079" t="s">
        <v>165</v>
      </c>
      <c r="N12" s="1081" t="s">
        <v>164</v>
      </c>
      <c r="O12" s="1126" t="s">
        <v>169</v>
      </c>
      <c r="P12" s="1127"/>
      <c r="Q12" s="1128"/>
    </row>
    <row r="13" spans="1:17" ht="47.4" thickBot="1" x14ac:dyDescent="0.35">
      <c r="A13" s="1117"/>
      <c r="B13" s="1120"/>
      <c r="C13" s="1123"/>
      <c r="D13" s="1070"/>
      <c r="E13" s="1072"/>
      <c r="F13" s="452" t="s">
        <v>13</v>
      </c>
      <c r="G13" s="453" t="s">
        <v>14</v>
      </c>
      <c r="H13" s="453" t="s">
        <v>15</v>
      </c>
      <c r="I13" s="454" t="s">
        <v>166</v>
      </c>
      <c r="J13" s="680" t="s">
        <v>13</v>
      </c>
      <c r="K13" s="678" t="s">
        <v>14</v>
      </c>
      <c r="L13" s="679" t="s">
        <v>15</v>
      </c>
      <c r="M13" s="1080"/>
      <c r="N13" s="1082"/>
      <c r="O13" s="444" t="s">
        <v>170</v>
      </c>
      <c r="P13" s="445" t="s">
        <v>11</v>
      </c>
      <c r="Q13" s="446" t="s">
        <v>12</v>
      </c>
    </row>
    <row r="14" spans="1:17" ht="23.4" x14ac:dyDescent="0.3">
      <c r="A14" s="268" t="s">
        <v>103</v>
      </c>
      <c r="B14" s="439"/>
      <c r="C14" s="269" t="s">
        <v>246</v>
      </c>
      <c r="D14" s="270"/>
      <c r="E14" s="271"/>
      <c r="F14" s="332">
        <f>+G14+H14</f>
        <v>0</v>
      </c>
      <c r="G14" s="272"/>
      <c r="H14" s="272"/>
      <c r="I14" s="351" t="str">
        <f>IFERROR(F14/#REF!,"-")</f>
        <v>-</v>
      </c>
      <c r="J14" s="457">
        <f>+K14+L14</f>
        <v>0</v>
      </c>
      <c r="K14" s="458">
        <f>+G14</f>
        <v>0</v>
      </c>
      <c r="L14" s="459">
        <f>+H14</f>
        <v>0</v>
      </c>
      <c r="M14" s="336" t="str">
        <f>IFERROR(J14/D14,"-")</f>
        <v>-</v>
      </c>
      <c r="N14" s="343" t="str">
        <f t="shared" ref="N14:N15" si="0">IFERROR(L14/J14,"-")</f>
        <v>-</v>
      </c>
      <c r="O14" s="507">
        <v>1.5669</v>
      </c>
      <c r="P14" s="402">
        <f>+O14*G14</f>
        <v>0</v>
      </c>
      <c r="Q14" s="447">
        <f>+O14*K14</f>
        <v>0</v>
      </c>
    </row>
    <row r="15" spans="1:17" ht="23.4" x14ac:dyDescent="0.3">
      <c r="A15" s="274" t="s">
        <v>103</v>
      </c>
      <c r="B15" s="438"/>
      <c r="C15" s="275" t="s">
        <v>245</v>
      </c>
      <c r="D15" s="276"/>
      <c r="E15" s="277"/>
      <c r="F15" s="333">
        <f t="shared" ref="F15:F18" si="1">+G15+H15</f>
        <v>0</v>
      </c>
      <c r="G15" s="719"/>
      <c r="H15" s="719"/>
      <c r="I15" s="352" t="str">
        <f>IFERROR(F15/#REF!,"-")</f>
        <v>-</v>
      </c>
      <c r="J15" s="333">
        <f t="shared" ref="J15:J18" si="2">+K15+L15</f>
        <v>0</v>
      </c>
      <c r="K15" s="278">
        <f t="shared" ref="K15:K18" si="3">+G15</f>
        <v>0</v>
      </c>
      <c r="L15" s="436">
        <f t="shared" ref="L15:L18" si="4">+H15</f>
        <v>0</v>
      </c>
      <c r="M15" s="337" t="str">
        <f t="shared" ref="M15:M18" si="5">IFERROR(J15/D15,"-")</f>
        <v>-</v>
      </c>
      <c r="N15" s="265" t="str">
        <f t="shared" si="0"/>
        <v>-</v>
      </c>
      <c r="O15" s="508">
        <v>2.3978999999999999</v>
      </c>
      <c r="P15" s="404">
        <f>+O15*G15</f>
        <v>0</v>
      </c>
      <c r="Q15" s="449">
        <f>+O15*K15</f>
        <v>0</v>
      </c>
    </row>
    <row r="16" spans="1:17" ht="23.4" x14ac:dyDescent="0.3">
      <c r="A16" s="274" t="s">
        <v>103</v>
      </c>
      <c r="B16" s="438"/>
      <c r="C16" s="275" t="s">
        <v>395</v>
      </c>
      <c r="D16" s="276"/>
      <c r="E16" s="277"/>
      <c r="F16" s="333">
        <f t="shared" si="1"/>
        <v>100594</v>
      </c>
      <c r="G16" s="278">
        <v>99500</v>
      </c>
      <c r="H16" s="719">
        <v>1094</v>
      </c>
      <c r="I16" s="352" t="str">
        <f>IFERROR(F16/#REF!,"-")</f>
        <v>-</v>
      </c>
      <c r="J16" s="333">
        <f t="shared" si="2"/>
        <v>100594</v>
      </c>
      <c r="K16" s="278">
        <f t="shared" si="3"/>
        <v>99500</v>
      </c>
      <c r="L16" s="436">
        <f t="shared" si="4"/>
        <v>1094</v>
      </c>
      <c r="M16" s="337" t="str">
        <f t="shared" si="5"/>
        <v>-</v>
      </c>
      <c r="N16" s="716">
        <f>IFERROR(L16/J16,"-")</f>
        <v>1.0875400123267789E-2</v>
      </c>
      <c r="O16" s="718">
        <v>3.6777000000000002</v>
      </c>
      <c r="P16" s="404">
        <f t="shared" ref="P16:P18" si="6">+O16*G16</f>
        <v>365931.15</v>
      </c>
      <c r="Q16" s="449">
        <f t="shared" ref="Q16:Q18" si="7">+O16*K16</f>
        <v>365931.15</v>
      </c>
    </row>
    <row r="17" spans="1:17" ht="23.4" x14ac:dyDescent="0.3">
      <c r="A17" s="274"/>
      <c r="B17" s="451"/>
      <c r="C17" s="275" t="s">
        <v>319</v>
      </c>
      <c r="D17" s="280"/>
      <c r="E17" s="281"/>
      <c r="F17" s="333">
        <f t="shared" si="1"/>
        <v>8030</v>
      </c>
      <c r="G17" s="282">
        <v>7800</v>
      </c>
      <c r="H17" s="282">
        <v>230</v>
      </c>
      <c r="I17" s="352" t="str">
        <f>IFERROR(F17/#REF!,"-")</f>
        <v>-</v>
      </c>
      <c r="J17" s="333">
        <f t="shared" si="2"/>
        <v>8030</v>
      </c>
      <c r="K17" s="278">
        <f t="shared" si="3"/>
        <v>7800</v>
      </c>
      <c r="L17" s="436">
        <f t="shared" si="4"/>
        <v>230</v>
      </c>
      <c r="M17" s="337" t="str">
        <f t="shared" si="5"/>
        <v>-</v>
      </c>
      <c r="N17" s="265">
        <f>IFERROR(L17/J17,"-")</f>
        <v>2.8642590286425903E-2</v>
      </c>
      <c r="O17" s="509">
        <v>12.284700000000001</v>
      </c>
      <c r="P17" s="404">
        <f t="shared" si="6"/>
        <v>95820.66</v>
      </c>
      <c r="Q17" s="449">
        <f t="shared" si="7"/>
        <v>95820.66</v>
      </c>
    </row>
    <row r="18" spans="1:17" ht="24" thickBot="1" x14ac:dyDescent="0.35">
      <c r="A18" s="274" t="s">
        <v>103</v>
      </c>
      <c r="B18" s="451"/>
      <c r="C18" s="275" t="s">
        <v>365</v>
      </c>
      <c r="D18" s="280"/>
      <c r="E18" s="281"/>
      <c r="F18" s="334">
        <f t="shared" si="1"/>
        <v>45034</v>
      </c>
      <c r="G18" s="282">
        <v>44250</v>
      </c>
      <c r="H18" s="282">
        <v>784</v>
      </c>
      <c r="I18" s="353" t="str">
        <f>IFERROR(F18/#REF!,"-")</f>
        <v>-</v>
      </c>
      <c r="J18" s="460">
        <f t="shared" si="2"/>
        <v>45034</v>
      </c>
      <c r="K18" s="461">
        <f t="shared" si="3"/>
        <v>44250</v>
      </c>
      <c r="L18" s="462">
        <f t="shared" si="4"/>
        <v>784</v>
      </c>
      <c r="M18" s="338" t="str">
        <f t="shared" si="5"/>
        <v>-</v>
      </c>
      <c r="N18" s="344">
        <f t="shared" ref="N18:N30" si="8">IFERROR(L18/J18,"-")</f>
        <v>1.7409068703646134E-2</v>
      </c>
      <c r="O18" s="718">
        <v>7.0612000000000004</v>
      </c>
      <c r="P18" s="405">
        <f t="shared" si="6"/>
        <v>312458.10000000003</v>
      </c>
      <c r="Q18" s="450">
        <f t="shared" si="7"/>
        <v>312458.10000000003</v>
      </c>
    </row>
    <row r="19" spans="1:17" ht="23.25" customHeight="1" thickBot="1" x14ac:dyDescent="0.35">
      <c r="A19" s="274" t="s">
        <v>103</v>
      </c>
      <c r="B19" s="1109" t="s">
        <v>21</v>
      </c>
      <c r="C19" s="1046"/>
      <c r="D19" s="320">
        <f>SUM(D14:D18)</f>
        <v>0</v>
      </c>
      <c r="E19" s="285">
        <v>15000</v>
      </c>
      <c r="F19" s="320">
        <f>SUM(F14:F18)</f>
        <v>153658</v>
      </c>
      <c r="G19" s="321">
        <f>SUM(G14:G18)</f>
        <v>151550</v>
      </c>
      <c r="H19" s="321">
        <f>SUM(H14:H18)</f>
        <v>2108</v>
      </c>
      <c r="I19" s="345" t="str">
        <f>IFERROR(F19/#REF!,"-")</f>
        <v>-</v>
      </c>
      <c r="J19" s="320">
        <f>SUM(J14:J18)</f>
        <v>153658</v>
      </c>
      <c r="K19" s="321">
        <f>SUM(K14:K18)</f>
        <v>151550</v>
      </c>
      <c r="L19" s="322">
        <f>SUM(L14:L18)</f>
        <v>2108</v>
      </c>
      <c r="M19" s="339" t="str">
        <f>IFERROR(J19/D19,"-")</f>
        <v>-</v>
      </c>
      <c r="N19" s="345">
        <f t="shared" si="8"/>
        <v>1.3718778065574198E-2</v>
      </c>
      <c r="O19" s="391"/>
      <c r="P19" s="406">
        <f>SUM(P14:P18)</f>
        <v>774209.91000000015</v>
      </c>
      <c r="Q19" s="425">
        <f>SUM(Q14:Q18)</f>
        <v>774209.91000000015</v>
      </c>
    </row>
    <row r="20" spans="1:17" ht="23.4" x14ac:dyDescent="0.3">
      <c r="A20" s="274" t="s">
        <v>103</v>
      </c>
      <c r="B20" s="439"/>
      <c r="C20" s="269" t="s">
        <v>244</v>
      </c>
      <c r="D20" s="270"/>
      <c r="E20" s="271"/>
      <c r="F20" s="332">
        <f t="shared" ref="F20:F26" si="9">+G20+H20</f>
        <v>0</v>
      </c>
      <c r="G20" s="272"/>
      <c r="H20" s="272"/>
      <c r="I20" s="351" t="str">
        <f>IFERROR(F20/#REF!,"-")</f>
        <v>-</v>
      </c>
      <c r="J20" s="457">
        <f t="shared" ref="J20:J26" si="10">+K20+L20</f>
        <v>0</v>
      </c>
      <c r="K20" s="458">
        <f t="shared" ref="K20:K26" si="11">+G20</f>
        <v>0</v>
      </c>
      <c r="L20" s="459">
        <f t="shared" ref="L20:L26" si="12">+H20</f>
        <v>0</v>
      </c>
      <c r="M20" s="336" t="str">
        <f t="shared" ref="M20:M28" si="13">IFERROR(J20/D20,"-")</f>
        <v>-</v>
      </c>
      <c r="N20" s="346" t="str">
        <f t="shared" si="8"/>
        <v>-</v>
      </c>
      <c r="O20" s="507">
        <v>18.2316</v>
      </c>
      <c r="P20" s="402">
        <f t="shared" ref="P20:P26" si="14">+O20*G20</f>
        <v>0</v>
      </c>
      <c r="Q20" s="447">
        <f t="shared" ref="Q20:Q26" si="15">+O20*K20</f>
        <v>0</v>
      </c>
    </row>
    <row r="21" spans="1:17" ht="23.4" x14ac:dyDescent="0.3">
      <c r="A21" s="274" t="s">
        <v>103</v>
      </c>
      <c r="B21" s="438"/>
      <c r="C21" s="275" t="s">
        <v>89</v>
      </c>
      <c r="D21" s="276"/>
      <c r="E21" s="277"/>
      <c r="F21" s="333">
        <f t="shared" si="9"/>
        <v>0</v>
      </c>
      <c r="G21" s="278"/>
      <c r="H21" s="278"/>
      <c r="I21" s="352" t="str">
        <f>IFERROR(F21/#REF!,"-")</f>
        <v>-</v>
      </c>
      <c r="J21" s="333">
        <f t="shared" si="10"/>
        <v>0</v>
      </c>
      <c r="K21" s="278">
        <f t="shared" si="11"/>
        <v>0</v>
      </c>
      <c r="L21" s="436">
        <f t="shared" si="12"/>
        <v>0</v>
      </c>
      <c r="M21" s="337" t="str">
        <f t="shared" si="13"/>
        <v>-</v>
      </c>
      <c r="N21" s="263" t="str">
        <f t="shared" si="8"/>
        <v>-</v>
      </c>
      <c r="O21" s="508">
        <v>1.2824</v>
      </c>
      <c r="P21" s="404">
        <f t="shared" si="14"/>
        <v>0</v>
      </c>
      <c r="Q21" s="449">
        <f t="shared" si="15"/>
        <v>0</v>
      </c>
    </row>
    <row r="22" spans="1:17" ht="23.4" x14ac:dyDescent="0.3">
      <c r="A22" s="274" t="s">
        <v>103</v>
      </c>
      <c r="B22" s="438"/>
      <c r="C22" s="275" t="s">
        <v>300</v>
      </c>
      <c r="D22" s="276"/>
      <c r="E22" s="277"/>
      <c r="F22" s="333">
        <f t="shared" si="9"/>
        <v>0</v>
      </c>
      <c r="G22" s="278"/>
      <c r="H22" s="278"/>
      <c r="I22" s="352" t="str">
        <f>IFERROR(F22/#REF!,"-")</f>
        <v>-</v>
      </c>
      <c r="J22" s="333">
        <f t="shared" si="10"/>
        <v>0</v>
      </c>
      <c r="K22" s="278">
        <f t="shared" si="11"/>
        <v>0</v>
      </c>
      <c r="L22" s="436">
        <f t="shared" si="12"/>
        <v>0</v>
      </c>
      <c r="M22" s="337" t="str">
        <f t="shared" si="13"/>
        <v>-</v>
      </c>
      <c r="N22" s="263" t="str">
        <f t="shared" si="8"/>
        <v>-</v>
      </c>
      <c r="O22" s="710">
        <v>5.7342000000000004</v>
      </c>
      <c r="P22" s="404">
        <f t="shared" si="14"/>
        <v>0</v>
      </c>
      <c r="Q22" s="449">
        <f t="shared" si="15"/>
        <v>0</v>
      </c>
    </row>
    <row r="23" spans="1:17" ht="23.4" x14ac:dyDescent="0.3">
      <c r="A23" s="274" t="s">
        <v>103</v>
      </c>
      <c r="B23" s="438"/>
      <c r="C23" s="275" t="s">
        <v>314</v>
      </c>
      <c r="D23" s="276"/>
      <c r="E23" s="277"/>
      <c r="F23" s="333">
        <f t="shared" si="9"/>
        <v>0</v>
      </c>
      <c r="G23" s="278"/>
      <c r="H23" s="278"/>
      <c r="I23" s="352" t="str">
        <f>IFERROR(F23/#REF!,"-")</f>
        <v>-</v>
      </c>
      <c r="J23" s="333">
        <f t="shared" si="10"/>
        <v>0</v>
      </c>
      <c r="K23" s="278">
        <f t="shared" si="11"/>
        <v>0</v>
      </c>
      <c r="L23" s="436">
        <f t="shared" si="12"/>
        <v>0</v>
      </c>
      <c r="M23" s="337" t="str">
        <f t="shared" si="13"/>
        <v>-</v>
      </c>
      <c r="N23" s="263" t="str">
        <f t="shared" si="8"/>
        <v>-</v>
      </c>
      <c r="O23" s="508"/>
      <c r="P23" s="404">
        <f t="shared" si="14"/>
        <v>0</v>
      </c>
      <c r="Q23" s="449">
        <f t="shared" si="15"/>
        <v>0</v>
      </c>
    </row>
    <row r="24" spans="1:17" ht="23.4" x14ac:dyDescent="0.3">
      <c r="A24" s="274" t="s">
        <v>103</v>
      </c>
      <c r="B24" s="438"/>
      <c r="C24" s="275" t="s">
        <v>320</v>
      </c>
      <c r="D24" s="276"/>
      <c r="E24" s="277"/>
      <c r="F24" s="333">
        <f t="shared" si="9"/>
        <v>0</v>
      </c>
      <c r="G24" s="278"/>
      <c r="H24" s="278"/>
      <c r="I24" s="352" t="str">
        <f>IFERROR(F24/#REF!,"-")</f>
        <v>-</v>
      </c>
      <c r="J24" s="333">
        <f t="shared" si="10"/>
        <v>0</v>
      </c>
      <c r="K24" s="278">
        <f t="shared" si="11"/>
        <v>0</v>
      </c>
      <c r="L24" s="436">
        <f t="shared" si="12"/>
        <v>0</v>
      </c>
      <c r="M24" s="337" t="str">
        <f t="shared" si="13"/>
        <v>-</v>
      </c>
      <c r="N24" s="263" t="str">
        <f t="shared" si="8"/>
        <v>-</v>
      </c>
      <c r="O24" s="508">
        <v>12.029500000000001</v>
      </c>
      <c r="P24" s="404">
        <f t="shared" si="14"/>
        <v>0</v>
      </c>
      <c r="Q24" s="449">
        <f t="shared" si="15"/>
        <v>0</v>
      </c>
    </row>
    <row r="25" spans="1:17" ht="23.4" x14ac:dyDescent="0.3">
      <c r="A25" s="274" t="s">
        <v>103</v>
      </c>
      <c r="B25" s="438"/>
      <c r="C25" s="275"/>
      <c r="D25" s="276"/>
      <c r="E25" s="277"/>
      <c r="F25" s="333">
        <f t="shared" si="9"/>
        <v>0</v>
      </c>
      <c r="G25" s="278"/>
      <c r="H25" s="278"/>
      <c r="I25" s="352" t="str">
        <f>IFERROR(F25/#REF!,"-")</f>
        <v>-</v>
      </c>
      <c r="J25" s="333">
        <f t="shared" si="10"/>
        <v>0</v>
      </c>
      <c r="K25" s="278">
        <f t="shared" si="11"/>
        <v>0</v>
      </c>
      <c r="L25" s="436">
        <f t="shared" si="12"/>
        <v>0</v>
      </c>
      <c r="M25" s="337" t="str">
        <f t="shared" si="13"/>
        <v>-</v>
      </c>
      <c r="N25" s="263" t="str">
        <f t="shared" si="8"/>
        <v>-</v>
      </c>
      <c r="O25" s="508"/>
      <c r="P25" s="404">
        <f t="shared" si="14"/>
        <v>0</v>
      </c>
      <c r="Q25" s="449">
        <f t="shared" si="15"/>
        <v>0</v>
      </c>
    </row>
    <row r="26" spans="1:17" ht="24" thickBot="1" x14ac:dyDescent="0.35">
      <c r="A26" s="274" t="s">
        <v>103</v>
      </c>
      <c r="B26" s="451"/>
      <c r="C26" s="279"/>
      <c r="D26" s="280">
        <v>0</v>
      </c>
      <c r="E26" s="281"/>
      <c r="F26" s="334">
        <f t="shared" si="9"/>
        <v>0</v>
      </c>
      <c r="G26" s="282"/>
      <c r="H26" s="282"/>
      <c r="I26" s="353" t="str">
        <f>IFERROR(F26/#REF!,"-")</f>
        <v>-</v>
      </c>
      <c r="J26" s="460">
        <f t="shared" si="10"/>
        <v>0</v>
      </c>
      <c r="K26" s="461">
        <f t="shared" si="11"/>
        <v>0</v>
      </c>
      <c r="L26" s="462">
        <f t="shared" si="12"/>
        <v>0</v>
      </c>
      <c r="M26" s="338" t="str">
        <f t="shared" si="13"/>
        <v>-</v>
      </c>
      <c r="N26" s="347" t="str">
        <f t="shared" si="8"/>
        <v>-</v>
      </c>
      <c r="O26" s="509"/>
      <c r="P26" s="405">
        <f t="shared" si="14"/>
        <v>0</v>
      </c>
      <c r="Q26" s="450">
        <f t="shared" si="15"/>
        <v>0</v>
      </c>
    </row>
    <row r="27" spans="1:17" ht="23.25" customHeight="1" thickBot="1" x14ac:dyDescent="0.35">
      <c r="A27" s="274" t="s">
        <v>103</v>
      </c>
      <c r="B27" s="1109" t="s">
        <v>25</v>
      </c>
      <c r="C27" s="1046"/>
      <c r="D27" s="320">
        <f t="shared" ref="D27" si="16">SUM(D20:D26)</f>
        <v>0</v>
      </c>
      <c r="E27" s="285">
        <v>100000</v>
      </c>
      <c r="F27" s="320">
        <f>SUM(F20:F26)</f>
        <v>0</v>
      </c>
      <c r="G27" s="321">
        <f t="shared" ref="G27:H27" si="17">SUM(G20:G26)</f>
        <v>0</v>
      </c>
      <c r="H27" s="321">
        <f t="shared" si="17"/>
        <v>0</v>
      </c>
      <c r="I27" s="345" t="str">
        <f>IFERROR(F27/#REF!,"-")</f>
        <v>-</v>
      </c>
      <c r="J27" s="320">
        <f t="shared" ref="J27:L27" si="18">SUM(J20:J26)</f>
        <v>0</v>
      </c>
      <c r="K27" s="321">
        <f t="shared" si="18"/>
        <v>0</v>
      </c>
      <c r="L27" s="322">
        <f t="shared" si="18"/>
        <v>0</v>
      </c>
      <c r="M27" s="339" t="str">
        <f t="shared" si="13"/>
        <v>-</v>
      </c>
      <c r="N27" s="345" t="str">
        <f t="shared" si="8"/>
        <v>-</v>
      </c>
      <c r="O27" s="391"/>
      <c r="P27" s="406">
        <f t="shared" ref="P27:Q27" si="19">SUM(P20:P26)</f>
        <v>0</v>
      </c>
      <c r="Q27" s="425">
        <f t="shared" si="19"/>
        <v>0</v>
      </c>
    </row>
    <row r="28" spans="1:17" ht="23.25" customHeight="1" thickBot="1" x14ac:dyDescent="0.35">
      <c r="A28" s="274" t="s">
        <v>103</v>
      </c>
      <c r="B28" s="1111" t="s">
        <v>172</v>
      </c>
      <c r="C28" s="1112"/>
      <c r="D28" s="326">
        <f>+D19+D27</f>
        <v>0</v>
      </c>
      <c r="E28" s="327">
        <f t="shared" ref="E28:H28" si="20">+E19+E27</f>
        <v>115000</v>
      </c>
      <c r="F28" s="326">
        <f t="shared" si="20"/>
        <v>153658</v>
      </c>
      <c r="G28" s="324">
        <f t="shared" si="20"/>
        <v>151550</v>
      </c>
      <c r="H28" s="324">
        <f t="shared" si="20"/>
        <v>2108</v>
      </c>
      <c r="I28" s="349" t="str">
        <f>IFERROR(F28/#REF!,"-")</f>
        <v>-</v>
      </c>
      <c r="J28" s="326">
        <f t="shared" ref="J28:L28" si="21">+J19+J27</f>
        <v>153658</v>
      </c>
      <c r="K28" s="324">
        <f t="shared" si="21"/>
        <v>151550</v>
      </c>
      <c r="L28" s="325">
        <f t="shared" si="21"/>
        <v>2108</v>
      </c>
      <c r="M28" s="341" t="str">
        <f t="shared" si="13"/>
        <v>-</v>
      </c>
      <c r="N28" s="349">
        <f t="shared" si="8"/>
        <v>1.3718778065574198E-2</v>
      </c>
      <c r="O28" s="394"/>
      <c r="P28" s="410">
        <f t="shared" ref="P28:Q28" si="22">+P19+P27</f>
        <v>774209.91000000015</v>
      </c>
      <c r="Q28" s="428">
        <f t="shared" si="22"/>
        <v>774209.91000000015</v>
      </c>
    </row>
    <row r="29" spans="1:17" ht="23.4" x14ac:dyDescent="0.3">
      <c r="A29" s="244" t="s">
        <v>101</v>
      </c>
      <c r="B29" s="581"/>
      <c r="C29" s="582" t="s">
        <v>283</v>
      </c>
      <c r="D29" s="527"/>
      <c r="E29" s="459"/>
      <c r="F29" s="457">
        <f>+G29+H29</f>
        <v>0</v>
      </c>
      <c r="G29" s="458"/>
      <c r="H29" s="458"/>
      <c r="I29" s="531" t="str">
        <f>IFERROR(F29/#REF!,"-")</f>
        <v>-</v>
      </c>
      <c r="J29" s="457">
        <f>+K29+L29</f>
        <v>0</v>
      </c>
      <c r="K29" s="458">
        <f t="shared" ref="K29:K35" si="23">+G29</f>
        <v>0</v>
      </c>
      <c r="L29" s="459">
        <f t="shared" ref="L29:L35" si="24">+H29</f>
        <v>0</v>
      </c>
      <c r="M29" s="586" t="str">
        <f>IFERROR(J29/D29,"-")</f>
        <v>-</v>
      </c>
      <c r="N29" s="533" t="str">
        <f t="shared" si="8"/>
        <v>-</v>
      </c>
      <c r="O29" s="628">
        <v>4.8285999999999998</v>
      </c>
      <c r="P29" s="534">
        <f t="shared" ref="P29:P35" si="25">+O29*G29</f>
        <v>0</v>
      </c>
      <c r="Q29" s="535">
        <f t="shared" ref="Q29:Q35" si="26">+O29*K29</f>
        <v>0</v>
      </c>
    </row>
    <row r="30" spans="1:17" ht="23.4" x14ac:dyDescent="0.3">
      <c r="A30" s="248" t="s">
        <v>101</v>
      </c>
      <c r="B30" s="583"/>
      <c r="C30" s="275" t="s">
        <v>284</v>
      </c>
      <c r="D30" s="276"/>
      <c r="E30" s="436"/>
      <c r="F30" s="333">
        <f t="shared" ref="F30:F35" si="27">+G30+H30</f>
        <v>0</v>
      </c>
      <c r="G30" s="278"/>
      <c r="H30" s="278"/>
      <c r="I30" s="352" t="str">
        <f>IFERROR(F30/#REF!,"-")</f>
        <v>-</v>
      </c>
      <c r="J30" s="333">
        <f t="shared" ref="J30:J35" si="28">+K30+L30</f>
        <v>0</v>
      </c>
      <c r="K30" s="278">
        <f t="shared" si="23"/>
        <v>0</v>
      </c>
      <c r="L30" s="436">
        <f t="shared" si="24"/>
        <v>0</v>
      </c>
      <c r="M30" s="337" t="str">
        <f t="shared" ref="M30:M32" si="29">IFERROR(J30/D30,"-")</f>
        <v>-</v>
      </c>
      <c r="N30" s="265" t="str">
        <f t="shared" si="8"/>
        <v>-</v>
      </c>
      <c r="O30" s="629">
        <v>1.4086000000000001</v>
      </c>
      <c r="P30" s="404">
        <f t="shared" si="25"/>
        <v>0</v>
      </c>
      <c r="Q30" s="449">
        <f t="shared" si="26"/>
        <v>0</v>
      </c>
    </row>
    <row r="31" spans="1:17" ht="23.4" x14ac:dyDescent="0.3">
      <c r="A31" s="248" t="s">
        <v>101</v>
      </c>
      <c r="B31" s="583"/>
      <c r="C31" s="275" t="s">
        <v>315</v>
      </c>
      <c r="D31" s="276"/>
      <c r="E31" s="436"/>
      <c r="F31" s="333">
        <f t="shared" si="27"/>
        <v>0</v>
      </c>
      <c r="G31" s="278"/>
      <c r="H31" s="278"/>
      <c r="I31" s="352" t="str">
        <f>IFERROR(F31/#REF!,"-")</f>
        <v>-</v>
      </c>
      <c r="J31" s="333">
        <f t="shared" si="28"/>
        <v>0</v>
      </c>
      <c r="K31" s="278">
        <f t="shared" si="23"/>
        <v>0</v>
      </c>
      <c r="L31" s="436">
        <f t="shared" si="24"/>
        <v>0</v>
      </c>
      <c r="M31" s="337" t="str">
        <f t="shared" si="29"/>
        <v>-</v>
      </c>
      <c r="N31" s="265" t="str">
        <f>IFERROR(L31/J31,"-")</f>
        <v>-</v>
      </c>
      <c r="O31" s="629">
        <v>2.2141000000000002</v>
      </c>
      <c r="P31" s="404">
        <f t="shared" si="25"/>
        <v>0</v>
      </c>
      <c r="Q31" s="449">
        <f t="shared" si="26"/>
        <v>0</v>
      </c>
    </row>
    <row r="32" spans="1:17" ht="23.4" x14ac:dyDescent="0.3">
      <c r="A32" s="248" t="s">
        <v>101</v>
      </c>
      <c r="B32" s="584"/>
      <c r="C32" s="275" t="s">
        <v>447</v>
      </c>
      <c r="D32" s="280"/>
      <c r="E32" s="528"/>
      <c r="F32" s="334">
        <f t="shared" si="27"/>
        <v>101250</v>
      </c>
      <c r="G32" s="282">
        <v>100000</v>
      </c>
      <c r="H32" s="282">
        <v>1250</v>
      </c>
      <c r="I32" s="353" t="str">
        <f>IFERROR(F32/#REF!,"-")</f>
        <v>-</v>
      </c>
      <c r="J32" s="333">
        <f t="shared" si="28"/>
        <v>101250</v>
      </c>
      <c r="K32" s="278">
        <f t="shared" si="23"/>
        <v>100000</v>
      </c>
      <c r="L32" s="436">
        <f t="shared" si="24"/>
        <v>1250</v>
      </c>
      <c r="M32" s="338" t="str">
        <f t="shared" si="29"/>
        <v>-</v>
      </c>
      <c r="N32" s="344">
        <f t="shared" ref="N32:N39" si="30">IFERROR(L32/J32,"-")</f>
        <v>1.2345679012345678E-2</v>
      </c>
      <c r="O32" s="629">
        <v>2.2141000000000002</v>
      </c>
      <c r="P32" s="405">
        <f t="shared" si="25"/>
        <v>221410.00000000003</v>
      </c>
      <c r="Q32" s="450">
        <f t="shared" si="26"/>
        <v>221410.00000000003</v>
      </c>
    </row>
    <row r="33" spans="1:17" ht="23.4" x14ac:dyDescent="0.3">
      <c r="A33" s="248" t="s">
        <v>101</v>
      </c>
      <c r="B33" s="440"/>
      <c r="C33" s="627" t="s">
        <v>353</v>
      </c>
      <c r="D33" s="510"/>
      <c r="E33" s="529"/>
      <c r="F33" s="333">
        <f t="shared" si="27"/>
        <v>0</v>
      </c>
      <c r="G33" s="547"/>
      <c r="H33" s="547"/>
      <c r="I33" s="352" t="str">
        <f>IFERROR(F33/#REF!,"-")</f>
        <v>-</v>
      </c>
      <c r="J33" s="333">
        <f t="shared" si="28"/>
        <v>0</v>
      </c>
      <c r="K33" s="278">
        <f t="shared" si="23"/>
        <v>0</v>
      </c>
      <c r="L33" s="436">
        <f t="shared" si="24"/>
        <v>0</v>
      </c>
      <c r="M33" s="682"/>
      <c r="N33" s="265" t="str">
        <f t="shared" si="30"/>
        <v>-</v>
      </c>
      <c r="O33" s="540">
        <v>4.8285999999999998</v>
      </c>
      <c r="P33" s="404">
        <f t="shared" si="25"/>
        <v>0</v>
      </c>
      <c r="Q33" s="449">
        <f t="shared" si="26"/>
        <v>0</v>
      </c>
    </row>
    <row r="34" spans="1:17" ht="23.4" x14ac:dyDescent="0.3">
      <c r="A34" s="248" t="s">
        <v>101</v>
      </c>
      <c r="B34" s="585"/>
      <c r="C34" s="627" t="s">
        <v>349</v>
      </c>
      <c r="D34" s="270"/>
      <c r="E34" s="435"/>
      <c r="F34" s="332">
        <f t="shared" si="27"/>
        <v>0</v>
      </c>
      <c r="G34" s="272"/>
      <c r="H34" s="272"/>
      <c r="I34" s="351" t="str">
        <f>IFERROR(F34/#REF!,"-")</f>
        <v>-</v>
      </c>
      <c r="J34" s="333">
        <f t="shared" si="28"/>
        <v>0</v>
      </c>
      <c r="K34" s="278">
        <f t="shared" si="23"/>
        <v>0</v>
      </c>
      <c r="L34" s="436">
        <f t="shared" si="24"/>
        <v>0</v>
      </c>
      <c r="M34" s="336" t="str">
        <f t="shared" ref="M34:M35" si="31">IFERROR(J34/D34,"-")</f>
        <v>-</v>
      </c>
      <c r="N34" s="346" t="str">
        <f t="shared" si="30"/>
        <v>-</v>
      </c>
      <c r="O34" s="507">
        <v>4.1712999999999996</v>
      </c>
      <c r="P34" s="402">
        <f t="shared" si="25"/>
        <v>0</v>
      </c>
      <c r="Q34" s="447">
        <f t="shared" si="26"/>
        <v>0</v>
      </c>
    </row>
    <row r="35" spans="1:17" ht="24" thickBot="1" x14ac:dyDescent="0.35">
      <c r="A35" s="248" t="s">
        <v>101</v>
      </c>
      <c r="B35" s="583"/>
      <c r="C35" s="275"/>
      <c r="D35" s="276"/>
      <c r="E35" s="436"/>
      <c r="F35" s="333">
        <f t="shared" si="27"/>
        <v>0</v>
      </c>
      <c r="G35" s="278"/>
      <c r="H35" s="278"/>
      <c r="I35" s="352" t="str">
        <f>IFERROR(F35/#REF!,"-")</f>
        <v>-</v>
      </c>
      <c r="J35" s="460">
        <f t="shared" si="28"/>
        <v>0</v>
      </c>
      <c r="K35" s="461">
        <f t="shared" si="23"/>
        <v>0</v>
      </c>
      <c r="L35" s="462">
        <f t="shared" si="24"/>
        <v>0</v>
      </c>
      <c r="M35" s="337" t="str">
        <f t="shared" si="31"/>
        <v>-</v>
      </c>
      <c r="N35" s="263" t="str">
        <f t="shared" si="30"/>
        <v>-</v>
      </c>
      <c r="O35" s="448"/>
      <c r="P35" s="404">
        <f t="shared" si="25"/>
        <v>0</v>
      </c>
      <c r="Q35" s="449">
        <f t="shared" si="26"/>
        <v>0</v>
      </c>
    </row>
    <row r="36" spans="1:17" ht="23.25" customHeight="1" thickBot="1" x14ac:dyDescent="0.35">
      <c r="A36" s="274" t="s">
        <v>101</v>
      </c>
      <c r="B36" s="1109" t="s">
        <v>21</v>
      </c>
      <c r="C36" s="1046"/>
      <c r="D36" s="320">
        <v>0</v>
      </c>
      <c r="E36" s="285">
        <v>15000</v>
      </c>
      <c r="F36" s="320">
        <f>SUM(F29:F35)</f>
        <v>101250</v>
      </c>
      <c r="G36" s="321">
        <f t="shared" ref="G36:H36" si="32">SUM(G29:G35)</f>
        <v>100000</v>
      </c>
      <c r="H36" s="321">
        <f t="shared" si="32"/>
        <v>1250</v>
      </c>
      <c r="I36" s="345" t="str">
        <f>IFERROR(F36/#REF!,"-")</f>
        <v>-</v>
      </c>
      <c r="J36" s="513">
        <f t="shared" ref="J36" si="33">SUM(J29:J35)</f>
        <v>101250</v>
      </c>
      <c r="K36" s="519">
        <f>SUM(K29:K35)</f>
        <v>100000</v>
      </c>
      <c r="L36" s="519">
        <f>SUM(L29:L35)</f>
        <v>1250</v>
      </c>
      <c r="M36" s="339" t="str">
        <f>IFERROR(J36/D36,"-")</f>
        <v>-</v>
      </c>
      <c r="N36" s="345">
        <f t="shared" si="30"/>
        <v>1.2345679012345678E-2</v>
      </c>
      <c r="O36" s="391"/>
      <c r="P36" s="406">
        <f>SUM(P29:P35)</f>
        <v>221410.00000000003</v>
      </c>
      <c r="Q36" s="425">
        <f>SUM(Q29:Q35)</f>
        <v>221410.00000000003</v>
      </c>
    </row>
    <row r="37" spans="1:17" ht="23.25" customHeight="1" thickBot="1" x14ac:dyDescent="0.35">
      <c r="A37" s="274" t="s">
        <v>101</v>
      </c>
      <c r="B37" s="1111" t="s">
        <v>248</v>
      </c>
      <c r="C37" s="1112"/>
      <c r="D37" s="512">
        <f>+D33+D36</f>
        <v>0</v>
      </c>
      <c r="E37" s="525">
        <f>+E33+E36</f>
        <v>15000</v>
      </c>
      <c r="F37" s="512">
        <f>+F33+F36</f>
        <v>101250</v>
      </c>
      <c r="G37" s="514">
        <f>+G33+G36</f>
        <v>100000</v>
      </c>
      <c r="H37" s="514">
        <f>+H33+H36</f>
        <v>1250</v>
      </c>
      <c r="I37" s="515" t="str">
        <f>IFERROR(F37/#REF!,"-")</f>
        <v>-</v>
      </c>
      <c r="J37" s="512">
        <f>+J33+J36</f>
        <v>101250</v>
      </c>
      <c r="K37" s="514">
        <f>+K36</f>
        <v>100000</v>
      </c>
      <c r="L37" s="514">
        <f>+L36</f>
        <v>1250</v>
      </c>
      <c r="M37" s="516" t="str">
        <f t="shared" ref="M37" si="34">IFERROR(J37/D37,"-")</f>
        <v>-</v>
      </c>
      <c r="N37" s="515">
        <f t="shared" si="30"/>
        <v>1.2345679012345678E-2</v>
      </c>
      <c r="O37" s="517"/>
      <c r="P37" s="518">
        <f>+P36</f>
        <v>221410.00000000003</v>
      </c>
      <c r="Q37" s="518">
        <f>+Q36</f>
        <v>221410.00000000003</v>
      </c>
    </row>
    <row r="38" spans="1:17" ht="23.4" x14ac:dyDescent="0.4">
      <c r="A38" s="244" t="s">
        <v>101</v>
      </c>
      <c r="B38" s="1106" t="s">
        <v>250</v>
      </c>
      <c r="C38" s="542" t="s">
        <v>71</v>
      </c>
      <c r="D38" s="527"/>
      <c r="E38" s="459"/>
      <c r="F38" s="457">
        <f>+G38+H38</f>
        <v>0</v>
      </c>
      <c r="G38" s="458"/>
      <c r="H38" s="458"/>
      <c r="I38" s="531" t="str">
        <f>IFERROR(F38/#REF!,"-")</f>
        <v>-</v>
      </c>
      <c r="J38" s="457">
        <f>+K38+L38</f>
        <v>0</v>
      </c>
      <c r="K38" s="458">
        <f t="shared" ref="K38:K69" si="35">+G38</f>
        <v>0</v>
      </c>
      <c r="L38" s="459">
        <f t="shared" ref="L38:L69" si="36">+H38</f>
        <v>0</v>
      </c>
      <c r="M38" s="586" t="str">
        <f>IFERROR(J38/D38,"-")</f>
        <v>-</v>
      </c>
      <c r="N38" s="533" t="str">
        <f t="shared" si="30"/>
        <v>-</v>
      </c>
      <c r="O38" s="538">
        <v>32.946300000000001</v>
      </c>
      <c r="P38" s="534">
        <f t="shared" ref="P38:P69" si="37">+O38*G38</f>
        <v>0</v>
      </c>
      <c r="Q38" s="535">
        <f t="shared" ref="Q38:Q69" si="38">+O38*K38</f>
        <v>0</v>
      </c>
    </row>
    <row r="39" spans="1:17" ht="23.4" x14ac:dyDescent="0.4">
      <c r="A39" s="248" t="s">
        <v>101</v>
      </c>
      <c r="B39" s="1107"/>
      <c r="C39" s="543" t="s">
        <v>72</v>
      </c>
      <c r="D39" s="511"/>
      <c r="E39" s="436"/>
      <c r="F39" s="333">
        <f t="shared" ref="F39:F69" si="39">+G39+H39</f>
        <v>1540</v>
      </c>
      <c r="G39" s="278">
        <v>1500</v>
      </c>
      <c r="H39" s="278">
        <v>40</v>
      </c>
      <c r="I39" s="352" t="str">
        <f>IFERROR(F39/#REF!,"-")</f>
        <v>-</v>
      </c>
      <c r="J39" s="333">
        <f t="shared" ref="J39:J69" si="40">+K39+L39</f>
        <v>1540</v>
      </c>
      <c r="K39" s="278">
        <f t="shared" si="35"/>
        <v>1500</v>
      </c>
      <c r="L39" s="436">
        <f t="shared" si="36"/>
        <v>40</v>
      </c>
      <c r="M39" s="337" t="str">
        <f t="shared" ref="M39:M41" si="41">IFERROR(J39/D39,"-")</f>
        <v>-</v>
      </c>
      <c r="N39" s="265">
        <f t="shared" si="30"/>
        <v>2.5974025974025976E-2</v>
      </c>
      <c r="O39" s="508">
        <v>35.398400000000002</v>
      </c>
      <c r="P39" s="404">
        <f t="shared" si="37"/>
        <v>53097.600000000006</v>
      </c>
      <c r="Q39" s="449">
        <f t="shared" si="38"/>
        <v>53097.600000000006</v>
      </c>
    </row>
    <row r="40" spans="1:17" ht="24" thickBot="1" x14ac:dyDescent="0.45">
      <c r="A40" s="248" t="s">
        <v>101</v>
      </c>
      <c r="B40" s="1108"/>
      <c r="C40" s="543" t="s">
        <v>455</v>
      </c>
      <c r="D40" s="276"/>
      <c r="E40" s="436"/>
      <c r="F40" s="333">
        <f t="shared" si="39"/>
        <v>0</v>
      </c>
      <c r="G40" s="278"/>
      <c r="H40" s="278"/>
      <c r="I40" s="352" t="str">
        <f>IFERROR(F40/#REF!,"-")</f>
        <v>-</v>
      </c>
      <c r="J40" s="333">
        <f t="shared" si="40"/>
        <v>0</v>
      </c>
      <c r="K40" s="278">
        <f t="shared" si="35"/>
        <v>0</v>
      </c>
      <c r="L40" s="436">
        <f t="shared" si="36"/>
        <v>0</v>
      </c>
      <c r="M40" s="337" t="str">
        <f t="shared" si="41"/>
        <v>-</v>
      </c>
      <c r="N40" s="265" t="str">
        <f>IFERROR(L40/J40,"-")</f>
        <v>-</v>
      </c>
      <c r="O40" s="508">
        <v>35.398400000000002</v>
      </c>
      <c r="P40" s="404">
        <f t="shared" si="37"/>
        <v>0</v>
      </c>
      <c r="Q40" s="449">
        <f t="shared" si="38"/>
        <v>0</v>
      </c>
    </row>
    <row r="41" spans="1:17" ht="23.4" x14ac:dyDescent="0.4">
      <c r="A41" s="248" t="s">
        <v>101</v>
      </c>
      <c r="B41" s="1106" t="s">
        <v>251</v>
      </c>
      <c r="C41" s="545" t="s">
        <v>75</v>
      </c>
      <c r="D41" s="276"/>
      <c r="E41" s="528"/>
      <c r="F41" s="334">
        <f t="shared" si="39"/>
        <v>2443</v>
      </c>
      <c r="G41" s="278">
        <v>2263</v>
      </c>
      <c r="H41" s="278">
        <v>180</v>
      </c>
      <c r="I41" s="352" t="str">
        <f>IFERROR(F41/#REF!,"-")</f>
        <v>-</v>
      </c>
      <c r="J41" s="333">
        <f t="shared" si="40"/>
        <v>2443</v>
      </c>
      <c r="K41" s="278">
        <f t="shared" si="35"/>
        <v>2263</v>
      </c>
      <c r="L41" s="436">
        <f t="shared" si="36"/>
        <v>180</v>
      </c>
      <c r="M41" s="337" t="str">
        <f t="shared" si="41"/>
        <v>-</v>
      </c>
      <c r="N41" s="265">
        <f t="shared" ref="N41" si="42">IFERROR(L41/J41,"-")</f>
        <v>7.3679901760130992E-2</v>
      </c>
      <c r="O41" s="508">
        <v>55.4758</v>
      </c>
      <c r="P41" s="404">
        <f t="shared" si="37"/>
        <v>125541.73540000001</v>
      </c>
      <c r="Q41" s="449">
        <f t="shared" si="38"/>
        <v>125541.73540000001</v>
      </c>
    </row>
    <row r="42" spans="1:17" ht="23.4" x14ac:dyDescent="0.4">
      <c r="A42" s="248" t="s">
        <v>101</v>
      </c>
      <c r="B42" s="1107"/>
      <c r="C42" s="545" t="s">
        <v>72</v>
      </c>
      <c r="D42" s="276"/>
      <c r="E42" s="529"/>
      <c r="F42" s="334">
        <f t="shared" si="39"/>
        <v>0</v>
      </c>
      <c r="G42" s="278"/>
      <c r="H42" s="278"/>
      <c r="I42" s="352" t="str">
        <f>IFERROR(F42/#REF!,"-")</f>
        <v>-</v>
      </c>
      <c r="J42" s="333">
        <f t="shared" si="40"/>
        <v>0</v>
      </c>
      <c r="K42" s="278">
        <f t="shared" si="35"/>
        <v>0</v>
      </c>
      <c r="L42" s="436">
        <f t="shared" si="36"/>
        <v>0</v>
      </c>
      <c r="M42" s="682"/>
      <c r="N42" s="372"/>
      <c r="O42" s="540">
        <v>58.836300000000001</v>
      </c>
      <c r="P42" s="404">
        <f t="shared" si="37"/>
        <v>0</v>
      </c>
      <c r="Q42" s="449">
        <f t="shared" si="38"/>
        <v>0</v>
      </c>
    </row>
    <row r="43" spans="1:17" ht="23.4" x14ac:dyDescent="0.4">
      <c r="A43" s="248" t="s">
        <v>101</v>
      </c>
      <c r="B43" s="1107"/>
      <c r="C43" s="545" t="s">
        <v>347</v>
      </c>
      <c r="D43" s="276"/>
      <c r="E43" s="435"/>
      <c r="F43" s="334">
        <f t="shared" si="39"/>
        <v>0</v>
      </c>
      <c r="G43" s="278"/>
      <c r="H43" s="278"/>
      <c r="I43" s="352" t="str">
        <f>IFERROR(F43/#REF!,"-")</f>
        <v>-</v>
      </c>
      <c r="J43" s="333">
        <f t="shared" si="40"/>
        <v>0</v>
      </c>
      <c r="K43" s="278">
        <f t="shared" si="35"/>
        <v>0</v>
      </c>
      <c r="L43" s="436">
        <f t="shared" si="36"/>
        <v>0</v>
      </c>
      <c r="M43" s="337" t="str">
        <f t="shared" ref="M43" si="43">IFERROR(J43/D43,"-")</f>
        <v>-</v>
      </c>
      <c r="N43" s="263" t="str">
        <f t="shared" ref="N43" si="44">IFERROR(L43/J43,"-")</f>
        <v>-</v>
      </c>
      <c r="O43" s="710">
        <v>58.836300000000001</v>
      </c>
      <c r="P43" s="404">
        <f t="shared" si="37"/>
        <v>0</v>
      </c>
      <c r="Q43" s="449">
        <f t="shared" si="38"/>
        <v>0</v>
      </c>
    </row>
    <row r="44" spans="1:17" ht="24" thickBot="1" x14ac:dyDescent="0.45">
      <c r="A44" s="248"/>
      <c r="B44" s="1108"/>
      <c r="C44" s="545" t="s">
        <v>361</v>
      </c>
      <c r="D44" s="276"/>
      <c r="E44" s="435"/>
      <c r="F44" s="334">
        <f t="shared" si="39"/>
        <v>0</v>
      </c>
      <c r="G44" s="278"/>
      <c r="H44" s="278"/>
      <c r="I44" s="352"/>
      <c r="J44" s="333">
        <f t="shared" si="40"/>
        <v>0</v>
      </c>
      <c r="K44" s="278">
        <f t="shared" si="35"/>
        <v>0</v>
      </c>
      <c r="L44" s="436">
        <f t="shared" si="36"/>
        <v>0</v>
      </c>
      <c r="M44" s="337"/>
      <c r="N44" s="263" t="str">
        <f>IFERROR(L44/J44,"-")</f>
        <v>-</v>
      </c>
      <c r="O44" s="508">
        <v>55.4758</v>
      </c>
      <c r="P44" s="404">
        <f t="shared" si="37"/>
        <v>0</v>
      </c>
      <c r="Q44" s="449">
        <f t="shared" si="38"/>
        <v>0</v>
      </c>
    </row>
    <row r="45" spans="1:17" ht="23.4" x14ac:dyDescent="0.4">
      <c r="A45" s="248" t="s">
        <v>101</v>
      </c>
      <c r="B45" s="1106" t="s">
        <v>409</v>
      </c>
      <c r="C45" s="543" t="s">
        <v>77</v>
      </c>
      <c r="D45" s="276"/>
      <c r="E45" s="436"/>
      <c r="F45" s="333">
        <f t="shared" si="39"/>
        <v>0</v>
      </c>
      <c r="G45" s="278"/>
      <c r="H45" s="278"/>
      <c r="I45" s="352" t="str">
        <f>IFERROR(F45/#REF!,"-")</f>
        <v>-</v>
      </c>
      <c r="J45" s="333">
        <f t="shared" si="40"/>
        <v>0</v>
      </c>
      <c r="K45" s="686">
        <f t="shared" si="35"/>
        <v>0</v>
      </c>
      <c r="L45" s="687">
        <f t="shared" si="36"/>
        <v>0</v>
      </c>
      <c r="M45" s="337" t="str">
        <f t="shared" ref="M45:M72" si="45">IFERROR(J45/D45,"-")</f>
        <v>-</v>
      </c>
      <c r="N45" s="263" t="str">
        <f t="shared" ref="N45:N71" si="46">IFERROR(L45/J45,"-")</f>
        <v>-</v>
      </c>
      <c r="O45" s="508">
        <v>25.687200000000001</v>
      </c>
      <c r="P45" s="404">
        <f t="shared" si="37"/>
        <v>0</v>
      </c>
      <c r="Q45" s="449">
        <f t="shared" si="38"/>
        <v>0</v>
      </c>
    </row>
    <row r="46" spans="1:17" ht="24" thickBot="1" x14ac:dyDescent="0.45">
      <c r="A46" s="248" t="s">
        <v>101</v>
      </c>
      <c r="B46" s="1108"/>
      <c r="C46" s="543" t="s">
        <v>117</v>
      </c>
      <c r="D46" s="276"/>
      <c r="E46" s="436"/>
      <c r="F46" s="333">
        <f t="shared" si="39"/>
        <v>0</v>
      </c>
      <c r="G46" s="278"/>
      <c r="H46" s="278"/>
      <c r="I46" s="352" t="str">
        <f>IFERROR(F46/#REF!,"-")</f>
        <v>-</v>
      </c>
      <c r="J46" s="333">
        <f t="shared" si="40"/>
        <v>0</v>
      </c>
      <c r="K46" s="278">
        <f t="shared" si="35"/>
        <v>0</v>
      </c>
      <c r="L46" s="436">
        <f t="shared" si="36"/>
        <v>0</v>
      </c>
      <c r="M46" s="337" t="str">
        <f t="shared" si="45"/>
        <v>-</v>
      </c>
      <c r="N46" s="263" t="str">
        <f t="shared" si="46"/>
        <v>-</v>
      </c>
      <c r="O46" s="508">
        <v>25.033899999999999</v>
      </c>
      <c r="P46" s="404">
        <f t="shared" si="37"/>
        <v>0</v>
      </c>
      <c r="Q46" s="449">
        <f t="shared" si="38"/>
        <v>0</v>
      </c>
    </row>
    <row r="47" spans="1:17" ht="23.4" x14ac:dyDescent="0.4">
      <c r="A47" s="248"/>
      <c r="B47" s="1106" t="s">
        <v>410</v>
      </c>
      <c r="C47" s="543" t="s">
        <v>79</v>
      </c>
      <c r="D47" s="276"/>
      <c r="E47" s="436"/>
      <c r="F47" s="333">
        <f t="shared" si="39"/>
        <v>0</v>
      </c>
      <c r="G47" s="278"/>
      <c r="H47" s="278"/>
      <c r="I47" s="352" t="str">
        <f>IFERROR(F47/#REF!,"-")</f>
        <v>-</v>
      </c>
      <c r="J47" s="333">
        <f t="shared" si="40"/>
        <v>0</v>
      </c>
      <c r="K47" s="278">
        <f t="shared" si="35"/>
        <v>0</v>
      </c>
      <c r="L47" s="436">
        <f t="shared" si="36"/>
        <v>0</v>
      </c>
      <c r="M47" s="337" t="str">
        <f t="shared" si="45"/>
        <v>-</v>
      </c>
      <c r="N47" s="263" t="str">
        <f t="shared" si="46"/>
        <v>-</v>
      </c>
      <c r="O47" s="508">
        <v>41.992699999999999</v>
      </c>
      <c r="P47" s="404">
        <f t="shared" si="37"/>
        <v>0</v>
      </c>
      <c r="Q47" s="449">
        <f t="shared" si="38"/>
        <v>0</v>
      </c>
    </row>
    <row r="48" spans="1:17" ht="23.4" x14ac:dyDescent="0.4">
      <c r="A48" s="248"/>
      <c r="B48" s="1107"/>
      <c r="C48" s="543" t="s">
        <v>72</v>
      </c>
      <c r="D48" s="276"/>
      <c r="E48" s="436"/>
      <c r="F48" s="333">
        <f t="shared" si="39"/>
        <v>0</v>
      </c>
      <c r="G48" s="278"/>
      <c r="H48" s="278"/>
      <c r="I48" s="352" t="str">
        <f>IFERROR(F48/#REF!,"-")</f>
        <v>-</v>
      </c>
      <c r="J48" s="333">
        <f t="shared" si="40"/>
        <v>0</v>
      </c>
      <c r="K48" s="278">
        <f t="shared" si="35"/>
        <v>0</v>
      </c>
      <c r="L48" s="436">
        <f t="shared" si="36"/>
        <v>0</v>
      </c>
      <c r="M48" s="337" t="str">
        <f t="shared" si="45"/>
        <v>-</v>
      </c>
      <c r="N48" s="263" t="str">
        <f t="shared" si="46"/>
        <v>-</v>
      </c>
      <c r="O48" s="508">
        <v>42.283799999999999</v>
      </c>
      <c r="P48" s="404">
        <f t="shared" si="37"/>
        <v>0</v>
      </c>
      <c r="Q48" s="449">
        <f t="shared" si="38"/>
        <v>0</v>
      </c>
    </row>
    <row r="49" spans="1:17" ht="23.4" x14ac:dyDescent="0.4">
      <c r="A49" s="248"/>
      <c r="B49" s="1107"/>
      <c r="C49" s="543" t="s">
        <v>380</v>
      </c>
      <c r="D49" s="276"/>
      <c r="E49" s="436"/>
      <c r="F49" s="333">
        <f t="shared" si="39"/>
        <v>0</v>
      </c>
      <c r="G49" s="278"/>
      <c r="H49" s="278"/>
      <c r="I49" s="352" t="str">
        <f>IFERROR(F49/#REF!,"-")</f>
        <v>-</v>
      </c>
      <c r="J49" s="333">
        <f t="shared" si="40"/>
        <v>0</v>
      </c>
      <c r="K49" s="278">
        <f t="shared" si="35"/>
        <v>0</v>
      </c>
      <c r="L49" s="436">
        <f t="shared" si="36"/>
        <v>0</v>
      </c>
      <c r="M49" s="337" t="str">
        <f t="shared" si="45"/>
        <v>-</v>
      </c>
      <c r="N49" s="263" t="str">
        <f t="shared" si="46"/>
        <v>-</v>
      </c>
      <c r="O49" s="710">
        <v>41.992699999999999</v>
      </c>
      <c r="P49" s="404">
        <f t="shared" si="37"/>
        <v>0</v>
      </c>
      <c r="Q49" s="449">
        <f t="shared" si="38"/>
        <v>0</v>
      </c>
    </row>
    <row r="50" spans="1:17" ht="24" thickBot="1" x14ac:dyDescent="0.45">
      <c r="A50" s="248"/>
      <c r="B50" s="1108"/>
      <c r="C50" s="543" t="s">
        <v>381</v>
      </c>
      <c r="D50" s="276"/>
      <c r="E50" s="436"/>
      <c r="F50" s="333">
        <f t="shared" si="39"/>
        <v>0</v>
      </c>
      <c r="G50" s="278"/>
      <c r="H50" s="278"/>
      <c r="I50" s="352" t="str">
        <f>IFERROR(F50/#REF!,"-")</f>
        <v>-</v>
      </c>
      <c r="J50" s="333">
        <f t="shared" si="40"/>
        <v>0</v>
      </c>
      <c r="K50" s="278">
        <f t="shared" si="35"/>
        <v>0</v>
      </c>
      <c r="L50" s="436">
        <f t="shared" si="36"/>
        <v>0</v>
      </c>
      <c r="M50" s="337" t="str">
        <f t="shared" si="45"/>
        <v>-</v>
      </c>
      <c r="N50" s="263" t="str">
        <f t="shared" si="46"/>
        <v>-</v>
      </c>
      <c r="O50" s="710">
        <v>42.283799999999999</v>
      </c>
      <c r="P50" s="404">
        <f t="shared" si="37"/>
        <v>0</v>
      </c>
      <c r="Q50" s="449">
        <f t="shared" si="38"/>
        <v>0</v>
      </c>
    </row>
    <row r="51" spans="1:17" ht="24" thickBot="1" x14ac:dyDescent="0.45">
      <c r="A51" s="248"/>
      <c r="B51" s="717" t="s">
        <v>80</v>
      </c>
      <c r="C51" s="543" t="s">
        <v>81</v>
      </c>
      <c r="D51" s="276"/>
      <c r="E51" s="436"/>
      <c r="F51" s="333">
        <f t="shared" si="39"/>
        <v>0</v>
      </c>
      <c r="G51" s="278"/>
      <c r="H51" s="278"/>
      <c r="I51" s="352" t="str">
        <f>IFERROR(F51/#REF!,"-")</f>
        <v>-</v>
      </c>
      <c r="J51" s="333">
        <f t="shared" si="40"/>
        <v>0</v>
      </c>
      <c r="K51" s="278">
        <f t="shared" si="35"/>
        <v>0</v>
      </c>
      <c r="L51" s="436">
        <f t="shared" si="36"/>
        <v>0</v>
      </c>
      <c r="M51" s="337" t="str">
        <f t="shared" si="45"/>
        <v>-</v>
      </c>
      <c r="N51" s="263" t="str">
        <f t="shared" si="46"/>
        <v>-</v>
      </c>
      <c r="O51" s="508">
        <v>4.3535000000000004</v>
      </c>
      <c r="P51" s="404">
        <f t="shared" si="37"/>
        <v>0</v>
      </c>
      <c r="Q51" s="449">
        <f t="shared" si="38"/>
        <v>0</v>
      </c>
    </row>
    <row r="52" spans="1:17" ht="23.4" x14ac:dyDescent="0.4">
      <c r="A52" s="248"/>
      <c r="B52" s="1106" t="s">
        <v>253</v>
      </c>
      <c r="C52" s="543" t="s">
        <v>77</v>
      </c>
      <c r="D52" s="276"/>
      <c r="E52" s="436"/>
      <c r="F52" s="333">
        <f t="shared" si="39"/>
        <v>40790</v>
      </c>
      <c r="G52" s="278">
        <v>40700</v>
      </c>
      <c r="H52" s="278">
        <v>90</v>
      </c>
      <c r="I52" s="352" t="str">
        <f>IFERROR(F52/#REF!,"-")</f>
        <v>-</v>
      </c>
      <c r="J52" s="333">
        <f t="shared" si="40"/>
        <v>40790</v>
      </c>
      <c r="K52" s="278">
        <f t="shared" si="35"/>
        <v>40700</v>
      </c>
      <c r="L52" s="436">
        <f t="shared" si="36"/>
        <v>90</v>
      </c>
      <c r="M52" s="337" t="str">
        <f t="shared" si="45"/>
        <v>-</v>
      </c>
      <c r="N52" s="263">
        <f t="shared" si="46"/>
        <v>2.2064231429271882E-3</v>
      </c>
      <c r="O52" s="508">
        <v>4.6184000000000003</v>
      </c>
      <c r="P52" s="404">
        <f t="shared" si="37"/>
        <v>187968.88</v>
      </c>
      <c r="Q52" s="449">
        <f t="shared" si="38"/>
        <v>187968.88</v>
      </c>
    </row>
    <row r="53" spans="1:17" ht="23.4" x14ac:dyDescent="0.4">
      <c r="A53" s="248"/>
      <c r="B53" s="1107"/>
      <c r="C53" s="543" t="s">
        <v>340</v>
      </c>
      <c r="D53" s="276"/>
      <c r="E53" s="436"/>
      <c r="F53" s="333">
        <f t="shared" si="39"/>
        <v>0</v>
      </c>
      <c r="G53" s="278"/>
      <c r="H53" s="278"/>
      <c r="I53" s="352" t="str">
        <f>IFERROR(F53/#REF!,"-")</f>
        <v>-</v>
      </c>
      <c r="J53" s="333">
        <f t="shared" si="40"/>
        <v>0</v>
      </c>
      <c r="K53" s="278">
        <f t="shared" si="35"/>
        <v>0</v>
      </c>
      <c r="L53" s="436">
        <f t="shared" si="36"/>
        <v>0</v>
      </c>
      <c r="M53" s="337" t="str">
        <f t="shared" si="45"/>
        <v>-</v>
      </c>
      <c r="N53" s="263" t="str">
        <f t="shared" si="46"/>
        <v>-</v>
      </c>
      <c r="O53" s="508">
        <v>4.6184000000000003</v>
      </c>
      <c r="P53" s="404">
        <f t="shared" si="37"/>
        <v>0</v>
      </c>
      <c r="Q53" s="449">
        <f t="shared" si="38"/>
        <v>0</v>
      </c>
    </row>
    <row r="54" spans="1:17" ht="23.4" x14ac:dyDescent="0.4">
      <c r="A54" s="248"/>
      <c r="B54" s="1107"/>
      <c r="C54" s="543" t="s">
        <v>252</v>
      </c>
      <c r="D54" s="276"/>
      <c r="E54" s="436"/>
      <c r="F54" s="333">
        <f t="shared" si="39"/>
        <v>0</v>
      </c>
      <c r="G54" s="278"/>
      <c r="H54" s="278"/>
      <c r="I54" s="352" t="str">
        <f>IFERROR(F54/#REF!,"-")</f>
        <v>-</v>
      </c>
      <c r="J54" s="333">
        <f t="shared" si="40"/>
        <v>0</v>
      </c>
      <c r="K54" s="278">
        <f t="shared" si="35"/>
        <v>0</v>
      </c>
      <c r="L54" s="436">
        <f t="shared" si="36"/>
        <v>0</v>
      </c>
      <c r="M54" s="337" t="str">
        <f t="shared" si="45"/>
        <v>-</v>
      </c>
      <c r="N54" s="263" t="str">
        <f t="shared" si="46"/>
        <v>-</v>
      </c>
      <c r="O54" s="508">
        <v>4.6184000000000003</v>
      </c>
      <c r="P54" s="404">
        <f t="shared" si="37"/>
        <v>0</v>
      </c>
      <c r="Q54" s="449">
        <f t="shared" si="38"/>
        <v>0</v>
      </c>
    </row>
    <row r="55" spans="1:17" ht="23.4" x14ac:dyDescent="0.4">
      <c r="A55" s="248"/>
      <c r="B55" s="1107"/>
      <c r="C55" s="543" t="s">
        <v>350</v>
      </c>
      <c r="D55" s="276"/>
      <c r="E55" s="436"/>
      <c r="F55" s="333">
        <f t="shared" si="39"/>
        <v>0</v>
      </c>
      <c r="G55" s="278"/>
      <c r="H55" s="278"/>
      <c r="I55" s="352" t="str">
        <f>IFERROR(F55/#REF!,"-")</f>
        <v>-</v>
      </c>
      <c r="J55" s="333">
        <f t="shared" si="40"/>
        <v>0</v>
      </c>
      <c r="K55" s="686">
        <f t="shared" si="35"/>
        <v>0</v>
      </c>
      <c r="L55" s="687">
        <f t="shared" si="36"/>
        <v>0</v>
      </c>
      <c r="M55" s="337" t="str">
        <f t="shared" si="45"/>
        <v>-</v>
      </c>
      <c r="N55" s="263" t="str">
        <f t="shared" si="46"/>
        <v>-</v>
      </c>
      <c r="O55" s="508">
        <v>4.7636000000000003</v>
      </c>
      <c r="P55" s="404">
        <f t="shared" si="37"/>
        <v>0</v>
      </c>
      <c r="Q55" s="449">
        <f t="shared" si="38"/>
        <v>0</v>
      </c>
    </row>
    <row r="56" spans="1:17" ht="24" thickBot="1" x14ac:dyDescent="0.45">
      <c r="A56" s="248"/>
      <c r="B56" s="1108"/>
      <c r="C56" s="543" t="s">
        <v>346</v>
      </c>
      <c r="D56" s="276"/>
      <c r="E56" s="436"/>
      <c r="F56" s="333">
        <f t="shared" si="39"/>
        <v>0</v>
      </c>
      <c r="G56" s="278"/>
      <c r="H56" s="278"/>
      <c r="I56" s="352" t="str">
        <f>IFERROR(F56/#REF!,"-")</f>
        <v>-</v>
      </c>
      <c r="J56" s="333">
        <f t="shared" si="40"/>
        <v>0</v>
      </c>
      <c r="K56" s="278">
        <f t="shared" si="35"/>
        <v>0</v>
      </c>
      <c r="L56" s="436">
        <f t="shared" si="36"/>
        <v>0</v>
      </c>
      <c r="M56" s="337" t="str">
        <f t="shared" si="45"/>
        <v>-</v>
      </c>
      <c r="N56" s="263" t="str">
        <f t="shared" si="46"/>
        <v>-</v>
      </c>
      <c r="O56" s="508">
        <v>4.8738000000000001</v>
      </c>
      <c r="P56" s="404">
        <f t="shared" si="37"/>
        <v>0</v>
      </c>
      <c r="Q56" s="449">
        <f t="shared" si="38"/>
        <v>0</v>
      </c>
    </row>
    <row r="57" spans="1:17" ht="24" thickBot="1" x14ac:dyDescent="0.45">
      <c r="A57" s="248"/>
      <c r="B57" s="717" t="s">
        <v>254</v>
      </c>
      <c r="C57" s="543" t="s">
        <v>124</v>
      </c>
      <c r="D57" s="276"/>
      <c r="E57" s="436"/>
      <c r="F57" s="333">
        <f t="shared" si="39"/>
        <v>0</v>
      </c>
      <c r="G57" s="278"/>
      <c r="H57" s="278"/>
      <c r="I57" s="352" t="str">
        <f>IFERROR(F57/#REF!,"-")</f>
        <v>-</v>
      </c>
      <c r="J57" s="333">
        <f t="shared" si="40"/>
        <v>0</v>
      </c>
      <c r="K57" s="278">
        <f t="shared" si="35"/>
        <v>0</v>
      </c>
      <c r="L57" s="436">
        <f t="shared" si="36"/>
        <v>0</v>
      </c>
      <c r="M57" s="337" t="str">
        <f t="shared" si="45"/>
        <v>-</v>
      </c>
      <c r="N57" s="263" t="str">
        <f t="shared" si="46"/>
        <v>-</v>
      </c>
      <c r="O57" s="508">
        <v>4.8738000000000001</v>
      </c>
      <c r="P57" s="404">
        <f t="shared" si="37"/>
        <v>0</v>
      </c>
      <c r="Q57" s="449">
        <f t="shared" si="38"/>
        <v>0</v>
      </c>
    </row>
    <row r="58" spans="1:17" ht="23.4" x14ac:dyDescent="0.4">
      <c r="A58" s="248"/>
      <c r="B58" s="1106" t="s">
        <v>256</v>
      </c>
      <c r="C58" s="543" t="s">
        <v>77</v>
      </c>
      <c r="D58" s="276"/>
      <c r="E58" s="436"/>
      <c r="F58" s="333">
        <f t="shared" si="39"/>
        <v>29960</v>
      </c>
      <c r="G58" s="278">
        <v>29820</v>
      </c>
      <c r="H58" s="278">
        <v>140</v>
      </c>
      <c r="I58" s="352" t="str">
        <f>IFERROR(F58/#REF!,"-")</f>
        <v>-</v>
      </c>
      <c r="J58" s="333">
        <f t="shared" si="40"/>
        <v>29960</v>
      </c>
      <c r="K58" s="686">
        <f t="shared" si="35"/>
        <v>29820</v>
      </c>
      <c r="L58" s="687">
        <f t="shared" si="36"/>
        <v>140</v>
      </c>
      <c r="M58" s="337" t="str">
        <f t="shared" si="45"/>
        <v>-</v>
      </c>
      <c r="N58" s="263">
        <f t="shared" si="46"/>
        <v>4.6728971962616819E-3</v>
      </c>
      <c r="O58" s="508">
        <v>4.9344999999999999</v>
      </c>
      <c r="P58" s="404">
        <f t="shared" si="37"/>
        <v>147146.79</v>
      </c>
      <c r="Q58" s="449">
        <f t="shared" si="38"/>
        <v>147146.79</v>
      </c>
    </row>
    <row r="59" spans="1:17" ht="23.4" x14ac:dyDescent="0.4">
      <c r="A59" s="248"/>
      <c r="B59" s="1107"/>
      <c r="C59" s="543" t="s">
        <v>135</v>
      </c>
      <c r="D59" s="276"/>
      <c r="E59" s="436"/>
      <c r="F59" s="333">
        <f t="shared" si="39"/>
        <v>0</v>
      </c>
      <c r="G59" s="278"/>
      <c r="H59" s="278"/>
      <c r="I59" s="352" t="str">
        <f>IFERROR(F59/#REF!,"-")</f>
        <v>-</v>
      </c>
      <c r="J59" s="333">
        <f t="shared" si="40"/>
        <v>0</v>
      </c>
      <c r="K59" s="278">
        <f t="shared" si="35"/>
        <v>0</v>
      </c>
      <c r="L59" s="436">
        <f t="shared" si="36"/>
        <v>0</v>
      </c>
      <c r="M59" s="337" t="str">
        <f t="shared" si="45"/>
        <v>-</v>
      </c>
      <c r="N59" s="263" t="str">
        <f t="shared" si="46"/>
        <v>-</v>
      </c>
      <c r="O59" s="508">
        <v>4.9344999999999999</v>
      </c>
      <c r="P59" s="404">
        <f t="shared" si="37"/>
        <v>0</v>
      </c>
      <c r="Q59" s="449">
        <f t="shared" si="38"/>
        <v>0</v>
      </c>
    </row>
    <row r="60" spans="1:17" ht="23.4" x14ac:dyDescent="0.4">
      <c r="A60" s="248"/>
      <c r="B60" s="1107"/>
      <c r="C60" s="543" t="s">
        <v>129</v>
      </c>
      <c r="D60" s="276"/>
      <c r="E60" s="436"/>
      <c r="F60" s="333">
        <f t="shared" si="39"/>
        <v>0</v>
      </c>
      <c r="G60" s="278"/>
      <c r="H60" s="278"/>
      <c r="I60" s="352" t="str">
        <f>IFERROR(F60/#REF!,"-")</f>
        <v>-</v>
      </c>
      <c r="J60" s="333">
        <f t="shared" si="40"/>
        <v>0</v>
      </c>
      <c r="K60" s="278">
        <f t="shared" si="35"/>
        <v>0</v>
      </c>
      <c r="L60" s="436">
        <f t="shared" si="36"/>
        <v>0</v>
      </c>
      <c r="M60" s="337" t="str">
        <f t="shared" si="45"/>
        <v>-</v>
      </c>
      <c r="N60" s="263" t="str">
        <f t="shared" si="46"/>
        <v>-</v>
      </c>
      <c r="O60" s="508">
        <v>4.9344999999999999</v>
      </c>
      <c r="P60" s="404">
        <f t="shared" si="37"/>
        <v>0</v>
      </c>
      <c r="Q60" s="449">
        <f t="shared" si="38"/>
        <v>0</v>
      </c>
    </row>
    <row r="61" spans="1:17" ht="24" thickBot="1" x14ac:dyDescent="0.45">
      <c r="A61" s="248"/>
      <c r="B61" s="1108"/>
      <c r="C61" s="543" t="s">
        <v>255</v>
      </c>
      <c r="D61" s="276"/>
      <c r="E61" s="436"/>
      <c r="F61" s="333">
        <f t="shared" si="39"/>
        <v>0</v>
      </c>
      <c r="G61" s="278"/>
      <c r="H61" s="278"/>
      <c r="I61" s="352" t="str">
        <f>IFERROR(F61/#REF!,"-")</f>
        <v>-</v>
      </c>
      <c r="J61" s="333">
        <f t="shared" si="40"/>
        <v>0</v>
      </c>
      <c r="K61" s="278">
        <f t="shared" si="35"/>
        <v>0</v>
      </c>
      <c r="L61" s="436">
        <f t="shared" si="36"/>
        <v>0</v>
      </c>
      <c r="M61" s="337" t="str">
        <f t="shared" si="45"/>
        <v>-</v>
      </c>
      <c r="N61" s="263" t="str">
        <f t="shared" si="46"/>
        <v>-</v>
      </c>
      <c r="O61" s="508">
        <v>5.5069999999999997</v>
      </c>
      <c r="P61" s="404">
        <f t="shared" si="37"/>
        <v>0</v>
      </c>
      <c r="Q61" s="449">
        <f t="shared" si="38"/>
        <v>0</v>
      </c>
    </row>
    <row r="62" spans="1:17" ht="23.4" x14ac:dyDescent="0.4">
      <c r="A62" s="248"/>
      <c r="B62" s="1106" t="s">
        <v>261</v>
      </c>
      <c r="C62" s="543" t="s">
        <v>257</v>
      </c>
      <c r="D62" s="276"/>
      <c r="E62" s="436"/>
      <c r="F62" s="333">
        <f t="shared" si="39"/>
        <v>25960</v>
      </c>
      <c r="G62" s="278">
        <v>25900</v>
      </c>
      <c r="H62" s="278">
        <v>60</v>
      </c>
      <c r="I62" s="352" t="str">
        <f>IFERROR(F62/#REF!,"-")</f>
        <v>-</v>
      </c>
      <c r="J62" s="333">
        <f t="shared" si="40"/>
        <v>25960</v>
      </c>
      <c r="K62" s="278">
        <f t="shared" si="35"/>
        <v>25900</v>
      </c>
      <c r="L62" s="436">
        <f t="shared" si="36"/>
        <v>60</v>
      </c>
      <c r="M62" s="337" t="str">
        <f t="shared" si="45"/>
        <v>-</v>
      </c>
      <c r="N62" s="263">
        <f t="shared" si="46"/>
        <v>2.3112480739599386E-3</v>
      </c>
      <c r="O62" s="710">
        <v>5.5069999999999997</v>
      </c>
      <c r="P62" s="404">
        <f t="shared" si="37"/>
        <v>142631.29999999999</v>
      </c>
      <c r="Q62" s="449">
        <f t="shared" si="38"/>
        <v>142631.29999999999</v>
      </c>
    </row>
    <row r="63" spans="1:17" ht="23.4" x14ac:dyDescent="0.4">
      <c r="A63" s="248"/>
      <c r="B63" s="1107"/>
      <c r="C63" s="543" t="s">
        <v>258</v>
      </c>
      <c r="D63" s="276"/>
      <c r="E63" s="436"/>
      <c r="F63" s="333">
        <f t="shared" si="39"/>
        <v>0</v>
      </c>
      <c r="G63" s="278"/>
      <c r="H63" s="278"/>
      <c r="I63" s="352" t="str">
        <f>IFERROR(F63/#REF!,"-")</f>
        <v>-</v>
      </c>
      <c r="J63" s="333">
        <f t="shared" si="40"/>
        <v>0</v>
      </c>
      <c r="K63" s="278">
        <f t="shared" si="35"/>
        <v>0</v>
      </c>
      <c r="L63" s="436">
        <f t="shared" si="36"/>
        <v>0</v>
      </c>
      <c r="M63" s="337" t="str">
        <f t="shared" si="45"/>
        <v>-</v>
      </c>
      <c r="N63" s="263" t="str">
        <f t="shared" si="46"/>
        <v>-</v>
      </c>
      <c r="O63" s="508">
        <v>5.6550000000000002</v>
      </c>
      <c r="P63" s="404">
        <f t="shared" si="37"/>
        <v>0</v>
      </c>
      <c r="Q63" s="449">
        <f t="shared" si="38"/>
        <v>0</v>
      </c>
    </row>
    <row r="64" spans="1:17" ht="23.4" x14ac:dyDescent="0.4">
      <c r="A64" s="248"/>
      <c r="B64" s="1107"/>
      <c r="C64" s="543" t="s">
        <v>321</v>
      </c>
      <c r="D64" s="276"/>
      <c r="E64" s="436"/>
      <c r="F64" s="333">
        <f t="shared" si="39"/>
        <v>0</v>
      </c>
      <c r="G64" s="278"/>
      <c r="H64" s="278"/>
      <c r="I64" s="352" t="str">
        <f>IFERROR(F64/#REF!,"-")</f>
        <v>-</v>
      </c>
      <c r="J64" s="333">
        <f t="shared" si="40"/>
        <v>0</v>
      </c>
      <c r="K64" s="686">
        <f t="shared" si="35"/>
        <v>0</v>
      </c>
      <c r="L64" s="687">
        <f t="shared" si="36"/>
        <v>0</v>
      </c>
      <c r="M64" s="337" t="str">
        <f t="shared" si="45"/>
        <v>-</v>
      </c>
      <c r="N64" s="263" t="str">
        <f t="shared" si="46"/>
        <v>-</v>
      </c>
      <c r="O64" s="508">
        <v>5.6550000000000002</v>
      </c>
      <c r="P64" s="404">
        <f t="shared" si="37"/>
        <v>0</v>
      </c>
      <c r="Q64" s="449">
        <f t="shared" si="38"/>
        <v>0</v>
      </c>
    </row>
    <row r="65" spans="1:17" ht="23.4" x14ac:dyDescent="0.4">
      <c r="A65" s="248"/>
      <c r="B65" s="1107"/>
      <c r="C65" s="543" t="s">
        <v>259</v>
      </c>
      <c r="D65" s="276"/>
      <c r="E65" s="436"/>
      <c r="F65" s="333">
        <f t="shared" si="39"/>
        <v>0</v>
      </c>
      <c r="G65" s="278"/>
      <c r="H65" s="278"/>
      <c r="I65" s="352" t="str">
        <f>IFERROR(F65/#REF!,"-")</f>
        <v>-</v>
      </c>
      <c r="J65" s="333">
        <f t="shared" si="40"/>
        <v>0</v>
      </c>
      <c r="K65" s="278">
        <f t="shared" si="35"/>
        <v>0</v>
      </c>
      <c r="L65" s="436">
        <f t="shared" si="36"/>
        <v>0</v>
      </c>
      <c r="M65" s="337" t="str">
        <f t="shared" si="45"/>
        <v>-</v>
      </c>
      <c r="N65" s="263" t="str">
        <f t="shared" si="46"/>
        <v>-</v>
      </c>
      <c r="O65" s="508">
        <v>5.6550000000000002</v>
      </c>
      <c r="P65" s="404">
        <f t="shared" si="37"/>
        <v>0</v>
      </c>
      <c r="Q65" s="449">
        <f t="shared" si="38"/>
        <v>0</v>
      </c>
    </row>
    <row r="66" spans="1:17" ht="23.4" x14ac:dyDescent="0.4">
      <c r="A66" s="248" t="s">
        <v>101</v>
      </c>
      <c r="B66" s="1107"/>
      <c r="C66" s="543" t="s">
        <v>260</v>
      </c>
      <c r="D66" s="276"/>
      <c r="E66" s="436"/>
      <c r="F66" s="333">
        <f t="shared" si="39"/>
        <v>0</v>
      </c>
      <c r="G66" s="278"/>
      <c r="H66" s="278"/>
      <c r="I66" s="352" t="str">
        <f>IFERROR(F66/#REF!,"-")</f>
        <v>-</v>
      </c>
      <c r="J66" s="333">
        <f t="shared" si="40"/>
        <v>0</v>
      </c>
      <c r="K66" s="278">
        <f t="shared" si="35"/>
        <v>0</v>
      </c>
      <c r="L66" s="436">
        <f t="shared" si="36"/>
        <v>0</v>
      </c>
      <c r="M66" s="337" t="str">
        <f t="shared" si="45"/>
        <v>-</v>
      </c>
      <c r="N66" s="263" t="str">
        <f t="shared" si="46"/>
        <v>-</v>
      </c>
      <c r="O66" s="508">
        <v>3.2963</v>
      </c>
      <c r="P66" s="404">
        <f t="shared" si="37"/>
        <v>0</v>
      </c>
      <c r="Q66" s="449">
        <f t="shared" si="38"/>
        <v>0</v>
      </c>
    </row>
    <row r="67" spans="1:17" ht="24" thickBot="1" x14ac:dyDescent="0.45">
      <c r="A67" s="248" t="s">
        <v>101</v>
      </c>
      <c r="B67" s="1108"/>
      <c r="C67" s="543" t="s">
        <v>255</v>
      </c>
      <c r="D67" s="276"/>
      <c r="E67" s="436"/>
      <c r="F67" s="333">
        <f t="shared" si="39"/>
        <v>0</v>
      </c>
      <c r="G67" s="278"/>
      <c r="H67" s="278"/>
      <c r="I67" s="352" t="str">
        <f>IFERROR(F67/#REF!,"-")</f>
        <v>-</v>
      </c>
      <c r="J67" s="333">
        <f t="shared" si="40"/>
        <v>0</v>
      </c>
      <c r="K67" s="278">
        <f t="shared" si="35"/>
        <v>0</v>
      </c>
      <c r="L67" s="436">
        <f t="shared" si="36"/>
        <v>0</v>
      </c>
      <c r="M67" s="337" t="str">
        <f t="shared" si="45"/>
        <v>-</v>
      </c>
      <c r="N67" s="263" t="str">
        <f t="shared" si="46"/>
        <v>-</v>
      </c>
      <c r="O67" s="508">
        <v>3.2963</v>
      </c>
      <c r="P67" s="404">
        <f t="shared" si="37"/>
        <v>0</v>
      </c>
      <c r="Q67" s="449">
        <f t="shared" si="38"/>
        <v>0</v>
      </c>
    </row>
    <row r="68" spans="1:17" ht="23.4" x14ac:dyDescent="0.4">
      <c r="A68" s="248" t="s">
        <v>101</v>
      </c>
      <c r="B68" s="546"/>
      <c r="C68" s="544" t="s">
        <v>89</v>
      </c>
      <c r="D68" s="511"/>
      <c r="E68" s="436"/>
      <c r="F68" s="333">
        <f t="shared" si="39"/>
        <v>0</v>
      </c>
      <c r="G68" s="278"/>
      <c r="H68" s="278"/>
      <c r="I68" s="352" t="str">
        <f>IFERROR(F68/#REF!,"-")</f>
        <v>-</v>
      </c>
      <c r="J68" s="333">
        <f t="shared" si="40"/>
        <v>0</v>
      </c>
      <c r="K68" s="278">
        <f t="shared" si="35"/>
        <v>0</v>
      </c>
      <c r="L68" s="436">
        <f t="shared" si="36"/>
        <v>0</v>
      </c>
      <c r="M68" s="337" t="str">
        <f t="shared" si="45"/>
        <v>-</v>
      </c>
      <c r="N68" s="263" t="str">
        <f t="shared" si="46"/>
        <v>-</v>
      </c>
      <c r="O68" s="508">
        <v>2.3201000000000001</v>
      </c>
      <c r="P68" s="404">
        <f t="shared" si="37"/>
        <v>0</v>
      </c>
      <c r="Q68" s="449">
        <f t="shared" si="38"/>
        <v>0</v>
      </c>
    </row>
    <row r="69" spans="1:17" ht="24" thickBot="1" x14ac:dyDescent="0.35">
      <c r="A69" s="248" t="s">
        <v>101</v>
      </c>
      <c r="B69" s="524"/>
      <c r="C69" s="541"/>
      <c r="D69" s="530"/>
      <c r="E69" s="462"/>
      <c r="F69" s="460">
        <f t="shared" si="39"/>
        <v>0</v>
      </c>
      <c r="G69" s="461"/>
      <c r="H69" s="461"/>
      <c r="I69" s="532" t="str">
        <f>IFERROR(F69/#REF!,"-")</f>
        <v>-</v>
      </c>
      <c r="J69" s="460">
        <f t="shared" si="40"/>
        <v>0</v>
      </c>
      <c r="K69" s="461">
        <f t="shared" si="35"/>
        <v>0</v>
      </c>
      <c r="L69" s="462">
        <f t="shared" si="36"/>
        <v>0</v>
      </c>
      <c r="M69" s="683" t="str">
        <f t="shared" si="45"/>
        <v>-</v>
      </c>
      <c r="N69" s="264" t="str">
        <f t="shared" si="46"/>
        <v>-</v>
      </c>
      <c r="O69" s="539"/>
      <c r="P69" s="536">
        <f t="shared" si="37"/>
        <v>0</v>
      </c>
      <c r="Q69" s="537">
        <f t="shared" si="38"/>
        <v>0</v>
      </c>
    </row>
    <row r="70" spans="1:17" ht="23.25" customHeight="1" thickBot="1" x14ac:dyDescent="0.35">
      <c r="A70" s="274" t="s">
        <v>101</v>
      </c>
      <c r="B70" s="1109" t="s">
        <v>25</v>
      </c>
      <c r="C70" s="1046"/>
      <c r="D70" s="513">
        <f>SUM(D43:D69)</f>
        <v>0</v>
      </c>
      <c r="E70" s="526">
        <v>100000</v>
      </c>
      <c r="F70" s="519">
        <f>SUM(F38:F69)</f>
        <v>100693</v>
      </c>
      <c r="G70" s="519">
        <f>SUM(G38:G69)</f>
        <v>100183</v>
      </c>
      <c r="H70" s="519">
        <f>SUM(H38:H69)</f>
        <v>510</v>
      </c>
      <c r="I70" s="520" t="str">
        <f>IFERROR(F70/#REF!,"-")</f>
        <v>-</v>
      </c>
      <c r="J70" s="513">
        <f>SUM(J38:J69)</f>
        <v>100693</v>
      </c>
      <c r="K70" s="513">
        <f t="shared" ref="K70:L70" si="47">SUM(K38:K69)</f>
        <v>100183</v>
      </c>
      <c r="L70" s="513">
        <f t="shared" si="47"/>
        <v>510</v>
      </c>
      <c r="M70" s="521" t="str">
        <f t="shared" si="45"/>
        <v>-</v>
      </c>
      <c r="N70" s="520">
        <f t="shared" si="46"/>
        <v>5.0649002413276E-3</v>
      </c>
      <c r="O70" s="522"/>
      <c r="P70" s="523">
        <f>SUM(P38:P69)</f>
        <v>656386.30539999995</v>
      </c>
      <c r="Q70" s="523">
        <f>SUM(Q38:Q69)</f>
        <v>656386.30539999995</v>
      </c>
    </row>
    <row r="71" spans="1:17" ht="23.25" customHeight="1" thickBot="1" x14ac:dyDescent="0.35">
      <c r="A71" s="318" t="s">
        <v>101</v>
      </c>
      <c r="B71" s="1111" t="s">
        <v>249</v>
      </c>
      <c r="C71" s="1112"/>
      <c r="D71" s="326">
        <f>+D42+D70</f>
        <v>0</v>
      </c>
      <c r="E71" s="327">
        <f>+E42+E70</f>
        <v>100000</v>
      </c>
      <c r="F71" s="326">
        <f>+F70</f>
        <v>100693</v>
      </c>
      <c r="G71" s="326">
        <f t="shared" ref="G71:H71" si="48">+G70</f>
        <v>100183</v>
      </c>
      <c r="H71" s="326">
        <f t="shared" si="48"/>
        <v>510</v>
      </c>
      <c r="I71" s="349" t="str">
        <f>IFERROR(F71/#REF!,"-")</f>
        <v>-</v>
      </c>
      <c r="J71" s="326">
        <f>+J70</f>
        <v>100693</v>
      </c>
      <c r="K71" s="326">
        <f t="shared" ref="K71:L71" si="49">+K70</f>
        <v>100183</v>
      </c>
      <c r="L71" s="326">
        <f t="shared" si="49"/>
        <v>510</v>
      </c>
      <c r="M71" s="341" t="str">
        <f t="shared" si="45"/>
        <v>-</v>
      </c>
      <c r="N71" s="349">
        <f t="shared" si="46"/>
        <v>5.0649002413276E-3</v>
      </c>
      <c r="O71" s="394"/>
      <c r="P71" s="410">
        <f>+P70</f>
        <v>656386.30539999995</v>
      </c>
      <c r="Q71" s="428">
        <f>Q70</f>
        <v>656386.30539999995</v>
      </c>
    </row>
    <row r="72" spans="1:17" ht="24.6" thickBot="1" x14ac:dyDescent="0.35">
      <c r="A72" s="319"/>
      <c r="B72" s="1113" t="s">
        <v>174</v>
      </c>
      <c r="C72" s="1114"/>
      <c r="D72" s="374">
        <f>+D71+D37+D28</f>
        <v>0</v>
      </c>
      <c r="E72" s="374">
        <f>+E71+E37+E28</f>
        <v>230000</v>
      </c>
      <c r="F72" s="374">
        <f>+F71+F37+F28</f>
        <v>355601</v>
      </c>
      <c r="G72" s="374">
        <f>+G71+G37+G28</f>
        <v>351733</v>
      </c>
      <c r="H72" s="374">
        <f>+H71+H37+H28</f>
        <v>3868</v>
      </c>
      <c r="I72" s="375" t="str">
        <f>IFERROR(F72/#REF!,"-")</f>
        <v>-</v>
      </c>
      <c r="J72" s="374">
        <f>+J71+J37+J28</f>
        <v>355601</v>
      </c>
      <c r="K72" s="374">
        <f>+K71+K37+K28</f>
        <v>351733</v>
      </c>
      <c r="L72" s="374">
        <f>+L71+L37+L28</f>
        <v>3868</v>
      </c>
      <c r="M72" s="375" t="str">
        <f t="shared" si="45"/>
        <v>-</v>
      </c>
      <c r="N72" s="375">
        <f>IFERROR(L72/J72,"-")</f>
        <v>1.0877359737458556E-2</v>
      </c>
      <c r="O72" s="401"/>
      <c r="P72" s="418">
        <f>+P71+P37+P28</f>
        <v>1652006.2154000001</v>
      </c>
      <c r="Q72" s="418">
        <f>+Q71+Q37+Q28</f>
        <v>1652006.2154000001</v>
      </c>
    </row>
    <row r="73" spans="1:17" ht="24.6" customHeight="1" thickBot="1" x14ac:dyDescent="0.35">
      <c r="A73" s="230"/>
      <c r="B73" s="230"/>
      <c r="C73" s="230"/>
      <c r="D73" s="232"/>
      <c r="E73" s="232"/>
      <c r="F73" s="232"/>
      <c r="G73" s="267"/>
      <c r="H73" s="267"/>
      <c r="I73" s="234"/>
      <c r="J73" s="232"/>
      <c r="K73" s="232"/>
      <c r="L73" s="232"/>
      <c r="M73" s="234"/>
      <c r="N73" s="234"/>
    </row>
    <row r="74" spans="1:17" ht="22.5" customHeight="1" x14ac:dyDescent="0.3">
      <c r="A74" s="1115" t="s">
        <v>1</v>
      </c>
      <c r="B74" s="1118" t="s">
        <v>2</v>
      </c>
      <c r="C74" s="1121" t="s">
        <v>396</v>
      </c>
      <c r="D74" s="1066" t="s">
        <v>4</v>
      </c>
      <c r="E74" s="1067"/>
      <c r="F74" s="1067"/>
      <c r="G74" s="1067"/>
      <c r="H74" s="1067"/>
      <c r="I74" s="1067"/>
      <c r="J74" s="1067"/>
      <c r="K74" s="1067"/>
      <c r="L74" s="1067"/>
      <c r="M74" s="1067"/>
      <c r="N74" s="1068"/>
      <c r="O74" s="1092" t="s">
        <v>167</v>
      </c>
      <c r="P74" s="1093"/>
      <c r="Q74" s="1124"/>
    </row>
    <row r="75" spans="1:17" ht="22.5" customHeight="1" x14ac:dyDescent="0.3">
      <c r="A75" s="1116"/>
      <c r="B75" s="1119"/>
      <c r="C75" s="1122"/>
      <c r="D75" s="1069" t="s">
        <v>7</v>
      </c>
      <c r="E75" s="1071" t="s">
        <v>108</v>
      </c>
      <c r="F75" s="1125" t="s">
        <v>484</v>
      </c>
      <c r="G75" s="1074"/>
      <c r="H75" s="1074"/>
      <c r="I75" s="1075"/>
      <c r="J75" s="1076" t="s">
        <v>8</v>
      </c>
      <c r="K75" s="1077"/>
      <c r="L75" s="1078"/>
      <c r="M75" s="1079" t="s">
        <v>165</v>
      </c>
      <c r="N75" s="1081" t="s">
        <v>164</v>
      </c>
      <c r="O75" s="1126" t="s">
        <v>169</v>
      </c>
      <c r="P75" s="1127"/>
      <c r="Q75" s="1128"/>
    </row>
    <row r="76" spans="1:17" ht="47.4" thickBot="1" x14ac:dyDescent="0.35">
      <c r="A76" s="1117"/>
      <c r="B76" s="1120"/>
      <c r="C76" s="1123"/>
      <c r="D76" s="1070"/>
      <c r="E76" s="1072"/>
      <c r="F76" s="452" t="s">
        <v>13</v>
      </c>
      <c r="G76" s="453" t="s">
        <v>14</v>
      </c>
      <c r="H76" s="453" t="s">
        <v>15</v>
      </c>
      <c r="I76" s="454" t="s">
        <v>166</v>
      </c>
      <c r="J76" s="680" t="s">
        <v>13</v>
      </c>
      <c r="K76" s="678" t="s">
        <v>14</v>
      </c>
      <c r="L76" s="679" t="s">
        <v>15</v>
      </c>
      <c r="M76" s="1080"/>
      <c r="N76" s="1082"/>
      <c r="O76" s="444" t="s">
        <v>170</v>
      </c>
      <c r="P76" s="445" t="s">
        <v>11</v>
      </c>
      <c r="Q76" s="446" t="s">
        <v>12</v>
      </c>
    </row>
    <row r="77" spans="1:17" ht="23.4" x14ac:dyDescent="0.3">
      <c r="A77" s="268" t="s">
        <v>103</v>
      </c>
      <c r="B77" s="439"/>
      <c r="C77" s="269" t="s">
        <v>246</v>
      </c>
      <c r="D77" s="270"/>
      <c r="E77" s="271"/>
      <c r="F77" s="332">
        <f>+G77+H77</f>
        <v>0</v>
      </c>
      <c r="G77" s="272"/>
      <c r="H77" s="272"/>
      <c r="I77" s="351" t="str">
        <f>IFERROR(F77/#REF!,"-")</f>
        <v>-</v>
      </c>
      <c r="J77" s="457">
        <f>+K77+L77</f>
        <v>0</v>
      </c>
      <c r="K77" s="458">
        <f>+G77+K14</f>
        <v>0</v>
      </c>
      <c r="L77" s="458">
        <f>+H77+L14</f>
        <v>0</v>
      </c>
      <c r="M77" s="336" t="str">
        <f>IFERROR(J77/D77,"-")</f>
        <v>-</v>
      </c>
      <c r="N77" s="343" t="str">
        <f t="shared" ref="N77:N78" si="50">IFERROR(L77/J77,"-")</f>
        <v>-</v>
      </c>
      <c r="O77" s="507">
        <v>1.5669</v>
      </c>
      <c r="P77" s="402">
        <f>+O77*G77</f>
        <v>0</v>
      </c>
      <c r="Q77" s="447">
        <f>+O77*K77</f>
        <v>0</v>
      </c>
    </row>
    <row r="78" spans="1:17" ht="23.4" x14ac:dyDescent="0.3">
      <c r="A78" s="274" t="s">
        <v>103</v>
      </c>
      <c r="B78" s="438"/>
      <c r="C78" s="275" t="s">
        <v>245</v>
      </c>
      <c r="D78" s="276"/>
      <c r="E78" s="277"/>
      <c r="F78" s="333">
        <f t="shared" ref="F78:F81" si="51">+G78+H78</f>
        <v>115874</v>
      </c>
      <c r="G78" s="719">
        <v>115000</v>
      </c>
      <c r="H78" s="719">
        <v>874</v>
      </c>
      <c r="I78" s="352" t="str">
        <f>IFERROR(F78/#REF!,"-")</f>
        <v>-</v>
      </c>
      <c r="J78" s="333">
        <f t="shared" ref="J78:J81" si="52">+K78+L78</f>
        <v>115874</v>
      </c>
      <c r="K78" s="278">
        <f t="shared" ref="K78:L78" si="53">+G78+K15</f>
        <v>115000</v>
      </c>
      <c r="L78" s="436">
        <f t="shared" si="53"/>
        <v>874</v>
      </c>
      <c r="M78" s="337" t="str">
        <f t="shared" ref="M78:M81" si="54">IFERROR(J78/D78,"-")</f>
        <v>-</v>
      </c>
      <c r="N78" s="265">
        <f t="shared" si="50"/>
        <v>7.5426756649464074E-3</v>
      </c>
      <c r="O78" s="508">
        <v>2.3978999999999999</v>
      </c>
      <c r="P78" s="404">
        <f>+O78*G78</f>
        <v>275758.5</v>
      </c>
      <c r="Q78" s="449">
        <f>+O78*K78</f>
        <v>275758.5</v>
      </c>
    </row>
    <row r="79" spans="1:17" ht="23.4" x14ac:dyDescent="0.3">
      <c r="A79" s="274" t="s">
        <v>103</v>
      </c>
      <c r="B79" s="438"/>
      <c r="C79" s="275" t="s">
        <v>395</v>
      </c>
      <c r="D79" s="276"/>
      <c r="E79" s="277"/>
      <c r="F79" s="333">
        <f t="shared" si="51"/>
        <v>0</v>
      </c>
      <c r="G79" s="278"/>
      <c r="H79" s="719"/>
      <c r="I79" s="352" t="str">
        <f>IFERROR(F79/#REF!,"-")</f>
        <v>-</v>
      </c>
      <c r="J79" s="333">
        <f t="shared" si="52"/>
        <v>100594</v>
      </c>
      <c r="K79" s="278">
        <f t="shared" ref="K79:L79" si="55">+G79+K16</f>
        <v>99500</v>
      </c>
      <c r="L79" s="436">
        <f t="shared" si="55"/>
        <v>1094</v>
      </c>
      <c r="M79" s="337" t="str">
        <f t="shared" si="54"/>
        <v>-</v>
      </c>
      <c r="N79" s="716">
        <f>IFERROR(L79/J79,"-")</f>
        <v>1.0875400123267789E-2</v>
      </c>
      <c r="O79" s="718">
        <v>3.6777000000000002</v>
      </c>
      <c r="P79" s="404">
        <f t="shared" ref="P79:P81" si="56">+O79*G79</f>
        <v>0</v>
      </c>
      <c r="Q79" s="449">
        <f t="shared" ref="Q79:Q81" si="57">+O79*K79</f>
        <v>365931.15</v>
      </c>
    </row>
    <row r="80" spans="1:17" ht="23.4" x14ac:dyDescent="0.3">
      <c r="A80" s="274"/>
      <c r="B80" s="451"/>
      <c r="C80" s="275" t="s">
        <v>319</v>
      </c>
      <c r="D80" s="280"/>
      <c r="E80" s="281"/>
      <c r="F80" s="333">
        <f t="shared" si="51"/>
        <v>38548</v>
      </c>
      <c r="G80" s="282">
        <v>38000</v>
      </c>
      <c r="H80" s="282">
        <v>548</v>
      </c>
      <c r="I80" s="352" t="str">
        <f>IFERROR(F80/#REF!,"-")</f>
        <v>-</v>
      </c>
      <c r="J80" s="333">
        <f t="shared" si="52"/>
        <v>46578</v>
      </c>
      <c r="K80" s="278">
        <f t="shared" ref="K80:L80" si="58">+G80+K17</f>
        <v>45800</v>
      </c>
      <c r="L80" s="436">
        <f t="shared" si="58"/>
        <v>778</v>
      </c>
      <c r="M80" s="337" t="str">
        <f t="shared" si="54"/>
        <v>-</v>
      </c>
      <c r="N80" s="265">
        <f>IFERROR(L80/J80,"-")</f>
        <v>1.6703164584138435E-2</v>
      </c>
      <c r="O80" s="509">
        <v>12.284700000000001</v>
      </c>
      <c r="P80" s="404">
        <f t="shared" si="56"/>
        <v>466818.60000000003</v>
      </c>
      <c r="Q80" s="449">
        <f t="shared" si="57"/>
        <v>562639.26</v>
      </c>
    </row>
    <row r="81" spans="1:17" ht="24" thickBot="1" x14ac:dyDescent="0.35">
      <c r="A81" s="274" t="s">
        <v>103</v>
      </c>
      <c r="B81" s="451"/>
      <c r="C81" s="275" t="s">
        <v>365</v>
      </c>
      <c r="D81" s="280"/>
      <c r="E81" s="281"/>
      <c r="F81" s="334">
        <f t="shared" si="51"/>
        <v>0</v>
      </c>
      <c r="G81" s="282"/>
      <c r="H81" s="282"/>
      <c r="I81" s="353" t="str">
        <f>IFERROR(F81/#REF!,"-")</f>
        <v>-</v>
      </c>
      <c r="J81" s="460">
        <f t="shared" si="52"/>
        <v>45034</v>
      </c>
      <c r="K81" s="461">
        <f t="shared" ref="K81:L81" si="59">+G81+K18</f>
        <v>44250</v>
      </c>
      <c r="L81" s="462">
        <f t="shared" si="59"/>
        <v>784</v>
      </c>
      <c r="M81" s="338" t="str">
        <f t="shared" si="54"/>
        <v>-</v>
      </c>
      <c r="N81" s="344">
        <f t="shared" ref="N81:N93" si="60">IFERROR(L81/J81,"-")</f>
        <v>1.7409068703646134E-2</v>
      </c>
      <c r="O81" s="718">
        <v>7.0612000000000004</v>
      </c>
      <c r="P81" s="405">
        <f t="shared" si="56"/>
        <v>0</v>
      </c>
      <c r="Q81" s="450">
        <f t="shared" si="57"/>
        <v>312458.10000000003</v>
      </c>
    </row>
    <row r="82" spans="1:17" ht="23.25" customHeight="1" thickBot="1" x14ac:dyDescent="0.35">
      <c r="A82" s="274" t="s">
        <v>103</v>
      </c>
      <c r="B82" s="1109" t="s">
        <v>21</v>
      </c>
      <c r="C82" s="1046"/>
      <c r="D82" s="320">
        <f>SUM(D77:D81)</f>
        <v>0</v>
      </c>
      <c r="E82" s="285">
        <v>15000</v>
      </c>
      <c r="F82" s="320">
        <f>SUM(F77:F81)</f>
        <v>154422</v>
      </c>
      <c r="G82" s="321">
        <f>SUM(G77:G81)</f>
        <v>153000</v>
      </c>
      <c r="H82" s="321">
        <f>SUM(H77:H81)</f>
        <v>1422</v>
      </c>
      <c r="I82" s="345" t="str">
        <f>IFERROR(F82/#REF!,"-")</f>
        <v>-</v>
      </c>
      <c r="J82" s="320">
        <f>SUM(J77:J81)</f>
        <v>308080</v>
      </c>
      <c r="K82" s="321">
        <f>SUM(K77:K81)</f>
        <v>304550</v>
      </c>
      <c r="L82" s="322">
        <f>SUM(L77:L81)</f>
        <v>3530</v>
      </c>
      <c r="M82" s="339" t="str">
        <f>IFERROR(J82/D82,"-")</f>
        <v>-</v>
      </c>
      <c r="N82" s="345">
        <f t="shared" si="60"/>
        <v>1.1458062840820566E-2</v>
      </c>
      <c r="O82" s="391"/>
      <c r="P82" s="406">
        <f>SUM(P77:P81)</f>
        <v>742577.10000000009</v>
      </c>
      <c r="Q82" s="425">
        <f>SUM(Q77:Q81)</f>
        <v>1516787.0100000002</v>
      </c>
    </row>
    <row r="83" spans="1:17" ht="23.4" x14ac:dyDescent="0.3">
      <c r="A83" s="274" t="s">
        <v>103</v>
      </c>
      <c r="B83" s="439"/>
      <c r="C83" s="269" t="s">
        <v>244</v>
      </c>
      <c r="D83" s="270"/>
      <c r="E83" s="271"/>
      <c r="F83" s="332">
        <f t="shared" ref="F83:F89" si="61">+G83+H83</f>
        <v>0</v>
      </c>
      <c r="G83" s="272"/>
      <c r="H83" s="272"/>
      <c r="I83" s="351" t="str">
        <f>IFERROR(F83/#REF!,"-")</f>
        <v>-</v>
      </c>
      <c r="J83" s="457">
        <f t="shared" ref="J83:J89" si="62">+K83+L83</f>
        <v>0</v>
      </c>
      <c r="K83" s="458">
        <f t="shared" ref="K83:L83" si="63">+G83+K20</f>
        <v>0</v>
      </c>
      <c r="L83" s="459">
        <f t="shared" si="63"/>
        <v>0</v>
      </c>
      <c r="M83" s="336" t="str">
        <f t="shared" ref="M83:M91" si="64">IFERROR(J83/D83,"-")</f>
        <v>-</v>
      </c>
      <c r="N83" s="346" t="str">
        <f t="shared" si="60"/>
        <v>-</v>
      </c>
      <c r="O83" s="507">
        <v>18.2316</v>
      </c>
      <c r="P83" s="402">
        <f t="shared" ref="P83:P89" si="65">+O83*G83</f>
        <v>0</v>
      </c>
      <c r="Q83" s="447">
        <f t="shared" ref="Q83:Q89" si="66">+O83*K83</f>
        <v>0</v>
      </c>
    </row>
    <row r="84" spans="1:17" ht="23.4" x14ac:dyDescent="0.3">
      <c r="A84" s="274" t="s">
        <v>103</v>
      </c>
      <c r="B84" s="438"/>
      <c r="C84" s="275" t="s">
        <v>89</v>
      </c>
      <c r="D84" s="276"/>
      <c r="E84" s="277"/>
      <c r="F84" s="333">
        <f t="shared" si="61"/>
        <v>0</v>
      </c>
      <c r="G84" s="278"/>
      <c r="H84" s="278"/>
      <c r="I84" s="352" t="str">
        <f>IFERROR(F84/#REF!,"-")</f>
        <v>-</v>
      </c>
      <c r="J84" s="333">
        <f t="shared" si="62"/>
        <v>0</v>
      </c>
      <c r="K84" s="278">
        <f t="shared" ref="K84:L84" si="67">+G84+K21</f>
        <v>0</v>
      </c>
      <c r="L84" s="436">
        <f t="shared" si="67"/>
        <v>0</v>
      </c>
      <c r="M84" s="337" t="str">
        <f t="shared" si="64"/>
        <v>-</v>
      </c>
      <c r="N84" s="263" t="str">
        <f t="shared" si="60"/>
        <v>-</v>
      </c>
      <c r="O84" s="508">
        <v>1.2824</v>
      </c>
      <c r="P84" s="404">
        <f t="shared" si="65"/>
        <v>0</v>
      </c>
      <c r="Q84" s="449">
        <f t="shared" si="66"/>
        <v>0</v>
      </c>
    </row>
    <row r="85" spans="1:17" ht="23.4" x14ac:dyDescent="0.3">
      <c r="A85" s="274" t="s">
        <v>103</v>
      </c>
      <c r="B85" s="438"/>
      <c r="C85" s="275" t="s">
        <v>300</v>
      </c>
      <c r="D85" s="276"/>
      <c r="E85" s="277"/>
      <c r="F85" s="333">
        <f t="shared" si="61"/>
        <v>0</v>
      </c>
      <c r="G85" s="278"/>
      <c r="H85" s="278"/>
      <c r="I85" s="352" t="str">
        <f>IFERROR(F85/#REF!,"-")</f>
        <v>-</v>
      </c>
      <c r="J85" s="333">
        <f t="shared" si="62"/>
        <v>0</v>
      </c>
      <c r="K85" s="278">
        <f t="shared" ref="K85:L85" si="68">+G85+K22</f>
        <v>0</v>
      </c>
      <c r="L85" s="436">
        <f t="shared" si="68"/>
        <v>0</v>
      </c>
      <c r="M85" s="337" t="str">
        <f t="shared" si="64"/>
        <v>-</v>
      </c>
      <c r="N85" s="263" t="str">
        <f t="shared" si="60"/>
        <v>-</v>
      </c>
      <c r="O85" s="710">
        <v>5.7342000000000004</v>
      </c>
      <c r="P85" s="404">
        <f t="shared" si="65"/>
        <v>0</v>
      </c>
      <c r="Q85" s="449">
        <f t="shared" si="66"/>
        <v>0</v>
      </c>
    </row>
    <row r="86" spans="1:17" ht="23.4" x14ac:dyDescent="0.3">
      <c r="A86" s="274" t="s">
        <v>103</v>
      </c>
      <c r="B86" s="438"/>
      <c r="C86" s="275" t="s">
        <v>314</v>
      </c>
      <c r="D86" s="276"/>
      <c r="E86" s="277"/>
      <c r="F86" s="333">
        <f t="shared" si="61"/>
        <v>0</v>
      </c>
      <c r="G86" s="278"/>
      <c r="H86" s="278"/>
      <c r="I86" s="352" t="str">
        <f>IFERROR(F86/#REF!,"-")</f>
        <v>-</v>
      </c>
      <c r="J86" s="333">
        <f t="shared" si="62"/>
        <v>0</v>
      </c>
      <c r="K86" s="278">
        <f t="shared" ref="K86:L86" si="69">+G86+K23</f>
        <v>0</v>
      </c>
      <c r="L86" s="436">
        <f t="shared" si="69"/>
        <v>0</v>
      </c>
      <c r="M86" s="337" t="str">
        <f t="shared" si="64"/>
        <v>-</v>
      </c>
      <c r="N86" s="263" t="str">
        <f t="shared" si="60"/>
        <v>-</v>
      </c>
      <c r="O86" s="508"/>
      <c r="P86" s="404">
        <f t="shared" si="65"/>
        <v>0</v>
      </c>
      <c r="Q86" s="449">
        <f t="shared" si="66"/>
        <v>0</v>
      </c>
    </row>
    <row r="87" spans="1:17" ht="23.4" x14ac:dyDescent="0.3">
      <c r="A87" s="274" t="s">
        <v>103</v>
      </c>
      <c r="B87" s="438"/>
      <c r="C87" s="275" t="s">
        <v>320</v>
      </c>
      <c r="D87" s="276"/>
      <c r="E87" s="277"/>
      <c r="F87" s="333">
        <f t="shared" si="61"/>
        <v>0</v>
      </c>
      <c r="G87" s="278"/>
      <c r="H87" s="278"/>
      <c r="I87" s="352" t="str">
        <f>IFERROR(F87/#REF!,"-")</f>
        <v>-</v>
      </c>
      <c r="J87" s="333">
        <f t="shared" si="62"/>
        <v>0</v>
      </c>
      <c r="K87" s="278">
        <f t="shared" ref="K87:L87" si="70">+G87+K24</f>
        <v>0</v>
      </c>
      <c r="L87" s="436">
        <f t="shared" si="70"/>
        <v>0</v>
      </c>
      <c r="M87" s="337" t="str">
        <f t="shared" si="64"/>
        <v>-</v>
      </c>
      <c r="N87" s="263" t="str">
        <f t="shared" si="60"/>
        <v>-</v>
      </c>
      <c r="O87" s="508">
        <v>12.029500000000001</v>
      </c>
      <c r="P87" s="404">
        <f t="shared" si="65"/>
        <v>0</v>
      </c>
      <c r="Q87" s="449">
        <f t="shared" si="66"/>
        <v>0</v>
      </c>
    </row>
    <row r="88" spans="1:17" ht="23.4" x14ac:dyDescent="0.3">
      <c r="A88" s="274" t="s">
        <v>103</v>
      </c>
      <c r="B88" s="438"/>
      <c r="C88" s="275"/>
      <c r="D88" s="276"/>
      <c r="E88" s="277"/>
      <c r="F88" s="333">
        <f t="shared" si="61"/>
        <v>0</v>
      </c>
      <c r="G88" s="278"/>
      <c r="H88" s="278"/>
      <c r="I88" s="352" t="str">
        <f>IFERROR(F88/#REF!,"-")</f>
        <v>-</v>
      </c>
      <c r="J88" s="333">
        <f t="shared" si="62"/>
        <v>0</v>
      </c>
      <c r="K88" s="278">
        <f t="shared" ref="K88:L88" si="71">+G88+K25</f>
        <v>0</v>
      </c>
      <c r="L88" s="436">
        <f t="shared" si="71"/>
        <v>0</v>
      </c>
      <c r="M88" s="337" t="str">
        <f t="shared" si="64"/>
        <v>-</v>
      </c>
      <c r="N88" s="263" t="str">
        <f t="shared" si="60"/>
        <v>-</v>
      </c>
      <c r="O88" s="508"/>
      <c r="P88" s="404">
        <f t="shared" si="65"/>
        <v>0</v>
      </c>
      <c r="Q88" s="449">
        <f t="shared" si="66"/>
        <v>0</v>
      </c>
    </row>
    <row r="89" spans="1:17" ht="24" thickBot="1" x14ac:dyDescent="0.35">
      <c r="A89" s="274" t="s">
        <v>103</v>
      </c>
      <c r="B89" s="451"/>
      <c r="C89" s="279"/>
      <c r="D89" s="280">
        <v>0</v>
      </c>
      <c r="E89" s="281"/>
      <c r="F89" s="334">
        <f t="shared" si="61"/>
        <v>0</v>
      </c>
      <c r="G89" s="282"/>
      <c r="H89" s="282"/>
      <c r="I89" s="353" t="str">
        <f>IFERROR(F89/#REF!,"-")</f>
        <v>-</v>
      </c>
      <c r="J89" s="460">
        <f t="shared" si="62"/>
        <v>0</v>
      </c>
      <c r="K89" s="461">
        <f t="shared" ref="K89:L89" si="72">+G89+K26</f>
        <v>0</v>
      </c>
      <c r="L89" s="462">
        <f t="shared" si="72"/>
        <v>0</v>
      </c>
      <c r="M89" s="338" t="str">
        <f t="shared" si="64"/>
        <v>-</v>
      </c>
      <c r="N89" s="347" t="str">
        <f t="shared" si="60"/>
        <v>-</v>
      </c>
      <c r="O89" s="509"/>
      <c r="P89" s="405">
        <f t="shared" si="65"/>
        <v>0</v>
      </c>
      <c r="Q89" s="450">
        <f t="shared" si="66"/>
        <v>0</v>
      </c>
    </row>
    <row r="90" spans="1:17" ht="23.25" customHeight="1" thickBot="1" x14ac:dyDescent="0.35">
      <c r="A90" s="274" t="s">
        <v>103</v>
      </c>
      <c r="B90" s="1109" t="s">
        <v>25</v>
      </c>
      <c r="C90" s="1046"/>
      <c r="D90" s="320">
        <f t="shared" ref="D90" si="73">SUM(D83:D89)</f>
        <v>0</v>
      </c>
      <c r="E90" s="285">
        <v>100000</v>
      </c>
      <c r="F90" s="320">
        <f>SUM(F83:F89)</f>
        <v>0</v>
      </c>
      <c r="G90" s="321">
        <f t="shared" ref="G90:H90" si="74">SUM(G83:G89)</f>
        <v>0</v>
      </c>
      <c r="H90" s="321">
        <f t="shared" si="74"/>
        <v>0</v>
      </c>
      <c r="I90" s="345" t="str">
        <f>IFERROR(F90/#REF!,"-")</f>
        <v>-</v>
      </c>
      <c r="J90" s="320">
        <f t="shared" ref="J90:L90" si="75">SUM(J83:J89)</f>
        <v>0</v>
      </c>
      <c r="K90" s="321">
        <f t="shared" si="75"/>
        <v>0</v>
      </c>
      <c r="L90" s="322">
        <f t="shared" si="75"/>
        <v>0</v>
      </c>
      <c r="M90" s="339" t="str">
        <f t="shared" si="64"/>
        <v>-</v>
      </c>
      <c r="N90" s="345" t="str">
        <f t="shared" si="60"/>
        <v>-</v>
      </c>
      <c r="O90" s="391"/>
      <c r="P90" s="406">
        <f t="shared" ref="P90:Q90" si="76">SUM(P83:P89)</f>
        <v>0</v>
      </c>
      <c r="Q90" s="425">
        <f t="shared" si="76"/>
        <v>0</v>
      </c>
    </row>
    <row r="91" spans="1:17" ht="23.25" customHeight="1" thickBot="1" x14ac:dyDescent="0.35">
      <c r="A91" s="274" t="s">
        <v>103</v>
      </c>
      <c r="B91" s="1111" t="s">
        <v>172</v>
      </c>
      <c r="C91" s="1112"/>
      <c r="D91" s="326">
        <f>+D82+D90</f>
        <v>0</v>
      </c>
      <c r="E91" s="327">
        <f t="shared" ref="E91:H91" si="77">+E82+E90</f>
        <v>115000</v>
      </c>
      <c r="F91" s="326">
        <f t="shared" si="77"/>
        <v>154422</v>
      </c>
      <c r="G91" s="324">
        <f t="shared" si="77"/>
        <v>153000</v>
      </c>
      <c r="H91" s="324">
        <f t="shared" si="77"/>
        <v>1422</v>
      </c>
      <c r="I91" s="349" t="str">
        <f>IFERROR(F91/#REF!,"-")</f>
        <v>-</v>
      </c>
      <c r="J91" s="326">
        <f t="shared" ref="J91:L91" si="78">+J82+J90</f>
        <v>308080</v>
      </c>
      <c r="K91" s="324">
        <f t="shared" si="78"/>
        <v>304550</v>
      </c>
      <c r="L91" s="325">
        <f t="shared" si="78"/>
        <v>3530</v>
      </c>
      <c r="M91" s="341" t="str">
        <f t="shared" si="64"/>
        <v>-</v>
      </c>
      <c r="N91" s="349">
        <f t="shared" si="60"/>
        <v>1.1458062840820566E-2</v>
      </c>
      <c r="O91" s="394"/>
      <c r="P91" s="410">
        <f t="shared" ref="P91:Q91" si="79">+P82+P90</f>
        <v>742577.10000000009</v>
      </c>
      <c r="Q91" s="428">
        <f t="shared" si="79"/>
        <v>1516787.0100000002</v>
      </c>
    </row>
    <row r="92" spans="1:17" ht="23.4" x14ac:dyDescent="0.3">
      <c r="A92" s="244" t="s">
        <v>101</v>
      </c>
      <c r="B92" s="581"/>
      <c r="C92" s="582" t="s">
        <v>283</v>
      </c>
      <c r="D92" s="527"/>
      <c r="E92" s="459"/>
      <c r="F92" s="457">
        <f>+G92+H92</f>
        <v>0</v>
      </c>
      <c r="G92" s="458"/>
      <c r="H92" s="458"/>
      <c r="I92" s="531" t="str">
        <f>IFERROR(F92/#REF!,"-")</f>
        <v>-</v>
      </c>
      <c r="J92" s="457">
        <f>+K92+L92</f>
        <v>0</v>
      </c>
      <c r="K92" s="458">
        <f t="shared" ref="K92:L92" si="80">+G92+K29</f>
        <v>0</v>
      </c>
      <c r="L92" s="459">
        <f t="shared" si="80"/>
        <v>0</v>
      </c>
      <c r="M92" s="586" t="str">
        <f>IFERROR(J92/D92,"-")</f>
        <v>-</v>
      </c>
      <c r="N92" s="533" t="str">
        <f t="shared" si="60"/>
        <v>-</v>
      </c>
      <c r="O92" s="628">
        <v>4.8285999999999998</v>
      </c>
      <c r="P92" s="534">
        <f t="shared" ref="P92:P98" si="81">+O92*G92</f>
        <v>0</v>
      </c>
      <c r="Q92" s="535">
        <f t="shared" ref="Q92:Q98" si="82">+O92*K92</f>
        <v>0</v>
      </c>
    </row>
    <row r="93" spans="1:17" ht="23.4" x14ac:dyDescent="0.3">
      <c r="A93" s="248" t="s">
        <v>101</v>
      </c>
      <c r="B93" s="583"/>
      <c r="C93" s="275" t="s">
        <v>284</v>
      </c>
      <c r="D93" s="276"/>
      <c r="E93" s="436"/>
      <c r="F93" s="333">
        <f t="shared" ref="F93:F98" si="83">+G93+H93</f>
        <v>0</v>
      </c>
      <c r="G93" s="278"/>
      <c r="H93" s="278"/>
      <c r="I93" s="352" t="str">
        <f>IFERROR(F93/#REF!,"-")</f>
        <v>-</v>
      </c>
      <c r="J93" s="333">
        <f t="shared" ref="J93:J98" si="84">+K93+L93</f>
        <v>0</v>
      </c>
      <c r="K93" s="278">
        <f t="shared" ref="K93:L93" si="85">+G93+K30</f>
        <v>0</v>
      </c>
      <c r="L93" s="436">
        <f t="shared" si="85"/>
        <v>0</v>
      </c>
      <c r="M93" s="337" t="str">
        <f t="shared" ref="M93:M95" si="86">IFERROR(J93/D93,"-")</f>
        <v>-</v>
      </c>
      <c r="N93" s="265" t="str">
        <f t="shared" si="60"/>
        <v>-</v>
      </c>
      <c r="O93" s="629">
        <v>1.4086000000000001</v>
      </c>
      <c r="P93" s="404">
        <f t="shared" si="81"/>
        <v>0</v>
      </c>
      <c r="Q93" s="449">
        <f t="shared" si="82"/>
        <v>0</v>
      </c>
    </row>
    <row r="94" spans="1:17" ht="23.4" x14ac:dyDescent="0.3">
      <c r="A94" s="248" t="s">
        <v>101</v>
      </c>
      <c r="B94" s="583"/>
      <c r="C94" s="275" t="s">
        <v>315</v>
      </c>
      <c r="D94" s="276"/>
      <c r="E94" s="436"/>
      <c r="F94" s="333">
        <f t="shared" si="83"/>
        <v>0</v>
      </c>
      <c r="G94" s="278"/>
      <c r="H94" s="278"/>
      <c r="I94" s="352" t="str">
        <f>IFERROR(F94/#REF!,"-")</f>
        <v>-</v>
      </c>
      <c r="J94" s="333">
        <f t="shared" si="84"/>
        <v>0</v>
      </c>
      <c r="K94" s="278">
        <f t="shared" ref="K94:L94" si="87">+G94+K31</f>
        <v>0</v>
      </c>
      <c r="L94" s="436">
        <f t="shared" si="87"/>
        <v>0</v>
      </c>
      <c r="M94" s="337" t="str">
        <f t="shared" si="86"/>
        <v>-</v>
      </c>
      <c r="N94" s="265" t="str">
        <f>IFERROR(L94/J94,"-")</f>
        <v>-</v>
      </c>
      <c r="O94" s="629">
        <v>2.2141000000000002</v>
      </c>
      <c r="P94" s="404">
        <f t="shared" si="81"/>
        <v>0</v>
      </c>
      <c r="Q94" s="449">
        <f t="shared" si="82"/>
        <v>0</v>
      </c>
    </row>
    <row r="95" spans="1:17" ht="23.4" x14ac:dyDescent="0.3">
      <c r="A95" s="248" t="s">
        <v>101</v>
      </c>
      <c r="B95" s="584"/>
      <c r="C95" s="275" t="s">
        <v>447</v>
      </c>
      <c r="D95" s="280"/>
      <c r="E95" s="528"/>
      <c r="F95" s="334">
        <f t="shared" si="83"/>
        <v>101288</v>
      </c>
      <c r="G95" s="282">
        <v>100000</v>
      </c>
      <c r="H95" s="282">
        <v>1288</v>
      </c>
      <c r="I95" s="353" t="str">
        <f>IFERROR(F95/#REF!,"-")</f>
        <v>-</v>
      </c>
      <c r="J95" s="333">
        <f t="shared" si="84"/>
        <v>202538</v>
      </c>
      <c r="K95" s="278">
        <f t="shared" ref="K95:L95" si="88">+G95+K32</f>
        <v>200000</v>
      </c>
      <c r="L95" s="436">
        <f t="shared" si="88"/>
        <v>2538</v>
      </c>
      <c r="M95" s="338" t="str">
        <f t="shared" si="86"/>
        <v>-</v>
      </c>
      <c r="N95" s="344">
        <f t="shared" ref="N95:N102" si="89">IFERROR(L95/J95,"-")</f>
        <v>1.2530981840444756E-2</v>
      </c>
      <c r="O95" s="629">
        <v>2.2141000000000002</v>
      </c>
      <c r="P95" s="405">
        <f t="shared" si="81"/>
        <v>221410.00000000003</v>
      </c>
      <c r="Q95" s="450">
        <f t="shared" si="82"/>
        <v>442820.00000000006</v>
      </c>
    </row>
    <row r="96" spans="1:17" ht="23.4" x14ac:dyDescent="0.3">
      <c r="A96" s="248" t="s">
        <v>101</v>
      </c>
      <c r="B96" s="440"/>
      <c r="C96" s="627" t="s">
        <v>353</v>
      </c>
      <c r="D96" s="510"/>
      <c r="E96" s="529"/>
      <c r="F96" s="333">
        <f t="shared" si="83"/>
        <v>0</v>
      </c>
      <c r="G96" s="547"/>
      <c r="H96" s="547"/>
      <c r="I96" s="352" t="str">
        <f>IFERROR(F96/#REF!,"-")</f>
        <v>-</v>
      </c>
      <c r="J96" s="333">
        <f t="shared" si="84"/>
        <v>0</v>
      </c>
      <c r="K96" s="278">
        <f t="shared" ref="K96:L96" si="90">+G96+K33</f>
        <v>0</v>
      </c>
      <c r="L96" s="436">
        <f t="shared" si="90"/>
        <v>0</v>
      </c>
      <c r="M96" s="682"/>
      <c r="N96" s="265" t="str">
        <f t="shared" si="89"/>
        <v>-</v>
      </c>
      <c r="O96" s="540">
        <v>4.8285999999999998</v>
      </c>
      <c r="P96" s="404">
        <f t="shared" si="81"/>
        <v>0</v>
      </c>
      <c r="Q96" s="449">
        <f t="shared" si="82"/>
        <v>0</v>
      </c>
    </row>
    <row r="97" spans="1:17" ht="23.4" x14ac:dyDescent="0.3">
      <c r="A97" s="248" t="s">
        <v>101</v>
      </c>
      <c r="B97" s="585"/>
      <c r="C97" s="627" t="s">
        <v>349</v>
      </c>
      <c r="D97" s="270"/>
      <c r="E97" s="435"/>
      <c r="F97" s="332">
        <f t="shared" si="83"/>
        <v>0</v>
      </c>
      <c r="G97" s="272"/>
      <c r="H97" s="272"/>
      <c r="I97" s="351" t="str">
        <f>IFERROR(F97/#REF!,"-")</f>
        <v>-</v>
      </c>
      <c r="J97" s="333">
        <f t="shared" si="84"/>
        <v>0</v>
      </c>
      <c r="K97" s="278">
        <f t="shared" ref="K97:L97" si="91">+G97+K34</f>
        <v>0</v>
      </c>
      <c r="L97" s="436">
        <f t="shared" si="91"/>
        <v>0</v>
      </c>
      <c r="M97" s="336" t="str">
        <f t="shared" ref="M97:M98" si="92">IFERROR(J97/D97,"-")</f>
        <v>-</v>
      </c>
      <c r="N97" s="346" t="str">
        <f t="shared" si="89"/>
        <v>-</v>
      </c>
      <c r="O97" s="507">
        <v>4.1712999999999996</v>
      </c>
      <c r="P97" s="402">
        <f t="shared" si="81"/>
        <v>0</v>
      </c>
      <c r="Q97" s="447">
        <f t="shared" si="82"/>
        <v>0</v>
      </c>
    </row>
    <row r="98" spans="1:17" ht="24" thickBot="1" x14ac:dyDescent="0.35">
      <c r="A98" s="248" t="s">
        <v>101</v>
      </c>
      <c r="B98" s="583"/>
      <c r="C98" s="275"/>
      <c r="D98" s="276"/>
      <c r="E98" s="436"/>
      <c r="F98" s="333">
        <f t="shared" si="83"/>
        <v>0</v>
      </c>
      <c r="G98" s="278"/>
      <c r="H98" s="278"/>
      <c r="I98" s="352" t="str">
        <f>IFERROR(F98/#REF!,"-")</f>
        <v>-</v>
      </c>
      <c r="J98" s="460">
        <f t="shared" si="84"/>
        <v>0</v>
      </c>
      <c r="K98" s="461">
        <f t="shared" ref="K98:L98" si="93">+G98+K35</f>
        <v>0</v>
      </c>
      <c r="L98" s="462">
        <f t="shared" si="93"/>
        <v>0</v>
      </c>
      <c r="M98" s="337" t="str">
        <f t="shared" si="92"/>
        <v>-</v>
      </c>
      <c r="N98" s="263" t="str">
        <f t="shared" si="89"/>
        <v>-</v>
      </c>
      <c r="O98" s="448"/>
      <c r="P98" s="404">
        <f t="shared" si="81"/>
        <v>0</v>
      </c>
      <c r="Q98" s="449">
        <f t="shared" si="82"/>
        <v>0</v>
      </c>
    </row>
    <row r="99" spans="1:17" ht="23.25" customHeight="1" thickBot="1" x14ac:dyDescent="0.35">
      <c r="A99" s="274" t="s">
        <v>101</v>
      </c>
      <c r="B99" s="1109" t="s">
        <v>21</v>
      </c>
      <c r="C99" s="1046"/>
      <c r="D99" s="320">
        <v>0</v>
      </c>
      <c r="E99" s="285">
        <v>15000</v>
      </c>
      <c r="F99" s="320">
        <f>SUM(F92:F98)</f>
        <v>101288</v>
      </c>
      <c r="G99" s="321">
        <f t="shared" ref="G99:H99" si="94">SUM(G92:G98)</f>
        <v>100000</v>
      </c>
      <c r="H99" s="321">
        <f t="shared" si="94"/>
        <v>1288</v>
      </c>
      <c r="I99" s="345" t="str">
        <f>IFERROR(F99/#REF!,"-")</f>
        <v>-</v>
      </c>
      <c r="J99" s="513">
        <f t="shared" ref="J99" si="95">SUM(J92:J98)</f>
        <v>202538</v>
      </c>
      <c r="K99" s="519">
        <f>SUM(K92:K98)</f>
        <v>200000</v>
      </c>
      <c r="L99" s="519">
        <f>SUM(L92:L98)</f>
        <v>2538</v>
      </c>
      <c r="M99" s="339" t="str">
        <f>IFERROR(J99/D99,"-")</f>
        <v>-</v>
      </c>
      <c r="N99" s="345">
        <f t="shared" si="89"/>
        <v>1.2530981840444756E-2</v>
      </c>
      <c r="O99" s="391"/>
      <c r="P99" s="406">
        <f>SUM(P92:P98)</f>
        <v>221410.00000000003</v>
      </c>
      <c r="Q99" s="425">
        <f>SUM(Q92:Q98)</f>
        <v>442820.00000000006</v>
      </c>
    </row>
    <row r="100" spans="1:17" ht="23.25" customHeight="1" thickBot="1" x14ac:dyDescent="0.35">
      <c r="A100" s="274" t="s">
        <v>101</v>
      </c>
      <c r="B100" s="1111" t="s">
        <v>248</v>
      </c>
      <c r="C100" s="1112"/>
      <c r="D100" s="512">
        <f>+D96+D99</f>
        <v>0</v>
      </c>
      <c r="E100" s="525">
        <f>+E96+E99</f>
        <v>15000</v>
      </c>
      <c r="F100" s="512">
        <f>+F96+F99</f>
        <v>101288</v>
      </c>
      <c r="G100" s="514">
        <f>+G96+G99</f>
        <v>100000</v>
      </c>
      <c r="H100" s="514">
        <f>+H96+H99</f>
        <v>1288</v>
      </c>
      <c r="I100" s="515" t="str">
        <f>IFERROR(F100/#REF!,"-")</f>
        <v>-</v>
      </c>
      <c r="J100" s="512">
        <f>+J96+J99</f>
        <v>202538</v>
      </c>
      <c r="K100" s="514">
        <f>+K99</f>
        <v>200000</v>
      </c>
      <c r="L100" s="514">
        <f>+L99</f>
        <v>2538</v>
      </c>
      <c r="M100" s="516" t="str">
        <f t="shared" ref="M100" si="96">IFERROR(J100/D100,"-")</f>
        <v>-</v>
      </c>
      <c r="N100" s="515">
        <f t="shared" si="89"/>
        <v>1.2530981840444756E-2</v>
      </c>
      <c r="O100" s="517"/>
      <c r="P100" s="518">
        <f>+P99</f>
        <v>221410.00000000003</v>
      </c>
      <c r="Q100" s="518">
        <f>+Q99</f>
        <v>442820.00000000006</v>
      </c>
    </row>
    <row r="101" spans="1:17" ht="23.4" x14ac:dyDescent="0.4">
      <c r="A101" s="244" t="s">
        <v>101</v>
      </c>
      <c r="B101" s="1106" t="s">
        <v>250</v>
      </c>
      <c r="C101" s="542" t="s">
        <v>71</v>
      </c>
      <c r="D101" s="527"/>
      <c r="E101" s="459"/>
      <c r="F101" s="457">
        <f>+G101+H101</f>
        <v>0</v>
      </c>
      <c r="G101" s="458"/>
      <c r="H101" s="458"/>
      <c r="I101" s="531" t="str">
        <f>IFERROR(F101/#REF!,"-")</f>
        <v>-</v>
      </c>
      <c r="J101" s="457">
        <f>+K101+L101</f>
        <v>0</v>
      </c>
      <c r="K101" s="458">
        <f t="shared" ref="K101:L101" si="97">+G101+K38</f>
        <v>0</v>
      </c>
      <c r="L101" s="459">
        <f t="shared" si="97"/>
        <v>0</v>
      </c>
      <c r="M101" s="586" t="str">
        <f>IFERROR(J101/D101,"-")</f>
        <v>-</v>
      </c>
      <c r="N101" s="533" t="str">
        <f t="shared" si="89"/>
        <v>-</v>
      </c>
      <c r="O101" s="538">
        <v>32.946300000000001</v>
      </c>
      <c r="P101" s="534">
        <f t="shared" ref="P101:P132" si="98">+O101*G101</f>
        <v>0</v>
      </c>
      <c r="Q101" s="535">
        <f t="shared" ref="Q101:Q132" si="99">+O101*K101</f>
        <v>0</v>
      </c>
    </row>
    <row r="102" spans="1:17" ht="23.4" x14ac:dyDescent="0.4">
      <c r="A102" s="248" t="s">
        <v>101</v>
      </c>
      <c r="B102" s="1107"/>
      <c r="C102" s="543" t="s">
        <v>72</v>
      </c>
      <c r="D102" s="511"/>
      <c r="E102" s="436"/>
      <c r="F102" s="333">
        <f t="shared" ref="F102:F132" si="100">+G102+H102</f>
        <v>9055</v>
      </c>
      <c r="G102" s="278">
        <v>9000</v>
      </c>
      <c r="H102" s="278">
        <v>55</v>
      </c>
      <c r="I102" s="352" t="str">
        <f>IFERROR(F102/#REF!,"-")</f>
        <v>-</v>
      </c>
      <c r="J102" s="333">
        <f t="shared" ref="J102:J132" si="101">+K102+L102</f>
        <v>10595</v>
      </c>
      <c r="K102" s="278">
        <f t="shared" ref="K102:L102" si="102">+G102+K39</f>
        <v>10500</v>
      </c>
      <c r="L102" s="436">
        <f t="shared" si="102"/>
        <v>95</v>
      </c>
      <c r="M102" s="337" t="str">
        <f t="shared" ref="M102:M104" si="103">IFERROR(J102/D102,"-")</f>
        <v>-</v>
      </c>
      <c r="N102" s="265">
        <f t="shared" si="89"/>
        <v>8.9664936290703157E-3</v>
      </c>
      <c r="O102" s="508">
        <v>35.398400000000002</v>
      </c>
      <c r="P102" s="404">
        <f t="shared" si="98"/>
        <v>318585.60000000003</v>
      </c>
      <c r="Q102" s="449">
        <f t="shared" si="99"/>
        <v>371683.2</v>
      </c>
    </row>
    <row r="103" spans="1:17" ht="24" thickBot="1" x14ac:dyDescent="0.45">
      <c r="A103" s="248" t="s">
        <v>101</v>
      </c>
      <c r="B103" s="1108"/>
      <c r="C103" s="543" t="s">
        <v>455</v>
      </c>
      <c r="D103" s="276"/>
      <c r="E103" s="436"/>
      <c r="F103" s="333">
        <f t="shared" si="100"/>
        <v>0</v>
      </c>
      <c r="G103" s="278"/>
      <c r="H103" s="278"/>
      <c r="I103" s="352" t="str">
        <f>IFERROR(F103/#REF!,"-")</f>
        <v>-</v>
      </c>
      <c r="J103" s="333">
        <f t="shared" si="101"/>
        <v>0</v>
      </c>
      <c r="K103" s="278">
        <f t="shared" ref="K103:L103" si="104">+G103+K40</f>
        <v>0</v>
      </c>
      <c r="L103" s="436">
        <f t="shared" si="104"/>
        <v>0</v>
      </c>
      <c r="M103" s="337" t="str">
        <f t="shared" si="103"/>
        <v>-</v>
      </c>
      <c r="N103" s="265" t="str">
        <f>IFERROR(L103/J103,"-")</f>
        <v>-</v>
      </c>
      <c r="O103" s="508">
        <v>35.398400000000002</v>
      </c>
      <c r="P103" s="404">
        <f t="shared" si="98"/>
        <v>0</v>
      </c>
      <c r="Q103" s="449">
        <f t="shared" si="99"/>
        <v>0</v>
      </c>
    </row>
    <row r="104" spans="1:17" ht="23.4" x14ac:dyDescent="0.4">
      <c r="A104" s="248" t="s">
        <v>101</v>
      </c>
      <c r="B104" s="1106" t="s">
        <v>251</v>
      </c>
      <c r="C104" s="545" t="s">
        <v>75</v>
      </c>
      <c r="D104" s="276"/>
      <c r="E104" s="528"/>
      <c r="F104" s="334">
        <f t="shared" si="100"/>
        <v>4830</v>
      </c>
      <c r="G104" s="278">
        <v>4800</v>
      </c>
      <c r="H104" s="278">
        <v>30</v>
      </c>
      <c r="I104" s="352" t="str">
        <f>IFERROR(F104/#REF!,"-")</f>
        <v>-</v>
      </c>
      <c r="J104" s="333">
        <f t="shared" si="101"/>
        <v>7273</v>
      </c>
      <c r="K104" s="278">
        <f t="shared" ref="K104:L104" si="105">+G104+K41</f>
        <v>7063</v>
      </c>
      <c r="L104" s="436">
        <f t="shared" si="105"/>
        <v>210</v>
      </c>
      <c r="M104" s="337" t="str">
        <f t="shared" si="103"/>
        <v>-</v>
      </c>
      <c r="N104" s="265">
        <f t="shared" ref="N104" si="106">IFERROR(L104/J104,"-")</f>
        <v>2.8873917228103944E-2</v>
      </c>
      <c r="O104" s="508">
        <v>55.4758</v>
      </c>
      <c r="P104" s="404">
        <f t="shared" si="98"/>
        <v>266283.84000000003</v>
      </c>
      <c r="Q104" s="449">
        <f t="shared" si="99"/>
        <v>391825.57539999997</v>
      </c>
    </row>
    <row r="105" spans="1:17" ht="23.4" x14ac:dyDescent="0.4">
      <c r="A105" s="248" t="s">
        <v>101</v>
      </c>
      <c r="B105" s="1107"/>
      <c r="C105" s="545" t="s">
        <v>72</v>
      </c>
      <c r="D105" s="276"/>
      <c r="E105" s="529"/>
      <c r="F105" s="334">
        <f t="shared" si="100"/>
        <v>0</v>
      </c>
      <c r="G105" s="278"/>
      <c r="H105" s="278"/>
      <c r="I105" s="352" t="str">
        <f>IFERROR(F105/#REF!,"-")</f>
        <v>-</v>
      </c>
      <c r="J105" s="333">
        <f t="shared" si="101"/>
        <v>0</v>
      </c>
      <c r="K105" s="278">
        <f t="shared" ref="K105:L105" si="107">+G105+K42</f>
        <v>0</v>
      </c>
      <c r="L105" s="436">
        <f t="shared" si="107"/>
        <v>0</v>
      </c>
      <c r="M105" s="682"/>
      <c r="N105" s="372"/>
      <c r="O105" s="540">
        <v>58.836300000000001</v>
      </c>
      <c r="P105" s="404">
        <f t="shared" si="98"/>
        <v>0</v>
      </c>
      <c r="Q105" s="449">
        <f t="shared" si="99"/>
        <v>0</v>
      </c>
    </row>
    <row r="106" spans="1:17" ht="23.4" x14ac:dyDescent="0.4">
      <c r="A106" s="248" t="s">
        <v>101</v>
      </c>
      <c r="B106" s="1107"/>
      <c r="C106" s="545" t="s">
        <v>347</v>
      </c>
      <c r="D106" s="276"/>
      <c r="E106" s="435"/>
      <c r="F106" s="334">
        <f t="shared" si="100"/>
        <v>0</v>
      </c>
      <c r="G106" s="278"/>
      <c r="H106" s="278"/>
      <c r="I106" s="352" t="str">
        <f>IFERROR(F106/#REF!,"-")</f>
        <v>-</v>
      </c>
      <c r="J106" s="333">
        <f t="shared" si="101"/>
        <v>0</v>
      </c>
      <c r="K106" s="278">
        <f t="shared" ref="K106:L106" si="108">+G106+K43</f>
        <v>0</v>
      </c>
      <c r="L106" s="436">
        <f t="shared" si="108"/>
        <v>0</v>
      </c>
      <c r="M106" s="337" t="str">
        <f t="shared" ref="M106" si="109">IFERROR(J106/D106,"-")</f>
        <v>-</v>
      </c>
      <c r="N106" s="263" t="str">
        <f t="shared" ref="N106" si="110">IFERROR(L106/J106,"-")</f>
        <v>-</v>
      </c>
      <c r="O106" s="710">
        <v>58.836300000000001</v>
      </c>
      <c r="P106" s="404">
        <f t="shared" si="98"/>
        <v>0</v>
      </c>
      <c r="Q106" s="449">
        <f t="shared" si="99"/>
        <v>0</v>
      </c>
    </row>
    <row r="107" spans="1:17" ht="24" thickBot="1" x14ac:dyDescent="0.45">
      <c r="A107" s="248"/>
      <c r="B107" s="1108"/>
      <c r="C107" s="545" t="s">
        <v>361</v>
      </c>
      <c r="D107" s="276"/>
      <c r="E107" s="435"/>
      <c r="F107" s="334">
        <f t="shared" si="100"/>
        <v>0</v>
      </c>
      <c r="G107" s="278"/>
      <c r="H107" s="278"/>
      <c r="I107" s="352"/>
      <c r="J107" s="333">
        <f t="shared" si="101"/>
        <v>0</v>
      </c>
      <c r="K107" s="278">
        <f t="shared" ref="K107:L107" si="111">+G107+K44</f>
        <v>0</v>
      </c>
      <c r="L107" s="436">
        <f t="shared" si="111"/>
        <v>0</v>
      </c>
      <c r="M107" s="337"/>
      <c r="N107" s="263" t="str">
        <f>IFERROR(L107/J107,"-")</f>
        <v>-</v>
      </c>
      <c r="O107" s="508">
        <v>55.4758</v>
      </c>
      <c r="P107" s="404">
        <f t="shared" si="98"/>
        <v>0</v>
      </c>
      <c r="Q107" s="449">
        <f t="shared" si="99"/>
        <v>0</v>
      </c>
    </row>
    <row r="108" spans="1:17" ht="23.4" x14ac:dyDescent="0.4">
      <c r="A108" s="248" t="s">
        <v>101</v>
      </c>
      <c r="B108" s="1106" t="s">
        <v>409</v>
      </c>
      <c r="C108" s="543" t="s">
        <v>77</v>
      </c>
      <c r="D108" s="276"/>
      <c r="E108" s="436"/>
      <c r="F108" s="333">
        <f t="shared" si="100"/>
        <v>0</v>
      </c>
      <c r="G108" s="278"/>
      <c r="H108" s="278"/>
      <c r="I108" s="352" t="str">
        <f>IFERROR(F108/#REF!,"-")</f>
        <v>-</v>
      </c>
      <c r="J108" s="333">
        <f t="shared" si="101"/>
        <v>0</v>
      </c>
      <c r="K108" s="686">
        <f t="shared" ref="K108:L108" si="112">+G108+K45</f>
        <v>0</v>
      </c>
      <c r="L108" s="687">
        <f t="shared" si="112"/>
        <v>0</v>
      </c>
      <c r="M108" s="337" t="str">
        <f t="shared" ref="M108:M135" si="113">IFERROR(J108/D108,"-")</f>
        <v>-</v>
      </c>
      <c r="N108" s="263" t="str">
        <f t="shared" ref="N108:N134" si="114">IFERROR(L108/J108,"-")</f>
        <v>-</v>
      </c>
      <c r="O108" s="508">
        <v>25.687200000000001</v>
      </c>
      <c r="P108" s="404">
        <f t="shared" si="98"/>
        <v>0</v>
      </c>
      <c r="Q108" s="449">
        <f t="shared" si="99"/>
        <v>0</v>
      </c>
    </row>
    <row r="109" spans="1:17" ht="24" thickBot="1" x14ac:dyDescent="0.45">
      <c r="A109" s="248" t="s">
        <v>101</v>
      </c>
      <c r="B109" s="1108"/>
      <c r="C109" s="543" t="s">
        <v>117</v>
      </c>
      <c r="D109" s="276"/>
      <c r="E109" s="436"/>
      <c r="F109" s="333">
        <f t="shared" si="100"/>
        <v>0</v>
      </c>
      <c r="G109" s="278"/>
      <c r="H109" s="278"/>
      <c r="I109" s="352" t="str">
        <f>IFERROR(F109/#REF!,"-")</f>
        <v>-</v>
      </c>
      <c r="J109" s="333">
        <f t="shared" si="101"/>
        <v>0</v>
      </c>
      <c r="K109" s="278">
        <f t="shared" ref="K109:L109" si="115">+G109+K46</f>
        <v>0</v>
      </c>
      <c r="L109" s="436">
        <f t="shared" si="115"/>
        <v>0</v>
      </c>
      <c r="M109" s="337" t="str">
        <f t="shared" si="113"/>
        <v>-</v>
      </c>
      <c r="N109" s="263" t="str">
        <f t="shared" si="114"/>
        <v>-</v>
      </c>
      <c r="O109" s="508">
        <v>25.033899999999999</v>
      </c>
      <c r="P109" s="404">
        <f t="shared" si="98"/>
        <v>0</v>
      </c>
      <c r="Q109" s="449">
        <f t="shared" si="99"/>
        <v>0</v>
      </c>
    </row>
    <row r="110" spans="1:17" ht="23.4" x14ac:dyDescent="0.4">
      <c r="A110" s="248"/>
      <c r="B110" s="1106" t="s">
        <v>410</v>
      </c>
      <c r="C110" s="543" t="s">
        <v>79</v>
      </c>
      <c r="D110" s="276"/>
      <c r="E110" s="436"/>
      <c r="F110" s="333">
        <f t="shared" si="100"/>
        <v>0</v>
      </c>
      <c r="G110" s="278"/>
      <c r="H110" s="278"/>
      <c r="I110" s="352" t="str">
        <f>IFERROR(F110/#REF!,"-")</f>
        <v>-</v>
      </c>
      <c r="J110" s="333">
        <f t="shared" si="101"/>
        <v>0</v>
      </c>
      <c r="K110" s="278">
        <f t="shared" ref="K110:L110" si="116">+G110+K47</f>
        <v>0</v>
      </c>
      <c r="L110" s="436">
        <f t="shared" si="116"/>
        <v>0</v>
      </c>
      <c r="M110" s="337" t="str">
        <f t="shared" si="113"/>
        <v>-</v>
      </c>
      <c r="N110" s="263" t="str">
        <f t="shared" si="114"/>
        <v>-</v>
      </c>
      <c r="O110" s="508">
        <v>41.992699999999999</v>
      </c>
      <c r="P110" s="404">
        <f t="shared" si="98"/>
        <v>0</v>
      </c>
      <c r="Q110" s="449">
        <f t="shared" si="99"/>
        <v>0</v>
      </c>
    </row>
    <row r="111" spans="1:17" ht="23.4" x14ac:dyDescent="0.4">
      <c r="A111" s="248"/>
      <c r="B111" s="1107"/>
      <c r="C111" s="543" t="s">
        <v>72</v>
      </c>
      <c r="D111" s="276"/>
      <c r="E111" s="436"/>
      <c r="F111" s="333">
        <f t="shared" si="100"/>
        <v>0</v>
      </c>
      <c r="G111" s="278"/>
      <c r="H111" s="278"/>
      <c r="I111" s="352" t="str">
        <f>IFERROR(F111/#REF!,"-")</f>
        <v>-</v>
      </c>
      <c r="J111" s="333">
        <f t="shared" si="101"/>
        <v>0</v>
      </c>
      <c r="K111" s="278">
        <f t="shared" ref="K111:L111" si="117">+G111+K48</f>
        <v>0</v>
      </c>
      <c r="L111" s="436">
        <f t="shared" si="117"/>
        <v>0</v>
      </c>
      <c r="M111" s="337" t="str">
        <f t="shared" si="113"/>
        <v>-</v>
      </c>
      <c r="N111" s="263" t="str">
        <f t="shared" si="114"/>
        <v>-</v>
      </c>
      <c r="O111" s="508">
        <v>42.283799999999999</v>
      </c>
      <c r="P111" s="404">
        <f t="shared" si="98"/>
        <v>0</v>
      </c>
      <c r="Q111" s="449">
        <f t="shared" si="99"/>
        <v>0</v>
      </c>
    </row>
    <row r="112" spans="1:17" ht="23.4" x14ac:dyDescent="0.4">
      <c r="A112" s="248"/>
      <c r="B112" s="1107"/>
      <c r="C112" s="543" t="s">
        <v>380</v>
      </c>
      <c r="D112" s="276"/>
      <c r="E112" s="436"/>
      <c r="F112" s="333">
        <f t="shared" si="100"/>
        <v>0</v>
      </c>
      <c r="G112" s="278"/>
      <c r="H112" s="278"/>
      <c r="I112" s="352" t="str">
        <f>IFERROR(F112/#REF!,"-")</f>
        <v>-</v>
      </c>
      <c r="J112" s="333">
        <f t="shared" si="101"/>
        <v>0</v>
      </c>
      <c r="K112" s="278">
        <f t="shared" ref="K112:L112" si="118">+G112+K49</f>
        <v>0</v>
      </c>
      <c r="L112" s="436">
        <f t="shared" si="118"/>
        <v>0</v>
      </c>
      <c r="M112" s="337" t="str">
        <f t="shared" si="113"/>
        <v>-</v>
      </c>
      <c r="N112" s="263" t="str">
        <f t="shared" si="114"/>
        <v>-</v>
      </c>
      <c r="O112" s="710">
        <v>41.992699999999999</v>
      </c>
      <c r="P112" s="404">
        <f t="shared" si="98"/>
        <v>0</v>
      </c>
      <c r="Q112" s="449">
        <f t="shared" si="99"/>
        <v>0</v>
      </c>
    </row>
    <row r="113" spans="1:17" ht="24" thickBot="1" x14ac:dyDescent="0.45">
      <c r="A113" s="248"/>
      <c r="B113" s="1108"/>
      <c r="C113" s="543" t="s">
        <v>381</v>
      </c>
      <c r="D113" s="276"/>
      <c r="E113" s="436"/>
      <c r="F113" s="333">
        <f t="shared" si="100"/>
        <v>0</v>
      </c>
      <c r="G113" s="278"/>
      <c r="H113" s="278"/>
      <c r="I113" s="352" t="str">
        <f>IFERROR(F113/#REF!,"-")</f>
        <v>-</v>
      </c>
      <c r="J113" s="333">
        <f t="shared" si="101"/>
        <v>0</v>
      </c>
      <c r="K113" s="278">
        <f t="shared" ref="K113:L113" si="119">+G113+K50</f>
        <v>0</v>
      </c>
      <c r="L113" s="436">
        <f t="shared" si="119"/>
        <v>0</v>
      </c>
      <c r="M113" s="337" t="str">
        <f t="shared" si="113"/>
        <v>-</v>
      </c>
      <c r="N113" s="263" t="str">
        <f t="shared" si="114"/>
        <v>-</v>
      </c>
      <c r="O113" s="710">
        <v>42.283799999999999</v>
      </c>
      <c r="P113" s="404">
        <f t="shared" si="98"/>
        <v>0</v>
      </c>
      <c r="Q113" s="449">
        <f t="shared" si="99"/>
        <v>0</v>
      </c>
    </row>
    <row r="114" spans="1:17" ht="24" thickBot="1" x14ac:dyDescent="0.45">
      <c r="A114" s="248"/>
      <c r="B114" s="717" t="s">
        <v>80</v>
      </c>
      <c r="C114" s="543" t="s">
        <v>81</v>
      </c>
      <c r="D114" s="276"/>
      <c r="E114" s="436"/>
      <c r="F114" s="333">
        <f t="shared" si="100"/>
        <v>0</v>
      </c>
      <c r="G114" s="278"/>
      <c r="H114" s="278"/>
      <c r="I114" s="352" t="str">
        <f>IFERROR(F114/#REF!,"-")</f>
        <v>-</v>
      </c>
      <c r="J114" s="333">
        <f t="shared" si="101"/>
        <v>0</v>
      </c>
      <c r="K114" s="278">
        <f t="shared" ref="K114:L114" si="120">+G114+K51</f>
        <v>0</v>
      </c>
      <c r="L114" s="436">
        <f t="shared" si="120"/>
        <v>0</v>
      </c>
      <c r="M114" s="337" t="str">
        <f t="shared" si="113"/>
        <v>-</v>
      </c>
      <c r="N114" s="263" t="str">
        <f t="shared" si="114"/>
        <v>-</v>
      </c>
      <c r="O114" s="508">
        <v>4.3535000000000004</v>
      </c>
      <c r="P114" s="404">
        <f t="shared" si="98"/>
        <v>0</v>
      </c>
      <c r="Q114" s="449">
        <f t="shared" si="99"/>
        <v>0</v>
      </c>
    </row>
    <row r="115" spans="1:17" ht="23.4" x14ac:dyDescent="0.4">
      <c r="A115" s="248"/>
      <c r="B115" s="1106" t="s">
        <v>253</v>
      </c>
      <c r="C115" s="543" t="s">
        <v>77</v>
      </c>
      <c r="D115" s="276"/>
      <c r="E115" s="436"/>
      <c r="F115" s="333">
        <f t="shared" si="100"/>
        <v>49630</v>
      </c>
      <c r="G115" s="278">
        <v>49500</v>
      </c>
      <c r="H115" s="278">
        <v>130</v>
      </c>
      <c r="I115" s="352" t="str">
        <f>IFERROR(F115/#REF!,"-")</f>
        <v>-</v>
      </c>
      <c r="J115" s="333">
        <f t="shared" si="101"/>
        <v>90420</v>
      </c>
      <c r="K115" s="278">
        <f t="shared" ref="K115:L115" si="121">+G115+K52</f>
        <v>90200</v>
      </c>
      <c r="L115" s="436">
        <f t="shared" si="121"/>
        <v>220</v>
      </c>
      <c r="M115" s="337" t="str">
        <f t="shared" si="113"/>
        <v>-</v>
      </c>
      <c r="N115" s="263">
        <f t="shared" si="114"/>
        <v>2.4330900243309003E-3</v>
      </c>
      <c r="O115" s="508">
        <v>4.6184000000000003</v>
      </c>
      <c r="P115" s="404">
        <f t="shared" si="98"/>
        <v>228610.80000000002</v>
      </c>
      <c r="Q115" s="449">
        <f t="shared" si="99"/>
        <v>416579.68000000005</v>
      </c>
    </row>
    <row r="116" spans="1:17" ht="23.4" x14ac:dyDescent="0.4">
      <c r="A116" s="248"/>
      <c r="B116" s="1107"/>
      <c r="C116" s="543" t="s">
        <v>340</v>
      </c>
      <c r="D116" s="276"/>
      <c r="E116" s="436"/>
      <c r="F116" s="333">
        <f t="shared" si="100"/>
        <v>0</v>
      </c>
      <c r="G116" s="278"/>
      <c r="H116" s="278"/>
      <c r="I116" s="352" t="str">
        <f>IFERROR(F116/#REF!,"-")</f>
        <v>-</v>
      </c>
      <c r="J116" s="333">
        <f t="shared" si="101"/>
        <v>0</v>
      </c>
      <c r="K116" s="278">
        <f t="shared" ref="K116:L116" si="122">+G116+K53</f>
        <v>0</v>
      </c>
      <c r="L116" s="436">
        <f t="shared" si="122"/>
        <v>0</v>
      </c>
      <c r="M116" s="337" t="str">
        <f t="shared" si="113"/>
        <v>-</v>
      </c>
      <c r="N116" s="263" t="str">
        <f t="shared" si="114"/>
        <v>-</v>
      </c>
      <c r="O116" s="508">
        <v>4.6184000000000003</v>
      </c>
      <c r="P116" s="404">
        <f t="shared" si="98"/>
        <v>0</v>
      </c>
      <c r="Q116" s="449">
        <f t="shared" si="99"/>
        <v>0</v>
      </c>
    </row>
    <row r="117" spans="1:17" ht="23.4" x14ac:dyDescent="0.4">
      <c r="A117" s="248"/>
      <c r="B117" s="1107"/>
      <c r="C117" s="543" t="s">
        <v>252</v>
      </c>
      <c r="D117" s="276"/>
      <c r="E117" s="436"/>
      <c r="F117" s="333">
        <f t="shared" si="100"/>
        <v>0</v>
      </c>
      <c r="G117" s="278"/>
      <c r="H117" s="278"/>
      <c r="I117" s="352" t="str">
        <f>IFERROR(F117/#REF!,"-")</f>
        <v>-</v>
      </c>
      <c r="J117" s="333">
        <f t="shared" si="101"/>
        <v>0</v>
      </c>
      <c r="K117" s="278">
        <f t="shared" ref="K117:L117" si="123">+G117+K54</f>
        <v>0</v>
      </c>
      <c r="L117" s="436">
        <f t="shared" si="123"/>
        <v>0</v>
      </c>
      <c r="M117" s="337" t="str">
        <f t="shared" si="113"/>
        <v>-</v>
      </c>
      <c r="N117" s="263" t="str">
        <f t="shared" si="114"/>
        <v>-</v>
      </c>
      <c r="O117" s="508">
        <v>4.6184000000000003</v>
      </c>
      <c r="P117" s="404">
        <f t="shared" si="98"/>
        <v>0</v>
      </c>
      <c r="Q117" s="449">
        <f t="shared" si="99"/>
        <v>0</v>
      </c>
    </row>
    <row r="118" spans="1:17" ht="23.4" x14ac:dyDescent="0.4">
      <c r="A118" s="248"/>
      <c r="B118" s="1107"/>
      <c r="C118" s="543" t="s">
        <v>350</v>
      </c>
      <c r="D118" s="276"/>
      <c r="E118" s="436"/>
      <c r="F118" s="333">
        <f t="shared" si="100"/>
        <v>0</v>
      </c>
      <c r="G118" s="278"/>
      <c r="H118" s="278"/>
      <c r="I118" s="352" t="str">
        <f>IFERROR(F118/#REF!,"-")</f>
        <v>-</v>
      </c>
      <c r="J118" s="333">
        <f t="shared" si="101"/>
        <v>0</v>
      </c>
      <c r="K118" s="686">
        <f t="shared" ref="K118:L118" si="124">+G118+K55</f>
        <v>0</v>
      </c>
      <c r="L118" s="687">
        <f t="shared" si="124"/>
        <v>0</v>
      </c>
      <c r="M118" s="337" t="str">
        <f t="shared" si="113"/>
        <v>-</v>
      </c>
      <c r="N118" s="263" t="str">
        <f t="shared" si="114"/>
        <v>-</v>
      </c>
      <c r="O118" s="508">
        <v>4.7636000000000003</v>
      </c>
      <c r="P118" s="404">
        <f t="shared" si="98"/>
        <v>0</v>
      </c>
      <c r="Q118" s="449">
        <f t="shared" si="99"/>
        <v>0</v>
      </c>
    </row>
    <row r="119" spans="1:17" ht="24" thickBot="1" x14ac:dyDescent="0.45">
      <c r="A119" s="248"/>
      <c r="B119" s="1108"/>
      <c r="C119" s="543" t="s">
        <v>346</v>
      </c>
      <c r="D119" s="276"/>
      <c r="E119" s="436"/>
      <c r="F119" s="333">
        <f t="shared" si="100"/>
        <v>0</v>
      </c>
      <c r="G119" s="278"/>
      <c r="H119" s="278"/>
      <c r="I119" s="352" t="str">
        <f>IFERROR(F119/#REF!,"-")</f>
        <v>-</v>
      </c>
      <c r="J119" s="333">
        <f t="shared" si="101"/>
        <v>0</v>
      </c>
      <c r="K119" s="278">
        <f t="shared" ref="K119:L119" si="125">+G119+K56</f>
        <v>0</v>
      </c>
      <c r="L119" s="436">
        <f t="shared" si="125"/>
        <v>0</v>
      </c>
      <c r="M119" s="337" t="str">
        <f t="shared" si="113"/>
        <v>-</v>
      </c>
      <c r="N119" s="263" t="str">
        <f t="shared" si="114"/>
        <v>-</v>
      </c>
      <c r="O119" s="508">
        <v>4.8738000000000001</v>
      </c>
      <c r="P119" s="404">
        <f t="shared" si="98"/>
        <v>0</v>
      </c>
      <c r="Q119" s="449">
        <f t="shared" si="99"/>
        <v>0</v>
      </c>
    </row>
    <row r="120" spans="1:17" ht="24" thickBot="1" x14ac:dyDescent="0.45">
      <c r="A120" s="248"/>
      <c r="B120" s="717" t="s">
        <v>254</v>
      </c>
      <c r="C120" s="543" t="s">
        <v>124</v>
      </c>
      <c r="D120" s="276"/>
      <c r="E120" s="436"/>
      <c r="F120" s="333">
        <f t="shared" si="100"/>
        <v>0</v>
      </c>
      <c r="G120" s="278"/>
      <c r="H120" s="278"/>
      <c r="I120" s="352" t="str">
        <f>IFERROR(F120/#REF!,"-")</f>
        <v>-</v>
      </c>
      <c r="J120" s="333">
        <f t="shared" si="101"/>
        <v>0</v>
      </c>
      <c r="K120" s="278">
        <f t="shared" ref="K120:L120" si="126">+G120+K57</f>
        <v>0</v>
      </c>
      <c r="L120" s="436">
        <f t="shared" si="126"/>
        <v>0</v>
      </c>
      <c r="M120" s="337" t="str">
        <f t="shared" si="113"/>
        <v>-</v>
      </c>
      <c r="N120" s="263" t="str">
        <f t="shared" si="114"/>
        <v>-</v>
      </c>
      <c r="O120" s="508">
        <v>4.8738000000000001</v>
      </c>
      <c r="P120" s="404">
        <f t="shared" si="98"/>
        <v>0</v>
      </c>
      <c r="Q120" s="449">
        <f t="shared" si="99"/>
        <v>0</v>
      </c>
    </row>
    <row r="121" spans="1:17" ht="23.4" x14ac:dyDescent="0.4">
      <c r="A121" s="248"/>
      <c r="B121" s="1106" t="s">
        <v>256</v>
      </c>
      <c r="C121" s="543" t="s">
        <v>77</v>
      </c>
      <c r="D121" s="276"/>
      <c r="E121" s="436"/>
      <c r="F121" s="333">
        <f t="shared" si="100"/>
        <v>43640</v>
      </c>
      <c r="G121" s="278">
        <v>43120</v>
      </c>
      <c r="H121" s="278">
        <v>520</v>
      </c>
      <c r="I121" s="352" t="str">
        <f>IFERROR(F121/#REF!,"-")</f>
        <v>-</v>
      </c>
      <c r="J121" s="333">
        <f t="shared" si="101"/>
        <v>73600</v>
      </c>
      <c r="K121" s="686">
        <f t="shared" ref="K121:L121" si="127">+G121+K58</f>
        <v>72940</v>
      </c>
      <c r="L121" s="687">
        <f t="shared" si="127"/>
        <v>660</v>
      </c>
      <c r="M121" s="337" t="str">
        <f t="shared" si="113"/>
        <v>-</v>
      </c>
      <c r="N121" s="263">
        <f t="shared" si="114"/>
        <v>8.9673913043478264E-3</v>
      </c>
      <c r="O121" s="508">
        <v>4.9344999999999999</v>
      </c>
      <c r="P121" s="404">
        <f t="shared" si="98"/>
        <v>212775.63999999998</v>
      </c>
      <c r="Q121" s="449">
        <f t="shared" si="99"/>
        <v>359922.43</v>
      </c>
    </row>
    <row r="122" spans="1:17" ht="23.4" x14ac:dyDescent="0.4">
      <c r="A122" s="248"/>
      <c r="B122" s="1107"/>
      <c r="C122" s="543" t="s">
        <v>135</v>
      </c>
      <c r="D122" s="276"/>
      <c r="E122" s="436"/>
      <c r="F122" s="333">
        <f t="shared" si="100"/>
        <v>0</v>
      </c>
      <c r="G122" s="278"/>
      <c r="H122" s="278"/>
      <c r="I122" s="352" t="str">
        <f>IFERROR(F122/#REF!,"-")</f>
        <v>-</v>
      </c>
      <c r="J122" s="333">
        <f t="shared" si="101"/>
        <v>0</v>
      </c>
      <c r="K122" s="278">
        <f t="shared" ref="K122:L122" si="128">+G122+K59</f>
        <v>0</v>
      </c>
      <c r="L122" s="436">
        <f t="shared" si="128"/>
        <v>0</v>
      </c>
      <c r="M122" s="337" t="str">
        <f t="shared" si="113"/>
        <v>-</v>
      </c>
      <c r="N122" s="263" t="str">
        <f t="shared" si="114"/>
        <v>-</v>
      </c>
      <c r="O122" s="508">
        <v>4.9344999999999999</v>
      </c>
      <c r="P122" s="404">
        <f t="shared" si="98"/>
        <v>0</v>
      </c>
      <c r="Q122" s="449">
        <f t="shared" si="99"/>
        <v>0</v>
      </c>
    </row>
    <row r="123" spans="1:17" ht="23.4" x14ac:dyDescent="0.4">
      <c r="A123" s="248"/>
      <c r="B123" s="1107"/>
      <c r="C123" s="543" t="s">
        <v>129</v>
      </c>
      <c r="D123" s="276"/>
      <c r="E123" s="436"/>
      <c r="F123" s="333">
        <f t="shared" si="100"/>
        <v>0</v>
      </c>
      <c r="G123" s="278"/>
      <c r="H123" s="278"/>
      <c r="I123" s="352" t="str">
        <f>IFERROR(F123/#REF!,"-")</f>
        <v>-</v>
      </c>
      <c r="J123" s="333">
        <f t="shared" si="101"/>
        <v>0</v>
      </c>
      <c r="K123" s="278">
        <f t="shared" ref="K123:L123" si="129">+G123+K60</f>
        <v>0</v>
      </c>
      <c r="L123" s="436">
        <f t="shared" si="129"/>
        <v>0</v>
      </c>
      <c r="M123" s="337" t="str">
        <f t="shared" si="113"/>
        <v>-</v>
      </c>
      <c r="N123" s="263" t="str">
        <f t="shared" si="114"/>
        <v>-</v>
      </c>
      <c r="O123" s="508">
        <v>4.9344999999999999</v>
      </c>
      <c r="P123" s="404">
        <f t="shared" si="98"/>
        <v>0</v>
      </c>
      <c r="Q123" s="449">
        <f t="shared" si="99"/>
        <v>0</v>
      </c>
    </row>
    <row r="124" spans="1:17" ht="24" thickBot="1" x14ac:dyDescent="0.45">
      <c r="A124" s="248"/>
      <c r="B124" s="1108"/>
      <c r="C124" s="543" t="s">
        <v>255</v>
      </c>
      <c r="D124" s="276"/>
      <c r="E124" s="436"/>
      <c r="F124" s="333">
        <f t="shared" si="100"/>
        <v>0</v>
      </c>
      <c r="G124" s="278"/>
      <c r="H124" s="278"/>
      <c r="I124" s="352" t="str">
        <f>IFERROR(F124/#REF!,"-")</f>
        <v>-</v>
      </c>
      <c r="J124" s="333">
        <f t="shared" si="101"/>
        <v>0</v>
      </c>
      <c r="K124" s="278">
        <f t="shared" ref="K124:L124" si="130">+G124+K61</f>
        <v>0</v>
      </c>
      <c r="L124" s="436">
        <f t="shared" si="130"/>
        <v>0</v>
      </c>
      <c r="M124" s="337" t="str">
        <f t="shared" si="113"/>
        <v>-</v>
      </c>
      <c r="N124" s="263" t="str">
        <f t="shared" si="114"/>
        <v>-</v>
      </c>
      <c r="O124" s="508">
        <v>5.5069999999999997</v>
      </c>
      <c r="P124" s="404">
        <f t="shared" si="98"/>
        <v>0</v>
      </c>
      <c r="Q124" s="449">
        <f t="shared" si="99"/>
        <v>0</v>
      </c>
    </row>
    <row r="125" spans="1:17" ht="23.4" x14ac:dyDescent="0.4">
      <c r="A125" s="248"/>
      <c r="B125" s="1106" t="s">
        <v>261</v>
      </c>
      <c r="C125" s="543" t="s">
        <v>257</v>
      </c>
      <c r="D125" s="276"/>
      <c r="E125" s="436"/>
      <c r="F125" s="333">
        <f t="shared" si="100"/>
        <v>28075</v>
      </c>
      <c r="G125" s="278">
        <v>28000</v>
      </c>
      <c r="H125" s="278">
        <v>75</v>
      </c>
      <c r="I125" s="352" t="str">
        <f>IFERROR(F125/#REF!,"-")</f>
        <v>-</v>
      </c>
      <c r="J125" s="333">
        <f t="shared" si="101"/>
        <v>54035</v>
      </c>
      <c r="K125" s="278">
        <f t="shared" ref="K125:L125" si="131">+G125+K62</f>
        <v>53900</v>
      </c>
      <c r="L125" s="436">
        <f t="shared" si="131"/>
        <v>135</v>
      </c>
      <c r="M125" s="337" t="str">
        <f t="shared" si="113"/>
        <v>-</v>
      </c>
      <c r="N125" s="263">
        <f t="shared" si="114"/>
        <v>2.4983806791894145E-3</v>
      </c>
      <c r="O125" s="710">
        <v>5.5069999999999997</v>
      </c>
      <c r="P125" s="404">
        <f t="shared" si="98"/>
        <v>154196</v>
      </c>
      <c r="Q125" s="449">
        <f t="shared" si="99"/>
        <v>296827.3</v>
      </c>
    </row>
    <row r="126" spans="1:17" ht="23.4" x14ac:dyDescent="0.4">
      <c r="A126" s="248"/>
      <c r="B126" s="1107"/>
      <c r="C126" s="543" t="s">
        <v>258</v>
      </c>
      <c r="D126" s="276"/>
      <c r="E126" s="436"/>
      <c r="F126" s="333">
        <f t="shared" si="100"/>
        <v>0</v>
      </c>
      <c r="G126" s="278"/>
      <c r="H126" s="278"/>
      <c r="I126" s="352" t="str">
        <f>IFERROR(F126/#REF!,"-")</f>
        <v>-</v>
      </c>
      <c r="J126" s="333">
        <f t="shared" si="101"/>
        <v>0</v>
      </c>
      <c r="K126" s="278">
        <f t="shared" ref="K126:L126" si="132">+G126+K63</f>
        <v>0</v>
      </c>
      <c r="L126" s="436">
        <f t="shared" si="132"/>
        <v>0</v>
      </c>
      <c r="M126" s="337" t="str">
        <f t="shared" si="113"/>
        <v>-</v>
      </c>
      <c r="N126" s="263" t="str">
        <f t="shared" si="114"/>
        <v>-</v>
      </c>
      <c r="O126" s="508">
        <v>5.6550000000000002</v>
      </c>
      <c r="P126" s="404">
        <f t="shared" si="98"/>
        <v>0</v>
      </c>
      <c r="Q126" s="449">
        <f t="shared" si="99"/>
        <v>0</v>
      </c>
    </row>
    <row r="127" spans="1:17" ht="23.4" x14ac:dyDescent="0.4">
      <c r="A127" s="248"/>
      <c r="B127" s="1107"/>
      <c r="C127" s="543" t="s">
        <v>321</v>
      </c>
      <c r="D127" s="276"/>
      <c r="E127" s="436"/>
      <c r="F127" s="333">
        <f t="shared" si="100"/>
        <v>0</v>
      </c>
      <c r="G127" s="278"/>
      <c r="H127" s="278"/>
      <c r="I127" s="352" t="str">
        <f>IFERROR(F127/#REF!,"-")</f>
        <v>-</v>
      </c>
      <c r="J127" s="333">
        <f t="shared" si="101"/>
        <v>0</v>
      </c>
      <c r="K127" s="686">
        <f t="shared" ref="K127:L127" si="133">+G127+K64</f>
        <v>0</v>
      </c>
      <c r="L127" s="687">
        <f t="shared" si="133"/>
        <v>0</v>
      </c>
      <c r="M127" s="337" t="str">
        <f t="shared" si="113"/>
        <v>-</v>
      </c>
      <c r="N127" s="263" t="str">
        <f t="shared" si="114"/>
        <v>-</v>
      </c>
      <c r="O127" s="508">
        <v>5.6550000000000002</v>
      </c>
      <c r="P127" s="404">
        <f t="shared" si="98"/>
        <v>0</v>
      </c>
      <c r="Q127" s="449">
        <f t="shared" si="99"/>
        <v>0</v>
      </c>
    </row>
    <row r="128" spans="1:17" ht="23.4" x14ac:dyDescent="0.4">
      <c r="A128" s="248"/>
      <c r="B128" s="1107"/>
      <c r="C128" s="543" t="s">
        <v>259</v>
      </c>
      <c r="D128" s="276"/>
      <c r="E128" s="436"/>
      <c r="F128" s="333">
        <f t="shared" si="100"/>
        <v>0</v>
      </c>
      <c r="G128" s="278"/>
      <c r="H128" s="278"/>
      <c r="I128" s="352" t="str">
        <f>IFERROR(F128/#REF!,"-")</f>
        <v>-</v>
      </c>
      <c r="J128" s="333">
        <f t="shared" si="101"/>
        <v>0</v>
      </c>
      <c r="K128" s="278">
        <f t="shared" ref="K128:L128" si="134">+G128+K65</f>
        <v>0</v>
      </c>
      <c r="L128" s="436">
        <f t="shared" si="134"/>
        <v>0</v>
      </c>
      <c r="M128" s="337" t="str">
        <f t="shared" si="113"/>
        <v>-</v>
      </c>
      <c r="N128" s="263" t="str">
        <f t="shared" si="114"/>
        <v>-</v>
      </c>
      <c r="O128" s="508">
        <v>5.6550000000000002</v>
      </c>
      <c r="P128" s="404">
        <f t="shared" si="98"/>
        <v>0</v>
      </c>
      <c r="Q128" s="449">
        <f t="shared" si="99"/>
        <v>0</v>
      </c>
    </row>
    <row r="129" spans="1:17" ht="23.4" x14ac:dyDescent="0.4">
      <c r="A129" s="248" t="s">
        <v>101</v>
      </c>
      <c r="B129" s="1107"/>
      <c r="C129" s="543" t="s">
        <v>260</v>
      </c>
      <c r="D129" s="276"/>
      <c r="E129" s="436"/>
      <c r="F129" s="333">
        <f t="shared" si="100"/>
        <v>0</v>
      </c>
      <c r="G129" s="278"/>
      <c r="H129" s="278"/>
      <c r="I129" s="352" t="str">
        <f>IFERROR(F129/#REF!,"-")</f>
        <v>-</v>
      </c>
      <c r="J129" s="333">
        <f t="shared" si="101"/>
        <v>0</v>
      </c>
      <c r="K129" s="278">
        <f t="shared" ref="K129:L129" si="135">+G129+K66</f>
        <v>0</v>
      </c>
      <c r="L129" s="436">
        <f t="shared" si="135"/>
        <v>0</v>
      </c>
      <c r="M129" s="337" t="str">
        <f t="shared" si="113"/>
        <v>-</v>
      </c>
      <c r="N129" s="263" t="str">
        <f t="shared" si="114"/>
        <v>-</v>
      </c>
      <c r="O129" s="508">
        <v>3.2963</v>
      </c>
      <c r="P129" s="404">
        <f t="shared" si="98"/>
        <v>0</v>
      </c>
      <c r="Q129" s="449">
        <f t="shared" si="99"/>
        <v>0</v>
      </c>
    </row>
    <row r="130" spans="1:17" ht="24" thickBot="1" x14ac:dyDescent="0.45">
      <c r="A130" s="248" t="s">
        <v>101</v>
      </c>
      <c r="B130" s="1108"/>
      <c r="C130" s="543" t="s">
        <v>255</v>
      </c>
      <c r="D130" s="276"/>
      <c r="E130" s="436"/>
      <c r="F130" s="333">
        <f t="shared" si="100"/>
        <v>0</v>
      </c>
      <c r="G130" s="278"/>
      <c r="H130" s="278"/>
      <c r="I130" s="352" t="str">
        <f>IFERROR(F130/#REF!,"-")</f>
        <v>-</v>
      </c>
      <c r="J130" s="333">
        <f t="shared" si="101"/>
        <v>0</v>
      </c>
      <c r="K130" s="278">
        <f t="shared" ref="K130:L130" si="136">+G130+K67</f>
        <v>0</v>
      </c>
      <c r="L130" s="436">
        <f t="shared" si="136"/>
        <v>0</v>
      </c>
      <c r="M130" s="337" t="str">
        <f t="shared" si="113"/>
        <v>-</v>
      </c>
      <c r="N130" s="263" t="str">
        <f t="shared" si="114"/>
        <v>-</v>
      </c>
      <c r="O130" s="508">
        <v>3.2963</v>
      </c>
      <c r="P130" s="404">
        <f t="shared" si="98"/>
        <v>0</v>
      </c>
      <c r="Q130" s="449">
        <f t="shared" si="99"/>
        <v>0</v>
      </c>
    </row>
    <row r="131" spans="1:17" ht="23.4" x14ac:dyDescent="0.4">
      <c r="A131" s="248" t="s">
        <v>101</v>
      </c>
      <c r="B131" s="546"/>
      <c r="C131" s="544" t="s">
        <v>89</v>
      </c>
      <c r="D131" s="511"/>
      <c r="E131" s="436"/>
      <c r="F131" s="333">
        <f t="shared" si="100"/>
        <v>0</v>
      </c>
      <c r="G131" s="278"/>
      <c r="H131" s="278"/>
      <c r="I131" s="352" t="str">
        <f>IFERROR(F131/#REF!,"-")</f>
        <v>-</v>
      </c>
      <c r="J131" s="333">
        <f t="shared" si="101"/>
        <v>0</v>
      </c>
      <c r="K131" s="278">
        <f t="shared" ref="K131:L131" si="137">+G131+K68</f>
        <v>0</v>
      </c>
      <c r="L131" s="436">
        <f t="shared" si="137"/>
        <v>0</v>
      </c>
      <c r="M131" s="337" t="str">
        <f t="shared" si="113"/>
        <v>-</v>
      </c>
      <c r="N131" s="263" t="str">
        <f t="shared" si="114"/>
        <v>-</v>
      </c>
      <c r="O131" s="508">
        <v>2.3201000000000001</v>
      </c>
      <c r="P131" s="404">
        <f t="shared" si="98"/>
        <v>0</v>
      </c>
      <c r="Q131" s="449">
        <f t="shared" si="99"/>
        <v>0</v>
      </c>
    </row>
    <row r="132" spans="1:17" ht="24" thickBot="1" x14ac:dyDescent="0.35">
      <c r="A132" s="248" t="s">
        <v>101</v>
      </c>
      <c r="B132" s="524"/>
      <c r="C132" s="541"/>
      <c r="D132" s="530"/>
      <c r="E132" s="462"/>
      <c r="F132" s="460">
        <f t="shared" si="100"/>
        <v>0</v>
      </c>
      <c r="G132" s="461"/>
      <c r="H132" s="461"/>
      <c r="I132" s="532" t="str">
        <f>IFERROR(F132/#REF!,"-")</f>
        <v>-</v>
      </c>
      <c r="J132" s="460">
        <f t="shared" si="101"/>
        <v>0</v>
      </c>
      <c r="K132" s="461">
        <f t="shared" ref="K132:L132" si="138">+G132+K69</f>
        <v>0</v>
      </c>
      <c r="L132" s="462">
        <f t="shared" si="138"/>
        <v>0</v>
      </c>
      <c r="M132" s="683" t="str">
        <f t="shared" si="113"/>
        <v>-</v>
      </c>
      <c r="N132" s="264" t="str">
        <f t="shared" si="114"/>
        <v>-</v>
      </c>
      <c r="O132" s="539"/>
      <c r="P132" s="536">
        <f t="shared" si="98"/>
        <v>0</v>
      </c>
      <c r="Q132" s="537">
        <f t="shared" si="99"/>
        <v>0</v>
      </c>
    </row>
    <row r="133" spans="1:17" ht="23.25" customHeight="1" thickBot="1" x14ac:dyDescent="0.35">
      <c r="A133" s="274" t="s">
        <v>101</v>
      </c>
      <c r="B133" s="1109" t="s">
        <v>25</v>
      </c>
      <c r="C133" s="1046"/>
      <c r="D133" s="513">
        <f>SUM(D106:D132)</f>
        <v>0</v>
      </c>
      <c r="E133" s="526">
        <v>100000</v>
      </c>
      <c r="F133" s="519">
        <f>SUM(F101:F132)</f>
        <v>135230</v>
      </c>
      <c r="G133" s="519">
        <f>SUM(G101:G132)</f>
        <v>134420</v>
      </c>
      <c r="H133" s="519">
        <f>SUM(H101:H132)</f>
        <v>810</v>
      </c>
      <c r="I133" s="520" t="str">
        <f>IFERROR(F133/#REF!,"-")</f>
        <v>-</v>
      </c>
      <c r="J133" s="513">
        <f>SUM(J101:J132)</f>
        <v>235923</v>
      </c>
      <c r="K133" s="513">
        <f t="shared" ref="K133:L133" si="139">SUM(K101:K132)</f>
        <v>234603</v>
      </c>
      <c r="L133" s="513">
        <f t="shared" si="139"/>
        <v>1320</v>
      </c>
      <c r="M133" s="521" t="str">
        <f t="shared" si="113"/>
        <v>-</v>
      </c>
      <c r="N133" s="520">
        <f t="shared" si="114"/>
        <v>5.5950458412278581E-3</v>
      </c>
      <c r="O133" s="522"/>
      <c r="P133" s="523">
        <f>SUM(P101:P132)</f>
        <v>1180451.8800000001</v>
      </c>
      <c r="Q133" s="523">
        <f>SUM(Q101:Q132)</f>
        <v>1836838.1853999998</v>
      </c>
    </row>
    <row r="134" spans="1:17" ht="23.25" customHeight="1" thickBot="1" x14ac:dyDescent="0.35">
      <c r="A134" s="318" t="s">
        <v>101</v>
      </c>
      <c r="B134" s="1111" t="s">
        <v>249</v>
      </c>
      <c r="C134" s="1112"/>
      <c r="D134" s="326">
        <f>+D105+D133</f>
        <v>0</v>
      </c>
      <c r="E134" s="327">
        <f>+E105+E133</f>
        <v>100000</v>
      </c>
      <c r="F134" s="326">
        <f>+F133</f>
        <v>135230</v>
      </c>
      <c r="G134" s="326">
        <f t="shared" ref="G134:H134" si="140">+G133</f>
        <v>134420</v>
      </c>
      <c r="H134" s="326">
        <f t="shared" si="140"/>
        <v>810</v>
      </c>
      <c r="I134" s="349" t="str">
        <f>IFERROR(F134/#REF!,"-")</f>
        <v>-</v>
      </c>
      <c r="J134" s="326">
        <f>+J133</f>
        <v>235923</v>
      </c>
      <c r="K134" s="326">
        <f t="shared" ref="K134:L134" si="141">+K133</f>
        <v>234603</v>
      </c>
      <c r="L134" s="326">
        <f t="shared" si="141"/>
        <v>1320</v>
      </c>
      <c r="M134" s="341" t="str">
        <f t="shared" si="113"/>
        <v>-</v>
      </c>
      <c r="N134" s="349">
        <f t="shared" si="114"/>
        <v>5.5950458412278581E-3</v>
      </c>
      <c r="O134" s="394"/>
      <c r="P134" s="410">
        <f>+P133</f>
        <v>1180451.8800000001</v>
      </c>
      <c r="Q134" s="428">
        <f>Q133</f>
        <v>1836838.1853999998</v>
      </c>
    </row>
    <row r="135" spans="1:17" ht="24.6" thickBot="1" x14ac:dyDescent="0.35">
      <c r="A135" s="319"/>
      <c r="B135" s="1113" t="s">
        <v>174</v>
      </c>
      <c r="C135" s="1114"/>
      <c r="D135" s="374">
        <f>+D134+D100+D91</f>
        <v>0</v>
      </c>
      <c r="E135" s="374">
        <f>+E134+E100+E91</f>
        <v>230000</v>
      </c>
      <c r="F135" s="374">
        <f>+F134+F100+F91</f>
        <v>390940</v>
      </c>
      <c r="G135" s="374">
        <f>+G134+G100+G91</f>
        <v>387420</v>
      </c>
      <c r="H135" s="374">
        <f>+H134+H100+H91</f>
        <v>3520</v>
      </c>
      <c r="I135" s="375" t="str">
        <f>IFERROR(F135/#REF!,"-")</f>
        <v>-</v>
      </c>
      <c r="J135" s="374">
        <f>+J134+J100+J91</f>
        <v>746541</v>
      </c>
      <c r="K135" s="374">
        <f>+K134+K100+K91</f>
        <v>739153</v>
      </c>
      <c r="L135" s="374">
        <f>+L134+L100+L91</f>
        <v>7388</v>
      </c>
      <c r="M135" s="375" t="str">
        <f t="shared" si="113"/>
        <v>-</v>
      </c>
      <c r="N135" s="375">
        <f>IFERROR(L135/J135,"-")</f>
        <v>9.8963084411974687E-3</v>
      </c>
      <c r="O135" s="401"/>
      <c r="P135" s="418">
        <f>+P134+P100+P91</f>
        <v>2144438.9800000004</v>
      </c>
      <c r="Q135" s="418">
        <f>+Q134+Q100+Q91</f>
        <v>3796445.1954000001</v>
      </c>
    </row>
    <row r="136" spans="1:17" ht="24.6" customHeight="1" thickBot="1" x14ac:dyDescent="0.35">
      <c r="A136" s="230"/>
      <c r="B136" s="230"/>
      <c r="C136" s="230"/>
      <c r="D136" s="232"/>
      <c r="E136" s="232"/>
      <c r="F136" s="232"/>
      <c r="G136" s="267"/>
      <c r="H136" s="267"/>
      <c r="I136" s="234"/>
      <c r="J136" s="232"/>
      <c r="K136" s="232"/>
      <c r="L136" s="232"/>
      <c r="M136" s="234"/>
      <c r="N136" s="234"/>
    </row>
    <row r="137" spans="1:17" ht="22.5" customHeight="1" x14ac:dyDescent="0.3">
      <c r="A137" s="1115" t="s">
        <v>1</v>
      </c>
      <c r="B137" s="1118" t="s">
        <v>2</v>
      </c>
      <c r="C137" s="1121" t="s">
        <v>396</v>
      </c>
      <c r="D137" s="1066" t="s">
        <v>4</v>
      </c>
      <c r="E137" s="1067"/>
      <c r="F137" s="1067"/>
      <c r="G137" s="1067"/>
      <c r="H137" s="1067"/>
      <c r="I137" s="1067"/>
      <c r="J137" s="1067"/>
      <c r="K137" s="1067"/>
      <c r="L137" s="1067"/>
      <c r="M137" s="1067"/>
      <c r="N137" s="1068"/>
      <c r="O137" s="1092" t="s">
        <v>167</v>
      </c>
      <c r="P137" s="1093"/>
      <c r="Q137" s="1124"/>
    </row>
    <row r="138" spans="1:17" ht="22.5" customHeight="1" x14ac:dyDescent="0.3">
      <c r="A138" s="1116"/>
      <c r="B138" s="1119"/>
      <c r="C138" s="1122"/>
      <c r="D138" s="1069" t="s">
        <v>7</v>
      </c>
      <c r="E138" s="1071" t="s">
        <v>108</v>
      </c>
      <c r="F138" s="1125" t="s">
        <v>489</v>
      </c>
      <c r="G138" s="1074"/>
      <c r="H138" s="1074"/>
      <c r="I138" s="1075"/>
      <c r="J138" s="1076" t="s">
        <v>8</v>
      </c>
      <c r="K138" s="1077"/>
      <c r="L138" s="1078"/>
      <c r="M138" s="1079" t="s">
        <v>165</v>
      </c>
      <c r="N138" s="1081" t="s">
        <v>164</v>
      </c>
      <c r="O138" s="1126" t="s">
        <v>169</v>
      </c>
      <c r="P138" s="1127"/>
      <c r="Q138" s="1128"/>
    </row>
    <row r="139" spans="1:17" ht="47.4" thickBot="1" x14ac:dyDescent="0.35">
      <c r="A139" s="1117"/>
      <c r="B139" s="1120"/>
      <c r="C139" s="1123"/>
      <c r="D139" s="1070"/>
      <c r="E139" s="1072"/>
      <c r="F139" s="452" t="s">
        <v>13</v>
      </c>
      <c r="G139" s="453" t="s">
        <v>14</v>
      </c>
      <c r="H139" s="453" t="s">
        <v>15</v>
      </c>
      <c r="I139" s="454" t="s">
        <v>166</v>
      </c>
      <c r="J139" s="680" t="s">
        <v>13</v>
      </c>
      <c r="K139" s="678" t="s">
        <v>14</v>
      </c>
      <c r="L139" s="679" t="s">
        <v>15</v>
      </c>
      <c r="M139" s="1080"/>
      <c r="N139" s="1082"/>
      <c r="O139" s="444" t="s">
        <v>170</v>
      </c>
      <c r="P139" s="445" t="s">
        <v>11</v>
      </c>
      <c r="Q139" s="446" t="s">
        <v>12</v>
      </c>
    </row>
    <row r="140" spans="1:17" ht="23.4" x14ac:dyDescent="0.3">
      <c r="A140" s="268" t="s">
        <v>103</v>
      </c>
      <c r="B140" s="439"/>
      <c r="C140" s="269" t="s">
        <v>246</v>
      </c>
      <c r="D140" s="270"/>
      <c r="E140" s="271"/>
      <c r="F140" s="332">
        <f>+G140+H140</f>
        <v>0</v>
      </c>
      <c r="G140" s="272"/>
      <c r="H140" s="272"/>
      <c r="I140" s="351" t="str">
        <f>IFERROR(F140/#REF!,"-")</f>
        <v>-</v>
      </c>
      <c r="J140" s="457">
        <f>+K140+L140</f>
        <v>0</v>
      </c>
      <c r="K140" s="458">
        <f>+G140+K77</f>
        <v>0</v>
      </c>
      <c r="L140" s="458">
        <f>+H140+L77</f>
        <v>0</v>
      </c>
      <c r="M140" s="336" t="str">
        <f>IFERROR(J140/D140,"-")</f>
        <v>-</v>
      </c>
      <c r="N140" s="343" t="str">
        <f t="shared" ref="N140:N141" si="142">IFERROR(L140/J140,"-")</f>
        <v>-</v>
      </c>
      <c r="O140" s="507">
        <v>1.5669</v>
      </c>
      <c r="P140" s="402">
        <f>+O140*G140</f>
        <v>0</v>
      </c>
      <c r="Q140" s="447">
        <f>+O140*K140</f>
        <v>0</v>
      </c>
    </row>
    <row r="141" spans="1:17" ht="23.4" x14ac:dyDescent="0.3">
      <c r="A141" s="274" t="s">
        <v>103</v>
      </c>
      <c r="B141" s="438"/>
      <c r="C141" s="275" t="s">
        <v>245</v>
      </c>
      <c r="D141" s="276"/>
      <c r="E141" s="277"/>
      <c r="F141" s="333">
        <f t="shared" ref="F141:F144" si="143">+G141+H141</f>
        <v>0</v>
      </c>
      <c r="G141" s="719"/>
      <c r="H141" s="719"/>
      <c r="I141" s="352" t="str">
        <f>IFERROR(F141/#REF!,"-")</f>
        <v>-</v>
      </c>
      <c r="J141" s="333">
        <f t="shared" ref="J141:J144" si="144">+K141+L141</f>
        <v>115874</v>
      </c>
      <c r="K141" s="278">
        <f t="shared" ref="K141:K144" si="145">+G141+K78</f>
        <v>115000</v>
      </c>
      <c r="L141" s="436">
        <f t="shared" ref="L141:L144" si="146">+H141+L78</f>
        <v>874</v>
      </c>
      <c r="M141" s="337" t="str">
        <f t="shared" ref="M141:M144" si="147">IFERROR(J141/D141,"-")</f>
        <v>-</v>
      </c>
      <c r="N141" s="265">
        <f t="shared" si="142"/>
        <v>7.5426756649464074E-3</v>
      </c>
      <c r="O141" s="508">
        <v>2.3978999999999999</v>
      </c>
      <c r="P141" s="404">
        <f>+O141*G141</f>
        <v>0</v>
      </c>
      <c r="Q141" s="449">
        <f>+O141*K141</f>
        <v>275758.5</v>
      </c>
    </row>
    <row r="142" spans="1:17" ht="23.4" x14ac:dyDescent="0.3">
      <c r="A142" s="274" t="s">
        <v>103</v>
      </c>
      <c r="B142" s="438"/>
      <c r="C142" s="275" t="s">
        <v>395</v>
      </c>
      <c r="D142" s="276"/>
      <c r="E142" s="277"/>
      <c r="F142" s="333">
        <f t="shared" si="143"/>
        <v>58134</v>
      </c>
      <c r="G142" s="278">
        <v>57500</v>
      </c>
      <c r="H142" s="719">
        <v>634</v>
      </c>
      <c r="I142" s="352" t="str">
        <f>IFERROR(F142/#REF!,"-")</f>
        <v>-</v>
      </c>
      <c r="J142" s="333">
        <f t="shared" si="144"/>
        <v>158728</v>
      </c>
      <c r="K142" s="278">
        <f t="shared" si="145"/>
        <v>157000</v>
      </c>
      <c r="L142" s="436">
        <f t="shared" si="146"/>
        <v>1728</v>
      </c>
      <c r="M142" s="337" t="str">
        <f t="shared" si="147"/>
        <v>-</v>
      </c>
      <c r="N142" s="716">
        <f>IFERROR(L142/J142,"-")</f>
        <v>1.0886548057053577E-2</v>
      </c>
      <c r="O142" s="718">
        <v>3.6777000000000002</v>
      </c>
      <c r="P142" s="404">
        <f t="shared" ref="P142:P144" si="148">+O142*G142</f>
        <v>211467.75</v>
      </c>
      <c r="Q142" s="449">
        <f t="shared" ref="Q142:Q144" si="149">+O142*K142</f>
        <v>577398.9</v>
      </c>
    </row>
    <row r="143" spans="1:17" ht="23.4" x14ac:dyDescent="0.3">
      <c r="A143" s="274"/>
      <c r="B143" s="451"/>
      <c r="C143" s="275" t="s">
        <v>319</v>
      </c>
      <c r="D143" s="280"/>
      <c r="E143" s="281"/>
      <c r="F143" s="333">
        <f t="shared" si="143"/>
        <v>44474</v>
      </c>
      <c r="G143" s="282">
        <v>44000</v>
      </c>
      <c r="H143" s="282">
        <v>474</v>
      </c>
      <c r="I143" s="352" t="str">
        <f>IFERROR(F143/#REF!,"-")</f>
        <v>-</v>
      </c>
      <c r="J143" s="333">
        <f t="shared" si="144"/>
        <v>91052</v>
      </c>
      <c r="K143" s="278">
        <f t="shared" si="145"/>
        <v>89800</v>
      </c>
      <c r="L143" s="436">
        <f t="shared" si="146"/>
        <v>1252</v>
      </c>
      <c r="M143" s="337" t="str">
        <f t="shared" si="147"/>
        <v>-</v>
      </c>
      <c r="N143" s="265">
        <f>IFERROR(L143/J143,"-")</f>
        <v>1.3750384395729913E-2</v>
      </c>
      <c r="O143" s="509">
        <v>12.284700000000001</v>
      </c>
      <c r="P143" s="404">
        <f t="shared" si="148"/>
        <v>540526.80000000005</v>
      </c>
      <c r="Q143" s="449">
        <f t="shared" si="149"/>
        <v>1103166.06</v>
      </c>
    </row>
    <row r="144" spans="1:17" ht="24" thickBot="1" x14ac:dyDescent="0.35">
      <c r="A144" s="274" t="s">
        <v>103</v>
      </c>
      <c r="B144" s="451"/>
      <c r="C144" s="275" t="s">
        <v>365</v>
      </c>
      <c r="D144" s="280"/>
      <c r="E144" s="281"/>
      <c r="F144" s="334">
        <f t="shared" si="143"/>
        <v>0</v>
      </c>
      <c r="G144" s="282"/>
      <c r="H144" s="282"/>
      <c r="I144" s="353" t="str">
        <f>IFERROR(F144/#REF!,"-")</f>
        <v>-</v>
      </c>
      <c r="J144" s="460">
        <f t="shared" si="144"/>
        <v>45034</v>
      </c>
      <c r="K144" s="461">
        <f t="shared" si="145"/>
        <v>44250</v>
      </c>
      <c r="L144" s="462">
        <f t="shared" si="146"/>
        <v>784</v>
      </c>
      <c r="M144" s="338" t="str">
        <f t="shared" si="147"/>
        <v>-</v>
      </c>
      <c r="N144" s="344">
        <f t="shared" ref="N144:N156" si="150">IFERROR(L144/J144,"-")</f>
        <v>1.7409068703646134E-2</v>
      </c>
      <c r="O144" s="718">
        <v>7.0612000000000004</v>
      </c>
      <c r="P144" s="405">
        <f t="shared" si="148"/>
        <v>0</v>
      </c>
      <c r="Q144" s="450">
        <f t="shared" si="149"/>
        <v>312458.10000000003</v>
      </c>
    </row>
    <row r="145" spans="1:17" ht="23.25" customHeight="1" thickBot="1" x14ac:dyDescent="0.35">
      <c r="A145" s="274" t="s">
        <v>103</v>
      </c>
      <c r="B145" s="1109" t="s">
        <v>21</v>
      </c>
      <c r="C145" s="1046"/>
      <c r="D145" s="320">
        <f>SUM(D140:D144)</f>
        <v>0</v>
      </c>
      <c r="E145" s="285">
        <v>15000</v>
      </c>
      <c r="F145" s="320">
        <f>SUM(F140:F144)</f>
        <v>102608</v>
      </c>
      <c r="G145" s="321">
        <f>SUM(G140:G144)</f>
        <v>101500</v>
      </c>
      <c r="H145" s="321">
        <f>SUM(H140:H144)</f>
        <v>1108</v>
      </c>
      <c r="I145" s="345" t="str">
        <f>IFERROR(F145/#REF!,"-")</f>
        <v>-</v>
      </c>
      <c r="J145" s="320">
        <f>SUM(J140:J144)</f>
        <v>410688</v>
      </c>
      <c r="K145" s="321">
        <f>SUM(K140:K144)</f>
        <v>406050</v>
      </c>
      <c r="L145" s="322">
        <f>SUM(L140:L144)</f>
        <v>4638</v>
      </c>
      <c r="M145" s="339" t="str">
        <f>IFERROR(J145/D145,"-")</f>
        <v>-</v>
      </c>
      <c r="N145" s="345">
        <f t="shared" si="150"/>
        <v>1.1293244506778868E-2</v>
      </c>
      <c r="O145" s="391"/>
      <c r="P145" s="406">
        <f>SUM(P140:P144)</f>
        <v>751994.55</v>
      </c>
      <c r="Q145" s="425">
        <f>SUM(Q140:Q144)</f>
        <v>2268781.56</v>
      </c>
    </row>
    <row r="146" spans="1:17" ht="23.4" x14ac:dyDescent="0.3">
      <c r="A146" s="274" t="s">
        <v>103</v>
      </c>
      <c r="B146" s="439"/>
      <c r="C146" s="269" t="s">
        <v>244</v>
      </c>
      <c r="D146" s="270"/>
      <c r="E146" s="271"/>
      <c r="F146" s="332">
        <f t="shared" ref="F146:F152" si="151">+G146+H146</f>
        <v>0</v>
      </c>
      <c r="G146" s="272"/>
      <c r="H146" s="272"/>
      <c r="I146" s="351" t="str">
        <f>IFERROR(F146/#REF!,"-")</f>
        <v>-</v>
      </c>
      <c r="J146" s="457">
        <f t="shared" ref="J146:J152" si="152">+K146+L146</f>
        <v>0</v>
      </c>
      <c r="K146" s="458">
        <f t="shared" ref="K146:K152" si="153">+G146+K83</f>
        <v>0</v>
      </c>
      <c r="L146" s="459">
        <f t="shared" ref="L146:L152" si="154">+H146+L83</f>
        <v>0</v>
      </c>
      <c r="M146" s="336" t="str">
        <f t="shared" ref="M146:M154" si="155">IFERROR(J146/D146,"-")</f>
        <v>-</v>
      </c>
      <c r="N146" s="346" t="str">
        <f t="shared" si="150"/>
        <v>-</v>
      </c>
      <c r="O146" s="507">
        <v>18.2316</v>
      </c>
      <c r="P146" s="402">
        <f t="shared" ref="P146:P152" si="156">+O146*G146</f>
        <v>0</v>
      </c>
      <c r="Q146" s="447">
        <f t="shared" ref="Q146:Q152" si="157">+O146*K146</f>
        <v>0</v>
      </c>
    </row>
    <row r="147" spans="1:17" ht="23.4" x14ac:dyDescent="0.3">
      <c r="A147" s="274" t="s">
        <v>103</v>
      </c>
      <c r="B147" s="438"/>
      <c r="C147" s="275" t="s">
        <v>89</v>
      </c>
      <c r="D147" s="276"/>
      <c r="E147" s="277"/>
      <c r="F147" s="333">
        <f t="shared" si="151"/>
        <v>60000</v>
      </c>
      <c r="G147" s="278">
        <v>60000</v>
      </c>
      <c r="H147" s="278"/>
      <c r="I147" s="352" t="str">
        <f>IFERROR(F147/#REF!,"-")</f>
        <v>-</v>
      </c>
      <c r="J147" s="333">
        <f t="shared" si="152"/>
        <v>60000</v>
      </c>
      <c r="K147" s="278">
        <f t="shared" si="153"/>
        <v>60000</v>
      </c>
      <c r="L147" s="436">
        <f t="shared" si="154"/>
        <v>0</v>
      </c>
      <c r="M147" s="337" t="str">
        <f t="shared" si="155"/>
        <v>-</v>
      </c>
      <c r="N147" s="263">
        <f t="shared" si="150"/>
        <v>0</v>
      </c>
      <c r="O147" s="508">
        <v>1.2824</v>
      </c>
      <c r="P147" s="404">
        <f t="shared" si="156"/>
        <v>76944</v>
      </c>
      <c r="Q147" s="449">
        <f t="shared" si="157"/>
        <v>76944</v>
      </c>
    </row>
    <row r="148" spans="1:17" ht="23.4" x14ac:dyDescent="0.3">
      <c r="A148" s="274" t="s">
        <v>103</v>
      </c>
      <c r="B148" s="438"/>
      <c r="C148" s="275" t="s">
        <v>300</v>
      </c>
      <c r="D148" s="276"/>
      <c r="E148" s="277"/>
      <c r="F148" s="333">
        <f t="shared" si="151"/>
        <v>0</v>
      </c>
      <c r="G148" s="278"/>
      <c r="H148" s="278"/>
      <c r="I148" s="352" t="str">
        <f>IFERROR(F148/#REF!,"-")</f>
        <v>-</v>
      </c>
      <c r="J148" s="333">
        <f t="shared" si="152"/>
        <v>0</v>
      </c>
      <c r="K148" s="278">
        <f t="shared" si="153"/>
        <v>0</v>
      </c>
      <c r="L148" s="436">
        <f t="shared" si="154"/>
        <v>0</v>
      </c>
      <c r="M148" s="337" t="str">
        <f t="shared" si="155"/>
        <v>-</v>
      </c>
      <c r="N148" s="263" t="str">
        <f t="shared" si="150"/>
        <v>-</v>
      </c>
      <c r="O148" s="710">
        <v>5.7342000000000004</v>
      </c>
      <c r="P148" s="404">
        <f t="shared" si="156"/>
        <v>0</v>
      </c>
      <c r="Q148" s="449">
        <f t="shared" si="157"/>
        <v>0</v>
      </c>
    </row>
    <row r="149" spans="1:17" ht="23.4" x14ac:dyDescent="0.3">
      <c r="A149" s="274" t="s">
        <v>103</v>
      </c>
      <c r="B149" s="438"/>
      <c r="C149" s="275" t="s">
        <v>314</v>
      </c>
      <c r="D149" s="276"/>
      <c r="E149" s="277"/>
      <c r="F149" s="333">
        <f t="shared" si="151"/>
        <v>0</v>
      </c>
      <c r="G149" s="278"/>
      <c r="H149" s="278"/>
      <c r="I149" s="352" t="str">
        <f>IFERROR(F149/#REF!,"-")</f>
        <v>-</v>
      </c>
      <c r="J149" s="333">
        <f t="shared" si="152"/>
        <v>0</v>
      </c>
      <c r="K149" s="278">
        <f t="shared" si="153"/>
        <v>0</v>
      </c>
      <c r="L149" s="436">
        <f t="shared" si="154"/>
        <v>0</v>
      </c>
      <c r="M149" s="337" t="str">
        <f t="shared" si="155"/>
        <v>-</v>
      </c>
      <c r="N149" s="263" t="str">
        <f t="shared" si="150"/>
        <v>-</v>
      </c>
      <c r="O149" s="508"/>
      <c r="P149" s="404">
        <f t="shared" si="156"/>
        <v>0</v>
      </c>
      <c r="Q149" s="449">
        <f t="shared" si="157"/>
        <v>0</v>
      </c>
    </row>
    <row r="150" spans="1:17" ht="23.4" x14ac:dyDescent="0.3">
      <c r="A150" s="274" t="s">
        <v>103</v>
      </c>
      <c r="B150" s="438"/>
      <c r="C150" s="275" t="s">
        <v>320</v>
      </c>
      <c r="D150" s="276"/>
      <c r="E150" s="277"/>
      <c r="F150" s="333">
        <f t="shared" si="151"/>
        <v>18045</v>
      </c>
      <c r="G150" s="278">
        <v>18000</v>
      </c>
      <c r="H150" s="278">
        <v>45</v>
      </c>
      <c r="I150" s="352" t="str">
        <f>IFERROR(F150/#REF!,"-")</f>
        <v>-</v>
      </c>
      <c r="J150" s="333">
        <f t="shared" si="152"/>
        <v>18045</v>
      </c>
      <c r="K150" s="278">
        <f t="shared" si="153"/>
        <v>18000</v>
      </c>
      <c r="L150" s="436">
        <f t="shared" si="154"/>
        <v>45</v>
      </c>
      <c r="M150" s="337" t="str">
        <f t="shared" si="155"/>
        <v>-</v>
      </c>
      <c r="N150" s="263">
        <f t="shared" si="150"/>
        <v>2.4937655860349127E-3</v>
      </c>
      <c r="O150" s="508">
        <v>12.029500000000001</v>
      </c>
      <c r="P150" s="404">
        <f t="shared" si="156"/>
        <v>216531</v>
      </c>
      <c r="Q150" s="449">
        <f t="shared" si="157"/>
        <v>216531</v>
      </c>
    </row>
    <row r="151" spans="1:17" ht="23.4" x14ac:dyDescent="0.3">
      <c r="A151" s="274" t="s">
        <v>103</v>
      </c>
      <c r="B151" s="438"/>
      <c r="C151" s="275"/>
      <c r="D151" s="276"/>
      <c r="E151" s="277"/>
      <c r="F151" s="333">
        <f t="shared" si="151"/>
        <v>0</v>
      </c>
      <c r="G151" s="278"/>
      <c r="H151" s="278"/>
      <c r="I151" s="352" t="str">
        <f>IFERROR(F151/#REF!,"-")</f>
        <v>-</v>
      </c>
      <c r="J151" s="333">
        <f t="shared" si="152"/>
        <v>0</v>
      </c>
      <c r="K151" s="278">
        <f t="shared" si="153"/>
        <v>0</v>
      </c>
      <c r="L151" s="436">
        <f t="shared" si="154"/>
        <v>0</v>
      </c>
      <c r="M151" s="337" t="str">
        <f t="shared" si="155"/>
        <v>-</v>
      </c>
      <c r="N151" s="263" t="str">
        <f t="shared" si="150"/>
        <v>-</v>
      </c>
      <c r="O151" s="508"/>
      <c r="P151" s="404">
        <f t="shared" si="156"/>
        <v>0</v>
      </c>
      <c r="Q151" s="449">
        <f t="shared" si="157"/>
        <v>0</v>
      </c>
    </row>
    <row r="152" spans="1:17" ht="24" thickBot="1" x14ac:dyDescent="0.35">
      <c r="A152" s="274" t="s">
        <v>103</v>
      </c>
      <c r="B152" s="451"/>
      <c r="C152" s="279"/>
      <c r="D152" s="280">
        <v>0</v>
      </c>
      <c r="E152" s="281"/>
      <c r="F152" s="334">
        <f t="shared" si="151"/>
        <v>0</v>
      </c>
      <c r="G152" s="282"/>
      <c r="H152" s="282"/>
      <c r="I152" s="353" t="str">
        <f>IFERROR(F152/#REF!,"-")</f>
        <v>-</v>
      </c>
      <c r="J152" s="460">
        <f t="shared" si="152"/>
        <v>0</v>
      </c>
      <c r="K152" s="461">
        <f t="shared" si="153"/>
        <v>0</v>
      </c>
      <c r="L152" s="462">
        <f t="shared" si="154"/>
        <v>0</v>
      </c>
      <c r="M152" s="338" t="str">
        <f t="shared" si="155"/>
        <v>-</v>
      </c>
      <c r="N152" s="347" t="str">
        <f t="shared" si="150"/>
        <v>-</v>
      </c>
      <c r="O152" s="509"/>
      <c r="P152" s="405">
        <f t="shared" si="156"/>
        <v>0</v>
      </c>
      <c r="Q152" s="450">
        <f t="shared" si="157"/>
        <v>0</v>
      </c>
    </row>
    <row r="153" spans="1:17" ht="23.25" customHeight="1" thickBot="1" x14ac:dyDescent="0.35">
      <c r="A153" s="274" t="s">
        <v>103</v>
      </c>
      <c r="B153" s="1109" t="s">
        <v>25</v>
      </c>
      <c r="C153" s="1046"/>
      <c r="D153" s="320">
        <f t="shared" ref="D153" si="158">SUM(D146:D152)</f>
        <v>0</v>
      </c>
      <c r="E153" s="285">
        <v>100000</v>
      </c>
      <c r="F153" s="320">
        <f>SUM(F146:F152)</f>
        <v>78045</v>
      </c>
      <c r="G153" s="321">
        <f t="shared" ref="G153:H153" si="159">SUM(G146:G152)</f>
        <v>78000</v>
      </c>
      <c r="H153" s="321">
        <f t="shared" si="159"/>
        <v>45</v>
      </c>
      <c r="I153" s="345" t="str">
        <f>IFERROR(F153/#REF!,"-")</f>
        <v>-</v>
      </c>
      <c r="J153" s="320">
        <f t="shared" ref="J153:L153" si="160">SUM(J146:J152)</f>
        <v>78045</v>
      </c>
      <c r="K153" s="321">
        <f t="shared" si="160"/>
        <v>78000</v>
      </c>
      <c r="L153" s="322">
        <f t="shared" si="160"/>
        <v>45</v>
      </c>
      <c r="M153" s="339" t="str">
        <f t="shared" si="155"/>
        <v>-</v>
      </c>
      <c r="N153" s="345">
        <f t="shared" si="150"/>
        <v>5.7659042859888531E-4</v>
      </c>
      <c r="O153" s="391"/>
      <c r="P153" s="406">
        <f t="shared" ref="P153:Q153" si="161">SUM(P146:P152)</f>
        <v>293475</v>
      </c>
      <c r="Q153" s="425">
        <f t="shared" si="161"/>
        <v>293475</v>
      </c>
    </row>
    <row r="154" spans="1:17" ht="23.25" customHeight="1" thickBot="1" x14ac:dyDescent="0.35">
      <c r="A154" s="274" t="s">
        <v>103</v>
      </c>
      <c r="B154" s="1111" t="s">
        <v>172</v>
      </c>
      <c r="C154" s="1112"/>
      <c r="D154" s="326">
        <f>+D145+D153</f>
        <v>0</v>
      </c>
      <c r="E154" s="327">
        <f t="shared" ref="E154:H154" si="162">+E145+E153</f>
        <v>115000</v>
      </c>
      <c r="F154" s="326">
        <f t="shared" si="162"/>
        <v>180653</v>
      </c>
      <c r="G154" s="324">
        <f t="shared" si="162"/>
        <v>179500</v>
      </c>
      <c r="H154" s="324">
        <f t="shared" si="162"/>
        <v>1153</v>
      </c>
      <c r="I154" s="349" t="str">
        <f>IFERROR(F154/#REF!,"-")</f>
        <v>-</v>
      </c>
      <c r="J154" s="326">
        <f t="shared" ref="J154:L154" si="163">+J145+J153</f>
        <v>488733</v>
      </c>
      <c r="K154" s="324">
        <f t="shared" si="163"/>
        <v>484050</v>
      </c>
      <c r="L154" s="325">
        <f t="shared" si="163"/>
        <v>4683</v>
      </c>
      <c r="M154" s="341" t="str">
        <f t="shared" si="155"/>
        <v>-</v>
      </c>
      <c r="N154" s="349">
        <f t="shared" si="150"/>
        <v>9.5819189618871654E-3</v>
      </c>
      <c r="O154" s="394"/>
      <c r="P154" s="410">
        <f t="shared" ref="P154:Q154" si="164">+P145+P153</f>
        <v>1045469.55</v>
      </c>
      <c r="Q154" s="428">
        <f t="shared" si="164"/>
        <v>2562256.56</v>
      </c>
    </row>
    <row r="155" spans="1:17" ht="23.4" x14ac:dyDescent="0.3">
      <c r="A155" s="244" t="s">
        <v>101</v>
      </c>
      <c r="B155" s="581"/>
      <c r="C155" s="582" t="s">
        <v>283</v>
      </c>
      <c r="D155" s="527"/>
      <c r="E155" s="459"/>
      <c r="F155" s="457">
        <f>+G155+H155</f>
        <v>0</v>
      </c>
      <c r="G155" s="458"/>
      <c r="H155" s="458"/>
      <c r="I155" s="531" t="str">
        <f>IFERROR(F155/#REF!,"-")</f>
        <v>-</v>
      </c>
      <c r="J155" s="457">
        <f>+K155+L155</f>
        <v>0</v>
      </c>
      <c r="K155" s="458">
        <f t="shared" ref="K155:K161" si="165">+G155+K92</f>
        <v>0</v>
      </c>
      <c r="L155" s="459">
        <f t="shared" ref="L155:L161" si="166">+H155+L92</f>
        <v>0</v>
      </c>
      <c r="M155" s="586" t="str">
        <f>IFERROR(J155/D155,"-")</f>
        <v>-</v>
      </c>
      <c r="N155" s="533" t="str">
        <f t="shared" si="150"/>
        <v>-</v>
      </c>
      <c r="O155" s="628">
        <v>4.8285999999999998</v>
      </c>
      <c r="P155" s="534">
        <f t="shared" ref="P155:P161" si="167">+O155*G155</f>
        <v>0</v>
      </c>
      <c r="Q155" s="535">
        <f t="shared" ref="Q155:Q161" si="168">+O155*K155</f>
        <v>0</v>
      </c>
    </row>
    <row r="156" spans="1:17" ht="23.4" x14ac:dyDescent="0.3">
      <c r="A156" s="248" t="s">
        <v>101</v>
      </c>
      <c r="B156" s="583"/>
      <c r="C156" s="275" t="s">
        <v>284</v>
      </c>
      <c r="D156" s="276"/>
      <c r="E156" s="436"/>
      <c r="F156" s="333">
        <f t="shared" ref="F156:F161" si="169">+G156+H156</f>
        <v>0</v>
      </c>
      <c r="G156" s="278"/>
      <c r="H156" s="278"/>
      <c r="I156" s="352" t="str">
        <f>IFERROR(F156/#REF!,"-")</f>
        <v>-</v>
      </c>
      <c r="J156" s="333">
        <f t="shared" ref="J156:J161" si="170">+K156+L156</f>
        <v>0</v>
      </c>
      <c r="K156" s="278">
        <f t="shared" si="165"/>
        <v>0</v>
      </c>
      <c r="L156" s="436">
        <f t="shared" si="166"/>
        <v>0</v>
      </c>
      <c r="M156" s="337" t="str">
        <f t="shared" ref="M156:M158" si="171">IFERROR(J156/D156,"-")</f>
        <v>-</v>
      </c>
      <c r="N156" s="265" t="str">
        <f t="shared" si="150"/>
        <v>-</v>
      </c>
      <c r="O156" s="629">
        <v>1.4086000000000001</v>
      </c>
      <c r="P156" s="404">
        <f t="shared" si="167"/>
        <v>0</v>
      </c>
      <c r="Q156" s="449">
        <f t="shared" si="168"/>
        <v>0</v>
      </c>
    </row>
    <row r="157" spans="1:17" ht="23.4" x14ac:dyDescent="0.3">
      <c r="A157" s="248" t="s">
        <v>101</v>
      </c>
      <c r="B157" s="583"/>
      <c r="C157" s="275" t="s">
        <v>315</v>
      </c>
      <c r="D157" s="276"/>
      <c r="E157" s="436"/>
      <c r="F157" s="333">
        <f t="shared" si="169"/>
        <v>0</v>
      </c>
      <c r="G157" s="278"/>
      <c r="H157" s="278"/>
      <c r="I157" s="352" t="str">
        <f>IFERROR(F157/#REF!,"-")</f>
        <v>-</v>
      </c>
      <c r="J157" s="333">
        <f t="shared" si="170"/>
        <v>0</v>
      </c>
      <c r="K157" s="278">
        <f t="shared" si="165"/>
        <v>0</v>
      </c>
      <c r="L157" s="436">
        <f t="shared" si="166"/>
        <v>0</v>
      </c>
      <c r="M157" s="337" t="str">
        <f t="shared" si="171"/>
        <v>-</v>
      </c>
      <c r="N157" s="265" t="str">
        <f>IFERROR(L157/J157,"-")</f>
        <v>-</v>
      </c>
      <c r="O157" s="629">
        <v>2.2141000000000002</v>
      </c>
      <c r="P157" s="404">
        <f t="shared" si="167"/>
        <v>0</v>
      </c>
      <c r="Q157" s="449">
        <f t="shared" si="168"/>
        <v>0</v>
      </c>
    </row>
    <row r="158" spans="1:17" ht="23.4" x14ac:dyDescent="0.3">
      <c r="A158" s="248" t="s">
        <v>101</v>
      </c>
      <c r="B158" s="584"/>
      <c r="C158" s="275" t="s">
        <v>447</v>
      </c>
      <c r="D158" s="280"/>
      <c r="E158" s="528"/>
      <c r="F158" s="334">
        <f t="shared" si="169"/>
        <v>93810</v>
      </c>
      <c r="G158" s="282">
        <v>93000</v>
      </c>
      <c r="H158" s="282">
        <v>810</v>
      </c>
      <c r="I158" s="353" t="str">
        <f>IFERROR(F158/#REF!,"-")</f>
        <v>-</v>
      </c>
      <c r="J158" s="333">
        <f t="shared" si="170"/>
        <v>296348</v>
      </c>
      <c r="K158" s="278">
        <f t="shared" si="165"/>
        <v>293000</v>
      </c>
      <c r="L158" s="436">
        <f t="shared" si="166"/>
        <v>3348</v>
      </c>
      <c r="M158" s="338" t="str">
        <f t="shared" si="171"/>
        <v>-</v>
      </c>
      <c r="N158" s="344">
        <f t="shared" ref="N158:N165" si="172">IFERROR(L158/J158,"-")</f>
        <v>1.129752858126257E-2</v>
      </c>
      <c r="O158" s="629">
        <v>2.2141000000000002</v>
      </c>
      <c r="P158" s="405">
        <f t="shared" si="167"/>
        <v>205911.30000000002</v>
      </c>
      <c r="Q158" s="450">
        <f t="shared" si="168"/>
        <v>648731.30000000005</v>
      </c>
    </row>
    <row r="159" spans="1:17" ht="23.4" x14ac:dyDescent="0.3">
      <c r="A159" s="248" t="s">
        <v>101</v>
      </c>
      <c r="B159" s="440"/>
      <c r="C159" s="627" t="s">
        <v>353</v>
      </c>
      <c r="D159" s="510"/>
      <c r="E159" s="529"/>
      <c r="F159" s="333">
        <f t="shared" si="169"/>
        <v>0</v>
      </c>
      <c r="G159" s="547"/>
      <c r="H159" s="547"/>
      <c r="I159" s="352" t="str">
        <f>IFERROR(F159/#REF!,"-")</f>
        <v>-</v>
      </c>
      <c r="J159" s="333">
        <f t="shared" si="170"/>
        <v>0</v>
      </c>
      <c r="K159" s="278">
        <f t="shared" si="165"/>
        <v>0</v>
      </c>
      <c r="L159" s="436">
        <f t="shared" si="166"/>
        <v>0</v>
      </c>
      <c r="M159" s="682"/>
      <c r="N159" s="265" t="str">
        <f t="shared" si="172"/>
        <v>-</v>
      </c>
      <c r="O159" s="540">
        <v>4.8285999999999998</v>
      </c>
      <c r="P159" s="404">
        <f t="shared" si="167"/>
        <v>0</v>
      </c>
      <c r="Q159" s="449">
        <f t="shared" si="168"/>
        <v>0</v>
      </c>
    </row>
    <row r="160" spans="1:17" ht="23.4" x14ac:dyDescent="0.3">
      <c r="A160" s="248" t="s">
        <v>101</v>
      </c>
      <c r="B160" s="585"/>
      <c r="C160" s="627" t="s">
        <v>349</v>
      </c>
      <c r="D160" s="270"/>
      <c r="E160" s="435"/>
      <c r="F160" s="332">
        <f t="shared" si="169"/>
        <v>0</v>
      </c>
      <c r="G160" s="272"/>
      <c r="H160" s="272"/>
      <c r="I160" s="351" t="str">
        <f>IFERROR(F160/#REF!,"-")</f>
        <v>-</v>
      </c>
      <c r="J160" s="333">
        <f t="shared" si="170"/>
        <v>0</v>
      </c>
      <c r="K160" s="278">
        <f t="shared" si="165"/>
        <v>0</v>
      </c>
      <c r="L160" s="436">
        <f t="shared" si="166"/>
        <v>0</v>
      </c>
      <c r="M160" s="336" t="str">
        <f t="shared" ref="M160:M161" si="173">IFERROR(J160/D160,"-")</f>
        <v>-</v>
      </c>
      <c r="N160" s="346" t="str">
        <f t="shared" si="172"/>
        <v>-</v>
      </c>
      <c r="O160" s="507">
        <v>4.1712999999999996</v>
      </c>
      <c r="P160" s="402">
        <f t="shared" si="167"/>
        <v>0</v>
      </c>
      <c r="Q160" s="447">
        <f t="shared" si="168"/>
        <v>0</v>
      </c>
    </row>
    <row r="161" spans="1:17" ht="24" thickBot="1" x14ac:dyDescent="0.35">
      <c r="A161" s="248" t="s">
        <v>101</v>
      </c>
      <c r="B161" s="583"/>
      <c r="C161" s="275"/>
      <c r="D161" s="276"/>
      <c r="E161" s="436"/>
      <c r="F161" s="333">
        <f t="shared" si="169"/>
        <v>0</v>
      </c>
      <c r="G161" s="278"/>
      <c r="H161" s="278"/>
      <c r="I161" s="352" t="str">
        <f>IFERROR(F161/#REF!,"-")</f>
        <v>-</v>
      </c>
      <c r="J161" s="460">
        <f t="shared" si="170"/>
        <v>0</v>
      </c>
      <c r="K161" s="461">
        <f t="shared" si="165"/>
        <v>0</v>
      </c>
      <c r="L161" s="462">
        <f t="shared" si="166"/>
        <v>0</v>
      </c>
      <c r="M161" s="337" t="str">
        <f t="shared" si="173"/>
        <v>-</v>
      </c>
      <c r="N161" s="263" t="str">
        <f t="shared" si="172"/>
        <v>-</v>
      </c>
      <c r="O161" s="448"/>
      <c r="P161" s="404">
        <f t="shared" si="167"/>
        <v>0</v>
      </c>
      <c r="Q161" s="449">
        <f t="shared" si="168"/>
        <v>0</v>
      </c>
    </row>
    <row r="162" spans="1:17" ht="23.25" customHeight="1" thickBot="1" x14ac:dyDescent="0.35">
      <c r="A162" s="274" t="s">
        <v>101</v>
      </c>
      <c r="B162" s="1109" t="s">
        <v>21</v>
      </c>
      <c r="C162" s="1046"/>
      <c r="D162" s="320">
        <v>0</v>
      </c>
      <c r="E162" s="285">
        <v>15000</v>
      </c>
      <c r="F162" s="320">
        <f>SUM(F155:F161)</f>
        <v>93810</v>
      </c>
      <c r="G162" s="321">
        <f t="shared" ref="G162:H162" si="174">SUM(G155:G161)</f>
        <v>93000</v>
      </c>
      <c r="H162" s="321">
        <f t="shared" si="174"/>
        <v>810</v>
      </c>
      <c r="I162" s="345" t="str">
        <f>IFERROR(F162/#REF!,"-")</f>
        <v>-</v>
      </c>
      <c r="J162" s="513">
        <f t="shared" ref="J162" si="175">SUM(J155:J161)</f>
        <v>296348</v>
      </c>
      <c r="K162" s="519">
        <f>SUM(K155:K161)</f>
        <v>293000</v>
      </c>
      <c r="L162" s="519">
        <f>SUM(L155:L161)</f>
        <v>3348</v>
      </c>
      <c r="M162" s="339" t="str">
        <f>IFERROR(J162/D162,"-")</f>
        <v>-</v>
      </c>
      <c r="N162" s="345">
        <f t="shared" si="172"/>
        <v>1.129752858126257E-2</v>
      </c>
      <c r="O162" s="391"/>
      <c r="P162" s="406">
        <f>SUM(P155:P161)</f>
        <v>205911.30000000002</v>
      </c>
      <c r="Q162" s="425">
        <f>SUM(Q155:Q161)</f>
        <v>648731.30000000005</v>
      </c>
    </row>
    <row r="163" spans="1:17" ht="23.25" customHeight="1" thickBot="1" x14ac:dyDescent="0.35">
      <c r="A163" s="274" t="s">
        <v>101</v>
      </c>
      <c r="B163" s="1111" t="s">
        <v>248</v>
      </c>
      <c r="C163" s="1112"/>
      <c r="D163" s="512">
        <f>+D159+D162</f>
        <v>0</v>
      </c>
      <c r="E163" s="525">
        <f>+E159+E162</f>
        <v>15000</v>
      </c>
      <c r="F163" s="512">
        <f>+F159+F162</f>
        <v>93810</v>
      </c>
      <c r="G163" s="514">
        <f>+G159+G162</f>
        <v>93000</v>
      </c>
      <c r="H163" s="514">
        <f>+H159+H162</f>
        <v>810</v>
      </c>
      <c r="I163" s="515" t="str">
        <f>IFERROR(F163/#REF!,"-")</f>
        <v>-</v>
      </c>
      <c r="J163" s="512">
        <f>+J159+J162</f>
        <v>296348</v>
      </c>
      <c r="K163" s="514">
        <f>+K162</f>
        <v>293000</v>
      </c>
      <c r="L163" s="514">
        <f>+L162</f>
        <v>3348</v>
      </c>
      <c r="M163" s="516" t="str">
        <f t="shared" ref="M163" si="176">IFERROR(J163/D163,"-")</f>
        <v>-</v>
      </c>
      <c r="N163" s="515">
        <f t="shared" si="172"/>
        <v>1.129752858126257E-2</v>
      </c>
      <c r="O163" s="517"/>
      <c r="P163" s="518">
        <f>+P162</f>
        <v>205911.30000000002</v>
      </c>
      <c r="Q163" s="518">
        <f>+Q162</f>
        <v>648731.30000000005</v>
      </c>
    </row>
    <row r="164" spans="1:17" ht="23.4" x14ac:dyDescent="0.4">
      <c r="A164" s="244" t="s">
        <v>101</v>
      </c>
      <c r="B164" s="1106" t="s">
        <v>250</v>
      </c>
      <c r="C164" s="542" t="s">
        <v>71</v>
      </c>
      <c r="D164" s="527"/>
      <c r="E164" s="459"/>
      <c r="F164" s="457">
        <f>+G164+H164</f>
        <v>0</v>
      </c>
      <c r="G164" s="458"/>
      <c r="H164" s="458"/>
      <c r="I164" s="531" t="str">
        <f>IFERROR(F164/#REF!,"-")</f>
        <v>-</v>
      </c>
      <c r="J164" s="457">
        <f>+K164+L164</f>
        <v>0</v>
      </c>
      <c r="K164" s="458">
        <f t="shared" ref="K164:K195" si="177">+G164+K101</f>
        <v>0</v>
      </c>
      <c r="L164" s="459">
        <f t="shared" ref="L164:L195" si="178">+H164+L101</f>
        <v>0</v>
      </c>
      <c r="M164" s="586" t="str">
        <f>IFERROR(J164/D164,"-")</f>
        <v>-</v>
      </c>
      <c r="N164" s="533" t="str">
        <f t="shared" si="172"/>
        <v>-</v>
      </c>
      <c r="O164" s="538">
        <v>32.946300000000001</v>
      </c>
      <c r="P164" s="534">
        <f t="shared" ref="P164:P195" si="179">+O164*G164</f>
        <v>0</v>
      </c>
      <c r="Q164" s="535">
        <f t="shared" ref="Q164:Q195" si="180">+O164*K164</f>
        <v>0</v>
      </c>
    </row>
    <row r="165" spans="1:17" ht="23.4" x14ac:dyDescent="0.4">
      <c r="A165" s="248" t="s">
        <v>101</v>
      </c>
      <c r="B165" s="1107"/>
      <c r="C165" s="543" t="s">
        <v>72</v>
      </c>
      <c r="D165" s="511"/>
      <c r="E165" s="436"/>
      <c r="F165" s="333">
        <f t="shared" ref="F165:F195" si="181">+G165+H165</f>
        <v>0</v>
      </c>
      <c r="G165" s="278"/>
      <c r="H165" s="278"/>
      <c r="I165" s="352" t="str">
        <f>IFERROR(F165/#REF!,"-")</f>
        <v>-</v>
      </c>
      <c r="J165" s="333">
        <f t="shared" ref="J165:J195" si="182">+K165+L165</f>
        <v>10595</v>
      </c>
      <c r="K165" s="278">
        <f t="shared" si="177"/>
        <v>10500</v>
      </c>
      <c r="L165" s="436">
        <f t="shared" si="178"/>
        <v>95</v>
      </c>
      <c r="M165" s="337" t="str">
        <f t="shared" ref="M165:M167" si="183">IFERROR(J165/D165,"-")</f>
        <v>-</v>
      </c>
      <c r="N165" s="265">
        <f t="shared" si="172"/>
        <v>8.9664936290703157E-3</v>
      </c>
      <c r="O165" s="508">
        <v>35.398400000000002</v>
      </c>
      <c r="P165" s="404">
        <f t="shared" si="179"/>
        <v>0</v>
      </c>
      <c r="Q165" s="449">
        <f t="shared" si="180"/>
        <v>371683.2</v>
      </c>
    </row>
    <row r="166" spans="1:17" ht="24" thickBot="1" x14ac:dyDescent="0.45">
      <c r="A166" s="248" t="s">
        <v>101</v>
      </c>
      <c r="B166" s="1108"/>
      <c r="C166" s="543" t="s">
        <v>455</v>
      </c>
      <c r="D166" s="276"/>
      <c r="E166" s="436"/>
      <c r="F166" s="333">
        <f t="shared" si="181"/>
        <v>2550</v>
      </c>
      <c r="G166" s="278">
        <v>2500</v>
      </c>
      <c r="H166" s="278">
        <v>50</v>
      </c>
      <c r="I166" s="352" t="str">
        <f>IFERROR(F166/#REF!,"-")</f>
        <v>-</v>
      </c>
      <c r="J166" s="333">
        <f t="shared" si="182"/>
        <v>2550</v>
      </c>
      <c r="K166" s="278">
        <f t="shared" si="177"/>
        <v>2500</v>
      </c>
      <c r="L166" s="436">
        <f t="shared" si="178"/>
        <v>50</v>
      </c>
      <c r="M166" s="337" t="str">
        <f t="shared" si="183"/>
        <v>-</v>
      </c>
      <c r="N166" s="265">
        <f>IFERROR(L166/J166,"-")</f>
        <v>1.9607843137254902E-2</v>
      </c>
      <c r="O166" s="508">
        <v>35.398400000000002</v>
      </c>
      <c r="P166" s="404">
        <f t="shared" si="179"/>
        <v>88496</v>
      </c>
      <c r="Q166" s="449">
        <f t="shared" si="180"/>
        <v>88496</v>
      </c>
    </row>
    <row r="167" spans="1:17" ht="23.4" x14ac:dyDescent="0.4">
      <c r="A167" s="248" t="s">
        <v>101</v>
      </c>
      <c r="B167" s="1106" t="s">
        <v>251</v>
      </c>
      <c r="C167" s="545" t="s">
        <v>75</v>
      </c>
      <c r="D167" s="276"/>
      <c r="E167" s="528"/>
      <c r="F167" s="334">
        <f t="shared" si="181"/>
        <v>0</v>
      </c>
      <c r="G167" s="278"/>
      <c r="H167" s="278"/>
      <c r="I167" s="352" t="str">
        <f>IFERROR(F167/#REF!,"-")</f>
        <v>-</v>
      </c>
      <c r="J167" s="333">
        <f t="shared" si="182"/>
        <v>7273</v>
      </c>
      <c r="K167" s="278">
        <f t="shared" si="177"/>
        <v>7063</v>
      </c>
      <c r="L167" s="436">
        <f t="shared" si="178"/>
        <v>210</v>
      </c>
      <c r="M167" s="337" t="str">
        <f t="shared" si="183"/>
        <v>-</v>
      </c>
      <c r="N167" s="265">
        <f t="shared" ref="N167" si="184">IFERROR(L167/J167,"-")</f>
        <v>2.8873917228103944E-2</v>
      </c>
      <c r="O167" s="508">
        <v>55.4758</v>
      </c>
      <c r="P167" s="404">
        <f t="shared" si="179"/>
        <v>0</v>
      </c>
      <c r="Q167" s="449">
        <f t="shared" si="180"/>
        <v>391825.57539999997</v>
      </c>
    </row>
    <row r="168" spans="1:17" ht="23.4" x14ac:dyDescent="0.4">
      <c r="A168" s="248" t="s">
        <v>101</v>
      </c>
      <c r="B168" s="1107"/>
      <c r="C168" s="545" t="s">
        <v>72</v>
      </c>
      <c r="D168" s="276"/>
      <c r="E168" s="529"/>
      <c r="F168" s="334">
        <f t="shared" si="181"/>
        <v>0</v>
      </c>
      <c r="G168" s="278"/>
      <c r="H168" s="278"/>
      <c r="I168" s="352" t="str">
        <f>IFERROR(F168/#REF!,"-")</f>
        <v>-</v>
      </c>
      <c r="J168" s="333">
        <f t="shared" si="182"/>
        <v>0</v>
      </c>
      <c r="K168" s="278">
        <f t="shared" si="177"/>
        <v>0</v>
      </c>
      <c r="L168" s="436">
        <f t="shared" si="178"/>
        <v>0</v>
      </c>
      <c r="M168" s="682"/>
      <c r="N168" s="372"/>
      <c r="O168" s="540">
        <v>58.836300000000001</v>
      </c>
      <c r="P168" s="404">
        <f t="shared" si="179"/>
        <v>0</v>
      </c>
      <c r="Q168" s="449">
        <f t="shared" si="180"/>
        <v>0</v>
      </c>
    </row>
    <row r="169" spans="1:17" ht="23.4" x14ac:dyDescent="0.4">
      <c r="A169" s="248" t="s">
        <v>101</v>
      </c>
      <c r="B169" s="1107"/>
      <c r="C169" s="545" t="s">
        <v>347</v>
      </c>
      <c r="D169" s="276"/>
      <c r="E169" s="435"/>
      <c r="F169" s="334">
        <f t="shared" si="181"/>
        <v>0</v>
      </c>
      <c r="G169" s="278"/>
      <c r="H169" s="278"/>
      <c r="I169" s="352" t="str">
        <f>IFERROR(F169/#REF!,"-")</f>
        <v>-</v>
      </c>
      <c r="J169" s="333">
        <f t="shared" si="182"/>
        <v>0</v>
      </c>
      <c r="K169" s="278">
        <f t="shared" si="177"/>
        <v>0</v>
      </c>
      <c r="L169" s="436">
        <f t="shared" si="178"/>
        <v>0</v>
      </c>
      <c r="M169" s="337" t="str">
        <f t="shared" ref="M169" si="185">IFERROR(J169/D169,"-")</f>
        <v>-</v>
      </c>
      <c r="N169" s="263" t="str">
        <f t="shared" ref="N169" si="186">IFERROR(L169/J169,"-")</f>
        <v>-</v>
      </c>
      <c r="O169" s="710">
        <v>58.836300000000001</v>
      </c>
      <c r="P169" s="404">
        <f t="shared" si="179"/>
        <v>0</v>
      </c>
      <c r="Q169" s="449">
        <f t="shared" si="180"/>
        <v>0</v>
      </c>
    </row>
    <row r="170" spans="1:17" ht="24" thickBot="1" x14ac:dyDescent="0.45">
      <c r="A170" s="248"/>
      <c r="B170" s="1108"/>
      <c r="C170" s="545" t="s">
        <v>361</v>
      </c>
      <c r="D170" s="276"/>
      <c r="E170" s="435"/>
      <c r="F170" s="334">
        <f t="shared" si="181"/>
        <v>0</v>
      </c>
      <c r="G170" s="278"/>
      <c r="H170" s="278"/>
      <c r="I170" s="352"/>
      <c r="J170" s="333">
        <f t="shared" si="182"/>
        <v>0</v>
      </c>
      <c r="K170" s="278">
        <f t="shared" si="177"/>
        <v>0</v>
      </c>
      <c r="L170" s="436">
        <f t="shared" si="178"/>
        <v>0</v>
      </c>
      <c r="M170" s="337"/>
      <c r="N170" s="263" t="str">
        <f>IFERROR(L170/J170,"-")</f>
        <v>-</v>
      </c>
      <c r="O170" s="508">
        <v>55.4758</v>
      </c>
      <c r="P170" s="404">
        <f t="shared" si="179"/>
        <v>0</v>
      </c>
      <c r="Q170" s="449">
        <f t="shared" si="180"/>
        <v>0</v>
      </c>
    </row>
    <row r="171" spans="1:17" ht="23.4" x14ac:dyDescent="0.4">
      <c r="A171" s="248" t="s">
        <v>101</v>
      </c>
      <c r="B171" s="1106" t="s">
        <v>409</v>
      </c>
      <c r="C171" s="543" t="s">
        <v>77</v>
      </c>
      <c r="D171" s="276"/>
      <c r="E171" s="436"/>
      <c r="F171" s="333">
        <f t="shared" si="181"/>
        <v>3010</v>
      </c>
      <c r="G171" s="278">
        <v>3000</v>
      </c>
      <c r="H171" s="278">
        <v>10</v>
      </c>
      <c r="I171" s="352" t="str">
        <f>IFERROR(F171/#REF!,"-")</f>
        <v>-</v>
      </c>
      <c r="J171" s="333">
        <f t="shared" si="182"/>
        <v>3010</v>
      </c>
      <c r="K171" s="686">
        <f t="shared" si="177"/>
        <v>3000</v>
      </c>
      <c r="L171" s="687">
        <f t="shared" si="178"/>
        <v>10</v>
      </c>
      <c r="M171" s="337" t="str">
        <f t="shared" ref="M171:M198" si="187">IFERROR(J171/D171,"-")</f>
        <v>-</v>
      </c>
      <c r="N171" s="263">
        <f t="shared" ref="N171:N197" si="188">IFERROR(L171/J171,"-")</f>
        <v>3.3222591362126247E-3</v>
      </c>
      <c r="O171" s="508">
        <v>25.687200000000001</v>
      </c>
      <c r="P171" s="404">
        <f t="shared" si="179"/>
        <v>77061.600000000006</v>
      </c>
      <c r="Q171" s="449">
        <f t="shared" si="180"/>
        <v>77061.600000000006</v>
      </c>
    </row>
    <row r="172" spans="1:17" ht="24" thickBot="1" x14ac:dyDescent="0.45">
      <c r="A172" s="248" t="s">
        <v>101</v>
      </c>
      <c r="B172" s="1108"/>
      <c r="C172" s="543" t="s">
        <v>117</v>
      </c>
      <c r="D172" s="276"/>
      <c r="E172" s="436"/>
      <c r="F172" s="333">
        <f t="shared" si="181"/>
        <v>0</v>
      </c>
      <c r="G172" s="278"/>
      <c r="H172" s="278"/>
      <c r="I172" s="352" t="str">
        <f>IFERROR(F172/#REF!,"-")</f>
        <v>-</v>
      </c>
      <c r="J172" s="333">
        <f t="shared" si="182"/>
        <v>0</v>
      </c>
      <c r="K172" s="278">
        <f t="shared" si="177"/>
        <v>0</v>
      </c>
      <c r="L172" s="436">
        <f t="shared" si="178"/>
        <v>0</v>
      </c>
      <c r="M172" s="337" t="str">
        <f t="shared" si="187"/>
        <v>-</v>
      </c>
      <c r="N172" s="263" t="str">
        <f t="shared" si="188"/>
        <v>-</v>
      </c>
      <c r="O172" s="508">
        <v>25.033899999999999</v>
      </c>
      <c r="P172" s="404">
        <f t="shared" si="179"/>
        <v>0</v>
      </c>
      <c r="Q172" s="449">
        <f t="shared" si="180"/>
        <v>0</v>
      </c>
    </row>
    <row r="173" spans="1:17" ht="23.4" x14ac:dyDescent="0.4">
      <c r="A173" s="248"/>
      <c r="B173" s="1106" t="s">
        <v>410</v>
      </c>
      <c r="C173" s="543" t="s">
        <v>79</v>
      </c>
      <c r="D173" s="276"/>
      <c r="E173" s="436"/>
      <c r="F173" s="333">
        <f t="shared" si="181"/>
        <v>0</v>
      </c>
      <c r="G173" s="278"/>
      <c r="H173" s="278"/>
      <c r="I173" s="352" t="str">
        <f>IFERROR(F173/#REF!,"-")</f>
        <v>-</v>
      </c>
      <c r="J173" s="333">
        <f t="shared" si="182"/>
        <v>0</v>
      </c>
      <c r="K173" s="278">
        <f t="shared" si="177"/>
        <v>0</v>
      </c>
      <c r="L173" s="436">
        <f t="shared" si="178"/>
        <v>0</v>
      </c>
      <c r="M173" s="337" t="str">
        <f t="shared" si="187"/>
        <v>-</v>
      </c>
      <c r="N173" s="263" t="str">
        <f t="shared" si="188"/>
        <v>-</v>
      </c>
      <c r="O173" s="508">
        <v>41.992699999999999</v>
      </c>
      <c r="P173" s="404">
        <f t="shared" si="179"/>
        <v>0</v>
      </c>
      <c r="Q173" s="449">
        <f t="shared" si="180"/>
        <v>0</v>
      </c>
    </row>
    <row r="174" spans="1:17" ht="23.4" x14ac:dyDescent="0.4">
      <c r="A174" s="248"/>
      <c r="B174" s="1107"/>
      <c r="C174" s="543" t="s">
        <v>72</v>
      </c>
      <c r="D174" s="276"/>
      <c r="E174" s="436"/>
      <c r="F174" s="333">
        <f t="shared" si="181"/>
        <v>0</v>
      </c>
      <c r="G174" s="278"/>
      <c r="H174" s="278"/>
      <c r="I174" s="352" t="str">
        <f>IFERROR(F174/#REF!,"-")</f>
        <v>-</v>
      </c>
      <c r="J174" s="333">
        <f t="shared" si="182"/>
        <v>0</v>
      </c>
      <c r="K174" s="278">
        <f t="shared" si="177"/>
        <v>0</v>
      </c>
      <c r="L174" s="436">
        <f t="shared" si="178"/>
        <v>0</v>
      </c>
      <c r="M174" s="337" t="str">
        <f t="shared" si="187"/>
        <v>-</v>
      </c>
      <c r="N174" s="263" t="str">
        <f t="shared" si="188"/>
        <v>-</v>
      </c>
      <c r="O174" s="508">
        <v>42.283799999999999</v>
      </c>
      <c r="P174" s="404">
        <f t="shared" si="179"/>
        <v>0</v>
      </c>
      <c r="Q174" s="449">
        <f t="shared" si="180"/>
        <v>0</v>
      </c>
    </row>
    <row r="175" spans="1:17" ht="23.4" x14ac:dyDescent="0.4">
      <c r="A175" s="248"/>
      <c r="B175" s="1107"/>
      <c r="C175" s="543" t="s">
        <v>380</v>
      </c>
      <c r="D175" s="276"/>
      <c r="E175" s="436"/>
      <c r="F175" s="333">
        <f t="shared" si="181"/>
        <v>0</v>
      </c>
      <c r="G175" s="278"/>
      <c r="H175" s="278"/>
      <c r="I175" s="352" t="str">
        <f>IFERROR(F175/#REF!,"-")</f>
        <v>-</v>
      </c>
      <c r="J175" s="333">
        <f t="shared" si="182"/>
        <v>0</v>
      </c>
      <c r="K175" s="278">
        <f t="shared" si="177"/>
        <v>0</v>
      </c>
      <c r="L175" s="436">
        <f t="shared" si="178"/>
        <v>0</v>
      </c>
      <c r="M175" s="337" t="str">
        <f t="shared" si="187"/>
        <v>-</v>
      </c>
      <c r="N175" s="263" t="str">
        <f t="shared" si="188"/>
        <v>-</v>
      </c>
      <c r="O175" s="710">
        <v>41.992699999999999</v>
      </c>
      <c r="P175" s="404">
        <f t="shared" si="179"/>
        <v>0</v>
      </c>
      <c r="Q175" s="449">
        <f t="shared" si="180"/>
        <v>0</v>
      </c>
    </row>
    <row r="176" spans="1:17" ht="24" thickBot="1" x14ac:dyDescent="0.45">
      <c r="A176" s="248"/>
      <c r="B176" s="1108"/>
      <c r="C176" s="543" t="s">
        <v>381</v>
      </c>
      <c r="D176" s="276"/>
      <c r="E176" s="436"/>
      <c r="F176" s="333">
        <f t="shared" si="181"/>
        <v>0</v>
      </c>
      <c r="G176" s="278"/>
      <c r="H176" s="278"/>
      <c r="I176" s="352" t="str">
        <f>IFERROR(F176/#REF!,"-")</f>
        <v>-</v>
      </c>
      <c r="J176" s="333">
        <f t="shared" si="182"/>
        <v>0</v>
      </c>
      <c r="K176" s="278">
        <f t="shared" si="177"/>
        <v>0</v>
      </c>
      <c r="L176" s="436">
        <f t="shared" si="178"/>
        <v>0</v>
      </c>
      <c r="M176" s="337" t="str">
        <f t="shared" si="187"/>
        <v>-</v>
      </c>
      <c r="N176" s="263" t="str">
        <f t="shared" si="188"/>
        <v>-</v>
      </c>
      <c r="O176" s="710">
        <v>42.283799999999999</v>
      </c>
      <c r="P176" s="404">
        <f t="shared" si="179"/>
        <v>0</v>
      </c>
      <c r="Q176" s="449">
        <f t="shared" si="180"/>
        <v>0</v>
      </c>
    </row>
    <row r="177" spans="1:17" ht="24" thickBot="1" x14ac:dyDescent="0.45">
      <c r="A177" s="248"/>
      <c r="B177" s="717" t="s">
        <v>80</v>
      </c>
      <c r="C177" s="543" t="s">
        <v>81</v>
      </c>
      <c r="D177" s="276"/>
      <c r="E177" s="436"/>
      <c r="F177" s="333">
        <f t="shared" si="181"/>
        <v>1813</v>
      </c>
      <c r="G177" s="278">
        <v>1700</v>
      </c>
      <c r="H177" s="278">
        <v>113</v>
      </c>
      <c r="I177" s="352" t="str">
        <f>IFERROR(F177/#REF!,"-")</f>
        <v>-</v>
      </c>
      <c r="J177" s="333">
        <f t="shared" si="182"/>
        <v>1813</v>
      </c>
      <c r="K177" s="278">
        <f t="shared" si="177"/>
        <v>1700</v>
      </c>
      <c r="L177" s="436">
        <f t="shared" si="178"/>
        <v>113</v>
      </c>
      <c r="M177" s="337" t="str">
        <f t="shared" si="187"/>
        <v>-</v>
      </c>
      <c r="N177" s="263">
        <f t="shared" si="188"/>
        <v>6.2327633756205182E-2</v>
      </c>
      <c r="O177" s="508">
        <v>4.3535000000000004</v>
      </c>
      <c r="P177" s="404">
        <f t="shared" si="179"/>
        <v>7400.9500000000007</v>
      </c>
      <c r="Q177" s="449">
        <f t="shared" si="180"/>
        <v>7400.9500000000007</v>
      </c>
    </row>
    <row r="178" spans="1:17" ht="23.4" x14ac:dyDescent="0.4">
      <c r="A178" s="248"/>
      <c r="B178" s="1106" t="s">
        <v>253</v>
      </c>
      <c r="C178" s="543" t="s">
        <v>77</v>
      </c>
      <c r="D178" s="276"/>
      <c r="E178" s="436"/>
      <c r="F178" s="333">
        <f t="shared" si="181"/>
        <v>26520</v>
      </c>
      <c r="G178" s="278">
        <v>26400</v>
      </c>
      <c r="H178" s="278">
        <v>120</v>
      </c>
      <c r="I178" s="352" t="str">
        <f>IFERROR(F178/#REF!,"-")</f>
        <v>-</v>
      </c>
      <c r="J178" s="333">
        <f t="shared" si="182"/>
        <v>116940</v>
      </c>
      <c r="K178" s="278">
        <f t="shared" si="177"/>
        <v>116600</v>
      </c>
      <c r="L178" s="436">
        <f t="shared" si="178"/>
        <v>340</v>
      </c>
      <c r="M178" s="337" t="str">
        <f t="shared" si="187"/>
        <v>-</v>
      </c>
      <c r="N178" s="263">
        <f t="shared" si="188"/>
        <v>2.9074739182486744E-3</v>
      </c>
      <c r="O178" s="508">
        <v>4.6184000000000003</v>
      </c>
      <c r="P178" s="404">
        <f t="shared" si="179"/>
        <v>121925.76000000001</v>
      </c>
      <c r="Q178" s="449">
        <f t="shared" si="180"/>
        <v>538505.44000000006</v>
      </c>
    </row>
    <row r="179" spans="1:17" ht="23.4" x14ac:dyDescent="0.4">
      <c r="A179" s="248"/>
      <c r="B179" s="1107"/>
      <c r="C179" s="543" t="s">
        <v>340</v>
      </c>
      <c r="D179" s="276"/>
      <c r="E179" s="436"/>
      <c r="F179" s="333">
        <f t="shared" si="181"/>
        <v>0</v>
      </c>
      <c r="G179" s="278"/>
      <c r="H179" s="278"/>
      <c r="I179" s="352" t="str">
        <f>IFERROR(F179/#REF!,"-")</f>
        <v>-</v>
      </c>
      <c r="J179" s="333">
        <f t="shared" si="182"/>
        <v>0</v>
      </c>
      <c r="K179" s="278">
        <f t="shared" si="177"/>
        <v>0</v>
      </c>
      <c r="L179" s="436">
        <f t="shared" si="178"/>
        <v>0</v>
      </c>
      <c r="M179" s="337" t="str">
        <f t="shared" si="187"/>
        <v>-</v>
      </c>
      <c r="N179" s="263" t="str">
        <f t="shared" si="188"/>
        <v>-</v>
      </c>
      <c r="O179" s="508">
        <v>4.6184000000000003</v>
      </c>
      <c r="P179" s="404">
        <f t="shared" si="179"/>
        <v>0</v>
      </c>
      <c r="Q179" s="449">
        <f t="shared" si="180"/>
        <v>0</v>
      </c>
    </row>
    <row r="180" spans="1:17" ht="23.4" x14ac:dyDescent="0.4">
      <c r="A180" s="248"/>
      <c r="B180" s="1107"/>
      <c r="C180" s="543" t="s">
        <v>252</v>
      </c>
      <c r="D180" s="276"/>
      <c r="E180" s="436"/>
      <c r="F180" s="333">
        <f t="shared" si="181"/>
        <v>0</v>
      </c>
      <c r="G180" s="278"/>
      <c r="H180" s="278"/>
      <c r="I180" s="352" t="str">
        <f>IFERROR(F180/#REF!,"-")</f>
        <v>-</v>
      </c>
      <c r="J180" s="333">
        <f t="shared" si="182"/>
        <v>0</v>
      </c>
      <c r="K180" s="278">
        <f t="shared" si="177"/>
        <v>0</v>
      </c>
      <c r="L180" s="436">
        <f t="shared" si="178"/>
        <v>0</v>
      </c>
      <c r="M180" s="337" t="str">
        <f t="shared" si="187"/>
        <v>-</v>
      </c>
      <c r="N180" s="263" t="str">
        <f t="shared" si="188"/>
        <v>-</v>
      </c>
      <c r="O180" s="508">
        <v>4.6184000000000003</v>
      </c>
      <c r="P180" s="404">
        <f t="shared" si="179"/>
        <v>0</v>
      </c>
      <c r="Q180" s="449">
        <f t="shared" si="180"/>
        <v>0</v>
      </c>
    </row>
    <row r="181" spans="1:17" ht="23.4" x14ac:dyDescent="0.4">
      <c r="A181" s="248"/>
      <c r="B181" s="1107"/>
      <c r="C181" s="543" t="s">
        <v>350</v>
      </c>
      <c r="D181" s="276"/>
      <c r="E181" s="436"/>
      <c r="F181" s="333">
        <f t="shared" si="181"/>
        <v>0</v>
      </c>
      <c r="G181" s="278"/>
      <c r="H181" s="278"/>
      <c r="I181" s="352" t="str">
        <f>IFERROR(F181/#REF!,"-")</f>
        <v>-</v>
      </c>
      <c r="J181" s="333">
        <f t="shared" si="182"/>
        <v>0</v>
      </c>
      <c r="K181" s="686">
        <f t="shared" si="177"/>
        <v>0</v>
      </c>
      <c r="L181" s="687">
        <f t="shared" si="178"/>
        <v>0</v>
      </c>
      <c r="M181" s="337" t="str">
        <f t="shared" si="187"/>
        <v>-</v>
      </c>
      <c r="N181" s="263" t="str">
        <f t="shared" si="188"/>
        <v>-</v>
      </c>
      <c r="O181" s="508">
        <v>4.7636000000000003</v>
      </c>
      <c r="P181" s="404">
        <f t="shared" si="179"/>
        <v>0</v>
      </c>
      <c r="Q181" s="449">
        <f t="shared" si="180"/>
        <v>0</v>
      </c>
    </row>
    <row r="182" spans="1:17" ht="24" thickBot="1" x14ac:dyDescent="0.45">
      <c r="A182" s="248"/>
      <c r="B182" s="1108"/>
      <c r="C182" s="543" t="s">
        <v>346</v>
      </c>
      <c r="D182" s="276"/>
      <c r="E182" s="436"/>
      <c r="F182" s="333">
        <f t="shared" si="181"/>
        <v>0</v>
      </c>
      <c r="G182" s="278"/>
      <c r="H182" s="278"/>
      <c r="I182" s="352" t="str">
        <f>IFERROR(F182/#REF!,"-")</f>
        <v>-</v>
      </c>
      <c r="J182" s="333">
        <f t="shared" si="182"/>
        <v>0</v>
      </c>
      <c r="K182" s="278">
        <f t="shared" si="177"/>
        <v>0</v>
      </c>
      <c r="L182" s="436">
        <f t="shared" si="178"/>
        <v>0</v>
      </c>
      <c r="M182" s="337" t="str">
        <f t="shared" si="187"/>
        <v>-</v>
      </c>
      <c r="N182" s="263" t="str">
        <f t="shared" si="188"/>
        <v>-</v>
      </c>
      <c r="O182" s="508">
        <v>4.8738000000000001</v>
      </c>
      <c r="P182" s="404">
        <f t="shared" si="179"/>
        <v>0</v>
      </c>
      <c r="Q182" s="449">
        <f t="shared" si="180"/>
        <v>0</v>
      </c>
    </row>
    <row r="183" spans="1:17" ht="24" thickBot="1" x14ac:dyDescent="0.45">
      <c r="A183" s="248"/>
      <c r="B183" s="717" t="s">
        <v>254</v>
      </c>
      <c r="C183" s="543" t="s">
        <v>124</v>
      </c>
      <c r="D183" s="276"/>
      <c r="E183" s="436"/>
      <c r="F183" s="333">
        <f t="shared" si="181"/>
        <v>0</v>
      </c>
      <c r="G183" s="278"/>
      <c r="H183" s="278"/>
      <c r="I183" s="352" t="str">
        <f>IFERROR(F183/#REF!,"-")</f>
        <v>-</v>
      </c>
      <c r="J183" s="333">
        <f t="shared" si="182"/>
        <v>0</v>
      </c>
      <c r="K183" s="278">
        <f t="shared" si="177"/>
        <v>0</v>
      </c>
      <c r="L183" s="436">
        <f t="shared" si="178"/>
        <v>0</v>
      </c>
      <c r="M183" s="337" t="str">
        <f t="shared" si="187"/>
        <v>-</v>
      </c>
      <c r="N183" s="263" t="str">
        <f t="shared" si="188"/>
        <v>-</v>
      </c>
      <c r="O183" s="508">
        <v>4.8738000000000001</v>
      </c>
      <c r="P183" s="404">
        <f t="shared" si="179"/>
        <v>0</v>
      </c>
      <c r="Q183" s="449">
        <f t="shared" si="180"/>
        <v>0</v>
      </c>
    </row>
    <row r="184" spans="1:17" ht="23.4" x14ac:dyDescent="0.4">
      <c r="A184" s="248"/>
      <c r="B184" s="1106" t="s">
        <v>256</v>
      </c>
      <c r="C184" s="543" t="s">
        <v>77</v>
      </c>
      <c r="D184" s="276"/>
      <c r="E184" s="436"/>
      <c r="F184" s="333">
        <f t="shared" si="181"/>
        <v>30460</v>
      </c>
      <c r="G184" s="278">
        <v>29820</v>
      </c>
      <c r="H184" s="278">
        <v>640</v>
      </c>
      <c r="I184" s="352" t="str">
        <f>IFERROR(F184/#REF!,"-")</f>
        <v>-</v>
      </c>
      <c r="J184" s="333">
        <f t="shared" si="182"/>
        <v>104060</v>
      </c>
      <c r="K184" s="686">
        <f t="shared" si="177"/>
        <v>102760</v>
      </c>
      <c r="L184" s="687">
        <f t="shared" si="178"/>
        <v>1300</v>
      </c>
      <c r="M184" s="337" t="str">
        <f t="shared" si="187"/>
        <v>-</v>
      </c>
      <c r="N184" s="263">
        <f t="shared" si="188"/>
        <v>1.2492792619642513E-2</v>
      </c>
      <c r="O184" s="508">
        <v>4.9344999999999999</v>
      </c>
      <c r="P184" s="404">
        <f t="shared" si="179"/>
        <v>147146.79</v>
      </c>
      <c r="Q184" s="449">
        <f t="shared" si="180"/>
        <v>507069.22</v>
      </c>
    </row>
    <row r="185" spans="1:17" ht="23.4" x14ac:dyDescent="0.4">
      <c r="A185" s="248"/>
      <c r="B185" s="1107"/>
      <c r="C185" s="543" t="s">
        <v>135</v>
      </c>
      <c r="D185" s="276"/>
      <c r="E185" s="436"/>
      <c r="F185" s="333">
        <f t="shared" si="181"/>
        <v>0</v>
      </c>
      <c r="G185" s="278"/>
      <c r="H185" s="278"/>
      <c r="I185" s="352" t="str">
        <f>IFERROR(F185/#REF!,"-")</f>
        <v>-</v>
      </c>
      <c r="J185" s="333">
        <f t="shared" si="182"/>
        <v>0</v>
      </c>
      <c r="K185" s="278">
        <f t="shared" si="177"/>
        <v>0</v>
      </c>
      <c r="L185" s="436">
        <f t="shared" si="178"/>
        <v>0</v>
      </c>
      <c r="M185" s="337" t="str">
        <f t="shared" si="187"/>
        <v>-</v>
      </c>
      <c r="N185" s="263" t="str">
        <f t="shared" si="188"/>
        <v>-</v>
      </c>
      <c r="O185" s="508">
        <v>4.9344999999999999</v>
      </c>
      <c r="P185" s="404">
        <f t="shared" si="179"/>
        <v>0</v>
      </c>
      <c r="Q185" s="449">
        <f t="shared" si="180"/>
        <v>0</v>
      </c>
    </row>
    <row r="186" spans="1:17" ht="23.4" x14ac:dyDescent="0.4">
      <c r="A186" s="248"/>
      <c r="B186" s="1107"/>
      <c r="C186" s="543" t="s">
        <v>129</v>
      </c>
      <c r="D186" s="276"/>
      <c r="E186" s="436"/>
      <c r="F186" s="333">
        <f t="shared" si="181"/>
        <v>0</v>
      </c>
      <c r="G186" s="278"/>
      <c r="H186" s="278"/>
      <c r="I186" s="352" t="str">
        <f>IFERROR(F186/#REF!,"-")</f>
        <v>-</v>
      </c>
      <c r="J186" s="333">
        <f t="shared" si="182"/>
        <v>0</v>
      </c>
      <c r="K186" s="278">
        <f t="shared" si="177"/>
        <v>0</v>
      </c>
      <c r="L186" s="436">
        <f t="shared" si="178"/>
        <v>0</v>
      </c>
      <c r="M186" s="337" t="str">
        <f t="shared" si="187"/>
        <v>-</v>
      </c>
      <c r="N186" s="263" t="str">
        <f t="shared" si="188"/>
        <v>-</v>
      </c>
      <c r="O186" s="508">
        <v>4.9344999999999999</v>
      </c>
      <c r="P186" s="404">
        <f t="shared" si="179"/>
        <v>0</v>
      </c>
      <c r="Q186" s="449">
        <f t="shared" si="180"/>
        <v>0</v>
      </c>
    </row>
    <row r="187" spans="1:17" ht="24" thickBot="1" x14ac:dyDescent="0.45">
      <c r="A187" s="248"/>
      <c r="B187" s="1108"/>
      <c r="C187" s="543" t="s">
        <v>255</v>
      </c>
      <c r="D187" s="276"/>
      <c r="E187" s="436"/>
      <c r="F187" s="333">
        <f t="shared" si="181"/>
        <v>0</v>
      </c>
      <c r="G187" s="278"/>
      <c r="H187" s="278"/>
      <c r="I187" s="352" t="str">
        <f>IFERROR(F187/#REF!,"-")</f>
        <v>-</v>
      </c>
      <c r="J187" s="333">
        <f t="shared" si="182"/>
        <v>0</v>
      </c>
      <c r="K187" s="278">
        <f t="shared" si="177"/>
        <v>0</v>
      </c>
      <c r="L187" s="436">
        <f t="shared" si="178"/>
        <v>0</v>
      </c>
      <c r="M187" s="337" t="str">
        <f t="shared" si="187"/>
        <v>-</v>
      </c>
      <c r="N187" s="263" t="str">
        <f t="shared" si="188"/>
        <v>-</v>
      </c>
      <c r="O187" s="508">
        <v>5.5069999999999997</v>
      </c>
      <c r="P187" s="404">
        <f t="shared" si="179"/>
        <v>0</v>
      </c>
      <c r="Q187" s="449">
        <f t="shared" si="180"/>
        <v>0</v>
      </c>
    </row>
    <row r="188" spans="1:17" ht="23.4" x14ac:dyDescent="0.4">
      <c r="A188" s="248"/>
      <c r="B188" s="1106" t="s">
        <v>261</v>
      </c>
      <c r="C188" s="543" t="s">
        <v>257</v>
      </c>
      <c r="D188" s="276"/>
      <c r="E188" s="436"/>
      <c r="F188" s="333">
        <f t="shared" si="181"/>
        <v>40695</v>
      </c>
      <c r="G188" s="278">
        <v>40600</v>
      </c>
      <c r="H188" s="278">
        <v>95</v>
      </c>
      <c r="I188" s="352" t="str">
        <f>IFERROR(F188/#REF!,"-")</f>
        <v>-</v>
      </c>
      <c r="J188" s="333">
        <f t="shared" si="182"/>
        <v>94730</v>
      </c>
      <c r="K188" s="278">
        <f t="shared" si="177"/>
        <v>94500</v>
      </c>
      <c r="L188" s="436">
        <f t="shared" si="178"/>
        <v>230</v>
      </c>
      <c r="M188" s="337" t="str">
        <f t="shared" si="187"/>
        <v>-</v>
      </c>
      <c r="N188" s="263">
        <f t="shared" si="188"/>
        <v>2.427953129948274E-3</v>
      </c>
      <c r="O188" s="710">
        <v>5.5069999999999997</v>
      </c>
      <c r="P188" s="404">
        <f t="shared" si="179"/>
        <v>223584.19999999998</v>
      </c>
      <c r="Q188" s="449">
        <f t="shared" si="180"/>
        <v>520411.49999999994</v>
      </c>
    </row>
    <row r="189" spans="1:17" ht="23.4" x14ac:dyDescent="0.4">
      <c r="A189" s="248"/>
      <c r="B189" s="1107"/>
      <c r="C189" s="543" t="s">
        <v>258</v>
      </c>
      <c r="D189" s="276"/>
      <c r="E189" s="436"/>
      <c r="F189" s="333">
        <f t="shared" si="181"/>
        <v>0</v>
      </c>
      <c r="G189" s="278"/>
      <c r="H189" s="278"/>
      <c r="I189" s="352" t="str">
        <f>IFERROR(F189/#REF!,"-")</f>
        <v>-</v>
      </c>
      <c r="J189" s="333">
        <f t="shared" si="182"/>
        <v>0</v>
      </c>
      <c r="K189" s="278">
        <f t="shared" si="177"/>
        <v>0</v>
      </c>
      <c r="L189" s="436">
        <f t="shared" si="178"/>
        <v>0</v>
      </c>
      <c r="M189" s="337" t="str">
        <f t="shared" si="187"/>
        <v>-</v>
      </c>
      <c r="N189" s="263" t="str">
        <f t="shared" si="188"/>
        <v>-</v>
      </c>
      <c r="O189" s="508">
        <v>5.6550000000000002</v>
      </c>
      <c r="P189" s="404">
        <f t="shared" si="179"/>
        <v>0</v>
      </c>
      <c r="Q189" s="449">
        <f t="shared" si="180"/>
        <v>0</v>
      </c>
    </row>
    <row r="190" spans="1:17" ht="23.4" x14ac:dyDescent="0.4">
      <c r="A190" s="248"/>
      <c r="B190" s="1107"/>
      <c r="C190" s="543" t="s">
        <v>321</v>
      </c>
      <c r="D190" s="276"/>
      <c r="E190" s="436"/>
      <c r="F190" s="333">
        <f t="shared" si="181"/>
        <v>0</v>
      </c>
      <c r="G190" s="278"/>
      <c r="H190" s="278"/>
      <c r="I190" s="352" t="str">
        <f>IFERROR(F190/#REF!,"-")</f>
        <v>-</v>
      </c>
      <c r="J190" s="333">
        <f t="shared" si="182"/>
        <v>0</v>
      </c>
      <c r="K190" s="686">
        <f t="shared" si="177"/>
        <v>0</v>
      </c>
      <c r="L190" s="687">
        <f t="shared" si="178"/>
        <v>0</v>
      </c>
      <c r="M190" s="337" t="str">
        <f t="shared" si="187"/>
        <v>-</v>
      </c>
      <c r="N190" s="263" t="str">
        <f t="shared" si="188"/>
        <v>-</v>
      </c>
      <c r="O190" s="508">
        <v>5.6550000000000002</v>
      </c>
      <c r="P190" s="404">
        <f t="shared" si="179"/>
        <v>0</v>
      </c>
      <c r="Q190" s="449">
        <f t="shared" si="180"/>
        <v>0</v>
      </c>
    </row>
    <row r="191" spans="1:17" ht="23.4" x14ac:dyDescent="0.4">
      <c r="A191" s="248"/>
      <c r="B191" s="1107"/>
      <c r="C191" s="543" t="s">
        <v>259</v>
      </c>
      <c r="D191" s="276"/>
      <c r="E191" s="436"/>
      <c r="F191" s="333">
        <f t="shared" si="181"/>
        <v>0</v>
      </c>
      <c r="G191" s="278"/>
      <c r="H191" s="278"/>
      <c r="I191" s="352" t="str">
        <f>IFERROR(F191/#REF!,"-")</f>
        <v>-</v>
      </c>
      <c r="J191" s="333">
        <f t="shared" si="182"/>
        <v>0</v>
      </c>
      <c r="K191" s="278">
        <f t="shared" si="177"/>
        <v>0</v>
      </c>
      <c r="L191" s="436">
        <f t="shared" si="178"/>
        <v>0</v>
      </c>
      <c r="M191" s="337" t="str">
        <f t="shared" si="187"/>
        <v>-</v>
      </c>
      <c r="N191" s="263" t="str">
        <f t="shared" si="188"/>
        <v>-</v>
      </c>
      <c r="O191" s="508">
        <v>5.6550000000000002</v>
      </c>
      <c r="P191" s="404">
        <f t="shared" si="179"/>
        <v>0</v>
      </c>
      <c r="Q191" s="449">
        <f t="shared" si="180"/>
        <v>0</v>
      </c>
    </row>
    <row r="192" spans="1:17" ht="23.4" x14ac:dyDescent="0.4">
      <c r="A192" s="248" t="s">
        <v>101</v>
      </c>
      <c r="B192" s="1107"/>
      <c r="C192" s="543" t="s">
        <v>260</v>
      </c>
      <c r="D192" s="276"/>
      <c r="E192" s="436"/>
      <c r="F192" s="333">
        <f t="shared" si="181"/>
        <v>0</v>
      </c>
      <c r="G192" s="278"/>
      <c r="H192" s="278"/>
      <c r="I192" s="352" t="str">
        <f>IFERROR(F192/#REF!,"-")</f>
        <v>-</v>
      </c>
      <c r="J192" s="333">
        <f t="shared" si="182"/>
        <v>0</v>
      </c>
      <c r="K192" s="278">
        <f t="shared" si="177"/>
        <v>0</v>
      </c>
      <c r="L192" s="436">
        <f t="shared" si="178"/>
        <v>0</v>
      </c>
      <c r="M192" s="337" t="str">
        <f t="shared" si="187"/>
        <v>-</v>
      </c>
      <c r="N192" s="263" t="str">
        <f t="shared" si="188"/>
        <v>-</v>
      </c>
      <c r="O192" s="508">
        <v>3.2963</v>
      </c>
      <c r="P192" s="404">
        <f t="shared" si="179"/>
        <v>0</v>
      </c>
      <c r="Q192" s="449">
        <f t="shared" si="180"/>
        <v>0</v>
      </c>
    </row>
    <row r="193" spans="1:17" ht="24" thickBot="1" x14ac:dyDescent="0.45">
      <c r="A193" s="248" t="s">
        <v>101</v>
      </c>
      <c r="B193" s="1108"/>
      <c r="C193" s="543" t="s">
        <v>255</v>
      </c>
      <c r="D193" s="276"/>
      <c r="E193" s="436"/>
      <c r="F193" s="333">
        <f t="shared" si="181"/>
        <v>0</v>
      </c>
      <c r="G193" s="278"/>
      <c r="H193" s="278"/>
      <c r="I193" s="352" t="str">
        <f>IFERROR(F193/#REF!,"-")</f>
        <v>-</v>
      </c>
      <c r="J193" s="333">
        <f t="shared" si="182"/>
        <v>0</v>
      </c>
      <c r="K193" s="278">
        <f t="shared" si="177"/>
        <v>0</v>
      </c>
      <c r="L193" s="436">
        <f t="shared" si="178"/>
        <v>0</v>
      </c>
      <c r="M193" s="337" t="str">
        <f t="shared" si="187"/>
        <v>-</v>
      </c>
      <c r="N193" s="263" t="str">
        <f t="shared" si="188"/>
        <v>-</v>
      </c>
      <c r="O193" s="508">
        <v>3.2963</v>
      </c>
      <c r="P193" s="404">
        <f t="shared" si="179"/>
        <v>0</v>
      </c>
      <c r="Q193" s="449">
        <f t="shared" si="180"/>
        <v>0</v>
      </c>
    </row>
    <row r="194" spans="1:17" ht="23.4" x14ac:dyDescent="0.4">
      <c r="A194" s="248" t="s">
        <v>101</v>
      </c>
      <c r="B194" s="546"/>
      <c r="C194" s="544" t="s">
        <v>89</v>
      </c>
      <c r="D194" s="511"/>
      <c r="E194" s="436"/>
      <c r="F194" s="333">
        <f t="shared" si="181"/>
        <v>0</v>
      </c>
      <c r="G194" s="278"/>
      <c r="H194" s="278"/>
      <c r="I194" s="352" t="str">
        <f>IFERROR(F194/#REF!,"-")</f>
        <v>-</v>
      </c>
      <c r="J194" s="333">
        <f t="shared" si="182"/>
        <v>0</v>
      </c>
      <c r="K194" s="278">
        <f t="shared" si="177"/>
        <v>0</v>
      </c>
      <c r="L194" s="436">
        <f t="shared" si="178"/>
        <v>0</v>
      </c>
      <c r="M194" s="337" t="str">
        <f t="shared" si="187"/>
        <v>-</v>
      </c>
      <c r="N194" s="263" t="str">
        <f t="shared" si="188"/>
        <v>-</v>
      </c>
      <c r="O194" s="508">
        <v>2.3201000000000001</v>
      </c>
      <c r="P194" s="404">
        <f t="shared" si="179"/>
        <v>0</v>
      </c>
      <c r="Q194" s="449">
        <f t="shared" si="180"/>
        <v>0</v>
      </c>
    </row>
    <row r="195" spans="1:17" ht="24" thickBot="1" x14ac:dyDescent="0.35">
      <c r="A195" s="248" t="s">
        <v>101</v>
      </c>
      <c r="B195" s="524"/>
      <c r="C195" s="541"/>
      <c r="D195" s="530"/>
      <c r="E195" s="462"/>
      <c r="F195" s="460">
        <f t="shared" si="181"/>
        <v>0</v>
      </c>
      <c r="G195" s="461"/>
      <c r="H195" s="461"/>
      <c r="I195" s="532" t="str">
        <f>IFERROR(F195/#REF!,"-")</f>
        <v>-</v>
      </c>
      <c r="J195" s="460">
        <f t="shared" si="182"/>
        <v>0</v>
      </c>
      <c r="K195" s="461">
        <f t="shared" si="177"/>
        <v>0</v>
      </c>
      <c r="L195" s="462">
        <f t="shared" si="178"/>
        <v>0</v>
      </c>
      <c r="M195" s="683" t="str">
        <f t="shared" si="187"/>
        <v>-</v>
      </c>
      <c r="N195" s="264" t="str">
        <f t="shared" si="188"/>
        <v>-</v>
      </c>
      <c r="O195" s="539"/>
      <c r="P195" s="536">
        <f t="shared" si="179"/>
        <v>0</v>
      </c>
      <c r="Q195" s="537">
        <f t="shared" si="180"/>
        <v>0</v>
      </c>
    </row>
    <row r="196" spans="1:17" ht="23.25" customHeight="1" thickBot="1" x14ac:dyDescent="0.35">
      <c r="A196" s="274" t="s">
        <v>101</v>
      </c>
      <c r="B196" s="1109" t="s">
        <v>25</v>
      </c>
      <c r="C196" s="1046"/>
      <c r="D196" s="513">
        <f>SUM(D169:D195)</f>
        <v>0</v>
      </c>
      <c r="E196" s="526">
        <v>100000</v>
      </c>
      <c r="F196" s="519">
        <f>SUM(F164:F195)</f>
        <v>105048</v>
      </c>
      <c r="G196" s="519">
        <f>SUM(G164:G195)</f>
        <v>104020</v>
      </c>
      <c r="H196" s="519">
        <f>SUM(H164:H195)</f>
        <v>1028</v>
      </c>
      <c r="I196" s="520" t="str">
        <f>IFERROR(F196/#REF!,"-")</f>
        <v>-</v>
      </c>
      <c r="J196" s="513">
        <f>SUM(J164:J195)</f>
        <v>340971</v>
      </c>
      <c r="K196" s="513">
        <f t="shared" ref="K196:L196" si="189">SUM(K164:K195)</f>
        <v>338623</v>
      </c>
      <c r="L196" s="513">
        <f t="shared" si="189"/>
        <v>2348</v>
      </c>
      <c r="M196" s="521" t="str">
        <f t="shared" si="187"/>
        <v>-</v>
      </c>
      <c r="N196" s="520">
        <f t="shared" si="188"/>
        <v>6.8862161298174915E-3</v>
      </c>
      <c r="O196" s="522"/>
      <c r="P196" s="523">
        <f>SUM(P164:P195)</f>
        <v>665615.30000000005</v>
      </c>
      <c r="Q196" s="523">
        <f>SUM(Q164:Q195)</f>
        <v>2502453.4853999997</v>
      </c>
    </row>
    <row r="197" spans="1:17" ht="23.25" customHeight="1" thickBot="1" x14ac:dyDescent="0.35">
      <c r="A197" s="318" t="s">
        <v>101</v>
      </c>
      <c r="B197" s="1111" t="s">
        <v>249</v>
      </c>
      <c r="C197" s="1112"/>
      <c r="D197" s="326">
        <f>+D168+D196</f>
        <v>0</v>
      </c>
      <c r="E197" s="327">
        <f>+E168+E196</f>
        <v>100000</v>
      </c>
      <c r="F197" s="326">
        <f>+F196</f>
        <v>105048</v>
      </c>
      <c r="G197" s="326">
        <f t="shared" ref="G197:H197" si="190">+G196</f>
        <v>104020</v>
      </c>
      <c r="H197" s="326">
        <f t="shared" si="190"/>
        <v>1028</v>
      </c>
      <c r="I197" s="349" t="str">
        <f>IFERROR(F197/#REF!,"-")</f>
        <v>-</v>
      </c>
      <c r="J197" s="326">
        <f>+J196</f>
        <v>340971</v>
      </c>
      <c r="K197" s="326">
        <f t="shared" ref="K197:L197" si="191">+K196</f>
        <v>338623</v>
      </c>
      <c r="L197" s="326">
        <f t="shared" si="191"/>
        <v>2348</v>
      </c>
      <c r="M197" s="341" t="str">
        <f t="shared" si="187"/>
        <v>-</v>
      </c>
      <c r="N197" s="349">
        <f t="shared" si="188"/>
        <v>6.8862161298174915E-3</v>
      </c>
      <c r="O197" s="394"/>
      <c r="P197" s="410">
        <f>+P196</f>
        <v>665615.30000000005</v>
      </c>
      <c r="Q197" s="428">
        <f>Q196</f>
        <v>2502453.4853999997</v>
      </c>
    </row>
    <row r="198" spans="1:17" ht="24.6" thickBot="1" x14ac:dyDescent="0.35">
      <c r="A198" s="319"/>
      <c r="B198" s="1113" t="s">
        <v>174</v>
      </c>
      <c r="C198" s="1114"/>
      <c r="D198" s="374">
        <f>+D197+D163+D154</f>
        <v>0</v>
      </c>
      <c r="E198" s="374">
        <f>+E197+E163+E154</f>
        <v>230000</v>
      </c>
      <c r="F198" s="374">
        <f>+F197+F163+F154</f>
        <v>379511</v>
      </c>
      <c r="G198" s="374">
        <f>+G197+G163+G154</f>
        <v>376520</v>
      </c>
      <c r="H198" s="374">
        <f>+H197+H163+H154</f>
        <v>2991</v>
      </c>
      <c r="I198" s="375" t="str">
        <f>IFERROR(F198/#REF!,"-")</f>
        <v>-</v>
      </c>
      <c r="J198" s="374">
        <f>+J197+J163+J154</f>
        <v>1126052</v>
      </c>
      <c r="K198" s="374">
        <f>+K197+K163+K154</f>
        <v>1115673</v>
      </c>
      <c r="L198" s="374">
        <f>+L197+L163+L154</f>
        <v>10379</v>
      </c>
      <c r="M198" s="375" t="str">
        <f t="shared" si="187"/>
        <v>-</v>
      </c>
      <c r="N198" s="375">
        <f>IFERROR(L198/J198,"-")</f>
        <v>9.217158710254943E-3</v>
      </c>
      <c r="O198" s="401"/>
      <c r="P198" s="418">
        <f>+P197+P163+P154</f>
        <v>1916996.1500000001</v>
      </c>
      <c r="Q198" s="418">
        <f>+Q197+Q163+Q154</f>
        <v>5713441.3454</v>
      </c>
    </row>
    <row r="199" spans="1:17" ht="24.6" customHeight="1" thickBot="1" x14ac:dyDescent="0.35">
      <c r="A199" s="230"/>
      <c r="B199" s="230"/>
      <c r="C199" s="230"/>
      <c r="D199" s="232"/>
      <c r="E199" s="232"/>
      <c r="F199" s="232"/>
      <c r="G199" s="267"/>
      <c r="H199" s="267"/>
      <c r="I199" s="234"/>
      <c r="J199" s="232"/>
      <c r="K199" s="232"/>
      <c r="L199" s="232"/>
      <c r="M199" s="234"/>
      <c r="N199" s="234"/>
    </row>
    <row r="200" spans="1:17" ht="22.5" customHeight="1" x14ac:dyDescent="0.3">
      <c r="A200" s="1115" t="s">
        <v>1</v>
      </c>
      <c r="B200" s="1118" t="s">
        <v>2</v>
      </c>
      <c r="C200" s="1121" t="s">
        <v>396</v>
      </c>
      <c r="D200" s="1066" t="s">
        <v>4</v>
      </c>
      <c r="E200" s="1067"/>
      <c r="F200" s="1067"/>
      <c r="G200" s="1067"/>
      <c r="H200" s="1067"/>
      <c r="I200" s="1067"/>
      <c r="J200" s="1067"/>
      <c r="K200" s="1067"/>
      <c r="L200" s="1067"/>
      <c r="M200" s="1067"/>
      <c r="N200" s="1068"/>
      <c r="O200" s="1092" t="s">
        <v>167</v>
      </c>
      <c r="P200" s="1093"/>
      <c r="Q200" s="1124"/>
    </row>
    <row r="201" spans="1:17" ht="22.5" customHeight="1" x14ac:dyDescent="0.3">
      <c r="A201" s="1116"/>
      <c r="B201" s="1119"/>
      <c r="C201" s="1122"/>
      <c r="D201" s="1069" t="s">
        <v>7</v>
      </c>
      <c r="E201" s="1071" t="s">
        <v>108</v>
      </c>
      <c r="F201" s="1125" t="s">
        <v>494</v>
      </c>
      <c r="G201" s="1074"/>
      <c r="H201" s="1074"/>
      <c r="I201" s="1075"/>
      <c r="J201" s="1076" t="s">
        <v>8</v>
      </c>
      <c r="K201" s="1077"/>
      <c r="L201" s="1078"/>
      <c r="M201" s="1079" t="s">
        <v>165</v>
      </c>
      <c r="N201" s="1081" t="s">
        <v>164</v>
      </c>
      <c r="O201" s="1126" t="s">
        <v>169</v>
      </c>
      <c r="P201" s="1127"/>
      <c r="Q201" s="1128"/>
    </row>
    <row r="202" spans="1:17" ht="47.4" thickBot="1" x14ac:dyDescent="0.35">
      <c r="A202" s="1117"/>
      <c r="B202" s="1120"/>
      <c r="C202" s="1123"/>
      <c r="D202" s="1070"/>
      <c r="E202" s="1072"/>
      <c r="F202" s="452" t="s">
        <v>13</v>
      </c>
      <c r="G202" s="453" t="s">
        <v>14</v>
      </c>
      <c r="H202" s="453" t="s">
        <v>15</v>
      </c>
      <c r="I202" s="454" t="s">
        <v>166</v>
      </c>
      <c r="J202" s="680" t="s">
        <v>13</v>
      </c>
      <c r="K202" s="678" t="s">
        <v>14</v>
      </c>
      <c r="L202" s="679" t="s">
        <v>15</v>
      </c>
      <c r="M202" s="1080"/>
      <c r="N202" s="1082"/>
      <c r="O202" s="444" t="s">
        <v>170</v>
      </c>
      <c r="P202" s="445" t="s">
        <v>11</v>
      </c>
      <c r="Q202" s="446" t="s">
        <v>12</v>
      </c>
    </row>
    <row r="203" spans="1:17" ht="23.4" x14ac:dyDescent="0.3">
      <c r="A203" s="268" t="s">
        <v>103</v>
      </c>
      <c r="B203" s="439"/>
      <c r="C203" s="269" t="s">
        <v>502</v>
      </c>
      <c r="D203" s="270"/>
      <c r="E203" s="271"/>
      <c r="F203" s="332">
        <f>+G203+H203</f>
        <v>56000</v>
      </c>
      <c r="G203" s="272">
        <v>56000</v>
      </c>
      <c r="H203" s="272"/>
      <c r="I203" s="351" t="str">
        <f>IFERROR(F203/#REF!,"-")</f>
        <v>-</v>
      </c>
      <c r="J203" s="457">
        <f>+K203+L203</f>
        <v>56000</v>
      </c>
      <c r="K203" s="458">
        <f>+G203+K140</f>
        <v>56000</v>
      </c>
      <c r="L203" s="458">
        <f>+H203+L140</f>
        <v>0</v>
      </c>
      <c r="M203" s="336" t="str">
        <f>IFERROR(J203/D203,"-")</f>
        <v>-</v>
      </c>
      <c r="N203" s="343">
        <f t="shared" ref="N203:N204" si="192">IFERROR(L203/J203,"-")</f>
        <v>0</v>
      </c>
      <c r="O203" s="786">
        <v>0</v>
      </c>
      <c r="P203" s="402">
        <f>+O203*G203</f>
        <v>0</v>
      </c>
      <c r="Q203" s="447">
        <f>+O203*K203</f>
        <v>0</v>
      </c>
    </row>
    <row r="204" spans="1:17" ht="23.4" x14ac:dyDescent="0.3">
      <c r="A204" s="274" t="s">
        <v>103</v>
      </c>
      <c r="B204" s="438"/>
      <c r="C204" s="275" t="s">
        <v>245</v>
      </c>
      <c r="D204" s="276"/>
      <c r="E204" s="277"/>
      <c r="F204" s="333">
        <f t="shared" ref="F204:F207" si="193">+G204+H204</f>
        <v>0</v>
      </c>
      <c r="G204" s="719"/>
      <c r="H204" s="719"/>
      <c r="I204" s="352" t="str">
        <f>IFERROR(F204/#REF!,"-")</f>
        <v>-</v>
      </c>
      <c r="J204" s="333">
        <f t="shared" ref="J204:J207" si="194">+K204+L204</f>
        <v>115874</v>
      </c>
      <c r="K204" s="278">
        <f t="shared" ref="K204:L204" si="195">+G204+K141</f>
        <v>115000</v>
      </c>
      <c r="L204" s="436">
        <f t="shared" si="195"/>
        <v>874</v>
      </c>
      <c r="M204" s="337" t="str">
        <f t="shared" ref="M204:M207" si="196">IFERROR(J204/D204,"-")</f>
        <v>-</v>
      </c>
      <c r="N204" s="265">
        <f t="shared" si="192"/>
        <v>7.5426756649464074E-3</v>
      </c>
      <c r="O204" s="508">
        <v>2.3978999999999999</v>
      </c>
      <c r="P204" s="404">
        <f>+O204*G204</f>
        <v>0</v>
      </c>
      <c r="Q204" s="449">
        <f>+O204*K204</f>
        <v>275758.5</v>
      </c>
    </row>
    <row r="205" spans="1:17" ht="23.4" x14ac:dyDescent="0.3">
      <c r="A205" s="274" t="s">
        <v>103</v>
      </c>
      <c r="B205" s="438"/>
      <c r="C205" s="275" t="s">
        <v>395</v>
      </c>
      <c r="D205" s="276"/>
      <c r="E205" s="277"/>
      <c r="F205" s="333">
        <f t="shared" si="193"/>
        <v>115864</v>
      </c>
      <c r="G205" s="278">
        <v>115000</v>
      </c>
      <c r="H205" s="719">
        <v>864</v>
      </c>
      <c r="I205" s="352" t="str">
        <f>IFERROR(F205/#REF!,"-")</f>
        <v>-</v>
      </c>
      <c r="J205" s="333">
        <f t="shared" si="194"/>
        <v>274592</v>
      </c>
      <c r="K205" s="278">
        <f t="shared" ref="K205:L205" si="197">+G205+K142</f>
        <v>272000</v>
      </c>
      <c r="L205" s="436">
        <f t="shared" si="197"/>
        <v>2592</v>
      </c>
      <c r="M205" s="337" t="str">
        <f t="shared" si="196"/>
        <v>-</v>
      </c>
      <c r="N205" s="716">
        <f>IFERROR(L205/J205,"-")</f>
        <v>9.4394592704812961E-3</v>
      </c>
      <c r="O205" s="718">
        <v>3.6777000000000002</v>
      </c>
      <c r="P205" s="404">
        <f t="shared" ref="P205:P207" si="198">+O205*G205</f>
        <v>422935.5</v>
      </c>
      <c r="Q205" s="449">
        <f t="shared" ref="Q205:Q207" si="199">+O205*K205</f>
        <v>1000334.4</v>
      </c>
    </row>
    <row r="206" spans="1:17" ht="23.4" x14ac:dyDescent="0.3">
      <c r="A206" s="274"/>
      <c r="B206" s="451"/>
      <c r="C206" s="275" t="s">
        <v>319</v>
      </c>
      <c r="D206" s="280"/>
      <c r="E206" s="281"/>
      <c r="F206" s="333">
        <f t="shared" si="193"/>
        <v>44556</v>
      </c>
      <c r="G206" s="282">
        <v>44000</v>
      </c>
      <c r="H206" s="282">
        <v>556</v>
      </c>
      <c r="I206" s="352" t="str">
        <f>IFERROR(F206/#REF!,"-")</f>
        <v>-</v>
      </c>
      <c r="J206" s="333">
        <f t="shared" si="194"/>
        <v>135608</v>
      </c>
      <c r="K206" s="278">
        <f t="shared" ref="K206:L206" si="200">+G206+K143</f>
        <v>133800</v>
      </c>
      <c r="L206" s="436">
        <f t="shared" si="200"/>
        <v>1808</v>
      </c>
      <c r="M206" s="337" t="str">
        <f t="shared" si="196"/>
        <v>-</v>
      </c>
      <c r="N206" s="265">
        <f>IFERROR(L206/J206,"-")</f>
        <v>1.3332546752403989E-2</v>
      </c>
      <c r="O206" s="509">
        <v>12.284700000000001</v>
      </c>
      <c r="P206" s="404">
        <f t="shared" si="198"/>
        <v>540526.80000000005</v>
      </c>
      <c r="Q206" s="449">
        <f t="shared" si="199"/>
        <v>1643692.86</v>
      </c>
    </row>
    <row r="207" spans="1:17" ht="24" thickBot="1" x14ac:dyDescent="0.35">
      <c r="A207" s="274" t="s">
        <v>103</v>
      </c>
      <c r="B207" s="451"/>
      <c r="C207" s="275" t="s">
        <v>365</v>
      </c>
      <c r="D207" s="280"/>
      <c r="E207" s="281"/>
      <c r="F207" s="334">
        <f t="shared" si="193"/>
        <v>0</v>
      </c>
      <c r="G207" s="282"/>
      <c r="H207" s="282"/>
      <c r="I207" s="353" t="str">
        <f>IFERROR(F207/#REF!,"-")</f>
        <v>-</v>
      </c>
      <c r="J207" s="460">
        <f t="shared" si="194"/>
        <v>45034</v>
      </c>
      <c r="K207" s="461">
        <f t="shared" ref="K207:L207" si="201">+G207+K144</f>
        <v>44250</v>
      </c>
      <c r="L207" s="462">
        <f t="shared" si="201"/>
        <v>784</v>
      </c>
      <c r="M207" s="338" t="str">
        <f t="shared" si="196"/>
        <v>-</v>
      </c>
      <c r="N207" s="344">
        <f t="shared" ref="N207:N219" si="202">IFERROR(L207/J207,"-")</f>
        <v>1.7409068703646134E-2</v>
      </c>
      <c r="O207" s="718">
        <v>7.0612000000000004</v>
      </c>
      <c r="P207" s="405">
        <f t="shared" si="198"/>
        <v>0</v>
      </c>
      <c r="Q207" s="450">
        <f t="shared" si="199"/>
        <v>312458.10000000003</v>
      </c>
    </row>
    <row r="208" spans="1:17" ht="23.25" customHeight="1" thickBot="1" x14ac:dyDescent="0.35">
      <c r="A208" s="274" t="s">
        <v>103</v>
      </c>
      <c r="B208" s="1109" t="s">
        <v>21</v>
      </c>
      <c r="C208" s="1046"/>
      <c r="D208" s="320">
        <f>SUM(D203:D207)</f>
        <v>0</v>
      </c>
      <c r="E208" s="285">
        <v>15000</v>
      </c>
      <c r="F208" s="320">
        <f>SUM(F203:F207)</f>
        <v>216420</v>
      </c>
      <c r="G208" s="321">
        <f>SUM(G203:G207)</f>
        <v>215000</v>
      </c>
      <c r="H208" s="321">
        <f>SUM(H203:H207)</f>
        <v>1420</v>
      </c>
      <c r="I208" s="345" t="str">
        <f>IFERROR(F208/#REF!,"-")</f>
        <v>-</v>
      </c>
      <c r="J208" s="320">
        <f>SUM(J203:J207)</f>
        <v>627108</v>
      </c>
      <c r="K208" s="321">
        <f>SUM(K203:K207)</f>
        <v>621050</v>
      </c>
      <c r="L208" s="322">
        <f>SUM(L203:L207)</f>
        <v>6058</v>
      </c>
      <c r="M208" s="339" t="str">
        <f>IFERROR(J208/D208,"-")</f>
        <v>-</v>
      </c>
      <c r="N208" s="345">
        <f t="shared" si="202"/>
        <v>9.660218016673364E-3</v>
      </c>
      <c r="O208" s="391"/>
      <c r="P208" s="406">
        <f>SUM(P203:P207)</f>
        <v>963462.3</v>
      </c>
      <c r="Q208" s="425">
        <f>SUM(Q203:Q207)</f>
        <v>3232243.86</v>
      </c>
    </row>
    <row r="209" spans="1:17" ht="23.4" x14ac:dyDescent="0.3">
      <c r="A209" s="274" t="s">
        <v>103</v>
      </c>
      <c r="B209" s="439"/>
      <c r="C209" s="269" t="s">
        <v>244</v>
      </c>
      <c r="D209" s="270"/>
      <c r="E209" s="271"/>
      <c r="F209" s="332">
        <f t="shared" ref="F209:F215" si="203">+G209+H209</f>
        <v>0</v>
      </c>
      <c r="G209" s="272"/>
      <c r="H209" s="272"/>
      <c r="I209" s="351" t="str">
        <f>IFERROR(F209/#REF!,"-")</f>
        <v>-</v>
      </c>
      <c r="J209" s="457">
        <f t="shared" ref="J209:J215" si="204">+K209+L209</f>
        <v>0</v>
      </c>
      <c r="K209" s="458">
        <f t="shared" ref="K209:K215" si="205">+G209+K146</f>
        <v>0</v>
      </c>
      <c r="L209" s="459">
        <f t="shared" ref="L209:L215" si="206">+H209+L146</f>
        <v>0</v>
      </c>
      <c r="M209" s="336" t="str">
        <f t="shared" ref="M209:M217" si="207">IFERROR(J209/D209,"-")</f>
        <v>-</v>
      </c>
      <c r="N209" s="346" t="str">
        <f t="shared" si="202"/>
        <v>-</v>
      </c>
      <c r="O209" s="507">
        <v>18.2316</v>
      </c>
      <c r="P209" s="402">
        <f t="shared" ref="P209:P215" si="208">+O209*G209</f>
        <v>0</v>
      </c>
      <c r="Q209" s="447">
        <f t="shared" ref="Q209:Q215" si="209">+O209*K209</f>
        <v>0</v>
      </c>
    </row>
    <row r="210" spans="1:17" ht="23.4" x14ac:dyDescent="0.3">
      <c r="A210" s="274" t="s">
        <v>103</v>
      </c>
      <c r="B210" s="438"/>
      <c r="C210" s="275" t="s">
        <v>89</v>
      </c>
      <c r="D210" s="276"/>
      <c r="E210" s="277"/>
      <c r="F210" s="333">
        <f t="shared" si="203"/>
        <v>0</v>
      </c>
      <c r="G210" s="278"/>
      <c r="H210" s="278"/>
      <c r="I210" s="352" t="str">
        <f>IFERROR(F210/#REF!,"-")</f>
        <v>-</v>
      </c>
      <c r="J210" s="333">
        <f t="shared" si="204"/>
        <v>60000</v>
      </c>
      <c r="K210" s="278">
        <f t="shared" si="205"/>
        <v>60000</v>
      </c>
      <c r="L210" s="436">
        <f t="shared" si="206"/>
        <v>0</v>
      </c>
      <c r="M210" s="337" t="str">
        <f t="shared" si="207"/>
        <v>-</v>
      </c>
      <c r="N210" s="263">
        <f t="shared" si="202"/>
        <v>0</v>
      </c>
      <c r="O210" s="508">
        <v>1.2824</v>
      </c>
      <c r="P210" s="404">
        <f t="shared" si="208"/>
        <v>0</v>
      </c>
      <c r="Q210" s="449">
        <f t="shared" si="209"/>
        <v>76944</v>
      </c>
    </row>
    <row r="211" spans="1:17" ht="23.4" x14ac:dyDescent="0.3">
      <c r="A211" s="274" t="s">
        <v>103</v>
      </c>
      <c r="B211" s="438"/>
      <c r="C211" s="275" t="s">
        <v>300</v>
      </c>
      <c r="D211" s="276"/>
      <c r="E211" s="277"/>
      <c r="F211" s="333">
        <f t="shared" si="203"/>
        <v>0</v>
      </c>
      <c r="G211" s="278"/>
      <c r="H211" s="278"/>
      <c r="I211" s="352" t="str">
        <f>IFERROR(F211/#REF!,"-")</f>
        <v>-</v>
      </c>
      <c r="J211" s="333">
        <f t="shared" si="204"/>
        <v>0</v>
      </c>
      <c r="K211" s="278">
        <f t="shared" si="205"/>
        <v>0</v>
      </c>
      <c r="L211" s="436">
        <f t="shared" si="206"/>
        <v>0</v>
      </c>
      <c r="M211" s="337" t="str">
        <f t="shared" si="207"/>
        <v>-</v>
      </c>
      <c r="N211" s="263" t="str">
        <f t="shared" si="202"/>
        <v>-</v>
      </c>
      <c r="O211" s="710">
        <v>5.7342000000000004</v>
      </c>
      <c r="P211" s="404">
        <f t="shared" si="208"/>
        <v>0</v>
      </c>
      <c r="Q211" s="449">
        <f t="shared" si="209"/>
        <v>0</v>
      </c>
    </row>
    <row r="212" spans="1:17" ht="23.4" x14ac:dyDescent="0.3">
      <c r="A212" s="274" t="s">
        <v>103</v>
      </c>
      <c r="B212" s="438"/>
      <c r="C212" s="275" t="s">
        <v>314</v>
      </c>
      <c r="D212" s="276"/>
      <c r="E212" s="277"/>
      <c r="F212" s="333">
        <f t="shared" si="203"/>
        <v>0</v>
      </c>
      <c r="G212" s="278"/>
      <c r="H212" s="278"/>
      <c r="I212" s="352" t="str">
        <f>IFERROR(F212/#REF!,"-")</f>
        <v>-</v>
      </c>
      <c r="J212" s="333">
        <f t="shared" si="204"/>
        <v>0</v>
      </c>
      <c r="K212" s="278">
        <f t="shared" si="205"/>
        <v>0</v>
      </c>
      <c r="L212" s="436">
        <f t="shared" si="206"/>
        <v>0</v>
      </c>
      <c r="M212" s="337" t="str">
        <f t="shared" si="207"/>
        <v>-</v>
      </c>
      <c r="N212" s="263" t="str">
        <f t="shared" si="202"/>
        <v>-</v>
      </c>
      <c r="O212" s="508"/>
      <c r="P212" s="404">
        <f t="shared" si="208"/>
        <v>0</v>
      </c>
      <c r="Q212" s="449">
        <f t="shared" si="209"/>
        <v>0</v>
      </c>
    </row>
    <row r="213" spans="1:17" ht="23.4" x14ac:dyDescent="0.3">
      <c r="A213" s="274" t="s">
        <v>103</v>
      </c>
      <c r="B213" s="438"/>
      <c r="C213" s="275" t="s">
        <v>320</v>
      </c>
      <c r="D213" s="276"/>
      <c r="E213" s="277"/>
      <c r="F213" s="333">
        <f t="shared" si="203"/>
        <v>18035</v>
      </c>
      <c r="G213" s="278">
        <v>18000</v>
      </c>
      <c r="H213" s="278">
        <v>35</v>
      </c>
      <c r="I213" s="352" t="str">
        <f>IFERROR(F213/#REF!,"-")</f>
        <v>-</v>
      </c>
      <c r="J213" s="333">
        <f t="shared" si="204"/>
        <v>36080</v>
      </c>
      <c r="K213" s="278">
        <f t="shared" si="205"/>
        <v>36000</v>
      </c>
      <c r="L213" s="436">
        <f t="shared" si="206"/>
        <v>80</v>
      </c>
      <c r="M213" s="337" t="str">
        <f t="shared" si="207"/>
        <v>-</v>
      </c>
      <c r="N213" s="263">
        <f t="shared" si="202"/>
        <v>2.2172949002217295E-3</v>
      </c>
      <c r="O213" s="508">
        <v>12.029500000000001</v>
      </c>
      <c r="P213" s="404">
        <f t="shared" si="208"/>
        <v>216531</v>
      </c>
      <c r="Q213" s="449">
        <f t="shared" si="209"/>
        <v>433062</v>
      </c>
    </row>
    <row r="214" spans="1:17" ht="23.4" x14ac:dyDescent="0.3">
      <c r="A214" s="274" t="s">
        <v>103</v>
      </c>
      <c r="B214" s="438"/>
      <c r="C214" s="275"/>
      <c r="D214" s="276"/>
      <c r="E214" s="277"/>
      <c r="F214" s="333">
        <f t="shared" si="203"/>
        <v>0</v>
      </c>
      <c r="G214" s="278"/>
      <c r="H214" s="278"/>
      <c r="I214" s="352" t="str">
        <f>IFERROR(F214/#REF!,"-")</f>
        <v>-</v>
      </c>
      <c r="J214" s="333">
        <f t="shared" si="204"/>
        <v>0</v>
      </c>
      <c r="K214" s="278">
        <f t="shared" si="205"/>
        <v>0</v>
      </c>
      <c r="L214" s="436">
        <f t="shared" si="206"/>
        <v>0</v>
      </c>
      <c r="M214" s="337" t="str">
        <f t="shared" si="207"/>
        <v>-</v>
      </c>
      <c r="N214" s="263" t="str">
        <f t="shared" si="202"/>
        <v>-</v>
      </c>
      <c r="O214" s="508"/>
      <c r="P214" s="404">
        <f t="shared" si="208"/>
        <v>0</v>
      </c>
      <c r="Q214" s="449">
        <f t="shared" si="209"/>
        <v>0</v>
      </c>
    </row>
    <row r="215" spans="1:17" ht="24" thickBot="1" x14ac:dyDescent="0.35">
      <c r="A215" s="274" t="s">
        <v>103</v>
      </c>
      <c r="B215" s="451"/>
      <c r="C215" s="279"/>
      <c r="D215" s="280">
        <v>0</v>
      </c>
      <c r="E215" s="281"/>
      <c r="F215" s="334">
        <f t="shared" si="203"/>
        <v>0</v>
      </c>
      <c r="G215" s="282"/>
      <c r="H215" s="282"/>
      <c r="I215" s="353" t="str">
        <f>IFERROR(F215/#REF!,"-")</f>
        <v>-</v>
      </c>
      <c r="J215" s="460">
        <f t="shared" si="204"/>
        <v>0</v>
      </c>
      <c r="K215" s="461">
        <f t="shared" si="205"/>
        <v>0</v>
      </c>
      <c r="L215" s="462">
        <f t="shared" si="206"/>
        <v>0</v>
      </c>
      <c r="M215" s="338" t="str">
        <f t="shared" si="207"/>
        <v>-</v>
      </c>
      <c r="N215" s="347" t="str">
        <f t="shared" si="202"/>
        <v>-</v>
      </c>
      <c r="O215" s="509"/>
      <c r="P215" s="405">
        <f t="shared" si="208"/>
        <v>0</v>
      </c>
      <c r="Q215" s="450">
        <f t="shared" si="209"/>
        <v>0</v>
      </c>
    </row>
    <row r="216" spans="1:17" ht="23.25" customHeight="1" thickBot="1" x14ac:dyDescent="0.35">
      <c r="A216" s="274" t="s">
        <v>103</v>
      </c>
      <c r="B216" s="1109" t="s">
        <v>25</v>
      </c>
      <c r="C216" s="1046"/>
      <c r="D216" s="320">
        <f t="shared" ref="D216" si="210">SUM(D209:D215)</f>
        <v>0</v>
      </c>
      <c r="E216" s="285">
        <v>100000</v>
      </c>
      <c r="F216" s="320">
        <f>SUM(F209:F215)</f>
        <v>18035</v>
      </c>
      <c r="G216" s="321">
        <f t="shared" ref="G216:H216" si="211">SUM(G209:G215)</f>
        <v>18000</v>
      </c>
      <c r="H216" s="321">
        <f t="shared" si="211"/>
        <v>35</v>
      </c>
      <c r="I216" s="345" t="str">
        <f>IFERROR(F216/#REF!,"-")</f>
        <v>-</v>
      </c>
      <c r="J216" s="320">
        <f t="shared" ref="J216:L216" si="212">SUM(J209:J215)</f>
        <v>96080</v>
      </c>
      <c r="K216" s="321">
        <f t="shared" si="212"/>
        <v>96000</v>
      </c>
      <c r="L216" s="322">
        <f t="shared" si="212"/>
        <v>80</v>
      </c>
      <c r="M216" s="339" t="str">
        <f t="shared" si="207"/>
        <v>-</v>
      </c>
      <c r="N216" s="345">
        <f t="shared" si="202"/>
        <v>8.3263946711074107E-4</v>
      </c>
      <c r="O216" s="391"/>
      <c r="P216" s="406">
        <f t="shared" ref="P216:Q216" si="213">SUM(P209:P215)</f>
        <v>216531</v>
      </c>
      <c r="Q216" s="425">
        <f t="shared" si="213"/>
        <v>510006</v>
      </c>
    </row>
    <row r="217" spans="1:17" ht="23.25" customHeight="1" thickBot="1" x14ac:dyDescent="0.35">
      <c r="A217" s="274" t="s">
        <v>103</v>
      </c>
      <c r="B217" s="1111" t="s">
        <v>172</v>
      </c>
      <c r="C217" s="1112"/>
      <c r="D217" s="326">
        <f>+D208+D216</f>
        <v>0</v>
      </c>
      <c r="E217" s="327">
        <f t="shared" ref="E217:H217" si="214">+E208+E216</f>
        <v>115000</v>
      </c>
      <c r="F217" s="326">
        <f t="shared" si="214"/>
        <v>234455</v>
      </c>
      <c r="G217" s="324">
        <f t="shared" si="214"/>
        <v>233000</v>
      </c>
      <c r="H217" s="324">
        <f t="shared" si="214"/>
        <v>1455</v>
      </c>
      <c r="I217" s="349" t="str">
        <f>IFERROR(F217/#REF!,"-")</f>
        <v>-</v>
      </c>
      <c r="J217" s="326">
        <f t="shared" ref="J217:L217" si="215">+J208+J216</f>
        <v>723188</v>
      </c>
      <c r="K217" s="324">
        <f t="shared" si="215"/>
        <v>717050</v>
      </c>
      <c r="L217" s="325">
        <f t="shared" si="215"/>
        <v>6138</v>
      </c>
      <c r="M217" s="341" t="str">
        <f t="shared" si="207"/>
        <v>-</v>
      </c>
      <c r="N217" s="349">
        <f t="shared" si="202"/>
        <v>8.4874195921392503E-3</v>
      </c>
      <c r="O217" s="394"/>
      <c r="P217" s="410">
        <f t="shared" ref="P217:Q217" si="216">+P208+P216</f>
        <v>1179993.3</v>
      </c>
      <c r="Q217" s="428">
        <f t="shared" si="216"/>
        <v>3742249.86</v>
      </c>
    </row>
    <row r="218" spans="1:17" ht="23.4" x14ac:dyDescent="0.3">
      <c r="A218" s="244" t="s">
        <v>101</v>
      </c>
      <c r="B218" s="581"/>
      <c r="C218" s="582" t="s">
        <v>283</v>
      </c>
      <c r="D218" s="527"/>
      <c r="E218" s="459"/>
      <c r="F218" s="457">
        <f>+G218+H218</f>
        <v>0</v>
      </c>
      <c r="G218" s="458"/>
      <c r="H218" s="458"/>
      <c r="I218" s="531" t="str">
        <f>IFERROR(F218/#REF!,"-")</f>
        <v>-</v>
      </c>
      <c r="J218" s="457">
        <f>+K218+L218</f>
        <v>0</v>
      </c>
      <c r="K218" s="458">
        <f t="shared" ref="K218:K224" si="217">+G218+K155</f>
        <v>0</v>
      </c>
      <c r="L218" s="459">
        <f t="shared" ref="L218:L224" si="218">+H218+L155</f>
        <v>0</v>
      </c>
      <c r="M218" s="586" t="str">
        <f>IFERROR(J218/D218,"-")</f>
        <v>-</v>
      </c>
      <c r="N218" s="533" t="str">
        <f t="shared" si="202"/>
        <v>-</v>
      </c>
      <c r="O218" s="628">
        <v>4.8285999999999998</v>
      </c>
      <c r="P218" s="534">
        <f t="shared" ref="P218:P224" si="219">+O218*G218</f>
        <v>0</v>
      </c>
      <c r="Q218" s="535">
        <f t="shared" ref="Q218:Q224" si="220">+O218*K218</f>
        <v>0</v>
      </c>
    </row>
    <row r="219" spans="1:17" ht="23.4" x14ac:dyDescent="0.3">
      <c r="A219" s="248" t="s">
        <v>101</v>
      </c>
      <c r="B219" s="583"/>
      <c r="C219" s="275" t="s">
        <v>284</v>
      </c>
      <c r="D219" s="276"/>
      <c r="E219" s="436"/>
      <c r="F219" s="333">
        <f t="shared" ref="F219:F224" si="221">+G219+H219</f>
        <v>0</v>
      </c>
      <c r="G219" s="278"/>
      <c r="H219" s="278"/>
      <c r="I219" s="352" t="str">
        <f>IFERROR(F219/#REF!,"-")</f>
        <v>-</v>
      </c>
      <c r="J219" s="333">
        <f t="shared" ref="J219:J224" si="222">+K219+L219</f>
        <v>0</v>
      </c>
      <c r="K219" s="278">
        <f t="shared" si="217"/>
        <v>0</v>
      </c>
      <c r="L219" s="436">
        <f t="shared" si="218"/>
        <v>0</v>
      </c>
      <c r="M219" s="337" t="str">
        <f t="shared" ref="M219:M221" si="223">IFERROR(J219/D219,"-")</f>
        <v>-</v>
      </c>
      <c r="N219" s="265" t="str">
        <f t="shared" si="202"/>
        <v>-</v>
      </c>
      <c r="O219" s="629">
        <v>1.4086000000000001</v>
      </c>
      <c r="P219" s="404">
        <f t="shared" si="219"/>
        <v>0</v>
      </c>
      <c r="Q219" s="449">
        <f t="shared" si="220"/>
        <v>0</v>
      </c>
    </row>
    <row r="220" spans="1:17" ht="23.4" x14ac:dyDescent="0.3">
      <c r="A220" s="248" t="s">
        <v>101</v>
      </c>
      <c r="B220" s="583"/>
      <c r="C220" s="275" t="s">
        <v>315</v>
      </c>
      <c r="D220" s="276"/>
      <c r="E220" s="436"/>
      <c r="F220" s="333">
        <f t="shared" si="221"/>
        <v>0</v>
      </c>
      <c r="G220" s="278"/>
      <c r="H220" s="278"/>
      <c r="I220" s="352" t="str">
        <f>IFERROR(F220/#REF!,"-")</f>
        <v>-</v>
      </c>
      <c r="J220" s="333">
        <f t="shared" si="222"/>
        <v>0</v>
      </c>
      <c r="K220" s="278">
        <f t="shared" si="217"/>
        <v>0</v>
      </c>
      <c r="L220" s="436">
        <f t="shared" si="218"/>
        <v>0</v>
      </c>
      <c r="M220" s="337" t="str">
        <f t="shared" si="223"/>
        <v>-</v>
      </c>
      <c r="N220" s="265" t="str">
        <f>IFERROR(L220/J220,"-")</f>
        <v>-</v>
      </c>
      <c r="O220" s="629">
        <v>2.2141000000000002</v>
      </c>
      <c r="P220" s="404">
        <f t="shared" si="219"/>
        <v>0</v>
      </c>
      <c r="Q220" s="449">
        <f t="shared" si="220"/>
        <v>0</v>
      </c>
    </row>
    <row r="221" spans="1:17" ht="23.4" x14ac:dyDescent="0.3">
      <c r="A221" s="248" t="s">
        <v>101</v>
      </c>
      <c r="B221" s="584"/>
      <c r="C221" s="275" t="s">
        <v>447</v>
      </c>
      <c r="D221" s="280"/>
      <c r="E221" s="528"/>
      <c r="F221" s="334">
        <f t="shared" si="221"/>
        <v>19208</v>
      </c>
      <c r="G221" s="282">
        <v>18250</v>
      </c>
      <c r="H221" s="282">
        <v>958</v>
      </c>
      <c r="I221" s="353" t="str">
        <f>IFERROR(F221/#REF!,"-")</f>
        <v>-</v>
      </c>
      <c r="J221" s="333">
        <f t="shared" si="222"/>
        <v>315556</v>
      </c>
      <c r="K221" s="278">
        <f t="shared" si="217"/>
        <v>311250</v>
      </c>
      <c r="L221" s="436">
        <f t="shared" si="218"/>
        <v>4306</v>
      </c>
      <c r="M221" s="338" t="str">
        <f t="shared" si="223"/>
        <v>-</v>
      </c>
      <c r="N221" s="344">
        <f t="shared" ref="N221:N228" si="224">IFERROR(L221/J221,"-")</f>
        <v>1.3645755428513481E-2</v>
      </c>
      <c r="O221" s="629">
        <v>2.2141000000000002</v>
      </c>
      <c r="P221" s="405">
        <f t="shared" si="219"/>
        <v>40407.325000000004</v>
      </c>
      <c r="Q221" s="450">
        <f t="shared" si="220"/>
        <v>689138.625</v>
      </c>
    </row>
    <row r="222" spans="1:17" ht="23.4" x14ac:dyDescent="0.3">
      <c r="A222" s="248" t="s">
        <v>101</v>
      </c>
      <c r="B222" s="440"/>
      <c r="C222" s="627" t="s">
        <v>353</v>
      </c>
      <c r="D222" s="510"/>
      <c r="E222" s="529"/>
      <c r="F222" s="333">
        <f t="shared" si="221"/>
        <v>0</v>
      </c>
      <c r="G222" s="547"/>
      <c r="H222" s="547"/>
      <c r="I222" s="352" t="str">
        <f>IFERROR(F222/#REF!,"-")</f>
        <v>-</v>
      </c>
      <c r="J222" s="333">
        <f t="shared" si="222"/>
        <v>0</v>
      </c>
      <c r="K222" s="278">
        <f t="shared" si="217"/>
        <v>0</v>
      </c>
      <c r="L222" s="436">
        <f t="shared" si="218"/>
        <v>0</v>
      </c>
      <c r="M222" s="682"/>
      <c r="N222" s="265" t="str">
        <f t="shared" si="224"/>
        <v>-</v>
      </c>
      <c r="O222" s="540">
        <v>4.8285999999999998</v>
      </c>
      <c r="P222" s="404">
        <f t="shared" si="219"/>
        <v>0</v>
      </c>
      <c r="Q222" s="449">
        <f t="shared" si="220"/>
        <v>0</v>
      </c>
    </row>
    <row r="223" spans="1:17" ht="23.4" x14ac:dyDescent="0.3">
      <c r="A223" s="248" t="s">
        <v>101</v>
      </c>
      <c r="B223" s="585"/>
      <c r="C223" s="627" t="s">
        <v>349</v>
      </c>
      <c r="D223" s="270"/>
      <c r="E223" s="435"/>
      <c r="F223" s="332">
        <f t="shared" si="221"/>
        <v>0</v>
      </c>
      <c r="G223" s="272"/>
      <c r="H223" s="272"/>
      <c r="I223" s="351" t="str">
        <f>IFERROR(F223/#REF!,"-")</f>
        <v>-</v>
      </c>
      <c r="J223" s="333">
        <f t="shared" si="222"/>
        <v>0</v>
      </c>
      <c r="K223" s="278">
        <f t="shared" si="217"/>
        <v>0</v>
      </c>
      <c r="L223" s="436">
        <f t="shared" si="218"/>
        <v>0</v>
      </c>
      <c r="M223" s="336" t="str">
        <f t="shared" ref="M223:M224" si="225">IFERROR(J223/D223,"-")</f>
        <v>-</v>
      </c>
      <c r="N223" s="346" t="str">
        <f t="shared" si="224"/>
        <v>-</v>
      </c>
      <c r="O223" s="507">
        <v>4.1712999999999996</v>
      </c>
      <c r="P223" s="402">
        <f t="shared" si="219"/>
        <v>0</v>
      </c>
      <c r="Q223" s="447">
        <f t="shared" si="220"/>
        <v>0</v>
      </c>
    </row>
    <row r="224" spans="1:17" ht="24" thickBot="1" x14ac:dyDescent="0.35">
      <c r="A224" s="248" t="s">
        <v>101</v>
      </c>
      <c r="B224" s="583"/>
      <c r="C224" s="275"/>
      <c r="D224" s="276"/>
      <c r="E224" s="436"/>
      <c r="F224" s="333">
        <f t="shared" si="221"/>
        <v>0</v>
      </c>
      <c r="G224" s="278"/>
      <c r="H224" s="278"/>
      <c r="I224" s="352" t="str">
        <f>IFERROR(F224/#REF!,"-")</f>
        <v>-</v>
      </c>
      <c r="J224" s="460">
        <f t="shared" si="222"/>
        <v>0</v>
      </c>
      <c r="K224" s="461">
        <f t="shared" si="217"/>
        <v>0</v>
      </c>
      <c r="L224" s="462">
        <f t="shared" si="218"/>
        <v>0</v>
      </c>
      <c r="M224" s="337" t="str">
        <f t="shared" si="225"/>
        <v>-</v>
      </c>
      <c r="N224" s="263" t="str">
        <f t="shared" si="224"/>
        <v>-</v>
      </c>
      <c r="O224" s="448"/>
      <c r="P224" s="404">
        <f t="shared" si="219"/>
        <v>0</v>
      </c>
      <c r="Q224" s="449">
        <f t="shared" si="220"/>
        <v>0</v>
      </c>
    </row>
    <row r="225" spans="1:17" ht="23.25" customHeight="1" thickBot="1" x14ac:dyDescent="0.35">
      <c r="A225" s="274" t="s">
        <v>101</v>
      </c>
      <c r="B225" s="1109" t="s">
        <v>21</v>
      </c>
      <c r="C225" s="1046"/>
      <c r="D225" s="320">
        <v>0</v>
      </c>
      <c r="E225" s="285">
        <v>15000</v>
      </c>
      <c r="F225" s="320">
        <f>SUM(F218:F224)</f>
        <v>19208</v>
      </c>
      <c r="G225" s="321">
        <f t="shared" ref="G225:H225" si="226">SUM(G218:G224)</f>
        <v>18250</v>
      </c>
      <c r="H225" s="321">
        <f t="shared" si="226"/>
        <v>958</v>
      </c>
      <c r="I225" s="345" t="str">
        <f>IFERROR(F225/#REF!,"-")</f>
        <v>-</v>
      </c>
      <c r="J225" s="513">
        <f t="shared" ref="J225" si="227">SUM(J218:J224)</f>
        <v>315556</v>
      </c>
      <c r="K225" s="519">
        <f>SUM(K218:K224)</f>
        <v>311250</v>
      </c>
      <c r="L225" s="519">
        <f>SUM(L218:L224)</f>
        <v>4306</v>
      </c>
      <c r="M225" s="339" t="str">
        <f>IFERROR(J225/D225,"-")</f>
        <v>-</v>
      </c>
      <c r="N225" s="345">
        <f t="shared" si="224"/>
        <v>1.3645755428513481E-2</v>
      </c>
      <c r="O225" s="391"/>
      <c r="P225" s="406">
        <f>SUM(P218:P224)</f>
        <v>40407.325000000004</v>
      </c>
      <c r="Q225" s="425">
        <f>SUM(Q218:Q224)</f>
        <v>689138.625</v>
      </c>
    </row>
    <row r="226" spans="1:17" ht="23.25" customHeight="1" thickBot="1" x14ac:dyDescent="0.35">
      <c r="A226" s="274" t="s">
        <v>101</v>
      </c>
      <c r="B226" s="1111" t="s">
        <v>248</v>
      </c>
      <c r="C226" s="1112"/>
      <c r="D226" s="512">
        <f>+D222+D225</f>
        <v>0</v>
      </c>
      <c r="E226" s="525">
        <f>+E222+E225</f>
        <v>15000</v>
      </c>
      <c r="F226" s="512">
        <f>+F222+F225</f>
        <v>19208</v>
      </c>
      <c r="G226" s="514">
        <f>+G222+G225</f>
        <v>18250</v>
      </c>
      <c r="H226" s="514">
        <f>+H222+H225</f>
        <v>958</v>
      </c>
      <c r="I226" s="515" t="str">
        <f>IFERROR(F226/#REF!,"-")</f>
        <v>-</v>
      </c>
      <c r="J226" s="512">
        <f>+J222+J225</f>
        <v>315556</v>
      </c>
      <c r="K226" s="514">
        <f>+K225</f>
        <v>311250</v>
      </c>
      <c r="L226" s="514">
        <f>+L225</f>
        <v>4306</v>
      </c>
      <c r="M226" s="516" t="str">
        <f t="shared" ref="M226" si="228">IFERROR(J226/D226,"-")</f>
        <v>-</v>
      </c>
      <c r="N226" s="515">
        <f t="shared" si="224"/>
        <v>1.3645755428513481E-2</v>
      </c>
      <c r="O226" s="517"/>
      <c r="P226" s="518">
        <f>+P225</f>
        <v>40407.325000000004</v>
      </c>
      <c r="Q226" s="518">
        <f>+Q225</f>
        <v>689138.625</v>
      </c>
    </row>
    <row r="227" spans="1:17" ht="23.4" x14ac:dyDescent="0.4">
      <c r="A227" s="244" t="s">
        <v>101</v>
      </c>
      <c r="B227" s="1106" t="s">
        <v>250</v>
      </c>
      <c r="C227" s="542" t="s">
        <v>71</v>
      </c>
      <c r="D227" s="527"/>
      <c r="E227" s="459"/>
      <c r="F227" s="457">
        <f>+G227+H227</f>
        <v>0</v>
      </c>
      <c r="G227" s="458"/>
      <c r="H227" s="458"/>
      <c r="I227" s="531" t="str">
        <f>IFERROR(F227/#REF!,"-")</f>
        <v>-</v>
      </c>
      <c r="J227" s="457">
        <f>+K227+L227</f>
        <v>0</v>
      </c>
      <c r="K227" s="458">
        <f t="shared" ref="K227:K258" si="229">+G227+K164</f>
        <v>0</v>
      </c>
      <c r="L227" s="459">
        <f t="shared" ref="L227:L258" si="230">+H227+L164</f>
        <v>0</v>
      </c>
      <c r="M227" s="586" t="str">
        <f>IFERROR(J227/D227,"-")</f>
        <v>-</v>
      </c>
      <c r="N227" s="533" t="str">
        <f t="shared" si="224"/>
        <v>-</v>
      </c>
      <c r="O227" s="538">
        <v>32.946300000000001</v>
      </c>
      <c r="P227" s="534">
        <f t="shared" ref="P227:P258" si="231">+O227*G227</f>
        <v>0</v>
      </c>
      <c r="Q227" s="535">
        <f t="shared" ref="Q227:Q258" si="232">+O227*K227</f>
        <v>0</v>
      </c>
    </row>
    <row r="228" spans="1:17" ht="23.4" x14ac:dyDescent="0.4">
      <c r="A228" s="248" t="s">
        <v>101</v>
      </c>
      <c r="B228" s="1107"/>
      <c r="C228" s="543" t="s">
        <v>72</v>
      </c>
      <c r="D228" s="511"/>
      <c r="E228" s="436"/>
      <c r="F228" s="333">
        <f t="shared" ref="F228:F258" si="233">+G228+H228</f>
        <v>0</v>
      </c>
      <c r="G228" s="278"/>
      <c r="H228" s="278"/>
      <c r="I228" s="352" t="str">
        <f>IFERROR(F228/#REF!,"-")</f>
        <v>-</v>
      </c>
      <c r="J228" s="333">
        <f t="shared" ref="J228:J258" si="234">+K228+L228</f>
        <v>10595</v>
      </c>
      <c r="K228" s="278">
        <f t="shared" si="229"/>
        <v>10500</v>
      </c>
      <c r="L228" s="436">
        <f t="shared" si="230"/>
        <v>95</v>
      </c>
      <c r="M228" s="337" t="str">
        <f t="shared" ref="M228:M230" si="235">IFERROR(J228/D228,"-")</f>
        <v>-</v>
      </c>
      <c r="N228" s="265">
        <f t="shared" si="224"/>
        <v>8.9664936290703157E-3</v>
      </c>
      <c r="O228" s="508">
        <v>35.398400000000002</v>
      </c>
      <c r="P228" s="404">
        <f t="shared" si="231"/>
        <v>0</v>
      </c>
      <c r="Q228" s="449">
        <f t="shared" si="232"/>
        <v>371683.2</v>
      </c>
    </row>
    <row r="229" spans="1:17" ht="24" thickBot="1" x14ac:dyDescent="0.45">
      <c r="A229" s="248" t="s">
        <v>101</v>
      </c>
      <c r="B229" s="1108"/>
      <c r="C229" s="543" t="s">
        <v>455</v>
      </c>
      <c r="D229" s="276"/>
      <c r="E229" s="436"/>
      <c r="F229" s="333">
        <f t="shared" si="233"/>
        <v>3055</v>
      </c>
      <c r="G229" s="278">
        <v>3000</v>
      </c>
      <c r="H229" s="278">
        <v>55</v>
      </c>
      <c r="I229" s="352" t="str">
        <f>IFERROR(F229/#REF!,"-")</f>
        <v>-</v>
      </c>
      <c r="J229" s="333">
        <f t="shared" si="234"/>
        <v>5605</v>
      </c>
      <c r="K229" s="278">
        <f t="shared" si="229"/>
        <v>5500</v>
      </c>
      <c r="L229" s="436">
        <f t="shared" si="230"/>
        <v>105</v>
      </c>
      <c r="M229" s="337" t="str">
        <f t="shared" si="235"/>
        <v>-</v>
      </c>
      <c r="N229" s="265">
        <f>IFERROR(L229/J229,"-")</f>
        <v>1.8733273862622659E-2</v>
      </c>
      <c r="O229" s="508">
        <v>35.398400000000002</v>
      </c>
      <c r="P229" s="404">
        <f t="shared" si="231"/>
        <v>106195.20000000001</v>
      </c>
      <c r="Q229" s="449">
        <f t="shared" si="232"/>
        <v>194691.20000000001</v>
      </c>
    </row>
    <row r="230" spans="1:17" ht="23.4" x14ac:dyDescent="0.4">
      <c r="A230" s="248" t="s">
        <v>101</v>
      </c>
      <c r="B230" s="1106" t="s">
        <v>251</v>
      </c>
      <c r="C230" s="545" t="s">
        <v>75</v>
      </c>
      <c r="D230" s="276"/>
      <c r="E230" s="528"/>
      <c r="F230" s="334">
        <f t="shared" si="233"/>
        <v>3390</v>
      </c>
      <c r="G230" s="278">
        <v>3300</v>
      </c>
      <c r="H230" s="278">
        <v>90</v>
      </c>
      <c r="I230" s="352" t="str">
        <f>IFERROR(F230/#REF!,"-")</f>
        <v>-</v>
      </c>
      <c r="J230" s="333">
        <f t="shared" si="234"/>
        <v>10663</v>
      </c>
      <c r="K230" s="278">
        <f t="shared" si="229"/>
        <v>10363</v>
      </c>
      <c r="L230" s="436">
        <f t="shared" si="230"/>
        <v>300</v>
      </c>
      <c r="M230" s="337" t="str">
        <f t="shared" si="235"/>
        <v>-</v>
      </c>
      <c r="N230" s="265">
        <f t="shared" ref="N230" si="236">IFERROR(L230/J230,"-")</f>
        <v>2.8134671293257058E-2</v>
      </c>
      <c r="O230" s="508">
        <v>55.4758</v>
      </c>
      <c r="P230" s="404">
        <f t="shared" si="231"/>
        <v>183070.13999999998</v>
      </c>
      <c r="Q230" s="449">
        <f t="shared" si="232"/>
        <v>574895.71539999999</v>
      </c>
    </row>
    <row r="231" spans="1:17" ht="23.4" x14ac:dyDescent="0.4">
      <c r="A231" s="248" t="s">
        <v>101</v>
      </c>
      <c r="B231" s="1107"/>
      <c r="C231" s="545" t="s">
        <v>72</v>
      </c>
      <c r="D231" s="276"/>
      <c r="E231" s="529"/>
      <c r="F231" s="334">
        <f t="shared" si="233"/>
        <v>0</v>
      </c>
      <c r="G231" s="278"/>
      <c r="H231" s="278"/>
      <c r="I231" s="352" t="str">
        <f>IFERROR(F231/#REF!,"-")</f>
        <v>-</v>
      </c>
      <c r="J231" s="333">
        <f t="shared" si="234"/>
        <v>0</v>
      </c>
      <c r="K231" s="278">
        <f t="shared" si="229"/>
        <v>0</v>
      </c>
      <c r="L231" s="436">
        <f t="shared" si="230"/>
        <v>0</v>
      </c>
      <c r="M231" s="682"/>
      <c r="N231" s="372"/>
      <c r="O231" s="540">
        <v>58.836300000000001</v>
      </c>
      <c r="P231" s="404">
        <f t="shared" si="231"/>
        <v>0</v>
      </c>
      <c r="Q231" s="449">
        <f t="shared" si="232"/>
        <v>0</v>
      </c>
    </row>
    <row r="232" spans="1:17" ht="23.4" x14ac:dyDescent="0.4">
      <c r="A232" s="248" t="s">
        <v>101</v>
      </c>
      <c r="B232" s="1107"/>
      <c r="C232" s="545" t="s">
        <v>347</v>
      </c>
      <c r="D232" s="276"/>
      <c r="E232" s="435"/>
      <c r="F232" s="334">
        <f t="shared" si="233"/>
        <v>0</v>
      </c>
      <c r="G232" s="278"/>
      <c r="H232" s="278"/>
      <c r="I232" s="352" t="str">
        <f>IFERROR(F232/#REF!,"-")</f>
        <v>-</v>
      </c>
      <c r="J232" s="333">
        <f t="shared" si="234"/>
        <v>0</v>
      </c>
      <c r="K232" s="278">
        <f t="shared" si="229"/>
        <v>0</v>
      </c>
      <c r="L232" s="436">
        <f t="shared" si="230"/>
        <v>0</v>
      </c>
      <c r="M232" s="337" t="str">
        <f t="shared" ref="M232" si="237">IFERROR(J232/D232,"-")</f>
        <v>-</v>
      </c>
      <c r="N232" s="263" t="str">
        <f t="shared" ref="N232" si="238">IFERROR(L232/J232,"-")</f>
        <v>-</v>
      </c>
      <c r="O232" s="710">
        <v>58.836300000000001</v>
      </c>
      <c r="P232" s="404">
        <f t="shared" si="231"/>
        <v>0</v>
      </c>
      <c r="Q232" s="449">
        <f t="shared" si="232"/>
        <v>0</v>
      </c>
    </row>
    <row r="233" spans="1:17" ht="24" thickBot="1" x14ac:dyDescent="0.45">
      <c r="A233" s="248"/>
      <c r="B233" s="1108"/>
      <c r="C233" s="545" t="s">
        <v>361</v>
      </c>
      <c r="D233" s="276"/>
      <c r="E233" s="435"/>
      <c r="F233" s="334">
        <f t="shared" si="233"/>
        <v>0</v>
      </c>
      <c r="G233" s="278"/>
      <c r="H233" s="278"/>
      <c r="I233" s="352"/>
      <c r="J233" s="333">
        <f t="shared" si="234"/>
        <v>0</v>
      </c>
      <c r="K233" s="278">
        <f t="shared" si="229"/>
        <v>0</v>
      </c>
      <c r="L233" s="436">
        <f t="shared" si="230"/>
        <v>0</v>
      </c>
      <c r="M233" s="337"/>
      <c r="N233" s="263" t="str">
        <f>IFERROR(L233/J233,"-")</f>
        <v>-</v>
      </c>
      <c r="O233" s="508">
        <v>55.4758</v>
      </c>
      <c r="P233" s="404">
        <f t="shared" si="231"/>
        <v>0</v>
      </c>
      <c r="Q233" s="449">
        <f t="shared" si="232"/>
        <v>0</v>
      </c>
    </row>
    <row r="234" spans="1:17" ht="23.4" x14ac:dyDescent="0.4">
      <c r="A234" s="248" t="s">
        <v>101</v>
      </c>
      <c r="B234" s="1106" t="s">
        <v>409</v>
      </c>
      <c r="C234" s="543" t="s">
        <v>77</v>
      </c>
      <c r="D234" s="276"/>
      <c r="E234" s="436"/>
      <c r="F234" s="333">
        <f t="shared" si="233"/>
        <v>0</v>
      </c>
      <c r="G234" s="278"/>
      <c r="H234" s="278"/>
      <c r="I234" s="352" t="str">
        <f>IFERROR(F234/#REF!,"-")</f>
        <v>-</v>
      </c>
      <c r="J234" s="333">
        <f t="shared" si="234"/>
        <v>3010</v>
      </c>
      <c r="K234" s="686">
        <f t="shared" si="229"/>
        <v>3000</v>
      </c>
      <c r="L234" s="687">
        <f t="shared" si="230"/>
        <v>10</v>
      </c>
      <c r="M234" s="337" t="str">
        <f t="shared" ref="M234:M261" si="239">IFERROR(J234/D234,"-")</f>
        <v>-</v>
      </c>
      <c r="N234" s="263">
        <f t="shared" ref="N234:N260" si="240">IFERROR(L234/J234,"-")</f>
        <v>3.3222591362126247E-3</v>
      </c>
      <c r="O234" s="508">
        <v>25.687200000000001</v>
      </c>
      <c r="P234" s="404">
        <f t="shared" si="231"/>
        <v>0</v>
      </c>
      <c r="Q234" s="449">
        <f t="shared" si="232"/>
        <v>77061.600000000006</v>
      </c>
    </row>
    <row r="235" spans="1:17" ht="24" thickBot="1" x14ac:dyDescent="0.45">
      <c r="A235" s="248" t="s">
        <v>101</v>
      </c>
      <c r="B235" s="1108"/>
      <c r="C235" s="543" t="s">
        <v>117</v>
      </c>
      <c r="D235" s="276"/>
      <c r="E235" s="436"/>
      <c r="F235" s="333">
        <f t="shared" si="233"/>
        <v>0</v>
      </c>
      <c r="G235" s="278"/>
      <c r="H235" s="278"/>
      <c r="I235" s="352" t="str">
        <f>IFERROR(F235/#REF!,"-")</f>
        <v>-</v>
      </c>
      <c r="J235" s="333">
        <f t="shared" si="234"/>
        <v>0</v>
      </c>
      <c r="K235" s="278">
        <f t="shared" si="229"/>
        <v>0</v>
      </c>
      <c r="L235" s="436">
        <f t="shared" si="230"/>
        <v>0</v>
      </c>
      <c r="M235" s="337" t="str">
        <f t="shared" si="239"/>
        <v>-</v>
      </c>
      <c r="N235" s="263" t="str">
        <f t="shared" si="240"/>
        <v>-</v>
      </c>
      <c r="O235" s="508">
        <v>25.033899999999999</v>
      </c>
      <c r="P235" s="404">
        <f t="shared" si="231"/>
        <v>0</v>
      </c>
      <c r="Q235" s="449">
        <f t="shared" si="232"/>
        <v>0</v>
      </c>
    </row>
    <row r="236" spans="1:17" ht="23.4" x14ac:dyDescent="0.4">
      <c r="A236" s="248"/>
      <c r="B236" s="1106" t="s">
        <v>410</v>
      </c>
      <c r="C236" s="543" t="s">
        <v>79</v>
      </c>
      <c r="D236" s="276"/>
      <c r="E236" s="436"/>
      <c r="F236" s="333">
        <f t="shared" si="233"/>
        <v>0</v>
      </c>
      <c r="G236" s="278"/>
      <c r="H236" s="278"/>
      <c r="I236" s="352" t="str">
        <f>IFERROR(F236/#REF!,"-")</f>
        <v>-</v>
      </c>
      <c r="J236" s="333">
        <f t="shared" si="234"/>
        <v>0</v>
      </c>
      <c r="K236" s="278">
        <f t="shared" si="229"/>
        <v>0</v>
      </c>
      <c r="L236" s="436">
        <f t="shared" si="230"/>
        <v>0</v>
      </c>
      <c r="M236" s="337" t="str">
        <f t="shared" si="239"/>
        <v>-</v>
      </c>
      <c r="N236" s="263" t="str">
        <f t="shared" si="240"/>
        <v>-</v>
      </c>
      <c r="O236" s="508">
        <v>41.992699999999999</v>
      </c>
      <c r="P236" s="404">
        <f t="shared" si="231"/>
        <v>0</v>
      </c>
      <c r="Q236" s="449">
        <f t="shared" si="232"/>
        <v>0</v>
      </c>
    </row>
    <row r="237" spans="1:17" ht="23.4" x14ac:dyDescent="0.4">
      <c r="A237" s="248"/>
      <c r="B237" s="1107"/>
      <c r="C237" s="543" t="s">
        <v>72</v>
      </c>
      <c r="D237" s="276"/>
      <c r="E237" s="436"/>
      <c r="F237" s="333">
        <f t="shared" si="233"/>
        <v>0</v>
      </c>
      <c r="G237" s="278"/>
      <c r="H237" s="278"/>
      <c r="I237" s="352" t="str">
        <f>IFERROR(F237/#REF!,"-")</f>
        <v>-</v>
      </c>
      <c r="J237" s="333">
        <f t="shared" si="234"/>
        <v>0</v>
      </c>
      <c r="K237" s="278">
        <f t="shared" si="229"/>
        <v>0</v>
      </c>
      <c r="L237" s="436">
        <f t="shared" si="230"/>
        <v>0</v>
      </c>
      <c r="M237" s="337" t="str">
        <f t="shared" si="239"/>
        <v>-</v>
      </c>
      <c r="N237" s="263" t="str">
        <f t="shared" si="240"/>
        <v>-</v>
      </c>
      <c r="O237" s="508">
        <v>42.283799999999999</v>
      </c>
      <c r="P237" s="404">
        <f t="shared" si="231"/>
        <v>0</v>
      </c>
      <c r="Q237" s="449">
        <f t="shared" si="232"/>
        <v>0</v>
      </c>
    </row>
    <row r="238" spans="1:17" ht="23.4" x14ac:dyDescent="0.4">
      <c r="A238" s="248"/>
      <c r="B238" s="1107"/>
      <c r="C238" s="543" t="s">
        <v>380</v>
      </c>
      <c r="D238" s="276"/>
      <c r="E238" s="436"/>
      <c r="F238" s="333">
        <f t="shared" si="233"/>
        <v>0</v>
      </c>
      <c r="G238" s="278"/>
      <c r="H238" s="278"/>
      <c r="I238" s="352" t="str">
        <f>IFERROR(F238/#REF!,"-")</f>
        <v>-</v>
      </c>
      <c r="J238" s="333">
        <f t="shared" si="234"/>
        <v>0</v>
      </c>
      <c r="K238" s="278">
        <f t="shared" si="229"/>
        <v>0</v>
      </c>
      <c r="L238" s="436">
        <f t="shared" si="230"/>
        <v>0</v>
      </c>
      <c r="M238" s="337" t="str">
        <f t="shared" si="239"/>
        <v>-</v>
      </c>
      <c r="N238" s="263" t="str">
        <f t="shared" si="240"/>
        <v>-</v>
      </c>
      <c r="O238" s="710">
        <v>41.992699999999999</v>
      </c>
      <c r="P238" s="404">
        <f t="shared" si="231"/>
        <v>0</v>
      </c>
      <c r="Q238" s="449">
        <f t="shared" si="232"/>
        <v>0</v>
      </c>
    </row>
    <row r="239" spans="1:17" ht="24" thickBot="1" x14ac:dyDescent="0.45">
      <c r="A239" s="248"/>
      <c r="B239" s="1108"/>
      <c r="C239" s="543" t="s">
        <v>381</v>
      </c>
      <c r="D239" s="276"/>
      <c r="E239" s="436"/>
      <c r="F239" s="333">
        <f t="shared" si="233"/>
        <v>0</v>
      </c>
      <c r="G239" s="278"/>
      <c r="H239" s="278"/>
      <c r="I239" s="352" t="str">
        <f>IFERROR(F239/#REF!,"-")</f>
        <v>-</v>
      </c>
      <c r="J239" s="333">
        <f t="shared" si="234"/>
        <v>0</v>
      </c>
      <c r="K239" s="278">
        <f t="shared" si="229"/>
        <v>0</v>
      </c>
      <c r="L239" s="436">
        <f t="shared" si="230"/>
        <v>0</v>
      </c>
      <c r="M239" s="337" t="str">
        <f t="shared" si="239"/>
        <v>-</v>
      </c>
      <c r="N239" s="263" t="str">
        <f t="shared" si="240"/>
        <v>-</v>
      </c>
      <c r="O239" s="710">
        <v>42.283799999999999</v>
      </c>
      <c r="P239" s="404">
        <f t="shared" si="231"/>
        <v>0</v>
      </c>
      <c r="Q239" s="449">
        <f t="shared" si="232"/>
        <v>0</v>
      </c>
    </row>
    <row r="240" spans="1:17" ht="24" thickBot="1" x14ac:dyDescent="0.45">
      <c r="A240" s="248"/>
      <c r="B240" s="717" t="s">
        <v>80</v>
      </c>
      <c r="C240" s="543" t="s">
        <v>81</v>
      </c>
      <c r="D240" s="276"/>
      <c r="E240" s="436"/>
      <c r="F240" s="333">
        <f t="shared" si="233"/>
        <v>0</v>
      </c>
      <c r="G240" s="278"/>
      <c r="H240" s="278"/>
      <c r="I240" s="352" t="str">
        <f>IFERROR(F240/#REF!,"-")</f>
        <v>-</v>
      </c>
      <c r="J240" s="333">
        <f t="shared" si="234"/>
        <v>1813</v>
      </c>
      <c r="K240" s="278">
        <f t="shared" si="229"/>
        <v>1700</v>
      </c>
      <c r="L240" s="436">
        <f t="shared" si="230"/>
        <v>113</v>
      </c>
      <c r="M240" s="337" t="str">
        <f t="shared" si="239"/>
        <v>-</v>
      </c>
      <c r="N240" s="263">
        <f t="shared" si="240"/>
        <v>6.2327633756205182E-2</v>
      </c>
      <c r="O240" s="508">
        <v>4.3535000000000004</v>
      </c>
      <c r="P240" s="404">
        <f t="shared" si="231"/>
        <v>0</v>
      </c>
      <c r="Q240" s="449">
        <f t="shared" si="232"/>
        <v>7400.9500000000007</v>
      </c>
    </row>
    <row r="241" spans="1:17" ht="23.4" x14ac:dyDescent="0.4">
      <c r="A241" s="248"/>
      <c r="B241" s="1106" t="s">
        <v>253</v>
      </c>
      <c r="C241" s="543" t="s">
        <v>77</v>
      </c>
      <c r="D241" s="276"/>
      <c r="E241" s="436"/>
      <c r="F241" s="333">
        <f t="shared" si="233"/>
        <v>47365</v>
      </c>
      <c r="G241" s="278">
        <v>47300</v>
      </c>
      <c r="H241" s="278">
        <v>65</v>
      </c>
      <c r="I241" s="352" t="str">
        <f>IFERROR(F241/#REF!,"-")</f>
        <v>-</v>
      </c>
      <c r="J241" s="333">
        <f t="shared" si="234"/>
        <v>164305</v>
      </c>
      <c r="K241" s="278">
        <f t="shared" si="229"/>
        <v>163900</v>
      </c>
      <c r="L241" s="436">
        <f t="shared" si="230"/>
        <v>405</v>
      </c>
      <c r="M241" s="337" t="str">
        <f t="shared" si="239"/>
        <v>-</v>
      </c>
      <c r="N241" s="263">
        <f t="shared" si="240"/>
        <v>2.4649280301877606E-3</v>
      </c>
      <c r="O241" s="508">
        <v>4.6184000000000003</v>
      </c>
      <c r="P241" s="404">
        <f t="shared" si="231"/>
        <v>218450.32</v>
      </c>
      <c r="Q241" s="449">
        <f t="shared" si="232"/>
        <v>756955.76</v>
      </c>
    </row>
    <row r="242" spans="1:17" ht="23.4" x14ac:dyDescent="0.4">
      <c r="A242" s="248"/>
      <c r="B242" s="1107"/>
      <c r="C242" s="543" t="s">
        <v>340</v>
      </c>
      <c r="D242" s="276"/>
      <c r="E242" s="436"/>
      <c r="F242" s="333">
        <f t="shared" si="233"/>
        <v>0</v>
      </c>
      <c r="G242" s="278"/>
      <c r="H242" s="278"/>
      <c r="I242" s="352" t="str">
        <f>IFERROR(F242/#REF!,"-")</f>
        <v>-</v>
      </c>
      <c r="J242" s="333">
        <f t="shared" si="234"/>
        <v>0</v>
      </c>
      <c r="K242" s="278">
        <f t="shared" si="229"/>
        <v>0</v>
      </c>
      <c r="L242" s="436">
        <f t="shared" si="230"/>
        <v>0</v>
      </c>
      <c r="M242" s="337" t="str">
        <f t="shared" si="239"/>
        <v>-</v>
      </c>
      <c r="N242" s="263" t="str">
        <f t="shared" si="240"/>
        <v>-</v>
      </c>
      <c r="O242" s="508">
        <v>4.6184000000000003</v>
      </c>
      <c r="P242" s="404">
        <f t="shared" si="231"/>
        <v>0</v>
      </c>
      <c r="Q242" s="449">
        <f t="shared" si="232"/>
        <v>0</v>
      </c>
    </row>
    <row r="243" spans="1:17" ht="23.4" x14ac:dyDescent="0.4">
      <c r="A243" s="248"/>
      <c r="B243" s="1107"/>
      <c r="C243" s="543" t="s">
        <v>252</v>
      </c>
      <c r="D243" s="276"/>
      <c r="E243" s="436"/>
      <c r="F243" s="333">
        <f t="shared" si="233"/>
        <v>0</v>
      </c>
      <c r="G243" s="278"/>
      <c r="H243" s="278"/>
      <c r="I243" s="352" t="str">
        <f>IFERROR(F243/#REF!,"-")</f>
        <v>-</v>
      </c>
      <c r="J243" s="333">
        <f t="shared" si="234"/>
        <v>0</v>
      </c>
      <c r="K243" s="278">
        <f t="shared" si="229"/>
        <v>0</v>
      </c>
      <c r="L243" s="436">
        <f t="shared" si="230"/>
        <v>0</v>
      </c>
      <c r="M243" s="337" t="str">
        <f t="shared" si="239"/>
        <v>-</v>
      </c>
      <c r="N243" s="263" t="str">
        <f t="shared" si="240"/>
        <v>-</v>
      </c>
      <c r="O243" s="508">
        <v>4.6184000000000003</v>
      </c>
      <c r="P243" s="404">
        <f t="shared" si="231"/>
        <v>0</v>
      </c>
      <c r="Q243" s="449">
        <f t="shared" si="232"/>
        <v>0</v>
      </c>
    </row>
    <row r="244" spans="1:17" ht="23.4" x14ac:dyDescent="0.4">
      <c r="A244" s="248"/>
      <c r="B244" s="1107"/>
      <c r="C244" s="543" t="s">
        <v>350</v>
      </c>
      <c r="D244" s="276"/>
      <c r="E244" s="436"/>
      <c r="F244" s="333">
        <f t="shared" si="233"/>
        <v>0</v>
      </c>
      <c r="G244" s="278"/>
      <c r="H244" s="278"/>
      <c r="I244" s="352" t="str">
        <f>IFERROR(F244/#REF!,"-")</f>
        <v>-</v>
      </c>
      <c r="J244" s="333">
        <f t="shared" si="234"/>
        <v>0</v>
      </c>
      <c r="K244" s="686">
        <f t="shared" si="229"/>
        <v>0</v>
      </c>
      <c r="L244" s="687">
        <f t="shared" si="230"/>
        <v>0</v>
      </c>
      <c r="M244" s="337" t="str">
        <f t="shared" si="239"/>
        <v>-</v>
      </c>
      <c r="N244" s="263" t="str">
        <f t="shared" si="240"/>
        <v>-</v>
      </c>
      <c r="O244" s="508">
        <v>4.7636000000000003</v>
      </c>
      <c r="P244" s="404">
        <f t="shared" si="231"/>
        <v>0</v>
      </c>
      <c r="Q244" s="449">
        <f t="shared" si="232"/>
        <v>0</v>
      </c>
    </row>
    <row r="245" spans="1:17" ht="24" thickBot="1" x14ac:dyDescent="0.45">
      <c r="A245" s="248"/>
      <c r="B245" s="1108"/>
      <c r="C245" s="543" t="s">
        <v>346</v>
      </c>
      <c r="D245" s="276"/>
      <c r="E245" s="436"/>
      <c r="F245" s="333">
        <f t="shared" si="233"/>
        <v>0</v>
      </c>
      <c r="G245" s="278"/>
      <c r="H245" s="278"/>
      <c r="I245" s="352" t="str">
        <f>IFERROR(F245/#REF!,"-")</f>
        <v>-</v>
      </c>
      <c r="J245" s="333">
        <f t="shared" si="234"/>
        <v>0</v>
      </c>
      <c r="K245" s="278">
        <f t="shared" si="229"/>
        <v>0</v>
      </c>
      <c r="L245" s="436">
        <f t="shared" si="230"/>
        <v>0</v>
      </c>
      <c r="M245" s="337" t="str">
        <f t="shared" si="239"/>
        <v>-</v>
      </c>
      <c r="N245" s="263" t="str">
        <f t="shared" si="240"/>
        <v>-</v>
      </c>
      <c r="O245" s="508">
        <v>4.8738000000000001</v>
      </c>
      <c r="P245" s="404">
        <f t="shared" si="231"/>
        <v>0</v>
      </c>
      <c r="Q245" s="449">
        <f t="shared" si="232"/>
        <v>0</v>
      </c>
    </row>
    <row r="246" spans="1:17" ht="24" thickBot="1" x14ac:dyDescent="0.45">
      <c r="A246" s="248"/>
      <c r="B246" s="717" t="s">
        <v>254</v>
      </c>
      <c r="C246" s="543" t="s">
        <v>124</v>
      </c>
      <c r="D246" s="276"/>
      <c r="E246" s="436"/>
      <c r="F246" s="333">
        <f t="shared" si="233"/>
        <v>0</v>
      </c>
      <c r="G246" s="278"/>
      <c r="H246" s="278"/>
      <c r="I246" s="352" t="str">
        <f>IFERROR(F246/#REF!,"-")</f>
        <v>-</v>
      </c>
      <c r="J246" s="333">
        <f t="shared" si="234"/>
        <v>0</v>
      </c>
      <c r="K246" s="278">
        <f t="shared" si="229"/>
        <v>0</v>
      </c>
      <c r="L246" s="436">
        <f t="shared" si="230"/>
        <v>0</v>
      </c>
      <c r="M246" s="337" t="str">
        <f t="shared" si="239"/>
        <v>-</v>
      </c>
      <c r="N246" s="263" t="str">
        <f t="shared" si="240"/>
        <v>-</v>
      </c>
      <c r="O246" s="508">
        <v>4.8738000000000001</v>
      </c>
      <c r="P246" s="404">
        <f t="shared" si="231"/>
        <v>0</v>
      </c>
      <c r="Q246" s="449">
        <f t="shared" si="232"/>
        <v>0</v>
      </c>
    </row>
    <row r="247" spans="1:17" ht="23.4" x14ac:dyDescent="0.4">
      <c r="A247" s="248"/>
      <c r="B247" s="1106" t="s">
        <v>256</v>
      </c>
      <c r="C247" s="543" t="s">
        <v>77</v>
      </c>
      <c r="D247" s="276"/>
      <c r="E247" s="436"/>
      <c r="F247" s="333">
        <f t="shared" si="233"/>
        <v>30360</v>
      </c>
      <c r="G247" s="278">
        <v>29820</v>
      </c>
      <c r="H247" s="278">
        <v>540</v>
      </c>
      <c r="I247" s="352" t="str">
        <f>IFERROR(F247/#REF!,"-")</f>
        <v>-</v>
      </c>
      <c r="J247" s="333">
        <f t="shared" si="234"/>
        <v>134420</v>
      </c>
      <c r="K247" s="686">
        <f t="shared" si="229"/>
        <v>132580</v>
      </c>
      <c r="L247" s="687">
        <f t="shared" si="230"/>
        <v>1840</v>
      </c>
      <c r="M247" s="337" t="str">
        <f t="shared" si="239"/>
        <v>-</v>
      </c>
      <c r="N247" s="263">
        <f t="shared" si="240"/>
        <v>1.3688439220354114E-2</v>
      </c>
      <c r="O247" s="508">
        <v>4.9344999999999999</v>
      </c>
      <c r="P247" s="404">
        <f t="shared" si="231"/>
        <v>147146.79</v>
      </c>
      <c r="Q247" s="449">
        <f t="shared" si="232"/>
        <v>654216.01</v>
      </c>
    </row>
    <row r="248" spans="1:17" ht="23.4" x14ac:dyDescent="0.4">
      <c r="A248" s="248"/>
      <c r="B248" s="1107"/>
      <c r="C248" s="543" t="s">
        <v>135</v>
      </c>
      <c r="D248" s="276"/>
      <c r="E248" s="436"/>
      <c r="F248" s="333">
        <f t="shared" si="233"/>
        <v>0</v>
      </c>
      <c r="G248" s="278"/>
      <c r="H248" s="278"/>
      <c r="I248" s="352" t="str">
        <f>IFERROR(F248/#REF!,"-")</f>
        <v>-</v>
      </c>
      <c r="J248" s="333">
        <f t="shared" si="234"/>
        <v>0</v>
      </c>
      <c r="K248" s="278">
        <f t="shared" si="229"/>
        <v>0</v>
      </c>
      <c r="L248" s="436">
        <f t="shared" si="230"/>
        <v>0</v>
      </c>
      <c r="M248" s="337" t="str">
        <f t="shared" si="239"/>
        <v>-</v>
      </c>
      <c r="N248" s="263" t="str">
        <f t="shared" si="240"/>
        <v>-</v>
      </c>
      <c r="O248" s="508">
        <v>4.9344999999999999</v>
      </c>
      <c r="P248" s="404">
        <f t="shared" si="231"/>
        <v>0</v>
      </c>
      <c r="Q248" s="449">
        <f t="shared" si="232"/>
        <v>0</v>
      </c>
    </row>
    <row r="249" spans="1:17" ht="23.4" x14ac:dyDescent="0.4">
      <c r="A249" s="248"/>
      <c r="B249" s="1107"/>
      <c r="C249" s="543" t="s">
        <v>129</v>
      </c>
      <c r="D249" s="276"/>
      <c r="E249" s="436"/>
      <c r="F249" s="333">
        <f t="shared" si="233"/>
        <v>0</v>
      </c>
      <c r="G249" s="278"/>
      <c r="H249" s="278"/>
      <c r="I249" s="352" t="str">
        <f>IFERROR(F249/#REF!,"-")</f>
        <v>-</v>
      </c>
      <c r="J249" s="333">
        <f t="shared" si="234"/>
        <v>0</v>
      </c>
      <c r="K249" s="278">
        <f t="shared" si="229"/>
        <v>0</v>
      </c>
      <c r="L249" s="436">
        <f t="shared" si="230"/>
        <v>0</v>
      </c>
      <c r="M249" s="337" t="str">
        <f t="shared" si="239"/>
        <v>-</v>
      </c>
      <c r="N249" s="263" t="str">
        <f t="shared" si="240"/>
        <v>-</v>
      </c>
      <c r="O249" s="508">
        <v>4.9344999999999999</v>
      </c>
      <c r="P249" s="404">
        <f t="shared" si="231"/>
        <v>0</v>
      </c>
      <c r="Q249" s="449">
        <f t="shared" si="232"/>
        <v>0</v>
      </c>
    </row>
    <row r="250" spans="1:17" ht="24" thickBot="1" x14ac:dyDescent="0.45">
      <c r="A250" s="248"/>
      <c r="B250" s="1108"/>
      <c r="C250" s="543" t="s">
        <v>255</v>
      </c>
      <c r="D250" s="276"/>
      <c r="E250" s="436"/>
      <c r="F250" s="333">
        <f t="shared" si="233"/>
        <v>0</v>
      </c>
      <c r="G250" s="278"/>
      <c r="H250" s="278"/>
      <c r="I250" s="352" t="str">
        <f>IFERROR(F250/#REF!,"-")</f>
        <v>-</v>
      </c>
      <c r="J250" s="333">
        <f t="shared" si="234"/>
        <v>0</v>
      </c>
      <c r="K250" s="278">
        <f t="shared" si="229"/>
        <v>0</v>
      </c>
      <c r="L250" s="436">
        <f t="shared" si="230"/>
        <v>0</v>
      </c>
      <c r="M250" s="337" t="str">
        <f t="shared" si="239"/>
        <v>-</v>
      </c>
      <c r="N250" s="263" t="str">
        <f t="shared" si="240"/>
        <v>-</v>
      </c>
      <c r="O250" s="508">
        <v>5.5069999999999997</v>
      </c>
      <c r="P250" s="404">
        <f t="shared" si="231"/>
        <v>0</v>
      </c>
      <c r="Q250" s="449">
        <f t="shared" si="232"/>
        <v>0</v>
      </c>
    </row>
    <row r="251" spans="1:17" ht="23.4" x14ac:dyDescent="0.4">
      <c r="A251" s="248"/>
      <c r="B251" s="1106" t="s">
        <v>261</v>
      </c>
      <c r="C251" s="543" t="s">
        <v>257</v>
      </c>
      <c r="D251" s="276"/>
      <c r="E251" s="436"/>
      <c r="F251" s="333">
        <f t="shared" si="233"/>
        <v>48630</v>
      </c>
      <c r="G251" s="278">
        <v>48300</v>
      </c>
      <c r="H251" s="278">
        <v>330</v>
      </c>
      <c r="I251" s="352" t="str">
        <f>IFERROR(F251/#REF!,"-")</f>
        <v>-</v>
      </c>
      <c r="J251" s="333">
        <f t="shared" si="234"/>
        <v>143360</v>
      </c>
      <c r="K251" s="278">
        <f t="shared" si="229"/>
        <v>142800</v>
      </c>
      <c r="L251" s="436">
        <f t="shared" si="230"/>
        <v>560</v>
      </c>
      <c r="M251" s="337" t="str">
        <f t="shared" si="239"/>
        <v>-</v>
      </c>
      <c r="N251" s="263">
        <f t="shared" si="240"/>
        <v>3.90625E-3</v>
      </c>
      <c r="O251" s="710">
        <v>5.5069999999999997</v>
      </c>
      <c r="P251" s="404">
        <f t="shared" si="231"/>
        <v>265988.09999999998</v>
      </c>
      <c r="Q251" s="449">
        <f t="shared" si="232"/>
        <v>786399.6</v>
      </c>
    </row>
    <row r="252" spans="1:17" ht="23.4" x14ac:dyDescent="0.4">
      <c r="A252" s="248"/>
      <c r="B252" s="1107"/>
      <c r="C252" s="543" t="s">
        <v>258</v>
      </c>
      <c r="D252" s="276"/>
      <c r="E252" s="436"/>
      <c r="F252" s="333">
        <f t="shared" si="233"/>
        <v>0</v>
      </c>
      <c r="G252" s="278"/>
      <c r="H252" s="278"/>
      <c r="I252" s="352" t="str">
        <f>IFERROR(F252/#REF!,"-")</f>
        <v>-</v>
      </c>
      <c r="J252" s="333">
        <f t="shared" si="234"/>
        <v>0</v>
      </c>
      <c r="K252" s="278">
        <f t="shared" si="229"/>
        <v>0</v>
      </c>
      <c r="L252" s="436">
        <f t="shared" si="230"/>
        <v>0</v>
      </c>
      <c r="M252" s="337" t="str">
        <f t="shared" si="239"/>
        <v>-</v>
      </c>
      <c r="N252" s="263" t="str">
        <f t="shared" si="240"/>
        <v>-</v>
      </c>
      <c r="O252" s="508">
        <v>5.6550000000000002</v>
      </c>
      <c r="P252" s="404">
        <f t="shared" si="231"/>
        <v>0</v>
      </c>
      <c r="Q252" s="449">
        <f t="shared" si="232"/>
        <v>0</v>
      </c>
    </row>
    <row r="253" spans="1:17" ht="23.4" x14ac:dyDescent="0.4">
      <c r="A253" s="248"/>
      <c r="B253" s="1107"/>
      <c r="C253" s="543" t="s">
        <v>321</v>
      </c>
      <c r="D253" s="276"/>
      <c r="E253" s="436"/>
      <c r="F253" s="333">
        <f t="shared" si="233"/>
        <v>0</v>
      </c>
      <c r="G253" s="278"/>
      <c r="H253" s="278"/>
      <c r="I253" s="352" t="str">
        <f>IFERROR(F253/#REF!,"-")</f>
        <v>-</v>
      </c>
      <c r="J253" s="333">
        <f t="shared" si="234"/>
        <v>0</v>
      </c>
      <c r="K253" s="686">
        <f t="shared" si="229"/>
        <v>0</v>
      </c>
      <c r="L253" s="687">
        <f t="shared" si="230"/>
        <v>0</v>
      </c>
      <c r="M253" s="337" t="str">
        <f t="shared" si="239"/>
        <v>-</v>
      </c>
      <c r="N253" s="263" t="str">
        <f t="shared" si="240"/>
        <v>-</v>
      </c>
      <c r="O253" s="508">
        <v>5.6550000000000002</v>
      </c>
      <c r="P253" s="404">
        <f t="shared" si="231"/>
        <v>0</v>
      </c>
      <c r="Q253" s="449">
        <f t="shared" si="232"/>
        <v>0</v>
      </c>
    </row>
    <row r="254" spans="1:17" ht="23.4" x14ac:dyDescent="0.4">
      <c r="A254" s="248"/>
      <c r="B254" s="1107"/>
      <c r="C254" s="543" t="s">
        <v>259</v>
      </c>
      <c r="D254" s="276"/>
      <c r="E254" s="436"/>
      <c r="F254" s="333">
        <f t="shared" si="233"/>
        <v>0</v>
      </c>
      <c r="G254" s="278"/>
      <c r="H254" s="278"/>
      <c r="I254" s="352" t="str">
        <f>IFERROR(F254/#REF!,"-")</f>
        <v>-</v>
      </c>
      <c r="J254" s="333">
        <f t="shared" si="234"/>
        <v>0</v>
      </c>
      <c r="K254" s="278">
        <f t="shared" si="229"/>
        <v>0</v>
      </c>
      <c r="L254" s="436">
        <f t="shared" si="230"/>
        <v>0</v>
      </c>
      <c r="M254" s="337" t="str">
        <f t="shared" si="239"/>
        <v>-</v>
      </c>
      <c r="N254" s="263" t="str">
        <f t="shared" si="240"/>
        <v>-</v>
      </c>
      <c r="O254" s="508">
        <v>5.6550000000000002</v>
      </c>
      <c r="P254" s="404">
        <f t="shared" si="231"/>
        <v>0</v>
      </c>
      <c r="Q254" s="449">
        <f t="shared" si="232"/>
        <v>0</v>
      </c>
    </row>
    <row r="255" spans="1:17" ht="23.4" x14ac:dyDescent="0.4">
      <c r="A255" s="248" t="s">
        <v>101</v>
      </c>
      <c r="B255" s="1107"/>
      <c r="C255" s="543" t="s">
        <v>260</v>
      </c>
      <c r="D255" s="276"/>
      <c r="E255" s="436"/>
      <c r="F255" s="333">
        <f t="shared" si="233"/>
        <v>0</v>
      </c>
      <c r="G255" s="278"/>
      <c r="H255" s="278"/>
      <c r="I255" s="352" t="str">
        <f>IFERROR(F255/#REF!,"-")</f>
        <v>-</v>
      </c>
      <c r="J255" s="333">
        <f t="shared" si="234"/>
        <v>0</v>
      </c>
      <c r="K255" s="278">
        <f t="shared" si="229"/>
        <v>0</v>
      </c>
      <c r="L255" s="436">
        <f t="shared" si="230"/>
        <v>0</v>
      </c>
      <c r="M255" s="337" t="str">
        <f t="shared" si="239"/>
        <v>-</v>
      </c>
      <c r="N255" s="263" t="str">
        <f t="shared" si="240"/>
        <v>-</v>
      </c>
      <c r="O255" s="508">
        <v>3.2963</v>
      </c>
      <c r="P255" s="404">
        <f t="shared" si="231"/>
        <v>0</v>
      </c>
      <c r="Q255" s="449">
        <f t="shared" si="232"/>
        <v>0</v>
      </c>
    </row>
    <row r="256" spans="1:17" ht="24" thickBot="1" x14ac:dyDescent="0.45">
      <c r="A256" s="248" t="s">
        <v>101</v>
      </c>
      <c r="B256" s="1108"/>
      <c r="C256" s="543" t="s">
        <v>255</v>
      </c>
      <c r="D256" s="276"/>
      <c r="E256" s="436"/>
      <c r="F256" s="333">
        <f t="shared" si="233"/>
        <v>0</v>
      </c>
      <c r="G256" s="278"/>
      <c r="H256" s="278"/>
      <c r="I256" s="352" t="str">
        <f>IFERROR(F256/#REF!,"-")</f>
        <v>-</v>
      </c>
      <c r="J256" s="333">
        <f t="shared" si="234"/>
        <v>0</v>
      </c>
      <c r="K256" s="278">
        <f t="shared" si="229"/>
        <v>0</v>
      </c>
      <c r="L256" s="436">
        <f t="shared" si="230"/>
        <v>0</v>
      </c>
      <c r="M256" s="337" t="str">
        <f t="shared" si="239"/>
        <v>-</v>
      </c>
      <c r="N256" s="263" t="str">
        <f t="shared" si="240"/>
        <v>-</v>
      </c>
      <c r="O256" s="508">
        <v>3.2963</v>
      </c>
      <c r="P256" s="404">
        <f t="shared" si="231"/>
        <v>0</v>
      </c>
      <c r="Q256" s="449">
        <f t="shared" si="232"/>
        <v>0</v>
      </c>
    </row>
    <row r="257" spans="1:17" ht="23.4" x14ac:dyDescent="0.4">
      <c r="A257" s="248" t="s">
        <v>101</v>
      </c>
      <c r="B257" s="546"/>
      <c r="C257" s="544" t="s">
        <v>89</v>
      </c>
      <c r="D257" s="511"/>
      <c r="E257" s="436"/>
      <c r="F257" s="333">
        <f t="shared" si="233"/>
        <v>0</v>
      </c>
      <c r="G257" s="278"/>
      <c r="H257" s="278"/>
      <c r="I257" s="352" t="str">
        <f>IFERROR(F257/#REF!,"-")</f>
        <v>-</v>
      </c>
      <c r="J257" s="333">
        <f t="shared" si="234"/>
        <v>0</v>
      </c>
      <c r="K257" s="278">
        <f t="shared" si="229"/>
        <v>0</v>
      </c>
      <c r="L257" s="436">
        <f t="shared" si="230"/>
        <v>0</v>
      </c>
      <c r="M257" s="337" t="str">
        <f t="shared" si="239"/>
        <v>-</v>
      </c>
      <c r="N257" s="263" t="str">
        <f t="shared" si="240"/>
        <v>-</v>
      </c>
      <c r="O257" s="508">
        <v>2.3201000000000001</v>
      </c>
      <c r="P257" s="404">
        <f t="shared" si="231"/>
        <v>0</v>
      </c>
      <c r="Q257" s="449">
        <f t="shared" si="232"/>
        <v>0</v>
      </c>
    </row>
    <row r="258" spans="1:17" ht="24" thickBot="1" x14ac:dyDescent="0.35">
      <c r="A258" s="248" t="s">
        <v>101</v>
      </c>
      <c r="B258" s="524"/>
      <c r="C258" s="541"/>
      <c r="D258" s="530"/>
      <c r="E258" s="462"/>
      <c r="F258" s="460">
        <f t="shared" si="233"/>
        <v>0</v>
      </c>
      <c r="G258" s="461"/>
      <c r="H258" s="461"/>
      <c r="I258" s="532" t="str">
        <f>IFERROR(F258/#REF!,"-")</f>
        <v>-</v>
      </c>
      <c r="J258" s="460">
        <f t="shared" si="234"/>
        <v>0</v>
      </c>
      <c r="K258" s="461">
        <f t="shared" si="229"/>
        <v>0</v>
      </c>
      <c r="L258" s="462">
        <f t="shared" si="230"/>
        <v>0</v>
      </c>
      <c r="M258" s="683" t="str">
        <f t="shared" si="239"/>
        <v>-</v>
      </c>
      <c r="N258" s="264" t="str">
        <f t="shared" si="240"/>
        <v>-</v>
      </c>
      <c r="O258" s="539"/>
      <c r="P258" s="536">
        <f t="shared" si="231"/>
        <v>0</v>
      </c>
      <c r="Q258" s="537">
        <f t="shared" si="232"/>
        <v>0</v>
      </c>
    </row>
    <row r="259" spans="1:17" ht="23.25" customHeight="1" thickBot="1" x14ac:dyDescent="0.35">
      <c r="A259" s="274" t="s">
        <v>101</v>
      </c>
      <c r="B259" s="1109" t="s">
        <v>25</v>
      </c>
      <c r="C259" s="1046"/>
      <c r="D259" s="513">
        <f>SUM(D232:D258)</f>
        <v>0</v>
      </c>
      <c r="E259" s="526">
        <v>100000</v>
      </c>
      <c r="F259" s="519">
        <f>SUM(F227:F258)</f>
        <v>132800</v>
      </c>
      <c r="G259" s="519">
        <f>SUM(G227:G258)</f>
        <v>131720</v>
      </c>
      <c r="H259" s="519">
        <f>SUM(H227:H258)</f>
        <v>1080</v>
      </c>
      <c r="I259" s="520" t="str">
        <f>IFERROR(F259/#REF!,"-")</f>
        <v>-</v>
      </c>
      <c r="J259" s="513">
        <f>SUM(J227:J258)</f>
        <v>473771</v>
      </c>
      <c r="K259" s="513">
        <f t="shared" ref="K259:L259" si="241">SUM(K227:K258)</f>
        <v>470343</v>
      </c>
      <c r="L259" s="513">
        <f t="shared" si="241"/>
        <v>3428</v>
      </c>
      <c r="M259" s="521" t="str">
        <f t="shared" si="239"/>
        <v>-</v>
      </c>
      <c r="N259" s="520">
        <f t="shared" si="240"/>
        <v>7.235563172925316E-3</v>
      </c>
      <c r="O259" s="522"/>
      <c r="P259" s="523">
        <f>SUM(P227:P258)</f>
        <v>920850.54999999993</v>
      </c>
      <c r="Q259" s="523">
        <f>SUM(Q227:Q258)</f>
        <v>3423304.0353999999</v>
      </c>
    </row>
    <row r="260" spans="1:17" ht="23.25" customHeight="1" thickBot="1" x14ac:dyDescent="0.35">
      <c r="A260" s="318" t="s">
        <v>101</v>
      </c>
      <c r="B260" s="1111" t="s">
        <v>249</v>
      </c>
      <c r="C260" s="1112"/>
      <c r="D260" s="326">
        <f>+D231+D259</f>
        <v>0</v>
      </c>
      <c r="E260" s="327">
        <f>+E231+E259</f>
        <v>100000</v>
      </c>
      <c r="F260" s="326">
        <f>+F259</f>
        <v>132800</v>
      </c>
      <c r="G260" s="326">
        <f t="shared" ref="G260:H260" si="242">+G259</f>
        <v>131720</v>
      </c>
      <c r="H260" s="326">
        <f t="shared" si="242"/>
        <v>1080</v>
      </c>
      <c r="I260" s="349" t="str">
        <f>IFERROR(F260/#REF!,"-")</f>
        <v>-</v>
      </c>
      <c r="J260" s="326">
        <f>+J259</f>
        <v>473771</v>
      </c>
      <c r="K260" s="326">
        <f t="shared" ref="K260:L260" si="243">+K259</f>
        <v>470343</v>
      </c>
      <c r="L260" s="326">
        <f t="shared" si="243"/>
        <v>3428</v>
      </c>
      <c r="M260" s="341" t="str">
        <f t="shared" si="239"/>
        <v>-</v>
      </c>
      <c r="N260" s="349">
        <f t="shared" si="240"/>
        <v>7.235563172925316E-3</v>
      </c>
      <c r="O260" s="394"/>
      <c r="P260" s="410">
        <f>+P259</f>
        <v>920850.54999999993</v>
      </c>
      <c r="Q260" s="428">
        <f>Q259</f>
        <v>3423304.0353999999</v>
      </c>
    </row>
    <row r="261" spans="1:17" ht="24.6" thickBot="1" x14ac:dyDescent="0.35">
      <c r="A261" s="319"/>
      <c r="B261" s="1113" t="s">
        <v>174</v>
      </c>
      <c r="C261" s="1114"/>
      <c r="D261" s="374">
        <f>+D260+D226+D217</f>
        <v>0</v>
      </c>
      <c r="E261" s="374">
        <f>+E260+E226+E217</f>
        <v>230000</v>
      </c>
      <c r="F261" s="374">
        <f>+F260+F226+F217</f>
        <v>386463</v>
      </c>
      <c r="G261" s="374">
        <f>+G260+G226+G217</f>
        <v>382970</v>
      </c>
      <c r="H261" s="374">
        <f>+H260+H226+H217</f>
        <v>3493</v>
      </c>
      <c r="I261" s="375" t="str">
        <f>IFERROR(F261/#REF!,"-")</f>
        <v>-</v>
      </c>
      <c r="J261" s="374">
        <f>+J260+J226+J217</f>
        <v>1512515</v>
      </c>
      <c r="K261" s="374">
        <f>+K260+K226+K217</f>
        <v>1498643</v>
      </c>
      <c r="L261" s="374">
        <f>+L260+L226+L217</f>
        <v>13872</v>
      </c>
      <c r="M261" s="375" t="str">
        <f t="shared" si="239"/>
        <v>-</v>
      </c>
      <c r="N261" s="375">
        <f>IFERROR(L261/J261,"-")</f>
        <v>9.1714792911144691E-3</v>
      </c>
      <c r="O261" s="401"/>
      <c r="P261" s="418">
        <f>+P260+P226+P217</f>
        <v>2141251.1749999998</v>
      </c>
      <c r="Q261" s="418">
        <f>+Q260+Q226+Q217</f>
        <v>7854692.5203999998</v>
      </c>
    </row>
    <row r="262" spans="1:17" ht="24.6" customHeight="1" thickBot="1" x14ac:dyDescent="0.35">
      <c r="A262" s="230"/>
      <c r="B262" s="230"/>
      <c r="C262" s="230"/>
      <c r="D262" s="232"/>
      <c r="E262" s="232"/>
      <c r="F262" s="232"/>
      <c r="G262" s="267"/>
      <c r="H262" s="267"/>
      <c r="I262" s="234"/>
      <c r="J262" s="232"/>
      <c r="K262" s="232"/>
      <c r="L262" s="232"/>
      <c r="M262" s="234"/>
      <c r="N262" s="234"/>
    </row>
    <row r="263" spans="1:17" ht="22.5" customHeight="1" x14ac:dyDescent="0.3">
      <c r="A263" s="1115" t="s">
        <v>1</v>
      </c>
      <c r="B263" s="1118" t="s">
        <v>2</v>
      </c>
      <c r="C263" s="1121" t="s">
        <v>396</v>
      </c>
      <c r="D263" s="1066" t="s">
        <v>4</v>
      </c>
      <c r="E263" s="1067"/>
      <c r="F263" s="1067"/>
      <c r="G263" s="1067"/>
      <c r="H263" s="1067"/>
      <c r="I263" s="1067"/>
      <c r="J263" s="1067"/>
      <c r="K263" s="1067"/>
      <c r="L263" s="1067"/>
      <c r="M263" s="1067"/>
      <c r="N263" s="1068"/>
      <c r="O263" s="1092" t="s">
        <v>167</v>
      </c>
      <c r="P263" s="1093"/>
      <c r="Q263" s="1124"/>
    </row>
    <row r="264" spans="1:17" ht="22.5" customHeight="1" x14ac:dyDescent="0.3">
      <c r="A264" s="1116"/>
      <c r="B264" s="1119"/>
      <c r="C264" s="1122"/>
      <c r="D264" s="1069" t="s">
        <v>7</v>
      </c>
      <c r="E264" s="1071" t="s">
        <v>108</v>
      </c>
      <c r="F264" s="1125" t="s">
        <v>508</v>
      </c>
      <c r="G264" s="1074"/>
      <c r="H264" s="1074"/>
      <c r="I264" s="1075"/>
      <c r="J264" s="1076" t="s">
        <v>8</v>
      </c>
      <c r="K264" s="1077"/>
      <c r="L264" s="1078"/>
      <c r="M264" s="1079" t="s">
        <v>165</v>
      </c>
      <c r="N264" s="1081" t="s">
        <v>164</v>
      </c>
      <c r="O264" s="1126" t="s">
        <v>169</v>
      </c>
      <c r="P264" s="1127"/>
      <c r="Q264" s="1128"/>
    </row>
    <row r="265" spans="1:17" ht="47.4" thickBot="1" x14ac:dyDescent="0.35">
      <c r="A265" s="1117"/>
      <c r="B265" s="1120"/>
      <c r="C265" s="1123"/>
      <c r="D265" s="1070"/>
      <c r="E265" s="1072"/>
      <c r="F265" s="452" t="s">
        <v>13</v>
      </c>
      <c r="G265" s="453" t="s">
        <v>14</v>
      </c>
      <c r="H265" s="453" t="s">
        <v>15</v>
      </c>
      <c r="I265" s="454" t="s">
        <v>166</v>
      </c>
      <c r="J265" s="680" t="s">
        <v>13</v>
      </c>
      <c r="K265" s="678" t="s">
        <v>14</v>
      </c>
      <c r="L265" s="679" t="s">
        <v>15</v>
      </c>
      <c r="M265" s="1080"/>
      <c r="N265" s="1082"/>
      <c r="O265" s="444" t="s">
        <v>170</v>
      </c>
      <c r="P265" s="445" t="s">
        <v>11</v>
      </c>
      <c r="Q265" s="446" t="s">
        <v>12</v>
      </c>
    </row>
    <row r="266" spans="1:17" ht="23.4" x14ac:dyDescent="0.3">
      <c r="A266" s="268" t="s">
        <v>103</v>
      </c>
      <c r="B266" s="439"/>
      <c r="C266" s="269" t="s">
        <v>502</v>
      </c>
      <c r="D266" s="270"/>
      <c r="E266" s="271"/>
      <c r="F266" s="332">
        <f>+G266+H266</f>
        <v>0</v>
      </c>
      <c r="G266" s="272"/>
      <c r="H266" s="272"/>
      <c r="I266" s="351" t="str">
        <f>IFERROR(F266/#REF!,"-")</f>
        <v>-</v>
      </c>
      <c r="J266" s="457">
        <f>+K266+L266</f>
        <v>56000</v>
      </c>
      <c r="K266" s="458">
        <f>+G266+K203</f>
        <v>56000</v>
      </c>
      <c r="L266" s="458">
        <f>+H266+L203</f>
        <v>0</v>
      </c>
      <c r="M266" s="336" t="str">
        <f>IFERROR(J266/D266,"-")</f>
        <v>-</v>
      </c>
      <c r="N266" s="343">
        <f t="shared" ref="N266:N267" si="244">IFERROR(L266/J266,"-")</f>
        <v>0</v>
      </c>
      <c r="O266" s="786">
        <v>0</v>
      </c>
      <c r="P266" s="402">
        <f>+O266*G266</f>
        <v>0</v>
      </c>
      <c r="Q266" s="447">
        <f>+O266*K266</f>
        <v>0</v>
      </c>
    </row>
    <row r="267" spans="1:17" ht="23.4" x14ac:dyDescent="0.3">
      <c r="A267" s="274" t="s">
        <v>103</v>
      </c>
      <c r="B267" s="438"/>
      <c r="C267" s="275" t="s">
        <v>245</v>
      </c>
      <c r="D267" s="276"/>
      <c r="E267" s="277"/>
      <c r="F267" s="333">
        <f t="shared" ref="F267:F270" si="245">+G267+H267</f>
        <v>0</v>
      </c>
      <c r="G267" s="719"/>
      <c r="H267" s="719"/>
      <c r="I267" s="352" t="str">
        <f>IFERROR(F267/#REF!,"-")</f>
        <v>-</v>
      </c>
      <c r="J267" s="333">
        <f t="shared" ref="J267:J270" si="246">+K267+L267</f>
        <v>115874</v>
      </c>
      <c r="K267" s="278">
        <f t="shared" ref="K267:K270" si="247">+G267+K204</f>
        <v>115000</v>
      </c>
      <c r="L267" s="436">
        <f t="shared" ref="L267:L270" si="248">+H267+L204</f>
        <v>874</v>
      </c>
      <c r="M267" s="337" t="str">
        <f t="shared" ref="M267:M270" si="249">IFERROR(J267/D267,"-")</f>
        <v>-</v>
      </c>
      <c r="N267" s="265">
        <f t="shared" si="244"/>
        <v>7.5426756649464074E-3</v>
      </c>
      <c r="O267" s="508">
        <v>2.3978999999999999</v>
      </c>
      <c r="P267" s="404">
        <f>+O267*G267</f>
        <v>0</v>
      </c>
      <c r="Q267" s="449">
        <f>+O267*K267</f>
        <v>275758.5</v>
      </c>
    </row>
    <row r="268" spans="1:17" ht="23.4" x14ac:dyDescent="0.3">
      <c r="A268" s="274" t="s">
        <v>103</v>
      </c>
      <c r="B268" s="438"/>
      <c r="C268" s="275" t="s">
        <v>395</v>
      </c>
      <c r="D268" s="276"/>
      <c r="E268" s="277"/>
      <c r="F268" s="333">
        <f t="shared" si="245"/>
        <v>58074</v>
      </c>
      <c r="G268" s="278">
        <v>57500</v>
      </c>
      <c r="H268" s="719">
        <v>574</v>
      </c>
      <c r="I268" s="352" t="str">
        <f>IFERROR(F268/#REF!,"-")</f>
        <v>-</v>
      </c>
      <c r="J268" s="333">
        <f t="shared" si="246"/>
        <v>332666</v>
      </c>
      <c r="K268" s="278">
        <f t="shared" si="247"/>
        <v>329500</v>
      </c>
      <c r="L268" s="436">
        <f t="shared" si="248"/>
        <v>3166</v>
      </c>
      <c r="M268" s="337" t="str">
        <f t="shared" si="249"/>
        <v>-</v>
      </c>
      <c r="N268" s="716">
        <f>IFERROR(L268/J268,"-")</f>
        <v>9.5170531403870554E-3</v>
      </c>
      <c r="O268" s="718">
        <v>3.6777000000000002</v>
      </c>
      <c r="P268" s="404">
        <f t="shared" ref="P268:P270" si="250">+O268*G268</f>
        <v>211467.75</v>
      </c>
      <c r="Q268" s="449">
        <f t="shared" ref="Q268:Q270" si="251">+O268*K268</f>
        <v>1211802.1500000001</v>
      </c>
    </row>
    <row r="269" spans="1:17" ht="23.4" x14ac:dyDescent="0.3">
      <c r="A269" s="274"/>
      <c r="B269" s="451"/>
      <c r="C269" s="275" t="s">
        <v>319</v>
      </c>
      <c r="D269" s="280"/>
      <c r="E269" s="281"/>
      <c r="F269" s="333">
        <f t="shared" si="245"/>
        <v>44556</v>
      </c>
      <c r="G269" s="282">
        <v>44000</v>
      </c>
      <c r="H269" s="282">
        <v>556</v>
      </c>
      <c r="I269" s="352" t="str">
        <f>IFERROR(F269/#REF!,"-")</f>
        <v>-</v>
      </c>
      <c r="J269" s="333">
        <f t="shared" si="246"/>
        <v>180164</v>
      </c>
      <c r="K269" s="278">
        <f t="shared" si="247"/>
        <v>177800</v>
      </c>
      <c r="L269" s="436">
        <f t="shared" si="248"/>
        <v>2364</v>
      </c>
      <c r="M269" s="337" t="str">
        <f t="shared" si="249"/>
        <v>-</v>
      </c>
      <c r="N269" s="265">
        <f>IFERROR(L269/J269,"-")</f>
        <v>1.312137829977132E-2</v>
      </c>
      <c r="O269" s="509">
        <v>12.284700000000001</v>
      </c>
      <c r="P269" s="404">
        <f t="shared" si="250"/>
        <v>540526.80000000005</v>
      </c>
      <c r="Q269" s="449">
        <f t="shared" si="251"/>
        <v>2184219.66</v>
      </c>
    </row>
    <row r="270" spans="1:17" ht="24" thickBot="1" x14ac:dyDescent="0.35">
      <c r="A270" s="274" t="s">
        <v>103</v>
      </c>
      <c r="B270" s="451"/>
      <c r="C270" s="275" t="s">
        <v>365</v>
      </c>
      <c r="D270" s="280"/>
      <c r="E270" s="281"/>
      <c r="F270" s="334">
        <f t="shared" si="245"/>
        <v>0</v>
      </c>
      <c r="G270" s="282"/>
      <c r="H270" s="282"/>
      <c r="I270" s="353" t="str">
        <f>IFERROR(F270/#REF!,"-")</f>
        <v>-</v>
      </c>
      <c r="J270" s="460">
        <f t="shared" si="246"/>
        <v>45034</v>
      </c>
      <c r="K270" s="461">
        <f t="shared" si="247"/>
        <v>44250</v>
      </c>
      <c r="L270" s="462">
        <f t="shared" si="248"/>
        <v>784</v>
      </c>
      <c r="M270" s="338" t="str">
        <f t="shared" si="249"/>
        <v>-</v>
      </c>
      <c r="N270" s="344">
        <f t="shared" ref="N270:N282" si="252">IFERROR(L270/J270,"-")</f>
        <v>1.7409068703646134E-2</v>
      </c>
      <c r="O270" s="718">
        <v>7.0612000000000004</v>
      </c>
      <c r="P270" s="405">
        <f t="shared" si="250"/>
        <v>0</v>
      </c>
      <c r="Q270" s="450">
        <f t="shared" si="251"/>
        <v>312458.10000000003</v>
      </c>
    </row>
    <row r="271" spans="1:17" ht="23.25" customHeight="1" thickBot="1" x14ac:dyDescent="0.35">
      <c r="A271" s="274" t="s">
        <v>103</v>
      </c>
      <c r="B271" s="1109" t="s">
        <v>21</v>
      </c>
      <c r="C271" s="1046"/>
      <c r="D271" s="320">
        <f>SUM(D266:D270)</f>
        <v>0</v>
      </c>
      <c r="E271" s="285">
        <v>15000</v>
      </c>
      <c r="F271" s="320">
        <f>SUM(F266:F270)</f>
        <v>102630</v>
      </c>
      <c r="G271" s="321">
        <f>SUM(G266:G270)</f>
        <v>101500</v>
      </c>
      <c r="H271" s="321">
        <f>SUM(H266:H270)</f>
        <v>1130</v>
      </c>
      <c r="I271" s="345" t="str">
        <f>IFERROR(F271/#REF!,"-")</f>
        <v>-</v>
      </c>
      <c r="J271" s="320">
        <f>SUM(J266:J270)</f>
        <v>729738</v>
      </c>
      <c r="K271" s="321">
        <f>SUM(K266:K270)</f>
        <v>722550</v>
      </c>
      <c r="L271" s="322">
        <f>SUM(L266:L270)</f>
        <v>7188</v>
      </c>
      <c r="M271" s="339" t="str">
        <f>IFERROR(J271/D271,"-")</f>
        <v>-</v>
      </c>
      <c r="N271" s="345">
        <f t="shared" si="252"/>
        <v>9.8501105876355622E-3</v>
      </c>
      <c r="O271" s="391"/>
      <c r="P271" s="406">
        <f>SUM(P266:P270)</f>
        <v>751994.55</v>
      </c>
      <c r="Q271" s="425">
        <f>SUM(Q266:Q270)</f>
        <v>3984238.4100000006</v>
      </c>
    </row>
    <row r="272" spans="1:17" ht="23.4" x14ac:dyDescent="0.3">
      <c r="A272" s="274" t="s">
        <v>103</v>
      </c>
      <c r="B272" s="439"/>
      <c r="C272" s="269" t="s">
        <v>244</v>
      </c>
      <c r="D272" s="270"/>
      <c r="E272" s="271"/>
      <c r="F272" s="332">
        <f t="shared" ref="F272:F278" si="253">+G272+H272</f>
        <v>0</v>
      </c>
      <c r="G272" s="272"/>
      <c r="H272" s="272"/>
      <c r="I272" s="351" t="str">
        <f>IFERROR(F272/#REF!,"-")</f>
        <v>-</v>
      </c>
      <c r="J272" s="457">
        <f t="shared" ref="J272:J278" si="254">+K272+L272</f>
        <v>0</v>
      </c>
      <c r="K272" s="458">
        <f t="shared" ref="K272:K278" si="255">+G272+K209</f>
        <v>0</v>
      </c>
      <c r="L272" s="459">
        <f t="shared" ref="L272:L278" si="256">+H272+L209</f>
        <v>0</v>
      </c>
      <c r="M272" s="336" t="str">
        <f t="shared" ref="M272:M280" si="257">IFERROR(J272/D272,"-")</f>
        <v>-</v>
      </c>
      <c r="N272" s="346" t="str">
        <f t="shared" si="252"/>
        <v>-</v>
      </c>
      <c r="O272" s="507">
        <v>18.2316</v>
      </c>
      <c r="P272" s="402">
        <f t="shared" ref="P272:P278" si="258">+O272*G272</f>
        <v>0</v>
      </c>
      <c r="Q272" s="447">
        <f t="shared" ref="Q272:Q278" si="259">+O272*K272</f>
        <v>0</v>
      </c>
    </row>
    <row r="273" spans="1:17" ht="23.4" x14ac:dyDescent="0.3">
      <c r="A273" s="274" t="s">
        <v>103</v>
      </c>
      <c r="B273" s="438"/>
      <c r="C273" s="275" t="s">
        <v>89</v>
      </c>
      <c r="D273" s="276"/>
      <c r="E273" s="277"/>
      <c r="F273" s="333">
        <f t="shared" si="253"/>
        <v>0</v>
      </c>
      <c r="G273" s="278"/>
      <c r="H273" s="278"/>
      <c r="I273" s="352" t="str">
        <f>IFERROR(F273/#REF!,"-")</f>
        <v>-</v>
      </c>
      <c r="J273" s="333">
        <f t="shared" si="254"/>
        <v>60000</v>
      </c>
      <c r="K273" s="278">
        <f t="shared" si="255"/>
        <v>60000</v>
      </c>
      <c r="L273" s="436">
        <f t="shared" si="256"/>
        <v>0</v>
      </c>
      <c r="M273" s="337" t="str">
        <f t="shared" si="257"/>
        <v>-</v>
      </c>
      <c r="N273" s="263">
        <f t="shared" si="252"/>
        <v>0</v>
      </c>
      <c r="O273" s="508">
        <v>1.2824</v>
      </c>
      <c r="P273" s="404">
        <f t="shared" si="258"/>
        <v>0</v>
      </c>
      <c r="Q273" s="449">
        <f t="shared" si="259"/>
        <v>76944</v>
      </c>
    </row>
    <row r="274" spans="1:17" ht="23.4" x14ac:dyDescent="0.3">
      <c r="A274" s="274" t="s">
        <v>103</v>
      </c>
      <c r="B274" s="438"/>
      <c r="C274" s="275" t="s">
        <v>300</v>
      </c>
      <c r="D274" s="276"/>
      <c r="E274" s="277"/>
      <c r="F274" s="333">
        <f t="shared" si="253"/>
        <v>0</v>
      </c>
      <c r="G274" s="278"/>
      <c r="H274" s="278"/>
      <c r="I274" s="352" t="str">
        <f>IFERROR(F274/#REF!,"-")</f>
        <v>-</v>
      </c>
      <c r="J274" s="333">
        <f t="shared" si="254"/>
        <v>0</v>
      </c>
      <c r="K274" s="278">
        <f t="shared" si="255"/>
        <v>0</v>
      </c>
      <c r="L274" s="436">
        <f t="shared" si="256"/>
        <v>0</v>
      </c>
      <c r="M274" s="337" t="str">
        <f t="shared" si="257"/>
        <v>-</v>
      </c>
      <c r="N274" s="263" t="str">
        <f t="shared" si="252"/>
        <v>-</v>
      </c>
      <c r="O274" s="710">
        <v>5.7342000000000004</v>
      </c>
      <c r="P274" s="404">
        <f t="shared" si="258"/>
        <v>0</v>
      </c>
      <c r="Q274" s="449">
        <f t="shared" si="259"/>
        <v>0</v>
      </c>
    </row>
    <row r="275" spans="1:17" ht="23.4" x14ac:dyDescent="0.3">
      <c r="A275" s="274" t="s">
        <v>103</v>
      </c>
      <c r="B275" s="438"/>
      <c r="C275" s="275" t="s">
        <v>314</v>
      </c>
      <c r="D275" s="276"/>
      <c r="E275" s="277"/>
      <c r="F275" s="333">
        <f t="shared" si="253"/>
        <v>0</v>
      </c>
      <c r="G275" s="278"/>
      <c r="H275" s="278"/>
      <c r="I275" s="352" t="str">
        <f>IFERROR(F275/#REF!,"-")</f>
        <v>-</v>
      </c>
      <c r="J275" s="333">
        <f t="shared" si="254"/>
        <v>0</v>
      </c>
      <c r="K275" s="278">
        <f t="shared" si="255"/>
        <v>0</v>
      </c>
      <c r="L275" s="436">
        <f t="shared" si="256"/>
        <v>0</v>
      </c>
      <c r="M275" s="337" t="str">
        <f t="shared" si="257"/>
        <v>-</v>
      </c>
      <c r="N275" s="263" t="str">
        <f t="shared" si="252"/>
        <v>-</v>
      </c>
      <c r="O275" s="508"/>
      <c r="P275" s="404">
        <f t="shared" si="258"/>
        <v>0</v>
      </c>
      <c r="Q275" s="449">
        <f t="shared" si="259"/>
        <v>0</v>
      </c>
    </row>
    <row r="276" spans="1:17" ht="23.4" x14ac:dyDescent="0.3">
      <c r="A276" s="274" t="s">
        <v>103</v>
      </c>
      <c r="B276" s="438"/>
      <c r="C276" s="275" t="s">
        <v>320</v>
      </c>
      <c r="D276" s="276"/>
      <c r="E276" s="277"/>
      <c r="F276" s="333">
        <f t="shared" si="253"/>
        <v>9045</v>
      </c>
      <c r="G276" s="278">
        <v>9000</v>
      </c>
      <c r="H276" s="278">
        <v>45</v>
      </c>
      <c r="I276" s="352" t="str">
        <f>IFERROR(F276/#REF!,"-")</f>
        <v>-</v>
      </c>
      <c r="J276" s="333">
        <f t="shared" si="254"/>
        <v>45125</v>
      </c>
      <c r="K276" s="278">
        <f t="shared" si="255"/>
        <v>45000</v>
      </c>
      <c r="L276" s="436">
        <f t="shared" si="256"/>
        <v>125</v>
      </c>
      <c r="M276" s="337" t="str">
        <f t="shared" si="257"/>
        <v>-</v>
      </c>
      <c r="N276" s="263">
        <f t="shared" si="252"/>
        <v>2.7700831024930748E-3</v>
      </c>
      <c r="O276" s="508">
        <v>12.029500000000001</v>
      </c>
      <c r="P276" s="404">
        <f t="shared" si="258"/>
        <v>108265.5</v>
      </c>
      <c r="Q276" s="449">
        <f t="shared" si="259"/>
        <v>541327.5</v>
      </c>
    </row>
    <row r="277" spans="1:17" ht="23.4" x14ac:dyDescent="0.3">
      <c r="A277" s="274" t="s">
        <v>103</v>
      </c>
      <c r="B277" s="438"/>
      <c r="C277" s="275"/>
      <c r="D277" s="276"/>
      <c r="E277" s="277"/>
      <c r="F277" s="333">
        <f t="shared" si="253"/>
        <v>0</v>
      </c>
      <c r="G277" s="278"/>
      <c r="H277" s="278"/>
      <c r="I277" s="352" t="str">
        <f>IFERROR(F277/#REF!,"-")</f>
        <v>-</v>
      </c>
      <c r="J277" s="333">
        <f t="shared" si="254"/>
        <v>0</v>
      </c>
      <c r="K277" s="278">
        <f t="shared" si="255"/>
        <v>0</v>
      </c>
      <c r="L277" s="436">
        <f t="shared" si="256"/>
        <v>0</v>
      </c>
      <c r="M277" s="337" t="str">
        <f t="shared" si="257"/>
        <v>-</v>
      </c>
      <c r="N277" s="263" t="str">
        <f t="shared" si="252"/>
        <v>-</v>
      </c>
      <c r="O277" s="508"/>
      <c r="P277" s="404">
        <f t="shared" si="258"/>
        <v>0</v>
      </c>
      <c r="Q277" s="449">
        <f t="shared" si="259"/>
        <v>0</v>
      </c>
    </row>
    <row r="278" spans="1:17" ht="24" thickBot="1" x14ac:dyDescent="0.35">
      <c r="A278" s="274" t="s">
        <v>103</v>
      </c>
      <c r="B278" s="451"/>
      <c r="C278" s="279"/>
      <c r="D278" s="280">
        <v>0</v>
      </c>
      <c r="E278" s="281"/>
      <c r="F278" s="334">
        <f t="shared" si="253"/>
        <v>0</v>
      </c>
      <c r="G278" s="282"/>
      <c r="H278" s="282"/>
      <c r="I278" s="353" t="str">
        <f>IFERROR(F278/#REF!,"-")</f>
        <v>-</v>
      </c>
      <c r="J278" s="460">
        <f t="shared" si="254"/>
        <v>0</v>
      </c>
      <c r="K278" s="461">
        <f t="shared" si="255"/>
        <v>0</v>
      </c>
      <c r="L278" s="462">
        <f t="shared" si="256"/>
        <v>0</v>
      </c>
      <c r="M278" s="338" t="str">
        <f t="shared" si="257"/>
        <v>-</v>
      </c>
      <c r="N278" s="347" t="str">
        <f t="shared" si="252"/>
        <v>-</v>
      </c>
      <c r="O278" s="509"/>
      <c r="P278" s="405">
        <f t="shared" si="258"/>
        <v>0</v>
      </c>
      <c r="Q278" s="450">
        <f t="shared" si="259"/>
        <v>0</v>
      </c>
    </row>
    <row r="279" spans="1:17" ht="23.25" customHeight="1" thickBot="1" x14ac:dyDescent="0.35">
      <c r="A279" s="274" t="s">
        <v>103</v>
      </c>
      <c r="B279" s="1109" t="s">
        <v>25</v>
      </c>
      <c r="C279" s="1046"/>
      <c r="D279" s="320">
        <f t="shared" ref="D279" si="260">SUM(D272:D278)</f>
        <v>0</v>
      </c>
      <c r="E279" s="285">
        <v>100000</v>
      </c>
      <c r="F279" s="320">
        <f>SUM(F272:F278)</f>
        <v>9045</v>
      </c>
      <c r="G279" s="321">
        <f t="shared" ref="G279:H279" si="261">SUM(G272:G278)</f>
        <v>9000</v>
      </c>
      <c r="H279" s="321">
        <f t="shared" si="261"/>
        <v>45</v>
      </c>
      <c r="I279" s="345" t="str">
        <f>IFERROR(F279/#REF!,"-")</f>
        <v>-</v>
      </c>
      <c r="J279" s="320">
        <f t="shared" ref="J279:L279" si="262">SUM(J272:J278)</f>
        <v>105125</v>
      </c>
      <c r="K279" s="321">
        <f t="shared" si="262"/>
        <v>105000</v>
      </c>
      <c r="L279" s="322">
        <f t="shared" si="262"/>
        <v>125</v>
      </c>
      <c r="M279" s="339" t="str">
        <f t="shared" si="257"/>
        <v>-</v>
      </c>
      <c r="N279" s="345">
        <f t="shared" si="252"/>
        <v>1.1890606420927466E-3</v>
      </c>
      <c r="O279" s="391"/>
      <c r="P279" s="406">
        <f t="shared" ref="P279:Q279" si="263">SUM(P272:P278)</f>
        <v>108265.5</v>
      </c>
      <c r="Q279" s="425">
        <f t="shared" si="263"/>
        <v>618271.5</v>
      </c>
    </row>
    <row r="280" spans="1:17" ht="23.25" customHeight="1" thickBot="1" x14ac:dyDescent="0.35">
      <c r="A280" s="274" t="s">
        <v>103</v>
      </c>
      <c r="B280" s="1111" t="s">
        <v>172</v>
      </c>
      <c r="C280" s="1112"/>
      <c r="D280" s="326">
        <f>+D271+D279</f>
        <v>0</v>
      </c>
      <c r="E280" s="327">
        <f t="shared" ref="E280:H280" si="264">+E271+E279</f>
        <v>115000</v>
      </c>
      <c r="F280" s="326">
        <f t="shared" si="264"/>
        <v>111675</v>
      </c>
      <c r="G280" s="324">
        <f t="shared" si="264"/>
        <v>110500</v>
      </c>
      <c r="H280" s="324">
        <f t="shared" si="264"/>
        <v>1175</v>
      </c>
      <c r="I280" s="349" t="str">
        <f>IFERROR(F280/#REF!,"-")</f>
        <v>-</v>
      </c>
      <c r="J280" s="326">
        <f t="shared" ref="J280:L280" si="265">+J271+J279</f>
        <v>834863</v>
      </c>
      <c r="K280" s="324">
        <f t="shared" si="265"/>
        <v>827550</v>
      </c>
      <c r="L280" s="325">
        <f t="shared" si="265"/>
        <v>7313</v>
      </c>
      <c r="M280" s="341" t="str">
        <f t="shared" si="257"/>
        <v>-</v>
      </c>
      <c r="N280" s="349">
        <f t="shared" si="252"/>
        <v>8.7595210232097962E-3</v>
      </c>
      <c r="O280" s="394"/>
      <c r="P280" s="410">
        <f t="shared" ref="P280:Q280" si="266">+P271+P279</f>
        <v>860260.05</v>
      </c>
      <c r="Q280" s="428">
        <f t="shared" si="266"/>
        <v>4602509.91</v>
      </c>
    </row>
    <row r="281" spans="1:17" ht="23.4" x14ac:dyDescent="0.3">
      <c r="A281" s="244" t="s">
        <v>101</v>
      </c>
      <c r="B281" s="581"/>
      <c r="C281" s="582" t="s">
        <v>283</v>
      </c>
      <c r="D281" s="527"/>
      <c r="E281" s="459"/>
      <c r="F281" s="457">
        <f>+G281+H281</f>
        <v>0</v>
      </c>
      <c r="G281" s="458"/>
      <c r="H281" s="458"/>
      <c r="I281" s="531" t="str">
        <f>IFERROR(F281/#REF!,"-")</f>
        <v>-</v>
      </c>
      <c r="J281" s="457">
        <f>+K281+L281</f>
        <v>0</v>
      </c>
      <c r="K281" s="458">
        <f t="shared" ref="K281:K287" si="267">+G281+K218</f>
        <v>0</v>
      </c>
      <c r="L281" s="459">
        <f t="shared" ref="L281:L287" si="268">+H281+L218</f>
        <v>0</v>
      </c>
      <c r="M281" s="586" t="str">
        <f>IFERROR(J281/D281,"-")</f>
        <v>-</v>
      </c>
      <c r="N281" s="533" t="str">
        <f t="shared" si="252"/>
        <v>-</v>
      </c>
      <c r="O281" s="628">
        <v>4.8285999999999998</v>
      </c>
      <c r="P281" s="534">
        <f t="shared" ref="P281:P287" si="269">+O281*G281</f>
        <v>0</v>
      </c>
      <c r="Q281" s="535">
        <f t="shared" ref="Q281:Q287" si="270">+O281*K281</f>
        <v>0</v>
      </c>
    </row>
    <row r="282" spans="1:17" ht="23.4" x14ac:dyDescent="0.3">
      <c r="A282" s="248" t="s">
        <v>101</v>
      </c>
      <c r="B282" s="583"/>
      <c r="C282" s="275" t="s">
        <v>284</v>
      </c>
      <c r="D282" s="276"/>
      <c r="E282" s="436"/>
      <c r="F282" s="333">
        <f t="shared" ref="F282:F287" si="271">+G282+H282</f>
        <v>0</v>
      </c>
      <c r="G282" s="278"/>
      <c r="H282" s="278"/>
      <c r="I282" s="352" t="str">
        <f>IFERROR(F282/#REF!,"-")</f>
        <v>-</v>
      </c>
      <c r="J282" s="333">
        <f t="shared" ref="J282:J287" si="272">+K282+L282</f>
        <v>0</v>
      </c>
      <c r="K282" s="278">
        <f t="shared" si="267"/>
        <v>0</v>
      </c>
      <c r="L282" s="436">
        <f t="shared" si="268"/>
        <v>0</v>
      </c>
      <c r="M282" s="337" t="str">
        <f t="shared" ref="M282:M284" si="273">IFERROR(J282/D282,"-")</f>
        <v>-</v>
      </c>
      <c r="N282" s="265" t="str">
        <f t="shared" si="252"/>
        <v>-</v>
      </c>
      <c r="O282" s="629">
        <v>1.4086000000000001</v>
      </c>
      <c r="P282" s="404">
        <f t="shared" si="269"/>
        <v>0</v>
      </c>
      <c r="Q282" s="449">
        <f t="shared" si="270"/>
        <v>0</v>
      </c>
    </row>
    <row r="283" spans="1:17" ht="23.4" x14ac:dyDescent="0.3">
      <c r="A283" s="248" t="s">
        <v>101</v>
      </c>
      <c r="B283" s="583"/>
      <c r="C283" s="275" t="s">
        <v>315</v>
      </c>
      <c r="D283" s="276"/>
      <c r="E283" s="436"/>
      <c r="F283" s="333">
        <f t="shared" si="271"/>
        <v>0</v>
      </c>
      <c r="G283" s="278"/>
      <c r="H283" s="278"/>
      <c r="I283" s="352" t="str">
        <f>IFERROR(F283/#REF!,"-")</f>
        <v>-</v>
      </c>
      <c r="J283" s="333">
        <f t="shared" si="272"/>
        <v>0</v>
      </c>
      <c r="K283" s="278">
        <f t="shared" si="267"/>
        <v>0</v>
      </c>
      <c r="L283" s="436">
        <f t="shared" si="268"/>
        <v>0</v>
      </c>
      <c r="M283" s="337" t="str">
        <f t="shared" si="273"/>
        <v>-</v>
      </c>
      <c r="N283" s="265" t="str">
        <f>IFERROR(L283/J283,"-")</f>
        <v>-</v>
      </c>
      <c r="O283" s="629">
        <v>2.2141000000000002</v>
      </c>
      <c r="P283" s="404">
        <f t="shared" si="269"/>
        <v>0</v>
      </c>
      <c r="Q283" s="449">
        <f t="shared" si="270"/>
        <v>0</v>
      </c>
    </row>
    <row r="284" spans="1:17" ht="23.4" x14ac:dyDescent="0.3">
      <c r="A284" s="248" t="s">
        <v>101</v>
      </c>
      <c r="B284" s="584"/>
      <c r="C284" s="275" t="s">
        <v>447</v>
      </c>
      <c r="D284" s="280"/>
      <c r="E284" s="528"/>
      <c r="F284" s="334">
        <f t="shared" si="271"/>
        <v>0</v>
      </c>
      <c r="G284" s="282"/>
      <c r="H284" s="282"/>
      <c r="I284" s="353" t="str">
        <f>IFERROR(F284/#REF!,"-")</f>
        <v>-</v>
      </c>
      <c r="J284" s="333">
        <f t="shared" si="272"/>
        <v>315556</v>
      </c>
      <c r="K284" s="278">
        <f t="shared" si="267"/>
        <v>311250</v>
      </c>
      <c r="L284" s="436">
        <f t="shared" si="268"/>
        <v>4306</v>
      </c>
      <c r="M284" s="338" t="str">
        <f t="shared" si="273"/>
        <v>-</v>
      </c>
      <c r="N284" s="344">
        <f t="shared" ref="N284:N291" si="274">IFERROR(L284/J284,"-")</f>
        <v>1.3645755428513481E-2</v>
      </c>
      <c r="O284" s="629">
        <v>2.2141000000000002</v>
      </c>
      <c r="P284" s="405">
        <f t="shared" si="269"/>
        <v>0</v>
      </c>
      <c r="Q284" s="450">
        <f t="shared" si="270"/>
        <v>689138.625</v>
      </c>
    </row>
    <row r="285" spans="1:17" ht="23.4" x14ac:dyDescent="0.3">
      <c r="A285" s="248" t="s">
        <v>101</v>
      </c>
      <c r="B285" s="440"/>
      <c r="C285" s="627" t="s">
        <v>353</v>
      </c>
      <c r="D285" s="510"/>
      <c r="E285" s="529"/>
      <c r="F285" s="333">
        <f t="shared" si="271"/>
        <v>0</v>
      </c>
      <c r="G285" s="547"/>
      <c r="H285" s="547"/>
      <c r="I285" s="352" t="str">
        <f>IFERROR(F285/#REF!,"-")</f>
        <v>-</v>
      </c>
      <c r="J285" s="333">
        <f t="shared" si="272"/>
        <v>0</v>
      </c>
      <c r="K285" s="278">
        <f t="shared" si="267"/>
        <v>0</v>
      </c>
      <c r="L285" s="436">
        <f t="shared" si="268"/>
        <v>0</v>
      </c>
      <c r="M285" s="682"/>
      <c r="N285" s="265" t="str">
        <f t="shared" si="274"/>
        <v>-</v>
      </c>
      <c r="O285" s="540">
        <v>4.8285999999999998</v>
      </c>
      <c r="P285" s="404">
        <f t="shared" si="269"/>
        <v>0</v>
      </c>
      <c r="Q285" s="449">
        <f t="shared" si="270"/>
        <v>0</v>
      </c>
    </row>
    <row r="286" spans="1:17" ht="23.4" x14ac:dyDescent="0.3">
      <c r="A286" s="248" t="s">
        <v>101</v>
      </c>
      <c r="B286" s="585"/>
      <c r="C286" s="627" t="s">
        <v>349</v>
      </c>
      <c r="D286" s="270"/>
      <c r="E286" s="435"/>
      <c r="F286" s="332">
        <f t="shared" si="271"/>
        <v>0</v>
      </c>
      <c r="G286" s="272"/>
      <c r="H286" s="272"/>
      <c r="I286" s="351" t="str">
        <f>IFERROR(F286/#REF!,"-")</f>
        <v>-</v>
      </c>
      <c r="J286" s="333">
        <f t="shared" si="272"/>
        <v>0</v>
      </c>
      <c r="K286" s="278">
        <f t="shared" si="267"/>
        <v>0</v>
      </c>
      <c r="L286" s="436">
        <f t="shared" si="268"/>
        <v>0</v>
      </c>
      <c r="M286" s="336" t="str">
        <f t="shared" ref="M286:M287" si="275">IFERROR(J286/D286,"-")</f>
        <v>-</v>
      </c>
      <c r="N286" s="346" t="str">
        <f t="shared" si="274"/>
        <v>-</v>
      </c>
      <c r="O286" s="507">
        <v>4.1712999999999996</v>
      </c>
      <c r="P286" s="402">
        <f t="shared" si="269"/>
        <v>0</v>
      </c>
      <c r="Q286" s="447">
        <f t="shared" si="270"/>
        <v>0</v>
      </c>
    </row>
    <row r="287" spans="1:17" ht="24" thickBot="1" x14ac:dyDescent="0.35">
      <c r="A287" s="248" t="s">
        <v>101</v>
      </c>
      <c r="B287" s="583"/>
      <c r="C287" s="275"/>
      <c r="D287" s="276"/>
      <c r="E287" s="436"/>
      <c r="F287" s="333">
        <f t="shared" si="271"/>
        <v>0</v>
      </c>
      <c r="G287" s="278"/>
      <c r="H287" s="278"/>
      <c r="I287" s="352" t="str">
        <f>IFERROR(F287/#REF!,"-")</f>
        <v>-</v>
      </c>
      <c r="J287" s="460">
        <f t="shared" si="272"/>
        <v>0</v>
      </c>
      <c r="K287" s="461">
        <f t="shared" si="267"/>
        <v>0</v>
      </c>
      <c r="L287" s="462">
        <f t="shared" si="268"/>
        <v>0</v>
      </c>
      <c r="M287" s="337" t="str">
        <f t="shared" si="275"/>
        <v>-</v>
      </c>
      <c r="N287" s="263" t="str">
        <f t="shared" si="274"/>
        <v>-</v>
      </c>
      <c r="O287" s="448"/>
      <c r="P287" s="404">
        <f t="shared" si="269"/>
        <v>0</v>
      </c>
      <c r="Q287" s="449">
        <f t="shared" si="270"/>
        <v>0</v>
      </c>
    </row>
    <row r="288" spans="1:17" ht="23.25" customHeight="1" thickBot="1" x14ac:dyDescent="0.35">
      <c r="A288" s="274" t="s">
        <v>101</v>
      </c>
      <c r="B288" s="1109" t="s">
        <v>21</v>
      </c>
      <c r="C288" s="1046"/>
      <c r="D288" s="320">
        <v>0</v>
      </c>
      <c r="E288" s="285">
        <v>15000</v>
      </c>
      <c r="F288" s="320">
        <f>SUM(F281:F287)</f>
        <v>0</v>
      </c>
      <c r="G288" s="321">
        <f t="shared" ref="G288:H288" si="276">SUM(G281:G287)</f>
        <v>0</v>
      </c>
      <c r="H288" s="321">
        <f t="shared" si="276"/>
        <v>0</v>
      </c>
      <c r="I288" s="345" t="str">
        <f>IFERROR(F288/#REF!,"-")</f>
        <v>-</v>
      </c>
      <c r="J288" s="513">
        <f t="shared" ref="J288" si="277">SUM(J281:J287)</f>
        <v>315556</v>
      </c>
      <c r="K288" s="519">
        <f>SUM(K281:K287)</f>
        <v>311250</v>
      </c>
      <c r="L288" s="519">
        <f>SUM(L281:L287)</f>
        <v>4306</v>
      </c>
      <c r="M288" s="339" t="str">
        <f>IFERROR(J288/D288,"-")</f>
        <v>-</v>
      </c>
      <c r="N288" s="345">
        <f t="shared" si="274"/>
        <v>1.3645755428513481E-2</v>
      </c>
      <c r="O288" s="391"/>
      <c r="P288" s="406">
        <f>SUM(P281:P287)</f>
        <v>0</v>
      </c>
      <c r="Q288" s="425">
        <f>SUM(Q281:Q287)</f>
        <v>689138.625</v>
      </c>
    </row>
    <row r="289" spans="1:17" ht="23.25" customHeight="1" thickBot="1" x14ac:dyDescent="0.35">
      <c r="A289" s="274" t="s">
        <v>101</v>
      </c>
      <c r="B289" s="1111" t="s">
        <v>248</v>
      </c>
      <c r="C289" s="1112"/>
      <c r="D289" s="512">
        <f>+D285+D288</f>
        <v>0</v>
      </c>
      <c r="E289" s="525">
        <f>+E285+E288</f>
        <v>15000</v>
      </c>
      <c r="F289" s="512">
        <f>+F285+F288</f>
        <v>0</v>
      </c>
      <c r="G289" s="514">
        <f>+G285+G288</f>
        <v>0</v>
      </c>
      <c r="H289" s="514">
        <f>+H285+H288</f>
        <v>0</v>
      </c>
      <c r="I289" s="515" t="str">
        <f>IFERROR(F289/#REF!,"-")</f>
        <v>-</v>
      </c>
      <c r="J289" s="512">
        <f>+J285+J288</f>
        <v>315556</v>
      </c>
      <c r="K289" s="514">
        <f>+K288</f>
        <v>311250</v>
      </c>
      <c r="L289" s="514">
        <f>+L288</f>
        <v>4306</v>
      </c>
      <c r="M289" s="516" t="str">
        <f t="shared" ref="M289" si="278">IFERROR(J289/D289,"-")</f>
        <v>-</v>
      </c>
      <c r="N289" s="515">
        <f t="shared" si="274"/>
        <v>1.3645755428513481E-2</v>
      </c>
      <c r="O289" s="517"/>
      <c r="P289" s="518">
        <f>+P288</f>
        <v>0</v>
      </c>
      <c r="Q289" s="518">
        <f>+Q288</f>
        <v>689138.625</v>
      </c>
    </row>
    <row r="290" spans="1:17" ht="23.4" x14ac:dyDescent="0.4">
      <c r="A290" s="244" t="s">
        <v>101</v>
      </c>
      <c r="B290" s="1106" t="s">
        <v>250</v>
      </c>
      <c r="C290" s="542" t="s">
        <v>71</v>
      </c>
      <c r="D290" s="527"/>
      <c r="E290" s="459"/>
      <c r="F290" s="457">
        <f>+G290+H290</f>
        <v>0</v>
      </c>
      <c r="G290" s="458"/>
      <c r="H290" s="458"/>
      <c r="I290" s="531" t="str">
        <f>IFERROR(F290/#REF!,"-")</f>
        <v>-</v>
      </c>
      <c r="J290" s="457">
        <f>+K290+L290</f>
        <v>0</v>
      </c>
      <c r="K290" s="458">
        <f t="shared" ref="K290:K321" si="279">+G290+K227</f>
        <v>0</v>
      </c>
      <c r="L290" s="459">
        <f t="shared" ref="L290:L321" si="280">+H290+L227</f>
        <v>0</v>
      </c>
      <c r="M290" s="586" t="str">
        <f>IFERROR(J290/D290,"-")</f>
        <v>-</v>
      </c>
      <c r="N290" s="533" t="str">
        <f t="shared" si="274"/>
        <v>-</v>
      </c>
      <c r="O290" s="538">
        <v>32.946300000000001</v>
      </c>
      <c r="P290" s="534">
        <f t="shared" ref="P290:P321" si="281">+O290*G290</f>
        <v>0</v>
      </c>
      <c r="Q290" s="535">
        <f t="shared" ref="Q290:Q321" si="282">+O290*K290</f>
        <v>0</v>
      </c>
    </row>
    <row r="291" spans="1:17" ht="23.4" x14ac:dyDescent="0.4">
      <c r="A291" s="248" t="s">
        <v>101</v>
      </c>
      <c r="B291" s="1107"/>
      <c r="C291" s="543" t="s">
        <v>72</v>
      </c>
      <c r="D291" s="511"/>
      <c r="E291" s="436"/>
      <c r="F291" s="333">
        <f t="shared" ref="F291:F321" si="283">+G291+H291</f>
        <v>0</v>
      </c>
      <c r="G291" s="278"/>
      <c r="H291" s="278"/>
      <c r="I291" s="352" t="str">
        <f>IFERROR(F291/#REF!,"-")</f>
        <v>-</v>
      </c>
      <c r="J291" s="333">
        <f t="shared" ref="J291:J321" si="284">+K291+L291</f>
        <v>10595</v>
      </c>
      <c r="K291" s="278">
        <f t="shared" si="279"/>
        <v>10500</v>
      </c>
      <c r="L291" s="436">
        <f t="shared" si="280"/>
        <v>95</v>
      </c>
      <c r="M291" s="337" t="str">
        <f t="shared" ref="M291:M293" si="285">IFERROR(J291/D291,"-")</f>
        <v>-</v>
      </c>
      <c r="N291" s="265">
        <f t="shared" si="274"/>
        <v>8.9664936290703157E-3</v>
      </c>
      <c r="O291" s="508">
        <v>35.398400000000002</v>
      </c>
      <c r="P291" s="404">
        <f t="shared" si="281"/>
        <v>0</v>
      </c>
      <c r="Q291" s="449">
        <f t="shared" si="282"/>
        <v>371683.2</v>
      </c>
    </row>
    <row r="292" spans="1:17" ht="24" thickBot="1" x14ac:dyDescent="0.45">
      <c r="A292" s="248" t="s">
        <v>101</v>
      </c>
      <c r="B292" s="1108"/>
      <c r="C292" s="543" t="s">
        <v>455</v>
      </c>
      <c r="D292" s="276"/>
      <c r="E292" s="436"/>
      <c r="F292" s="333">
        <f t="shared" si="283"/>
        <v>0</v>
      </c>
      <c r="G292" s="278"/>
      <c r="H292" s="278"/>
      <c r="I292" s="352" t="str">
        <f>IFERROR(F292/#REF!,"-")</f>
        <v>-</v>
      </c>
      <c r="J292" s="333">
        <f t="shared" si="284"/>
        <v>5605</v>
      </c>
      <c r="K292" s="278">
        <f t="shared" si="279"/>
        <v>5500</v>
      </c>
      <c r="L292" s="436">
        <f t="shared" si="280"/>
        <v>105</v>
      </c>
      <c r="M292" s="337" t="str">
        <f t="shared" si="285"/>
        <v>-</v>
      </c>
      <c r="N292" s="265">
        <f>IFERROR(L292/J292,"-")</f>
        <v>1.8733273862622659E-2</v>
      </c>
      <c r="O292" s="508">
        <v>35.398400000000002</v>
      </c>
      <c r="P292" s="404">
        <f t="shared" si="281"/>
        <v>0</v>
      </c>
      <c r="Q292" s="449">
        <f t="shared" si="282"/>
        <v>194691.20000000001</v>
      </c>
    </row>
    <row r="293" spans="1:17" ht="23.4" x14ac:dyDescent="0.4">
      <c r="A293" s="248" t="s">
        <v>101</v>
      </c>
      <c r="B293" s="1106" t="s">
        <v>251</v>
      </c>
      <c r="C293" s="545" t="s">
        <v>75</v>
      </c>
      <c r="D293" s="276"/>
      <c r="E293" s="528"/>
      <c r="F293" s="334">
        <f t="shared" si="283"/>
        <v>2497</v>
      </c>
      <c r="G293" s="278">
        <v>2400</v>
      </c>
      <c r="H293" s="278">
        <v>97</v>
      </c>
      <c r="I293" s="352" t="str">
        <f>IFERROR(F293/#REF!,"-")</f>
        <v>-</v>
      </c>
      <c r="J293" s="333">
        <f t="shared" si="284"/>
        <v>13160</v>
      </c>
      <c r="K293" s="278">
        <f t="shared" si="279"/>
        <v>12763</v>
      </c>
      <c r="L293" s="436">
        <f t="shared" si="280"/>
        <v>397</v>
      </c>
      <c r="M293" s="337" t="str">
        <f t="shared" si="285"/>
        <v>-</v>
      </c>
      <c r="N293" s="265">
        <f t="shared" ref="N293" si="286">IFERROR(L293/J293,"-")</f>
        <v>3.0167173252279637E-2</v>
      </c>
      <c r="O293" s="508">
        <v>55.4758</v>
      </c>
      <c r="P293" s="404">
        <f t="shared" si="281"/>
        <v>133141.92000000001</v>
      </c>
      <c r="Q293" s="449">
        <f t="shared" si="282"/>
        <v>708037.63540000003</v>
      </c>
    </row>
    <row r="294" spans="1:17" ht="23.4" x14ac:dyDescent="0.4">
      <c r="A294" s="248" t="s">
        <v>101</v>
      </c>
      <c r="B294" s="1107"/>
      <c r="C294" s="545" t="s">
        <v>72</v>
      </c>
      <c r="D294" s="276"/>
      <c r="E294" s="529"/>
      <c r="F294" s="334">
        <f t="shared" si="283"/>
        <v>0</v>
      </c>
      <c r="G294" s="278"/>
      <c r="H294" s="278"/>
      <c r="I294" s="352" t="str">
        <f>IFERROR(F294/#REF!,"-")</f>
        <v>-</v>
      </c>
      <c r="J294" s="333">
        <f t="shared" si="284"/>
        <v>0</v>
      </c>
      <c r="K294" s="278">
        <f t="shared" si="279"/>
        <v>0</v>
      </c>
      <c r="L294" s="436">
        <f t="shared" si="280"/>
        <v>0</v>
      </c>
      <c r="M294" s="682"/>
      <c r="N294" s="372"/>
      <c r="O294" s="540">
        <v>58.836300000000001</v>
      </c>
      <c r="P294" s="404">
        <f t="shared" si="281"/>
        <v>0</v>
      </c>
      <c r="Q294" s="449">
        <f t="shared" si="282"/>
        <v>0</v>
      </c>
    </row>
    <row r="295" spans="1:17" ht="23.4" x14ac:dyDescent="0.4">
      <c r="A295" s="248" t="s">
        <v>101</v>
      </c>
      <c r="B295" s="1107"/>
      <c r="C295" s="545" t="s">
        <v>347</v>
      </c>
      <c r="D295" s="276"/>
      <c r="E295" s="435"/>
      <c r="F295" s="334">
        <f t="shared" si="283"/>
        <v>0</v>
      </c>
      <c r="G295" s="278"/>
      <c r="H295" s="278"/>
      <c r="I295" s="352" t="str">
        <f>IFERROR(F295/#REF!,"-")</f>
        <v>-</v>
      </c>
      <c r="J295" s="333">
        <f t="shared" si="284"/>
        <v>0</v>
      </c>
      <c r="K295" s="278">
        <f t="shared" si="279"/>
        <v>0</v>
      </c>
      <c r="L295" s="436">
        <f t="shared" si="280"/>
        <v>0</v>
      </c>
      <c r="M295" s="337" t="str">
        <f t="shared" ref="M295" si="287">IFERROR(J295/D295,"-")</f>
        <v>-</v>
      </c>
      <c r="N295" s="263" t="str">
        <f t="shared" ref="N295" si="288">IFERROR(L295/J295,"-")</f>
        <v>-</v>
      </c>
      <c r="O295" s="710">
        <v>58.836300000000001</v>
      </c>
      <c r="P295" s="404">
        <f t="shared" si="281"/>
        <v>0</v>
      </c>
      <c r="Q295" s="449">
        <f t="shared" si="282"/>
        <v>0</v>
      </c>
    </row>
    <row r="296" spans="1:17" ht="24" thickBot="1" x14ac:dyDescent="0.45">
      <c r="A296" s="248"/>
      <c r="B296" s="1108"/>
      <c r="C296" s="545" t="s">
        <v>361</v>
      </c>
      <c r="D296" s="276"/>
      <c r="E296" s="435"/>
      <c r="F296" s="334">
        <f t="shared" si="283"/>
        <v>0</v>
      </c>
      <c r="G296" s="278"/>
      <c r="H296" s="278"/>
      <c r="I296" s="352"/>
      <c r="J296" s="333">
        <f t="shared" si="284"/>
        <v>0</v>
      </c>
      <c r="K296" s="278">
        <f t="shared" si="279"/>
        <v>0</v>
      </c>
      <c r="L296" s="436">
        <f t="shared" si="280"/>
        <v>0</v>
      </c>
      <c r="M296" s="337"/>
      <c r="N296" s="263" t="str">
        <f>IFERROR(L296/J296,"-")</f>
        <v>-</v>
      </c>
      <c r="O296" s="508">
        <v>55.4758</v>
      </c>
      <c r="P296" s="404">
        <f t="shared" si="281"/>
        <v>0</v>
      </c>
      <c r="Q296" s="449">
        <f t="shared" si="282"/>
        <v>0</v>
      </c>
    </row>
    <row r="297" spans="1:17" ht="23.4" x14ac:dyDescent="0.4">
      <c r="A297" s="248" t="s">
        <v>101</v>
      </c>
      <c r="B297" s="1106" t="s">
        <v>409</v>
      </c>
      <c r="C297" s="543" t="s">
        <v>77</v>
      </c>
      <c r="D297" s="276"/>
      <c r="E297" s="436"/>
      <c r="F297" s="333">
        <f t="shared" si="283"/>
        <v>0</v>
      </c>
      <c r="G297" s="278"/>
      <c r="H297" s="278"/>
      <c r="I297" s="352" t="str">
        <f>IFERROR(F297/#REF!,"-")</f>
        <v>-</v>
      </c>
      <c r="J297" s="333">
        <f t="shared" si="284"/>
        <v>3010</v>
      </c>
      <c r="K297" s="686">
        <f t="shared" si="279"/>
        <v>3000</v>
      </c>
      <c r="L297" s="687">
        <f t="shared" si="280"/>
        <v>10</v>
      </c>
      <c r="M297" s="337" t="str">
        <f t="shared" ref="M297:M324" si="289">IFERROR(J297/D297,"-")</f>
        <v>-</v>
      </c>
      <c r="N297" s="263">
        <f t="shared" ref="N297:N323" si="290">IFERROR(L297/J297,"-")</f>
        <v>3.3222591362126247E-3</v>
      </c>
      <c r="O297" s="508">
        <v>25.687200000000001</v>
      </c>
      <c r="P297" s="404">
        <f t="shared" si="281"/>
        <v>0</v>
      </c>
      <c r="Q297" s="449">
        <f t="shared" si="282"/>
        <v>77061.600000000006</v>
      </c>
    </row>
    <row r="298" spans="1:17" ht="24" thickBot="1" x14ac:dyDescent="0.45">
      <c r="A298" s="248" t="s">
        <v>101</v>
      </c>
      <c r="B298" s="1108"/>
      <c r="C298" s="543" t="s">
        <v>117</v>
      </c>
      <c r="D298" s="276"/>
      <c r="E298" s="436"/>
      <c r="F298" s="333">
        <f t="shared" si="283"/>
        <v>0</v>
      </c>
      <c r="G298" s="278"/>
      <c r="H298" s="278"/>
      <c r="I298" s="352" t="str">
        <f>IFERROR(F298/#REF!,"-")</f>
        <v>-</v>
      </c>
      <c r="J298" s="333">
        <f t="shared" si="284"/>
        <v>0</v>
      </c>
      <c r="K298" s="278">
        <f t="shared" si="279"/>
        <v>0</v>
      </c>
      <c r="L298" s="436">
        <f t="shared" si="280"/>
        <v>0</v>
      </c>
      <c r="M298" s="337" t="str">
        <f t="shared" si="289"/>
        <v>-</v>
      </c>
      <c r="N298" s="263" t="str">
        <f t="shared" si="290"/>
        <v>-</v>
      </c>
      <c r="O298" s="508">
        <v>25.033899999999999</v>
      </c>
      <c r="P298" s="404">
        <f t="shared" si="281"/>
        <v>0</v>
      </c>
      <c r="Q298" s="449">
        <f t="shared" si="282"/>
        <v>0</v>
      </c>
    </row>
    <row r="299" spans="1:17" ht="23.4" x14ac:dyDescent="0.4">
      <c r="A299" s="248"/>
      <c r="B299" s="1106" t="s">
        <v>410</v>
      </c>
      <c r="C299" s="543" t="s">
        <v>79</v>
      </c>
      <c r="D299" s="276"/>
      <c r="E299" s="436"/>
      <c r="F299" s="333">
        <f t="shared" si="283"/>
        <v>2039</v>
      </c>
      <c r="G299" s="278">
        <v>2000</v>
      </c>
      <c r="H299" s="278">
        <v>39</v>
      </c>
      <c r="I299" s="352" t="str">
        <f>IFERROR(F299/#REF!,"-")</f>
        <v>-</v>
      </c>
      <c r="J299" s="333">
        <f t="shared" si="284"/>
        <v>2039</v>
      </c>
      <c r="K299" s="278">
        <f t="shared" si="279"/>
        <v>2000</v>
      </c>
      <c r="L299" s="436">
        <f t="shared" si="280"/>
        <v>39</v>
      </c>
      <c r="M299" s="337" t="str">
        <f t="shared" si="289"/>
        <v>-</v>
      </c>
      <c r="N299" s="263">
        <f t="shared" si="290"/>
        <v>1.9127023050514957E-2</v>
      </c>
      <c r="O299" s="508">
        <v>41.992699999999999</v>
      </c>
      <c r="P299" s="404">
        <f t="shared" si="281"/>
        <v>83985.4</v>
      </c>
      <c r="Q299" s="449">
        <f t="shared" si="282"/>
        <v>83985.4</v>
      </c>
    </row>
    <row r="300" spans="1:17" ht="23.4" x14ac:dyDescent="0.4">
      <c r="A300" s="248"/>
      <c r="B300" s="1107"/>
      <c r="C300" s="543" t="s">
        <v>72</v>
      </c>
      <c r="D300" s="276"/>
      <c r="E300" s="436"/>
      <c r="F300" s="333">
        <f t="shared" si="283"/>
        <v>0</v>
      </c>
      <c r="G300" s="278"/>
      <c r="H300" s="278"/>
      <c r="I300" s="352" t="str">
        <f>IFERROR(F300/#REF!,"-")</f>
        <v>-</v>
      </c>
      <c r="J300" s="333">
        <f t="shared" si="284"/>
        <v>0</v>
      </c>
      <c r="K300" s="278">
        <f t="shared" si="279"/>
        <v>0</v>
      </c>
      <c r="L300" s="436">
        <f t="shared" si="280"/>
        <v>0</v>
      </c>
      <c r="M300" s="337" t="str">
        <f t="shared" si="289"/>
        <v>-</v>
      </c>
      <c r="N300" s="263" t="str">
        <f t="shared" si="290"/>
        <v>-</v>
      </c>
      <c r="O300" s="508">
        <v>42.283799999999999</v>
      </c>
      <c r="P300" s="404">
        <f t="shared" si="281"/>
        <v>0</v>
      </c>
      <c r="Q300" s="449">
        <f t="shared" si="282"/>
        <v>0</v>
      </c>
    </row>
    <row r="301" spans="1:17" ht="23.4" x14ac:dyDescent="0.4">
      <c r="A301" s="248"/>
      <c r="B301" s="1107"/>
      <c r="C301" s="543" t="s">
        <v>380</v>
      </c>
      <c r="D301" s="276"/>
      <c r="E301" s="436"/>
      <c r="F301" s="333">
        <f t="shared" si="283"/>
        <v>0</v>
      </c>
      <c r="G301" s="278"/>
      <c r="H301" s="278"/>
      <c r="I301" s="352" t="str">
        <f>IFERROR(F301/#REF!,"-")</f>
        <v>-</v>
      </c>
      <c r="J301" s="333">
        <f t="shared" si="284"/>
        <v>0</v>
      </c>
      <c r="K301" s="278">
        <f t="shared" si="279"/>
        <v>0</v>
      </c>
      <c r="L301" s="436">
        <f t="shared" si="280"/>
        <v>0</v>
      </c>
      <c r="M301" s="337" t="str">
        <f t="shared" si="289"/>
        <v>-</v>
      </c>
      <c r="N301" s="263" t="str">
        <f t="shared" si="290"/>
        <v>-</v>
      </c>
      <c r="O301" s="710">
        <v>41.992699999999999</v>
      </c>
      <c r="P301" s="404">
        <f t="shared" si="281"/>
        <v>0</v>
      </c>
      <c r="Q301" s="449">
        <f t="shared" si="282"/>
        <v>0</v>
      </c>
    </row>
    <row r="302" spans="1:17" ht="24" thickBot="1" x14ac:dyDescent="0.45">
      <c r="A302" s="248"/>
      <c r="B302" s="1108"/>
      <c r="C302" s="543" t="s">
        <v>381</v>
      </c>
      <c r="D302" s="276"/>
      <c r="E302" s="436"/>
      <c r="F302" s="333">
        <f t="shared" si="283"/>
        <v>0</v>
      </c>
      <c r="G302" s="278"/>
      <c r="H302" s="278"/>
      <c r="I302" s="352" t="str">
        <f>IFERROR(F302/#REF!,"-")</f>
        <v>-</v>
      </c>
      <c r="J302" s="333">
        <f t="shared" si="284"/>
        <v>0</v>
      </c>
      <c r="K302" s="278">
        <f t="shared" si="279"/>
        <v>0</v>
      </c>
      <c r="L302" s="436">
        <f t="shared" si="280"/>
        <v>0</v>
      </c>
      <c r="M302" s="337" t="str">
        <f t="shared" si="289"/>
        <v>-</v>
      </c>
      <c r="N302" s="263" t="str">
        <f t="shared" si="290"/>
        <v>-</v>
      </c>
      <c r="O302" s="710">
        <v>42.283799999999999</v>
      </c>
      <c r="P302" s="404">
        <f t="shared" si="281"/>
        <v>0</v>
      </c>
      <c r="Q302" s="449">
        <f t="shared" si="282"/>
        <v>0</v>
      </c>
    </row>
    <row r="303" spans="1:17" ht="24" thickBot="1" x14ac:dyDescent="0.45">
      <c r="A303" s="248"/>
      <c r="B303" s="717" t="s">
        <v>80</v>
      </c>
      <c r="C303" s="543" t="s">
        <v>81</v>
      </c>
      <c r="D303" s="276"/>
      <c r="E303" s="436"/>
      <c r="F303" s="333">
        <f t="shared" si="283"/>
        <v>5570</v>
      </c>
      <c r="G303" s="278">
        <v>5300</v>
      </c>
      <c r="H303" s="278">
        <v>270</v>
      </c>
      <c r="I303" s="352" t="str">
        <f>IFERROR(F303/#REF!,"-")</f>
        <v>-</v>
      </c>
      <c r="J303" s="333">
        <f t="shared" si="284"/>
        <v>7383</v>
      </c>
      <c r="K303" s="278">
        <f t="shared" si="279"/>
        <v>7000</v>
      </c>
      <c r="L303" s="436">
        <f t="shared" si="280"/>
        <v>383</v>
      </c>
      <c r="M303" s="337" t="str">
        <f t="shared" si="289"/>
        <v>-</v>
      </c>
      <c r="N303" s="263">
        <f t="shared" si="290"/>
        <v>5.1875931193281863E-2</v>
      </c>
      <c r="O303" s="508">
        <v>4.3535000000000004</v>
      </c>
      <c r="P303" s="404">
        <f t="shared" si="281"/>
        <v>23073.550000000003</v>
      </c>
      <c r="Q303" s="449">
        <f t="shared" si="282"/>
        <v>30474.500000000004</v>
      </c>
    </row>
    <row r="304" spans="1:17" ht="23.4" x14ac:dyDescent="0.4">
      <c r="A304" s="248"/>
      <c r="B304" s="1106" t="s">
        <v>253</v>
      </c>
      <c r="C304" s="543" t="s">
        <v>77</v>
      </c>
      <c r="D304" s="276"/>
      <c r="E304" s="436"/>
      <c r="F304" s="333">
        <f t="shared" si="283"/>
        <v>62042</v>
      </c>
      <c r="G304" s="278">
        <f>44000+17600</f>
        <v>61600</v>
      </c>
      <c r="H304" s="278">
        <f>233+209</f>
        <v>442</v>
      </c>
      <c r="I304" s="352" t="str">
        <f>IFERROR(F304/#REF!,"-")</f>
        <v>-</v>
      </c>
      <c r="J304" s="333">
        <f t="shared" si="284"/>
        <v>226347</v>
      </c>
      <c r="K304" s="278">
        <f t="shared" si="279"/>
        <v>225500</v>
      </c>
      <c r="L304" s="436">
        <f t="shared" si="280"/>
        <v>847</v>
      </c>
      <c r="M304" s="337" t="str">
        <f t="shared" si="289"/>
        <v>-</v>
      </c>
      <c r="N304" s="263">
        <f t="shared" si="290"/>
        <v>3.7420420858239782E-3</v>
      </c>
      <c r="O304" s="508">
        <v>4.6184000000000003</v>
      </c>
      <c r="P304" s="404">
        <f t="shared" si="281"/>
        <v>284493.44</v>
      </c>
      <c r="Q304" s="449">
        <f t="shared" si="282"/>
        <v>1041449.2000000001</v>
      </c>
    </row>
    <row r="305" spans="1:17" ht="23.4" x14ac:dyDescent="0.4">
      <c r="A305" s="248"/>
      <c r="B305" s="1107"/>
      <c r="C305" s="543" t="s">
        <v>340</v>
      </c>
      <c r="D305" s="276"/>
      <c r="E305" s="436"/>
      <c r="F305" s="333">
        <f t="shared" si="283"/>
        <v>0</v>
      </c>
      <c r="G305" s="278"/>
      <c r="H305" s="278"/>
      <c r="I305" s="352" t="str">
        <f>IFERROR(F305/#REF!,"-")</f>
        <v>-</v>
      </c>
      <c r="J305" s="333">
        <f t="shared" si="284"/>
        <v>0</v>
      </c>
      <c r="K305" s="278">
        <f t="shared" si="279"/>
        <v>0</v>
      </c>
      <c r="L305" s="436">
        <f t="shared" si="280"/>
        <v>0</v>
      </c>
      <c r="M305" s="337" t="str">
        <f t="shared" si="289"/>
        <v>-</v>
      </c>
      <c r="N305" s="263" t="str">
        <f t="shared" si="290"/>
        <v>-</v>
      </c>
      <c r="O305" s="508">
        <v>4.6184000000000003</v>
      </c>
      <c r="P305" s="404">
        <f t="shared" si="281"/>
        <v>0</v>
      </c>
      <c r="Q305" s="449">
        <f t="shared" si="282"/>
        <v>0</v>
      </c>
    </row>
    <row r="306" spans="1:17" ht="23.4" x14ac:dyDescent="0.4">
      <c r="A306" s="248"/>
      <c r="B306" s="1107"/>
      <c r="C306" s="543" t="s">
        <v>252</v>
      </c>
      <c r="D306" s="276"/>
      <c r="E306" s="436"/>
      <c r="F306" s="333">
        <f t="shared" si="283"/>
        <v>0</v>
      </c>
      <c r="G306" s="278"/>
      <c r="H306" s="278"/>
      <c r="I306" s="352" t="str">
        <f>IFERROR(F306/#REF!,"-")</f>
        <v>-</v>
      </c>
      <c r="J306" s="333">
        <f t="shared" si="284"/>
        <v>0</v>
      </c>
      <c r="K306" s="278">
        <f t="shared" si="279"/>
        <v>0</v>
      </c>
      <c r="L306" s="436">
        <f t="shared" si="280"/>
        <v>0</v>
      </c>
      <c r="M306" s="337" t="str">
        <f t="shared" si="289"/>
        <v>-</v>
      </c>
      <c r="N306" s="263" t="str">
        <f t="shared" si="290"/>
        <v>-</v>
      </c>
      <c r="O306" s="508">
        <v>4.6184000000000003</v>
      </c>
      <c r="P306" s="404">
        <f t="shared" si="281"/>
        <v>0</v>
      </c>
      <c r="Q306" s="449">
        <f t="shared" si="282"/>
        <v>0</v>
      </c>
    </row>
    <row r="307" spans="1:17" ht="23.4" x14ac:dyDescent="0.4">
      <c r="A307" s="248"/>
      <c r="B307" s="1107"/>
      <c r="C307" s="543" t="s">
        <v>350</v>
      </c>
      <c r="D307" s="276"/>
      <c r="E307" s="436"/>
      <c r="F307" s="333">
        <f t="shared" si="283"/>
        <v>0</v>
      </c>
      <c r="G307" s="278"/>
      <c r="H307" s="278"/>
      <c r="I307" s="352" t="str">
        <f>IFERROR(F307/#REF!,"-")</f>
        <v>-</v>
      </c>
      <c r="J307" s="333">
        <f t="shared" si="284"/>
        <v>0</v>
      </c>
      <c r="K307" s="686">
        <f t="shared" si="279"/>
        <v>0</v>
      </c>
      <c r="L307" s="687">
        <f t="shared" si="280"/>
        <v>0</v>
      </c>
      <c r="M307" s="337" t="str">
        <f t="shared" si="289"/>
        <v>-</v>
      </c>
      <c r="N307" s="263" t="str">
        <f t="shared" si="290"/>
        <v>-</v>
      </c>
      <c r="O307" s="508">
        <v>4.7636000000000003</v>
      </c>
      <c r="P307" s="404">
        <f t="shared" si="281"/>
        <v>0</v>
      </c>
      <c r="Q307" s="449">
        <f t="shared" si="282"/>
        <v>0</v>
      </c>
    </row>
    <row r="308" spans="1:17" ht="24" thickBot="1" x14ac:dyDescent="0.45">
      <c r="A308" s="248"/>
      <c r="B308" s="1108"/>
      <c r="C308" s="543" t="s">
        <v>346</v>
      </c>
      <c r="D308" s="276"/>
      <c r="E308" s="436"/>
      <c r="F308" s="333">
        <f t="shared" si="283"/>
        <v>0</v>
      </c>
      <c r="G308" s="278"/>
      <c r="H308" s="278"/>
      <c r="I308" s="352" t="str">
        <f>IFERROR(F308/#REF!,"-")</f>
        <v>-</v>
      </c>
      <c r="J308" s="333">
        <f t="shared" si="284"/>
        <v>0</v>
      </c>
      <c r="K308" s="278">
        <f t="shared" si="279"/>
        <v>0</v>
      </c>
      <c r="L308" s="436">
        <f t="shared" si="280"/>
        <v>0</v>
      </c>
      <c r="M308" s="337" t="str">
        <f t="shared" si="289"/>
        <v>-</v>
      </c>
      <c r="N308" s="263" t="str">
        <f t="shared" si="290"/>
        <v>-</v>
      </c>
      <c r="O308" s="508">
        <v>4.8738000000000001</v>
      </c>
      <c r="P308" s="404">
        <f t="shared" si="281"/>
        <v>0</v>
      </c>
      <c r="Q308" s="449">
        <f t="shared" si="282"/>
        <v>0</v>
      </c>
    </row>
    <row r="309" spans="1:17" ht="24" thickBot="1" x14ac:dyDescent="0.45">
      <c r="A309" s="248"/>
      <c r="B309" s="717" t="s">
        <v>254</v>
      </c>
      <c r="C309" s="543" t="s">
        <v>124</v>
      </c>
      <c r="D309" s="276"/>
      <c r="E309" s="436"/>
      <c r="F309" s="333">
        <f t="shared" si="283"/>
        <v>0</v>
      </c>
      <c r="G309" s="278"/>
      <c r="H309" s="278"/>
      <c r="I309" s="352" t="str">
        <f>IFERROR(F309/#REF!,"-")</f>
        <v>-</v>
      </c>
      <c r="J309" s="333">
        <f t="shared" si="284"/>
        <v>0</v>
      </c>
      <c r="K309" s="278">
        <f t="shared" si="279"/>
        <v>0</v>
      </c>
      <c r="L309" s="436">
        <f t="shared" si="280"/>
        <v>0</v>
      </c>
      <c r="M309" s="337" t="str">
        <f t="shared" si="289"/>
        <v>-</v>
      </c>
      <c r="N309" s="263" t="str">
        <f t="shared" si="290"/>
        <v>-</v>
      </c>
      <c r="O309" s="508">
        <v>4.8738000000000001</v>
      </c>
      <c r="P309" s="404">
        <f t="shared" si="281"/>
        <v>0</v>
      </c>
      <c r="Q309" s="449">
        <f t="shared" si="282"/>
        <v>0</v>
      </c>
    </row>
    <row r="310" spans="1:17" ht="23.4" x14ac:dyDescent="0.4">
      <c r="A310" s="248"/>
      <c r="B310" s="1106" t="s">
        <v>256</v>
      </c>
      <c r="C310" s="543" t="s">
        <v>77</v>
      </c>
      <c r="D310" s="276"/>
      <c r="E310" s="436"/>
      <c r="F310" s="333">
        <f t="shared" si="283"/>
        <v>30957</v>
      </c>
      <c r="G310" s="278">
        <f>14910+14910</f>
        <v>29820</v>
      </c>
      <c r="H310" s="278">
        <f>618+519</f>
        <v>1137</v>
      </c>
      <c r="I310" s="352" t="str">
        <f>IFERROR(F310/#REF!,"-")</f>
        <v>-</v>
      </c>
      <c r="J310" s="333">
        <f t="shared" si="284"/>
        <v>165377</v>
      </c>
      <c r="K310" s="686">
        <f t="shared" si="279"/>
        <v>162400</v>
      </c>
      <c r="L310" s="687">
        <f t="shared" si="280"/>
        <v>2977</v>
      </c>
      <c r="M310" s="337" t="str">
        <f t="shared" si="289"/>
        <v>-</v>
      </c>
      <c r="N310" s="263">
        <f t="shared" si="290"/>
        <v>1.8001294013073162E-2</v>
      </c>
      <c r="O310" s="508">
        <v>4.9344999999999999</v>
      </c>
      <c r="P310" s="404">
        <f t="shared" si="281"/>
        <v>147146.79</v>
      </c>
      <c r="Q310" s="449">
        <f t="shared" si="282"/>
        <v>801362.79999999993</v>
      </c>
    </row>
    <row r="311" spans="1:17" ht="23.4" x14ac:dyDescent="0.4">
      <c r="A311" s="248"/>
      <c r="B311" s="1107"/>
      <c r="C311" s="543" t="s">
        <v>135</v>
      </c>
      <c r="D311" s="276"/>
      <c r="E311" s="436"/>
      <c r="F311" s="333">
        <f t="shared" si="283"/>
        <v>0</v>
      </c>
      <c r="G311" s="278"/>
      <c r="H311" s="278"/>
      <c r="I311" s="352" t="str">
        <f>IFERROR(F311/#REF!,"-")</f>
        <v>-</v>
      </c>
      <c r="J311" s="333">
        <f t="shared" si="284"/>
        <v>0</v>
      </c>
      <c r="K311" s="278">
        <f t="shared" si="279"/>
        <v>0</v>
      </c>
      <c r="L311" s="436">
        <f t="shared" si="280"/>
        <v>0</v>
      </c>
      <c r="M311" s="337" t="str">
        <f t="shared" si="289"/>
        <v>-</v>
      </c>
      <c r="N311" s="263" t="str">
        <f t="shared" si="290"/>
        <v>-</v>
      </c>
      <c r="O311" s="508">
        <v>4.9344999999999999</v>
      </c>
      <c r="P311" s="404">
        <f t="shared" si="281"/>
        <v>0</v>
      </c>
      <c r="Q311" s="449">
        <f t="shared" si="282"/>
        <v>0</v>
      </c>
    </row>
    <row r="312" spans="1:17" ht="23.4" x14ac:dyDescent="0.4">
      <c r="A312" s="248"/>
      <c r="B312" s="1107"/>
      <c r="C312" s="543" t="s">
        <v>129</v>
      </c>
      <c r="D312" s="276"/>
      <c r="E312" s="436"/>
      <c r="F312" s="333">
        <f t="shared" si="283"/>
        <v>0</v>
      </c>
      <c r="G312" s="278"/>
      <c r="H312" s="278"/>
      <c r="I312" s="352" t="str">
        <f>IFERROR(F312/#REF!,"-")</f>
        <v>-</v>
      </c>
      <c r="J312" s="333">
        <f t="shared" si="284"/>
        <v>0</v>
      </c>
      <c r="K312" s="278">
        <f t="shared" si="279"/>
        <v>0</v>
      </c>
      <c r="L312" s="436">
        <f t="shared" si="280"/>
        <v>0</v>
      </c>
      <c r="M312" s="337" t="str">
        <f t="shared" si="289"/>
        <v>-</v>
      </c>
      <c r="N312" s="263" t="str">
        <f t="shared" si="290"/>
        <v>-</v>
      </c>
      <c r="O312" s="508">
        <v>4.9344999999999999</v>
      </c>
      <c r="P312" s="404">
        <f t="shared" si="281"/>
        <v>0</v>
      </c>
      <c r="Q312" s="449">
        <f t="shared" si="282"/>
        <v>0</v>
      </c>
    </row>
    <row r="313" spans="1:17" ht="24" thickBot="1" x14ac:dyDescent="0.45">
      <c r="A313" s="248"/>
      <c r="B313" s="1108"/>
      <c r="C313" s="543" t="s">
        <v>255</v>
      </c>
      <c r="D313" s="276"/>
      <c r="E313" s="436"/>
      <c r="F313" s="333">
        <f t="shared" si="283"/>
        <v>0</v>
      </c>
      <c r="G313" s="278"/>
      <c r="H313" s="278"/>
      <c r="I313" s="352" t="str">
        <f>IFERROR(F313/#REF!,"-")</f>
        <v>-</v>
      </c>
      <c r="J313" s="333">
        <f t="shared" si="284"/>
        <v>0</v>
      </c>
      <c r="K313" s="278">
        <f t="shared" si="279"/>
        <v>0</v>
      </c>
      <c r="L313" s="436">
        <f t="shared" si="280"/>
        <v>0</v>
      </c>
      <c r="M313" s="337" t="str">
        <f t="shared" si="289"/>
        <v>-</v>
      </c>
      <c r="N313" s="263" t="str">
        <f t="shared" si="290"/>
        <v>-</v>
      </c>
      <c r="O313" s="508">
        <v>5.5069999999999997</v>
      </c>
      <c r="P313" s="404">
        <f t="shared" si="281"/>
        <v>0</v>
      </c>
      <c r="Q313" s="449">
        <f t="shared" si="282"/>
        <v>0</v>
      </c>
    </row>
    <row r="314" spans="1:17" ht="23.4" x14ac:dyDescent="0.4">
      <c r="A314" s="248"/>
      <c r="B314" s="1106" t="s">
        <v>261</v>
      </c>
      <c r="C314" s="543" t="s">
        <v>257</v>
      </c>
      <c r="D314" s="276"/>
      <c r="E314" s="436"/>
      <c r="F314" s="333">
        <f t="shared" si="283"/>
        <v>43898</v>
      </c>
      <c r="G314" s="278">
        <f>32550+10150</f>
        <v>42700</v>
      </c>
      <c r="H314" s="278">
        <f>719+479</f>
        <v>1198</v>
      </c>
      <c r="I314" s="352" t="str">
        <f>IFERROR(F314/#REF!,"-")</f>
        <v>-</v>
      </c>
      <c r="J314" s="333">
        <f t="shared" si="284"/>
        <v>187258</v>
      </c>
      <c r="K314" s="278">
        <f t="shared" si="279"/>
        <v>185500</v>
      </c>
      <c r="L314" s="436">
        <f t="shared" si="280"/>
        <v>1758</v>
      </c>
      <c r="M314" s="337" t="str">
        <f t="shared" si="289"/>
        <v>-</v>
      </c>
      <c r="N314" s="263">
        <f t="shared" si="290"/>
        <v>9.3881169295837834E-3</v>
      </c>
      <c r="O314" s="710">
        <v>5.5069999999999997</v>
      </c>
      <c r="P314" s="404">
        <f t="shared" si="281"/>
        <v>235148.9</v>
      </c>
      <c r="Q314" s="449">
        <f t="shared" si="282"/>
        <v>1021548.4999999999</v>
      </c>
    </row>
    <row r="315" spans="1:17" ht="23.4" x14ac:dyDescent="0.4">
      <c r="A315" s="248"/>
      <c r="B315" s="1107"/>
      <c r="C315" s="543" t="s">
        <v>258</v>
      </c>
      <c r="D315" s="276"/>
      <c r="E315" s="436"/>
      <c r="F315" s="333">
        <f t="shared" si="283"/>
        <v>0</v>
      </c>
      <c r="G315" s="278"/>
      <c r="H315" s="278"/>
      <c r="I315" s="352" t="str">
        <f>IFERROR(F315/#REF!,"-")</f>
        <v>-</v>
      </c>
      <c r="J315" s="333">
        <f t="shared" si="284"/>
        <v>0</v>
      </c>
      <c r="K315" s="278">
        <f t="shared" si="279"/>
        <v>0</v>
      </c>
      <c r="L315" s="436">
        <f t="shared" si="280"/>
        <v>0</v>
      </c>
      <c r="M315" s="337" t="str">
        <f t="shared" si="289"/>
        <v>-</v>
      </c>
      <c r="N315" s="263" t="str">
        <f t="shared" si="290"/>
        <v>-</v>
      </c>
      <c r="O315" s="508">
        <v>5.6550000000000002</v>
      </c>
      <c r="P315" s="404">
        <f t="shared" si="281"/>
        <v>0</v>
      </c>
      <c r="Q315" s="449">
        <f t="shared" si="282"/>
        <v>0</v>
      </c>
    </row>
    <row r="316" spans="1:17" ht="23.4" x14ac:dyDescent="0.4">
      <c r="A316" s="248"/>
      <c r="B316" s="1107"/>
      <c r="C316" s="543" t="s">
        <v>321</v>
      </c>
      <c r="D316" s="276"/>
      <c r="E316" s="436"/>
      <c r="F316" s="333">
        <f t="shared" si="283"/>
        <v>0</v>
      </c>
      <c r="G316" s="278"/>
      <c r="H316" s="278"/>
      <c r="I316" s="352" t="str">
        <f>IFERROR(F316/#REF!,"-")</f>
        <v>-</v>
      </c>
      <c r="J316" s="333">
        <f t="shared" si="284"/>
        <v>0</v>
      </c>
      <c r="K316" s="686">
        <f t="shared" si="279"/>
        <v>0</v>
      </c>
      <c r="L316" s="687">
        <f t="shared" si="280"/>
        <v>0</v>
      </c>
      <c r="M316" s="337" t="str">
        <f t="shared" si="289"/>
        <v>-</v>
      </c>
      <c r="N316" s="263" t="str">
        <f t="shared" si="290"/>
        <v>-</v>
      </c>
      <c r="O316" s="508">
        <v>5.6550000000000002</v>
      </c>
      <c r="P316" s="404">
        <f t="shared" si="281"/>
        <v>0</v>
      </c>
      <c r="Q316" s="449">
        <f t="shared" si="282"/>
        <v>0</v>
      </c>
    </row>
    <row r="317" spans="1:17" ht="23.4" x14ac:dyDescent="0.4">
      <c r="A317" s="248"/>
      <c r="B317" s="1107"/>
      <c r="C317" s="543" t="s">
        <v>259</v>
      </c>
      <c r="D317" s="276"/>
      <c r="E317" s="436"/>
      <c r="F317" s="333">
        <f t="shared" si="283"/>
        <v>0</v>
      </c>
      <c r="G317" s="278"/>
      <c r="H317" s="278"/>
      <c r="I317" s="352" t="str">
        <f>IFERROR(F317/#REF!,"-")</f>
        <v>-</v>
      </c>
      <c r="J317" s="333">
        <f t="shared" si="284"/>
        <v>0</v>
      </c>
      <c r="K317" s="278">
        <f t="shared" si="279"/>
        <v>0</v>
      </c>
      <c r="L317" s="436">
        <f t="shared" si="280"/>
        <v>0</v>
      </c>
      <c r="M317" s="337" t="str">
        <f t="shared" si="289"/>
        <v>-</v>
      </c>
      <c r="N317" s="263" t="str">
        <f t="shared" si="290"/>
        <v>-</v>
      </c>
      <c r="O317" s="508">
        <v>5.6550000000000002</v>
      </c>
      <c r="P317" s="404">
        <f t="shared" si="281"/>
        <v>0</v>
      </c>
      <c r="Q317" s="449">
        <f t="shared" si="282"/>
        <v>0</v>
      </c>
    </row>
    <row r="318" spans="1:17" ht="23.4" x14ac:dyDescent="0.4">
      <c r="A318" s="248" t="s">
        <v>101</v>
      </c>
      <c r="B318" s="1107"/>
      <c r="C318" s="543" t="s">
        <v>260</v>
      </c>
      <c r="D318" s="276"/>
      <c r="E318" s="436"/>
      <c r="F318" s="333">
        <f t="shared" si="283"/>
        <v>0</v>
      </c>
      <c r="G318" s="278"/>
      <c r="H318" s="278"/>
      <c r="I318" s="352" t="str">
        <f>IFERROR(F318/#REF!,"-")</f>
        <v>-</v>
      </c>
      <c r="J318" s="333">
        <f t="shared" si="284"/>
        <v>0</v>
      </c>
      <c r="K318" s="278">
        <f t="shared" si="279"/>
        <v>0</v>
      </c>
      <c r="L318" s="436">
        <f t="shared" si="280"/>
        <v>0</v>
      </c>
      <c r="M318" s="337" t="str">
        <f t="shared" si="289"/>
        <v>-</v>
      </c>
      <c r="N318" s="263" t="str">
        <f t="shared" si="290"/>
        <v>-</v>
      </c>
      <c r="O318" s="508">
        <v>3.2963</v>
      </c>
      <c r="P318" s="404">
        <f t="shared" si="281"/>
        <v>0</v>
      </c>
      <c r="Q318" s="449">
        <f t="shared" si="282"/>
        <v>0</v>
      </c>
    </row>
    <row r="319" spans="1:17" ht="24" thickBot="1" x14ac:dyDescent="0.45">
      <c r="A319" s="248" t="s">
        <v>101</v>
      </c>
      <c r="B319" s="1108"/>
      <c r="C319" s="543" t="s">
        <v>255</v>
      </c>
      <c r="D319" s="276"/>
      <c r="E319" s="436"/>
      <c r="F319" s="333">
        <f t="shared" si="283"/>
        <v>0</v>
      </c>
      <c r="G319" s="278"/>
      <c r="H319" s="278"/>
      <c r="I319" s="352" t="str">
        <f>IFERROR(F319/#REF!,"-")</f>
        <v>-</v>
      </c>
      <c r="J319" s="333">
        <f t="shared" si="284"/>
        <v>0</v>
      </c>
      <c r="K319" s="278">
        <f t="shared" si="279"/>
        <v>0</v>
      </c>
      <c r="L319" s="436">
        <f t="shared" si="280"/>
        <v>0</v>
      </c>
      <c r="M319" s="337" t="str">
        <f t="shared" si="289"/>
        <v>-</v>
      </c>
      <c r="N319" s="263" t="str">
        <f t="shared" si="290"/>
        <v>-</v>
      </c>
      <c r="O319" s="508">
        <v>3.2963</v>
      </c>
      <c r="P319" s="404">
        <f t="shared" si="281"/>
        <v>0</v>
      </c>
      <c r="Q319" s="449">
        <f t="shared" si="282"/>
        <v>0</v>
      </c>
    </row>
    <row r="320" spans="1:17" ht="23.4" x14ac:dyDescent="0.4">
      <c r="A320" s="248" t="s">
        <v>101</v>
      </c>
      <c r="B320" s="546"/>
      <c r="C320" s="544" t="s">
        <v>89</v>
      </c>
      <c r="D320" s="511"/>
      <c r="E320" s="436"/>
      <c r="F320" s="333">
        <f t="shared" si="283"/>
        <v>0</v>
      </c>
      <c r="G320" s="278"/>
      <c r="H320" s="278"/>
      <c r="I320" s="352" t="str">
        <f>IFERROR(F320/#REF!,"-")</f>
        <v>-</v>
      </c>
      <c r="J320" s="333">
        <f t="shared" si="284"/>
        <v>0</v>
      </c>
      <c r="K320" s="278">
        <f t="shared" si="279"/>
        <v>0</v>
      </c>
      <c r="L320" s="436">
        <f t="shared" si="280"/>
        <v>0</v>
      </c>
      <c r="M320" s="337" t="str">
        <f t="shared" si="289"/>
        <v>-</v>
      </c>
      <c r="N320" s="263" t="str">
        <f t="shared" si="290"/>
        <v>-</v>
      </c>
      <c r="O320" s="508">
        <v>2.3201000000000001</v>
      </c>
      <c r="P320" s="404">
        <f t="shared" si="281"/>
        <v>0</v>
      </c>
      <c r="Q320" s="449">
        <f t="shared" si="282"/>
        <v>0</v>
      </c>
    </row>
    <row r="321" spans="1:17" ht="24" thickBot="1" x14ac:dyDescent="0.35">
      <c r="A321" s="248" t="s">
        <v>101</v>
      </c>
      <c r="B321" s="524"/>
      <c r="C321" s="541"/>
      <c r="D321" s="530"/>
      <c r="E321" s="462"/>
      <c r="F321" s="460">
        <f t="shared" si="283"/>
        <v>0</v>
      </c>
      <c r="G321" s="461"/>
      <c r="H321" s="461"/>
      <c r="I321" s="532" t="str">
        <f>IFERROR(F321/#REF!,"-")</f>
        <v>-</v>
      </c>
      <c r="J321" s="460">
        <f t="shared" si="284"/>
        <v>0</v>
      </c>
      <c r="K321" s="461">
        <f t="shared" si="279"/>
        <v>0</v>
      </c>
      <c r="L321" s="462">
        <f t="shared" si="280"/>
        <v>0</v>
      </c>
      <c r="M321" s="683" t="str">
        <f t="shared" si="289"/>
        <v>-</v>
      </c>
      <c r="N321" s="264" t="str">
        <f t="shared" si="290"/>
        <v>-</v>
      </c>
      <c r="O321" s="539"/>
      <c r="P321" s="536">
        <f t="shared" si="281"/>
        <v>0</v>
      </c>
      <c r="Q321" s="537">
        <f t="shared" si="282"/>
        <v>0</v>
      </c>
    </row>
    <row r="322" spans="1:17" ht="23.25" customHeight="1" thickBot="1" x14ac:dyDescent="0.35">
      <c r="A322" s="274" t="s">
        <v>101</v>
      </c>
      <c r="B322" s="1109" t="s">
        <v>25</v>
      </c>
      <c r="C322" s="1046"/>
      <c r="D322" s="513">
        <f>SUM(D295:D321)</f>
        <v>0</v>
      </c>
      <c r="E322" s="526">
        <v>100000</v>
      </c>
      <c r="F322" s="519">
        <f>SUM(F290:F321)</f>
        <v>147003</v>
      </c>
      <c r="G322" s="519">
        <f>SUM(G290:G321)</f>
        <v>143820</v>
      </c>
      <c r="H322" s="519">
        <f>SUM(H290:H321)</f>
        <v>3183</v>
      </c>
      <c r="I322" s="520" t="str">
        <f>IFERROR(F322/#REF!,"-")</f>
        <v>-</v>
      </c>
      <c r="J322" s="513">
        <f>SUM(J290:J321)</f>
        <v>620774</v>
      </c>
      <c r="K322" s="513">
        <f t="shared" ref="K322:L322" si="291">SUM(K290:K321)</f>
        <v>614163</v>
      </c>
      <c r="L322" s="513">
        <f t="shared" si="291"/>
        <v>6611</v>
      </c>
      <c r="M322" s="521" t="str">
        <f t="shared" si="289"/>
        <v>-</v>
      </c>
      <c r="N322" s="520">
        <f t="shared" si="290"/>
        <v>1.064960839210405E-2</v>
      </c>
      <c r="O322" s="522"/>
      <c r="P322" s="523">
        <f>SUM(P290:P321)</f>
        <v>906990.00000000012</v>
      </c>
      <c r="Q322" s="523">
        <f>SUM(Q290:Q321)</f>
        <v>4330294.0353999995</v>
      </c>
    </row>
    <row r="323" spans="1:17" ht="23.25" customHeight="1" thickBot="1" x14ac:dyDescent="0.35">
      <c r="A323" s="318" t="s">
        <v>101</v>
      </c>
      <c r="B323" s="1111" t="s">
        <v>249</v>
      </c>
      <c r="C323" s="1112"/>
      <c r="D323" s="326">
        <f>+D294+D322</f>
        <v>0</v>
      </c>
      <c r="E323" s="327">
        <f>+E294+E322</f>
        <v>100000</v>
      </c>
      <c r="F323" s="326">
        <f>+F322</f>
        <v>147003</v>
      </c>
      <c r="G323" s="326">
        <f t="shared" ref="G323:H323" si="292">+G322</f>
        <v>143820</v>
      </c>
      <c r="H323" s="326">
        <f t="shared" si="292"/>
        <v>3183</v>
      </c>
      <c r="I323" s="349" t="str">
        <f>IFERROR(F323/#REF!,"-")</f>
        <v>-</v>
      </c>
      <c r="J323" s="326">
        <f>+J322</f>
        <v>620774</v>
      </c>
      <c r="K323" s="326">
        <f t="shared" ref="K323:L323" si="293">+K322</f>
        <v>614163</v>
      </c>
      <c r="L323" s="326">
        <f t="shared" si="293"/>
        <v>6611</v>
      </c>
      <c r="M323" s="341" t="str">
        <f t="shared" si="289"/>
        <v>-</v>
      </c>
      <c r="N323" s="349">
        <f t="shared" si="290"/>
        <v>1.064960839210405E-2</v>
      </c>
      <c r="O323" s="394"/>
      <c r="P323" s="410">
        <f>+P322</f>
        <v>906990.00000000012</v>
      </c>
      <c r="Q323" s="428">
        <f>Q322</f>
        <v>4330294.0353999995</v>
      </c>
    </row>
    <row r="324" spans="1:17" ht="24.6" thickBot="1" x14ac:dyDescent="0.35">
      <c r="A324" s="319"/>
      <c r="B324" s="1113" t="s">
        <v>174</v>
      </c>
      <c r="C324" s="1114"/>
      <c r="D324" s="374">
        <f>+D323+D289+D280</f>
        <v>0</v>
      </c>
      <c r="E324" s="374">
        <f>+E323+E289+E280</f>
        <v>230000</v>
      </c>
      <c r="F324" s="374">
        <f>+F323+F289+F280</f>
        <v>258678</v>
      </c>
      <c r="G324" s="374">
        <f>+G323+G289+G280</f>
        <v>254320</v>
      </c>
      <c r="H324" s="374">
        <f>+H323+H289+H280</f>
        <v>4358</v>
      </c>
      <c r="I324" s="375" t="str">
        <f>IFERROR(F324/#REF!,"-")</f>
        <v>-</v>
      </c>
      <c r="J324" s="374">
        <f>+J323+J289+J280</f>
        <v>1771193</v>
      </c>
      <c r="K324" s="374">
        <f>+K323+K289+K280</f>
        <v>1752963</v>
      </c>
      <c r="L324" s="374">
        <f>+L323+L289+L280</f>
        <v>18230</v>
      </c>
      <c r="M324" s="375" t="str">
        <f t="shared" si="289"/>
        <v>-</v>
      </c>
      <c r="N324" s="375">
        <f>IFERROR(L324/J324,"-")</f>
        <v>1.029249776845324E-2</v>
      </c>
      <c r="O324" s="401"/>
      <c r="P324" s="418">
        <f>+P323+P289+P280</f>
        <v>1767250.0500000003</v>
      </c>
      <c r="Q324" s="418">
        <f>+Q323+Q289+Q280</f>
        <v>9621942.5703999996</v>
      </c>
    </row>
    <row r="325" spans="1:17" ht="24.6" customHeight="1" thickBot="1" x14ac:dyDescent="0.35">
      <c r="A325" s="230"/>
      <c r="B325" s="230"/>
      <c r="C325" s="230"/>
      <c r="D325" s="232"/>
      <c r="E325" s="232"/>
      <c r="F325" s="232"/>
      <c r="G325" s="267"/>
      <c r="H325" s="267"/>
      <c r="I325" s="234"/>
      <c r="J325" s="232"/>
      <c r="K325" s="232"/>
      <c r="L325" s="232"/>
      <c r="M325" s="234"/>
      <c r="N325" s="234"/>
    </row>
    <row r="326" spans="1:17" ht="22.5" customHeight="1" x14ac:dyDescent="0.3">
      <c r="A326" s="1115" t="s">
        <v>1</v>
      </c>
      <c r="B326" s="1118" t="s">
        <v>2</v>
      </c>
      <c r="C326" s="1121" t="s">
        <v>396</v>
      </c>
      <c r="D326" s="1066" t="s">
        <v>4</v>
      </c>
      <c r="E326" s="1067"/>
      <c r="F326" s="1067"/>
      <c r="G326" s="1067"/>
      <c r="H326" s="1067"/>
      <c r="I326" s="1067"/>
      <c r="J326" s="1067"/>
      <c r="K326" s="1067"/>
      <c r="L326" s="1067"/>
      <c r="M326" s="1067"/>
      <c r="N326" s="1068"/>
      <c r="O326" s="1092" t="s">
        <v>167</v>
      </c>
      <c r="P326" s="1093"/>
      <c r="Q326" s="1124"/>
    </row>
    <row r="327" spans="1:17" ht="22.5" customHeight="1" x14ac:dyDescent="0.3">
      <c r="A327" s="1116"/>
      <c r="B327" s="1119"/>
      <c r="C327" s="1122"/>
      <c r="D327" s="1069" t="s">
        <v>7</v>
      </c>
      <c r="E327" s="1071" t="s">
        <v>108</v>
      </c>
      <c r="F327" s="1125" t="s">
        <v>512</v>
      </c>
      <c r="G327" s="1074"/>
      <c r="H327" s="1074"/>
      <c r="I327" s="1075"/>
      <c r="J327" s="1076" t="s">
        <v>8</v>
      </c>
      <c r="K327" s="1077"/>
      <c r="L327" s="1078"/>
      <c r="M327" s="1079" t="s">
        <v>165</v>
      </c>
      <c r="N327" s="1081" t="s">
        <v>164</v>
      </c>
      <c r="O327" s="1126" t="s">
        <v>169</v>
      </c>
      <c r="P327" s="1127"/>
      <c r="Q327" s="1128"/>
    </row>
    <row r="328" spans="1:17" ht="47.4" thickBot="1" x14ac:dyDescent="0.35">
      <c r="A328" s="1117"/>
      <c r="B328" s="1120"/>
      <c r="C328" s="1123"/>
      <c r="D328" s="1070"/>
      <c r="E328" s="1072"/>
      <c r="F328" s="452" t="s">
        <v>13</v>
      </c>
      <c r="G328" s="453" t="s">
        <v>14</v>
      </c>
      <c r="H328" s="453" t="s">
        <v>15</v>
      </c>
      <c r="I328" s="454" t="s">
        <v>166</v>
      </c>
      <c r="J328" s="680" t="s">
        <v>13</v>
      </c>
      <c r="K328" s="678" t="s">
        <v>14</v>
      </c>
      <c r="L328" s="679" t="s">
        <v>15</v>
      </c>
      <c r="M328" s="1080"/>
      <c r="N328" s="1082"/>
      <c r="O328" s="444" t="s">
        <v>170</v>
      </c>
      <c r="P328" s="445" t="s">
        <v>11</v>
      </c>
      <c r="Q328" s="446" t="s">
        <v>12</v>
      </c>
    </row>
    <row r="329" spans="1:17" ht="23.4" x14ac:dyDescent="0.3">
      <c r="A329" s="268" t="s">
        <v>103</v>
      </c>
      <c r="B329" s="439"/>
      <c r="C329" s="269" t="s">
        <v>502</v>
      </c>
      <c r="D329" s="270"/>
      <c r="E329" s="271"/>
      <c r="F329" s="332">
        <f>+G329+H329</f>
        <v>0</v>
      </c>
      <c r="G329" s="272"/>
      <c r="H329" s="272"/>
      <c r="I329" s="351" t="str">
        <f>IFERROR(F329/#REF!,"-")</f>
        <v>-</v>
      </c>
      <c r="J329" s="457">
        <f>+K329+L329</f>
        <v>56000</v>
      </c>
      <c r="K329" s="458">
        <f>+G329+K266</f>
        <v>56000</v>
      </c>
      <c r="L329" s="458">
        <f>+H329+L266</f>
        <v>0</v>
      </c>
      <c r="M329" s="336" t="str">
        <f>IFERROR(J329/D329,"-")</f>
        <v>-</v>
      </c>
      <c r="N329" s="343">
        <f t="shared" ref="N329:N330" si="294">IFERROR(L329/J329,"-")</f>
        <v>0</v>
      </c>
      <c r="O329" s="786">
        <v>0</v>
      </c>
      <c r="P329" s="402">
        <f>+O329*G329</f>
        <v>0</v>
      </c>
      <c r="Q329" s="447">
        <f>+O329*K329</f>
        <v>0</v>
      </c>
    </row>
    <row r="330" spans="1:17" ht="23.4" x14ac:dyDescent="0.3">
      <c r="A330" s="274" t="s">
        <v>103</v>
      </c>
      <c r="B330" s="438"/>
      <c r="C330" s="275" t="s">
        <v>245</v>
      </c>
      <c r="D330" s="276"/>
      <c r="E330" s="277"/>
      <c r="F330" s="333">
        <f t="shared" ref="F330:F333" si="295">+G330+H330</f>
        <v>0</v>
      </c>
      <c r="G330" s="719"/>
      <c r="H330" s="719"/>
      <c r="I330" s="352" t="str">
        <f>IFERROR(F330/#REF!,"-")</f>
        <v>-</v>
      </c>
      <c r="J330" s="333">
        <f t="shared" ref="J330:J333" si="296">+K330+L330</f>
        <v>115874</v>
      </c>
      <c r="K330" s="278">
        <f t="shared" ref="K330:K333" si="297">+G330+K267</f>
        <v>115000</v>
      </c>
      <c r="L330" s="436">
        <f t="shared" ref="L330:L333" si="298">+H330+L267</f>
        <v>874</v>
      </c>
      <c r="M330" s="337" t="str">
        <f t="shared" ref="M330:M333" si="299">IFERROR(J330/D330,"-")</f>
        <v>-</v>
      </c>
      <c r="N330" s="265">
        <f t="shared" si="294"/>
        <v>7.5426756649464074E-3</v>
      </c>
      <c r="O330" s="508">
        <v>2.3978999999999999</v>
      </c>
      <c r="P330" s="404">
        <f>+O330*G330</f>
        <v>0</v>
      </c>
      <c r="Q330" s="449">
        <f>+O330*K330</f>
        <v>275758.5</v>
      </c>
    </row>
    <row r="331" spans="1:17" ht="23.4" x14ac:dyDescent="0.3">
      <c r="A331" s="274" t="s">
        <v>103</v>
      </c>
      <c r="B331" s="438"/>
      <c r="C331" s="275" t="s">
        <v>395</v>
      </c>
      <c r="D331" s="276"/>
      <c r="E331" s="277"/>
      <c r="F331" s="333">
        <f t="shared" si="295"/>
        <v>107284</v>
      </c>
      <c r="G331" s="278">
        <v>106500</v>
      </c>
      <c r="H331" s="719">
        <v>784</v>
      </c>
      <c r="I331" s="352" t="str">
        <f>IFERROR(F331/#REF!,"-")</f>
        <v>-</v>
      </c>
      <c r="J331" s="333">
        <f t="shared" si="296"/>
        <v>439950</v>
      </c>
      <c r="K331" s="278">
        <f t="shared" si="297"/>
        <v>436000</v>
      </c>
      <c r="L331" s="436">
        <f t="shared" si="298"/>
        <v>3950</v>
      </c>
      <c r="M331" s="337" t="str">
        <f t="shared" si="299"/>
        <v>-</v>
      </c>
      <c r="N331" s="716">
        <f>IFERROR(L331/J331,"-")</f>
        <v>8.9782929878395278E-3</v>
      </c>
      <c r="O331" s="718">
        <v>3.6777000000000002</v>
      </c>
      <c r="P331" s="404">
        <f t="shared" ref="P331:P333" si="300">+O331*G331</f>
        <v>391675.05000000005</v>
      </c>
      <c r="Q331" s="449">
        <f t="shared" ref="Q331:Q333" si="301">+O331*K331</f>
        <v>1603477.2000000002</v>
      </c>
    </row>
    <row r="332" spans="1:17" ht="23.4" x14ac:dyDescent="0.3">
      <c r="A332" s="274"/>
      <c r="B332" s="451"/>
      <c r="C332" s="275" t="s">
        <v>319</v>
      </c>
      <c r="D332" s="280"/>
      <c r="E332" s="281"/>
      <c r="F332" s="333">
        <f t="shared" si="295"/>
        <v>44561</v>
      </c>
      <c r="G332" s="282">
        <v>44000</v>
      </c>
      <c r="H332" s="282">
        <v>561</v>
      </c>
      <c r="I332" s="352" t="str">
        <f>IFERROR(F332/#REF!,"-")</f>
        <v>-</v>
      </c>
      <c r="J332" s="333">
        <f t="shared" si="296"/>
        <v>224725</v>
      </c>
      <c r="K332" s="278">
        <f t="shared" si="297"/>
        <v>221800</v>
      </c>
      <c r="L332" s="436">
        <f t="shared" si="298"/>
        <v>2925</v>
      </c>
      <c r="M332" s="337" t="str">
        <f t="shared" si="299"/>
        <v>-</v>
      </c>
      <c r="N332" s="265">
        <f>IFERROR(L332/J332,"-")</f>
        <v>1.3015908332406274E-2</v>
      </c>
      <c r="O332" s="509">
        <v>12.284700000000001</v>
      </c>
      <c r="P332" s="404">
        <f t="shared" si="300"/>
        <v>540526.80000000005</v>
      </c>
      <c r="Q332" s="449">
        <f t="shared" si="301"/>
        <v>2724746.46</v>
      </c>
    </row>
    <row r="333" spans="1:17" ht="24" thickBot="1" x14ac:dyDescent="0.35">
      <c r="A333" s="274" t="s">
        <v>103</v>
      </c>
      <c r="B333" s="451"/>
      <c r="C333" s="275" t="s">
        <v>365</v>
      </c>
      <c r="D333" s="280"/>
      <c r="E333" s="281"/>
      <c r="F333" s="334">
        <f t="shared" si="295"/>
        <v>0</v>
      </c>
      <c r="G333" s="282"/>
      <c r="H333" s="282"/>
      <c r="I333" s="353" t="str">
        <f>IFERROR(F333/#REF!,"-")</f>
        <v>-</v>
      </c>
      <c r="J333" s="460">
        <f t="shared" si="296"/>
        <v>45034</v>
      </c>
      <c r="K333" s="461">
        <f t="shared" si="297"/>
        <v>44250</v>
      </c>
      <c r="L333" s="462">
        <f t="shared" si="298"/>
        <v>784</v>
      </c>
      <c r="M333" s="338" t="str">
        <f t="shared" si="299"/>
        <v>-</v>
      </c>
      <c r="N333" s="344">
        <f t="shared" ref="N333:N345" si="302">IFERROR(L333/J333,"-")</f>
        <v>1.7409068703646134E-2</v>
      </c>
      <c r="O333" s="718">
        <v>7.0612000000000004</v>
      </c>
      <c r="P333" s="405">
        <f t="shared" si="300"/>
        <v>0</v>
      </c>
      <c r="Q333" s="450">
        <f t="shared" si="301"/>
        <v>312458.10000000003</v>
      </c>
    </row>
    <row r="334" spans="1:17" ht="23.25" customHeight="1" thickBot="1" x14ac:dyDescent="0.35">
      <c r="A334" s="274" t="s">
        <v>103</v>
      </c>
      <c r="B334" s="1109" t="s">
        <v>21</v>
      </c>
      <c r="C334" s="1046"/>
      <c r="D334" s="320">
        <f>SUM(D329:D333)</f>
        <v>0</v>
      </c>
      <c r="E334" s="285">
        <v>15000</v>
      </c>
      <c r="F334" s="320">
        <f>SUM(F329:F333)</f>
        <v>151845</v>
      </c>
      <c r="G334" s="321">
        <f>SUM(G329:G333)</f>
        <v>150500</v>
      </c>
      <c r="H334" s="321">
        <f>SUM(H329:H333)</f>
        <v>1345</v>
      </c>
      <c r="I334" s="345" t="str">
        <f>IFERROR(F334/#REF!,"-")</f>
        <v>-</v>
      </c>
      <c r="J334" s="320">
        <f>SUM(J329:J333)</f>
        <v>881583</v>
      </c>
      <c r="K334" s="321">
        <f>SUM(K329:K333)</f>
        <v>873050</v>
      </c>
      <c r="L334" s="322">
        <f>SUM(L329:L333)</f>
        <v>8533</v>
      </c>
      <c r="M334" s="339" t="str">
        <f>IFERROR(J334/D334,"-")</f>
        <v>-</v>
      </c>
      <c r="N334" s="345">
        <f t="shared" si="302"/>
        <v>9.679179385264915E-3</v>
      </c>
      <c r="O334" s="391"/>
      <c r="P334" s="406">
        <f>SUM(P329:P333)</f>
        <v>932201.85000000009</v>
      </c>
      <c r="Q334" s="425">
        <f>SUM(Q329:Q333)</f>
        <v>4916440.26</v>
      </c>
    </row>
    <row r="335" spans="1:17" ht="23.4" x14ac:dyDescent="0.3">
      <c r="A335" s="274" t="s">
        <v>103</v>
      </c>
      <c r="B335" s="439"/>
      <c r="C335" s="269" t="s">
        <v>244</v>
      </c>
      <c r="D335" s="270"/>
      <c r="E335" s="271"/>
      <c r="F335" s="332">
        <f t="shared" ref="F335:F341" si="303">+G335+H335</f>
        <v>0</v>
      </c>
      <c r="G335" s="272"/>
      <c r="H335" s="272"/>
      <c r="I335" s="351" t="str">
        <f>IFERROR(F335/#REF!,"-")</f>
        <v>-</v>
      </c>
      <c r="J335" s="457">
        <f t="shared" ref="J335:J341" si="304">+K335+L335</f>
        <v>0</v>
      </c>
      <c r="K335" s="458">
        <f t="shared" ref="K335:K341" si="305">+G335+K272</f>
        <v>0</v>
      </c>
      <c r="L335" s="459">
        <f t="shared" ref="L335:L341" si="306">+H335+L272</f>
        <v>0</v>
      </c>
      <c r="M335" s="336" t="str">
        <f t="shared" ref="M335:M343" si="307">IFERROR(J335/D335,"-")</f>
        <v>-</v>
      </c>
      <c r="N335" s="346" t="str">
        <f t="shared" si="302"/>
        <v>-</v>
      </c>
      <c r="O335" s="507">
        <v>18.2316</v>
      </c>
      <c r="P335" s="402">
        <f t="shared" ref="P335:P341" si="308">+O335*G335</f>
        <v>0</v>
      </c>
      <c r="Q335" s="447">
        <f t="shared" ref="Q335:Q341" si="309">+O335*K335</f>
        <v>0</v>
      </c>
    </row>
    <row r="336" spans="1:17" ht="23.4" x14ac:dyDescent="0.3">
      <c r="A336" s="274" t="s">
        <v>103</v>
      </c>
      <c r="B336" s="438"/>
      <c r="C336" s="275" t="s">
        <v>89</v>
      </c>
      <c r="D336" s="276"/>
      <c r="E336" s="277"/>
      <c r="F336" s="333">
        <f t="shared" si="303"/>
        <v>0</v>
      </c>
      <c r="G336" s="278"/>
      <c r="H336" s="278"/>
      <c r="I336" s="352" t="str">
        <f>IFERROR(F336/#REF!,"-")</f>
        <v>-</v>
      </c>
      <c r="J336" s="333">
        <f t="shared" si="304"/>
        <v>60000</v>
      </c>
      <c r="K336" s="278">
        <f t="shared" si="305"/>
        <v>60000</v>
      </c>
      <c r="L336" s="436">
        <f t="shared" si="306"/>
        <v>0</v>
      </c>
      <c r="M336" s="337" t="str">
        <f t="shared" si="307"/>
        <v>-</v>
      </c>
      <c r="N336" s="263">
        <f t="shared" si="302"/>
        <v>0</v>
      </c>
      <c r="O336" s="508">
        <v>1.2824</v>
      </c>
      <c r="P336" s="404">
        <f t="shared" si="308"/>
        <v>0</v>
      </c>
      <c r="Q336" s="449">
        <f t="shared" si="309"/>
        <v>76944</v>
      </c>
    </row>
    <row r="337" spans="1:17" ht="23.4" x14ac:dyDescent="0.3">
      <c r="A337" s="274" t="s">
        <v>103</v>
      </c>
      <c r="B337" s="438"/>
      <c r="C337" s="275" t="s">
        <v>300</v>
      </c>
      <c r="D337" s="276"/>
      <c r="E337" s="277"/>
      <c r="F337" s="333">
        <f t="shared" si="303"/>
        <v>0</v>
      </c>
      <c r="G337" s="278"/>
      <c r="H337" s="278"/>
      <c r="I337" s="352" t="str">
        <f>IFERROR(F337/#REF!,"-")</f>
        <v>-</v>
      </c>
      <c r="J337" s="333">
        <f t="shared" si="304"/>
        <v>0</v>
      </c>
      <c r="K337" s="278">
        <f t="shared" si="305"/>
        <v>0</v>
      </c>
      <c r="L337" s="436">
        <f t="shared" si="306"/>
        <v>0</v>
      </c>
      <c r="M337" s="337" t="str">
        <f t="shared" si="307"/>
        <v>-</v>
      </c>
      <c r="N337" s="263" t="str">
        <f t="shared" si="302"/>
        <v>-</v>
      </c>
      <c r="O337" s="710">
        <v>5.7342000000000004</v>
      </c>
      <c r="P337" s="404">
        <f t="shared" si="308"/>
        <v>0</v>
      </c>
      <c r="Q337" s="449">
        <f t="shared" si="309"/>
        <v>0</v>
      </c>
    </row>
    <row r="338" spans="1:17" ht="23.4" x14ac:dyDescent="0.3">
      <c r="A338" s="274" t="s">
        <v>103</v>
      </c>
      <c r="B338" s="438"/>
      <c r="C338" s="275" t="s">
        <v>314</v>
      </c>
      <c r="D338" s="276"/>
      <c r="E338" s="277"/>
      <c r="F338" s="333">
        <f t="shared" si="303"/>
        <v>0</v>
      </c>
      <c r="G338" s="278"/>
      <c r="H338" s="278"/>
      <c r="I338" s="352" t="str">
        <f>IFERROR(F338/#REF!,"-")</f>
        <v>-</v>
      </c>
      <c r="J338" s="333">
        <f t="shared" si="304"/>
        <v>0</v>
      </c>
      <c r="K338" s="278">
        <f t="shared" si="305"/>
        <v>0</v>
      </c>
      <c r="L338" s="436">
        <f t="shared" si="306"/>
        <v>0</v>
      </c>
      <c r="M338" s="337" t="str">
        <f t="shared" si="307"/>
        <v>-</v>
      </c>
      <c r="N338" s="263" t="str">
        <f t="shared" si="302"/>
        <v>-</v>
      </c>
      <c r="O338" s="508"/>
      <c r="P338" s="404">
        <f t="shared" si="308"/>
        <v>0</v>
      </c>
      <c r="Q338" s="449">
        <f t="shared" si="309"/>
        <v>0</v>
      </c>
    </row>
    <row r="339" spans="1:17" ht="23.4" x14ac:dyDescent="0.3">
      <c r="A339" s="274" t="s">
        <v>103</v>
      </c>
      <c r="B339" s="438"/>
      <c r="C339" s="275" t="s">
        <v>320</v>
      </c>
      <c r="D339" s="276"/>
      <c r="E339" s="277"/>
      <c r="F339" s="333">
        <f t="shared" si="303"/>
        <v>6435</v>
      </c>
      <c r="G339" s="278">
        <v>6400</v>
      </c>
      <c r="H339" s="278">
        <v>35</v>
      </c>
      <c r="I339" s="352" t="str">
        <f>IFERROR(F339/#REF!,"-")</f>
        <v>-</v>
      </c>
      <c r="J339" s="333">
        <f t="shared" si="304"/>
        <v>51560</v>
      </c>
      <c r="K339" s="278">
        <f t="shared" si="305"/>
        <v>51400</v>
      </c>
      <c r="L339" s="436">
        <f t="shared" si="306"/>
        <v>160</v>
      </c>
      <c r="M339" s="337" t="str">
        <f t="shared" si="307"/>
        <v>-</v>
      </c>
      <c r="N339" s="263">
        <f t="shared" si="302"/>
        <v>3.1031807602792862E-3</v>
      </c>
      <c r="O339" s="508">
        <v>12.029500000000001</v>
      </c>
      <c r="P339" s="404">
        <f t="shared" si="308"/>
        <v>76988.800000000003</v>
      </c>
      <c r="Q339" s="449">
        <f t="shared" si="309"/>
        <v>618316.30000000005</v>
      </c>
    </row>
    <row r="340" spans="1:17" ht="23.4" x14ac:dyDescent="0.3">
      <c r="A340" s="274" t="s">
        <v>103</v>
      </c>
      <c r="B340" s="438"/>
      <c r="C340" s="275"/>
      <c r="D340" s="276"/>
      <c r="E340" s="277"/>
      <c r="F340" s="333">
        <f t="shared" si="303"/>
        <v>0</v>
      </c>
      <c r="G340" s="278"/>
      <c r="H340" s="278"/>
      <c r="I340" s="352" t="str">
        <f>IFERROR(F340/#REF!,"-")</f>
        <v>-</v>
      </c>
      <c r="J340" s="333">
        <f t="shared" si="304"/>
        <v>0</v>
      </c>
      <c r="K340" s="278">
        <f t="shared" si="305"/>
        <v>0</v>
      </c>
      <c r="L340" s="436">
        <f t="shared" si="306"/>
        <v>0</v>
      </c>
      <c r="M340" s="337" t="str">
        <f t="shared" si="307"/>
        <v>-</v>
      </c>
      <c r="N340" s="263" t="str">
        <f t="shared" si="302"/>
        <v>-</v>
      </c>
      <c r="O340" s="508"/>
      <c r="P340" s="404">
        <f t="shared" si="308"/>
        <v>0</v>
      </c>
      <c r="Q340" s="449">
        <f t="shared" si="309"/>
        <v>0</v>
      </c>
    </row>
    <row r="341" spans="1:17" ht="24" thickBot="1" x14ac:dyDescent="0.35">
      <c r="A341" s="274" t="s">
        <v>103</v>
      </c>
      <c r="B341" s="451"/>
      <c r="C341" s="279"/>
      <c r="D341" s="280">
        <v>0</v>
      </c>
      <c r="E341" s="281"/>
      <c r="F341" s="334">
        <f t="shared" si="303"/>
        <v>0</v>
      </c>
      <c r="G341" s="282"/>
      <c r="H341" s="282"/>
      <c r="I341" s="353" t="str">
        <f>IFERROR(F341/#REF!,"-")</f>
        <v>-</v>
      </c>
      <c r="J341" s="460">
        <f t="shared" si="304"/>
        <v>0</v>
      </c>
      <c r="K341" s="461">
        <f t="shared" si="305"/>
        <v>0</v>
      </c>
      <c r="L341" s="462">
        <f t="shared" si="306"/>
        <v>0</v>
      </c>
      <c r="M341" s="338" t="str">
        <f t="shared" si="307"/>
        <v>-</v>
      </c>
      <c r="N341" s="347" t="str">
        <f t="shared" si="302"/>
        <v>-</v>
      </c>
      <c r="O341" s="509"/>
      <c r="P341" s="405">
        <f t="shared" si="308"/>
        <v>0</v>
      </c>
      <c r="Q341" s="450">
        <f t="shared" si="309"/>
        <v>0</v>
      </c>
    </row>
    <row r="342" spans="1:17" ht="23.25" customHeight="1" thickBot="1" x14ac:dyDescent="0.35">
      <c r="A342" s="274" t="s">
        <v>103</v>
      </c>
      <c r="B342" s="1109" t="s">
        <v>25</v>
      </c>
      <c r="C342" s="1046"/>
      <c r="D342" s="320">
        <f t="shared" ref="D342" si="310">SUM(D335:D341)</f>
        <v>0</v>
      </c>
      <c r="E342" s="285">
        <v>100000</v>
      </c>
      <c r="F342" s="320">
        <f>SUM(F335:F341)</f>
        <v>6435</v>
      </c>
      <c r="G342" s="321">
        <f t="shared" ref="G342:H342" si="311">SUM(G335:G341)</f>
        <v>6400</v>
      </c>
      <c r="H342" s="321">
        <f t="shared" si="311"/>
        <v>35</v>
      </c>
      <c r="I342" s="345" t="str">
        <f>IFERROR(F342/#REF!,"-")</f>
        <v>-</v>
      </c>
      <c r="J342" s="320">
        <f t="shared" ref="J342:L342" si="312">SUM(J335:J341)</f>
        <v>111560</v>
      </c>
      <c r="K342" s="321">
        <f t="shared" si="312"/>
        <v>111400</v>
      </c>
      <c r="L342" s="322">
        <f t="shared" si="312"/>
        <v>160</v>
      </c>
      <c r="M342" s="339" t="str">
        <f t="shared" si="307"/>
        <v>-</v>
      </c>
      <c r="N342" s="345">
        <f t="shared" si="302"/>
        <v>1.4342058085335247E-3</v>
      </c>
      <c r="O342" s="391"/>
      <c r="P342" s="406">
        <f t="shared" ref="P342:Q342" si="313">SUM(P335:P341)</f>
        <v>76988.800000000003</v>
      </c>
      <c r="Q342" s="425">
        <f t="shared" si="313"/>
        <v>695260.3</v>
      </c>
    </row>
    <row r="343" spans="1:17" ht="23.25" customHeight="1" thickBot="1" x14ac:dyDescent="0.35">
      <c r="A343" s="274" t="s">
        <v>103</v>
      </c>
      <c r="B343" s="1111" t="s">
        <v>172</v>
      </c>
      <c r="C343" s="1112"/>
      <c r="D343" s="326">
        <f>+D334+D342</f>
        <v>0</v>
      </c>
      <c r="E343" s="327">
        <f t="shared" ref="E343:H343" si="314">+E334+E342</f>
        <v>115000</v>
      </c>
      <c r="F343" s="326">
        <f t="shared" si="314"/>
        <v>158280</v>
      </c>
      <c r="G343" s="324">
        <f t="shared" si="314"/>
        <v>156900</v>
      </c>
      <c r="H343" s="324">
        <f t="shared" si="314"/>
        <v>1380</v>
      </c>
      <c r="I343" s="349" t="str">
        <f>IFERROR(F343/#REF!,"-")</f>
        <v>-</v>
      </c>
      <c r="J343" s="326">
        <f t="shared" ref="J343:L343" si="315">+J334+J342</f>
        <v>993143</v>
      </c>
      <c r="K343" s="324">
        <f t="shared" si="315"/>
        <v>984450</v>
      </c>
      <c r="L343" s="325">
        <f t="shared" si="315"/>
        <v>8693</v>
      </c>
      <c r="M343" s="341" t="str">
        <f t="shared" si="307"/>
        <v>-</v>
      </c>
      <c r="N343" s="349">
        <f t="shared" si="302"/>
        <v>8.7530194543988128E-3</v>
      </c>
      <c r="O343" s="394"/>
      <c r="P343" s="410">
        <f t="shared" ref="P343:Q343" si="316">+P334+P342</f>
        <v>1009190.6500000001</v>
      </c>
      <c r="Q343" s="428">
        <f t="shared" si="316"/>
        <v>5611700.5599999996</v>
      </c>
    </row>
    <row r="344" spans="1:17" ht="23.4" x14ac:dyDescent="0.3">
      <c r="A344" s="244" t="s">
        <v>101</v>
      </c>
      <c r="B344" s="581"/>
      <c r="C344" s="582" t="s">
        <v>283</v>
      </c>
      <c r="D344" s="527"/>
      <c r="E344" s="459"/>
      <c r="F344" s="457">
        <f>+G344+H344</f>
        <v>0</v>
      </c>
      <c r="G344" s="458"/>
      <c r="H344" s="458"/>
      <c r="I344" s="531" t="str">
        <f>IFERROR(F344/#REF!,"-")</f>
        <v>-</v>
      </c>
      <c r="J344" s="457">
        <f>+K344+L344</f>
        <v>0</v>
      </c>
      <c r="K344" s="458">
        <f t="shared" ref="K344:K350" si="317">+G344+K281</f>
        <v>0</v>
      </c>
      <c r="L344" s="459">
        <f t="shared" ref="L344:L350" si="318">+H344+L281</f>
        <v>0</v>
      </c>
      <c r="M344" s="586" t="str">
        <f>IFERROR(J344/D344,"-")</f>
        <v>-</v>
      </c>
      <c r="N344" s="533" t="str">
        <f t="shared" si="302"/>
        <v>-</v>
      </c>
      <c r="O344" s="628">
        <v>4.8285999999999998</v>
      </c>
      <c r="P344" s="534">
        <f t="shared" ref="P344:P350" si="319">+O344*G344</f>
        <v>0</v>
      </c>
      <c r="Q344" s="535">
        <f t="shared" ref="Q344:Q350" si="320">+O344*K344</f>
        <v>0</v>
      </c>
    </row>
    <row r="345" spans="1:17" ht="23.4" x14ac:dyDescent="0.3">
      <c r="A345" s="248" t="s">
        <v>101</v>
      </c>
      <c r="B345" s="583"/>
      <c r="C345" s="275" t="s">
        <v>284</v>
      </c>
      <c r="D345" s="276"/>
      <c r="E345" s="436"/>
      <c r="F345" s="333">
        <f t="shared" ref="F345:F350" si="321">+G345+H345</f>
        <v>0</v>
      </c>
      <c r="G345" s="278"/>
      <c r="H345" s="278"/>
      <c r="I345" s="352" t="str">
        <f>IFERROR(F345/#REF!,"-")</f>
        <v>-</v>
      </c>
      <c r="J345" s="333">
        <f t="shared" ref="J345:J350" si="322">+K345+L345</f>
        <v>0</v>
      </c>
      <c r="K345" s="278">
        <f t="shared" si="317"/>
        <v>0</v>
      </c>
      <c r="L345" s="436">
        <f t="shared" si="318"/>
        <v>0</v>
      </c>
      <c r="M345" s="337" t="str">
        <f t="shared" ref="M345:M347" si="323">IFERROR(J345/D345,"-")</f>
        <v>-</v>
      </c>
      <c r="N345" s="265" t="str">
        <f t="shared" si="302"/>
        <v>-</v>
      </c>
      <c r="O345" s="629">
        <v>1.4086000000000001</v>
      </c>
      <c r="P345" s="404">
        <f t="shared" si="319"/>
        <v>0</v>
      </c>
      <c r="Q345" s="449">
        <f t="shared" si="320"/>
        <v>0</v>
      </c>
    </row>
    <row r="346" spans="1:17" ht="23.4" x14ac:dyDescent="0.3">
      <c r="A346" s="248" t="s">
        <v>101</v>
      </c>
      <c r="B346" s="583"/>
      <c r="C346" s="275" t="s">
        <v>315</v>
      </c>
      <c r="D346" s="276"/>
      <c r="E346" s="436"/>
      <c r="F346" s="333">
        <f t="shared" si="321"/>
        <v>0</v>
      </c>
      <c r="G346" s="278"/>
      <c r="H346" s="278"/>
      <c r="I346" s="352" t="str">
        <f>IFERROR(F346/#REF!,"-")</f>
        <v>-</v>
      </c>
      <c r="J346" s="333">
        <f t="shared" si="322"/>
        <v>0</v>
      </c>
      <c r="K346" s="278">
        <f t="shared" si="317"/>
        <v>0</v>
      </c>
      <c r="L346" s="436">
        <f t="shared" si="318"/>
        <v>0</v>
      </c>
      <c r="M346" s="337" t="str">
        <f t="shared" si="323"/>
        <v>-</v>
      </c>
      <c r="N346" s="265" t="str">
        <f>IFERROR(L346/J346,"-")</f>
        <v>-</v>
      </c>
      <c r="O346" s="629">
        <v>2.2141000000000002</v>
      </c>
      <c r="P346" s="404">
        <f t="shared" si="319"/>
        <v>0</v>
      </c>
      <c r="Q346" s="449">
        <f t="shared" si="320"/>
        <v>0</v>
      </c>
    </row>
    <row r="347" spans="1:17" ht="23.4" x14ac:dyDescent="0.3">
      <c r="A347" s="248" t="s">
        <v>101</v>
      </c>
      <c r="B347" s="584"/>
      <c r="C347" s="275" t="s">
        <v>447</v>
      </c>
      <c r="D347" s="280"/>
      <c r="E347" s="528"/>
      <c r="F347" s="334">
        <f t="shared" si="321"/>
        <v>0</v>
      </c>
      <c r="G347" s="282"/>
      <c r="H347" s="282"/>
      <c r="I347" s="353" t="str">
        <f>IFERROR(F347/#REF!,"-")</f>
        <v>-</v>
      </c>
      <c r="J347" s="333">
        <f t="shared" si="322"/>
        <v>315556</v>
      </c>
      <c r="K347" s="278">
        <f t="shared" si="317"/>
        <v>311250</v>
      </c>
      <c r="L347" s="436">
        <f t="shared" si="318"/>
        <v>4306</v>
      </c>
      <c r="M347" s="338" t="str">
        <f t="shared" si="323"/>
        <v>-</v>
      </c>
      <c r="N347" s="344">
        <f t="shared" ref="N347:N354" si="324">IFERROR(L347/J347,"-")</f>
        <v>1.3645755428513481E-2</v>
      </c>
      <c r="O347" s="629">
        <v>2.2141000000000002</v>
      </c>
      <c r="P347" s="405">
        <f t="shared" si="319"/>
        <v>0</v>
      </c>
      <c r="Q347" s="450">
        <f t="shared" si="320"/>
        <v>689138.625</v>
      </c>
    </row>
    <row r="348" spans="1:17" ht="23.4" x14ac:dyDescent="0.3">
      <c r="A348" s="248" t="s">
        <v>101</v>
      </c>
      <c r="B348" s="440"/>
      <c r="C348" s="627" t="s">
        <v>353</v>
      </c>
      <c r="D348" s="510"/>
      <c r="E348" s="529"/>
      <c r="F348" s="333">
        <f t="shared" si="321"/>
        <v>0</v>
      </c>
      <c r="G348" s="547"/>
      <c r="H348" s="547"/>
      <c r="I348" s="352" t="str">
        <f>IFERROR(F348/#REF!,"-")</f>
        <v>-</v>
      </c>
      <c r="J348" s="333">
        <f t="shared" si="322"/>
        <v>0</v>
      </c>
      <c r="K348" s="278">
        <f t="shared" si="317"/>
        <v>0</v>
      </c>
      <c r="L348" s="436">
        <f t="shared" si="318"/>
        <v>0</v>
      </c>
      <c r="M348" s="682"/>
      <c r="N348" s="265" t="str">
        <f t="shared" si="324"/>
        <v>-</v>
      </c>
      <c r="O348" s="540">
        <v>4.8285999999999998</v>
      </c>
      <c r="P348" s="404">
        <f t="shared" si="319"/>
        <v>0</v>
      </c>
      <c r="Q348" s="449">
        <f t="shared" si="320"/>
        <v>0</v>
      </c>
    </row>
    <row r="349" spans="1:17" ht="23.4" x14ac:dyDescent="0.3">
      <c r="A349" s="248" t="s">
        <v>101</v>
      </c>
      <c r="B349" s="585"/>
      <c r="C349" s="627" t="s">
        <v>349</v>
      </c>
      <c r="D349" s="270"/>
      <c r="E349" s="435"/>
      <c r="F349" s="332">
        <f t="shared" si="321"/>
        <v>0</v>
      </c>
      <c r="G349" s="272"/>
      <c r="H349" s="272"/>
      <c r="I349" s="351" t="str">
        <f>IFERROR(F349/#REF!,"-")</f>
        <v>-</v>
      </c>
      <c r="J349" s="333">
        <f t="shared" si="322"/>
        <v>0</v>
      </c>
      <c r="K349" s="278">
        <f t="shared" si="317"/>
        <v>0</v>
      </c>
      <c r="L349" s="436">
        <f t="shared" si="318"/>
        <v>0</v>
      </c>
      <c r="M349" s="336" t="str">
        <f t="shared" ref="M349:M350" si="325">IFERROR(J349/D349,"-")</f>
        <v>-</v>
      </c>
      <c r="N349" s="346" t="str">
        <f t="shared" si="324"/>
        <v>-</v>
      </c>
      <c r="O349" s="507">
        <v>4.1712999999999996</v>
      </c>
      <c r="P349" s="402">
        <f t="shared" si="319"/>
        <v>0</v>
      </c>
      <c r="Q349" s="447">
        <f t="shared" si="320"/>
        <v>0</v>
      </c>
    </row>
    <row r="350" spans="1:17" ht="24" thickBot="1" x14ac:dyDescent="0.35">
      <c r="A350" s="248" t="s">
        <v>101</v>
      </c>
      <c r="B350" s="583"/>
      <c r="C350" s="275"/>
      <c r="D350" s="276"/>
      <c r="E350" s="436"/>
      <c r="F350" s="333">
        <f t="shared" si="321"/>
        <v>0</v>
      </c>
      <c r="G350" s="278"/>
      <c r="H350" s="278"/>
      <c r="I350" s="352" t="str">
        <f>IFERROR(F350/#REF!,"-")</f>
        <v>-</v>
      </c>
      <c r="J350" s="460">
        <f t="shared" si="322"/>
        <v>0</v>
      </c>
      <c r="K350" s="461">
        <f t="shared" si="317"/>
        <v>0</v>
      </c>
      <c r="L350" s="462">
        <f t="shared" si="318"/>
        <v>0</v>
      </c>
      <c r="M350" s="337" t="str">
        <f t="shared" si="325"/>
        <v>-</v>
      </c>
      <c r="N350" s="263" t="str">
        <f t="shared" si="324"/>
        <v>-</v>
      </c>
      <c r="O350" s="448"/>
      <c r="P350" s="404">
        <f t="shared" si="319"/>
        <v>0</v>
      </c>
      <c r="Q350" s="449">
        <f t="shared" si="320"/>
        <v>0</v>
      </c>
    </row>
    <row r="351" spans="1:17" ht="23.25" customHeight="1" thickBot="1" x14ac:dyDescent="0.35">
      <c r="A351" s="274" t="s">
        <v>101</v>
      </c>
      <c r="B351" s="1109" t="s">
        <v>21</v>
      </c>
      <c r="C351" s="1046"/>
      <c r="D351" s="320">
        <v>0</v>
      </c>
      <c r="E351" s="285">
        <v>15000</v>
      </c>
      <c r="F351" s="320">
        <f>SUM(F344:F350)</f>
        <v>0</v>
      </c>
      <c r="G351" s="321">
        <f t="shared" ref="G351:H351" si="326">SUM(G344:G350)</f>
        <v>0</v>
      </c>
      <c r="H351" s="321">
        <f t="shared" si="326"/>
        <v>0</v>
      </c>
      <c r="I351" s="345" t="str">
        <f>IFERROR(F351/#REF!,"-")</f>
        <v>-</v>
      </c>
      <c r="J351" s="513">
        <f t="shared" ref="J351" si="327">SUM(J344:J350)</f>
        <v>315556</v>
      </c>
      <c r="K351" s="519">
        <f>SUM(K344:K350)</f>
        <v>311250</v>
      </c>
      <c r="L351" s="519">
        <f>SUM(L344:L350)</f>
        <v>4306</v>
      </c>
      <c r="M351" s="339" t="str">
        <f>IFERROR(J351/D351,"-")</f>
        <v>-</v>
      </c>
      <c r="N351" s="345">
        <f t="shared" si="324"/>
        <v>1.3645755428513481E-2</v>
      </c>
      <c r="O351" s="391"/>
      <c r="P351" s="406">
        <f>SUM(P344:P350)</f>
        <v>0</v>
      </c>
      <c r="Q351" s="425">
        <f>SUM(Q344:Q350)</f>
        <v>689138.625</v>
      </c>
    </row>
    <row r="352" spans="1:17" ht="23.25" customHeight="1" thickBot="1" x14ac:dyDescent="0.35">
      <c r="A352" s="274" t="s">
        <v>101</v>
      </c>
      <c r="B352" s="1111" t="s">
        <v>248</v>
      </c>
      <c r="C352" s="1112"/>
      <c r="D352" s="512">
        <f>+D348+D351</f>
        <v>0</v>
      </c>
      <c r="E352" s="525">
        <f>+E348+E351</f>
        <v>15000</v>
      </c>
      <c r="F352" s="512">
        <f>+F348+F351</f>
        <v>0</v>
      </c>
      <c r="G352" s="514">
        <f>+G348+G351</f>
        <v>0</v>
      </c>
      <c r="H352" s="514">
        <f>+H348+H351</f>
        <v>0</v>
      </c>
      <c r="I352" s="515" t="str">
        <f>IFERROR(F352/#REF!,"-")</f>
        <v>-</v>
      </c>
      <c r="J352" s="512">
        <f>+J348+J351</f>
        <v>315556</v>
      </c>
      <c r="K352" s="514">
        <f>+K351</f>
        <v>311250</v>
      </c>
      <c r="L352" s="514">
        <f>+L351</f>
        <v>4306</v>
      </c>
      <c r="M352" s="516" t="str">
        <f t="shared" ref="M352" si="328">IFERROR(J352/D352,"-")</f>
        <v>-</v>
      </c>
      <c r="N352" s="515">
        <f t="shared" si="324"/>
        <v>1.3645755428513481E-2</v>
      </c>
      <c r="O352" s="517"/>
      <c r="P352" s="518">
        <f>+P351</f>
        <v>0</v>
      </c>
      <c r="Q352" s="518">
        <f>+Q351</f>
        <v>689138.625</v>
      </c>
    </row>
    <row r="353" spans="1:17" ht="23.4" x14ac:dyDescent="0.4">
      <c r="A353" s="244" t="s">
        <v>101</v>
      </c>
      <c r="B353" s="1106" t="s">
        <v>250</v>
      </c>
      <c r="C353" s="542" t="s">
        <v>71</v>
      </c>
      <c r="D353" s="527"/>
      <c r="E353" s="459"/>
      <c r="F353" s="457">
        <f>+G353+H353</f>
        <v>0</v>
      </c>
      <c r="G353" s="458"/>
      <c r="H353" s="458"/>
      <c r="I353" s="531" t="str">
        <f>IFERROR(F353/#REF!,"-")</f>
        <v>-</v>
      </c>
      <c r="J353" s="457">
        <f>+K353+L353</f>
        <v>0</v>
      </c>
      <c r="K353" s="458">
        <f t="shared" ref="K353:K384" si="329">+G353+K290</f>
        <v>0</v>
      </c>
      <c r="L353" s="459">
        <f t="shared" ref="L353:L384" si="330">+H353+L290</f>
        <v>0</v>
      </c>
      <c r="M353" s="586" t="str">
        <f>IFERROR(J353/D353,"-")</f>
        <v>-</v>
      </c>
      <c r="N353" s="533" t="str">
        <f t="shared" si="324"/>
        <v>-</v>
      </c>
      <c r="O353" s="538">
        <v>32.946300000000001</v>
      </c>
      <c r="P353" s="534">
        <f t="shared" ref="P353:P384" si="331">+O353*G353</f>
        <v>0</v>
      </c>
      <c r="Q353" s="535">
        <f t="shared" ref="Q353:Q384" si="332">+O353*K353</f>
        <v>0</v>
      </c>
    </row>
    <row r="354" spans="1:17" ht="23.4" x14ac:dyDescent="0.4">
      <c r="A354" s="248" t="s">
        <v>101</v>
      </c>
      <c r="B354" s="1107"/>
      <c r="C354" s="543" t="s">
        <v>72</v>
      </c>
      <c r="D354" s="511"/>
      <c r="E354" s="436"/>
      <c r="F354" s="333">
        <f t="shared" ref="F354:F384" si="333">+G354+H354</f>
        <v>0</v>
      </c>
      <c r="G354" s="278"/>
      <c r="H354" s="278"/>
      <c r="I354" s="352" t="str">
        <f>IFERROR(F354/#REF!,"-")</f>
        <v>-</v>
      </c>
      <c r="J354" s="333">
        <f t="shared" ref="J354:J384" si="334">+K354+L354</f>
        <v>10595</v>
      </c>
      <c r="K354" s="278">
        <f t="shared" si="329"/>
        <v>10500</v>
      </c>
      <c r="L354" s="436">
        <f t="shared" si="330"/>
        <v>95</v>
      </c>
      <c r="M354" s="337" t="str">
        <f t="shared" ref="M354:M356" si="335">IFERROR(J354/D354,"-")</f>
        <v>-</v>
      </c>
      <c r="N354" s="265">
        <f t="shared" si="324"/>
        <v>8.9664936290703157E-3</v>
      </c>
      <c r="O354" s="508">
        <v>35.398400000000002</v>
      </c>
      <c r="P354" s="404">
        <f t="shared" si="331"/>
        <v>0</v>
      </c>
      <c r="Q354" s="449">
        <f t="shared" si="332"/>
        <v>371683.2</v>
      </c>
    </row>
    <row r="355" spans="1:17" ht="24" thickBot="1" x14ac:dyDescent="0.45">
      <c r="A355" s="248" t="s">
        <v>101</v>
      </c>
      <c r="B355" s="1108"/>
      <c r="C355" s="543" t="s">
        <v>455</v>
      </c>
      <c r="D355" s="276"/>
      <c r="E355" s="436"/>
      <c r="F355" s="333">
        <f t="shared" si="333"/>
        <v>2450</v>
      </c>
      <c r="G355" s="278">
        <v>2400</v>
      </c>
      <c r="H355" s="278">
        <v>50</v>
      </c>
      <c r="I355" s="352" t="str">
        <f>IFERROR(F355/#REF!,"-")</f>
        <v>-</v>
      </c>
      <c r="J355" s="333">
        <f t="shared" si="334"/>
        <v>8055</v>
      </c>
      <c r="K355" s="278">
        <f t="shared" si="329"/>
        <v>7900</v>
      </c>
      <c r="L355" s="436">
        <f t="shared" si="330"/>
        <v>155</v>
      </c>
      <c r="M355" s="337" t="str">
        <f t="shared" si="335"/>
        <v>-</v>
      </c>
      <c r="N355" s="265">
        <f>IFERROR(L355/J355,"-")</f>
        <v>1.9242706393544383E-2</v>
      </c>
      <c r="O355" s="508">
        <v>35.398400000000002</v>
      </c>
      <c r="P355" s="404">
        <f t="shared" si="331"/>
        <v>84956.160000000003</v>
      </c>
      <c r="Q355" s="449">
        <f t="shared" si="332"/>
        <v>279647.36000000004</v>
      </c>
    </row>
    <row r="356" spans="1:17" ht="23.4" x14ac:dyDescent="0.4">
      <c r="A356" s="248" t="s">
        <v>101</v>
      </c>
      <c r="B356" s="1106" t="s">
        <v>251</v>
      </c>
      <c r="C356" s="545" t="s">
        <v>75</v>
      </c>
      <c r="D356" s="276"/>
      <c r="E356" s="528"/>
      <c r="F356" s="334">
        <f t="shared" si="333"/>
        <v>0</v>
      </c>
      <c r="G356" s="278"/>
      <c r="H356" s="278"/>
      <c r="I356" s="352" t="str">
        <f>IFERROR(F356/#REF!,"-")</f>
        <v>-</v>
      </c>
      <c r="J356" s="333">
        <f t="shared" si="334"/>
        <v>13160</v>
      </c>
      <c r="K356" s="278">
        <f t="shared" si="329"/>
        <v>12763</v>
      </c>
      <c r="L356" s="436">
        <f t="shared" si="330"/>
        <v>397</v>
      </c>
      <c r="M356" s="337" t="str">
        <f t="shared" si="335"/>
        <v>-</v>
      </c>
      <c r="N356" s="265">
        <f t="shared" ref="N356" si="336">IFERROR(L356/J356,"-")</f>
        <v>3.0167173252279637E-2</v>
      </c>
      <c r="O356" s="508">
        <v>55.4758</v>
      </c>
      <c r="P356" s="404">
        <f t="shared" si="331"/>
        <v>0</v>
      </c>
      <c r="Q356" s="449">
        <f t="shared" si="332"/>
        <v>708037.63540000003</v>
      </c>
    </row>
    <row r="357" spans="1:17" ht="23.4" x14ac:dyDescent="0.4">
      <c r="A357" s="248" t="s">
        <v>101</v>
      </c>
      <c r="B357" s="1107"/>
      <c r="C357" s="545" t="s">
        <v>72</v>
      </c>
      <c r="D357" s="276"/>
      <c r="E357" s="529"/>
      <c r="F357" s="334">
        <f t="shared" si="333"/>
        <v>0</v>
      </c>
      <c r="G357" s="278"/>
      <c r="H357" s="278"/>
      <c r="I357" s="352" t="str">
        <f>IFERROR(F357/#REF!,"-")</f>
        <v>-</v>
      </c>
      <c r="J357" s="333">
        <f t="shared" si="334"/>
        <v>0</v>
      </c>
      <c r="K357" s="278">
        <f t="shared" si="329"/>
        <v>0</v>
      </c>
      <c r="L357" s="436">
        <f t="shared" si="330"/>
        <v>0</v>
      </c>
      <c r="M357" s="682"/>
      <c r="N357" s="372"/>
      <c r="O357" s="540">
        <v>58.836300000000001</v>
      </c>
      <c r="P357" s="404">
        <f t="shared" si="331"/>
        <v>0</v>
      </c>
      <c r="Q357" s="449">
        <f t="shared" si="332"/>
        <v>0</v>
      </c>
    </row>
    <row r="358" spans="1:17" ht="23.4" x14ac:dyDescent="0.4">
      <c r="A358" s="248" t="s">
        <v>101</v>
      </c>
      <c r="B358" s="1107"/>
      <c r="C358" s="545" t="s">
        <v>347</v>
      </c>
      <c r="D358" s="276"/>
      <c r="E358" s="435"/>
      <c r="F358" s="334">
        <f t="shared" si="333"/>
        <v>0</v>
      </c>
      <c r="G358" s="278"/>
      <c r="H358" s="278"/>
      <c r="I358" s="352" t="str">
        <f>IFERROR(F358/#REF!,"-")</f>
        <v>-</v>
      </c>
      <c r="J358" s="333">
        <f t="shared" si="334"/>
        <v>0</v>
      </c>
      <c r="K358" s="278">
        <f t="shared" si="329"/>
        <v>0</v>
      </c>
      <c r="L358" s="436">
        <f t="shared" si="330"/>
        <v>0</v>
      </c>
      <c r="M358" s="337" t="str">
        <f t="shared" ref="M358" si="337">IFERROR(J358/D358,"-")</f>
        <v>-</v>
      </c>
      <c r="N358" s="263" t="str">
        <f t="shared" ref="N358" si="338">IFERROR(L358/J358,"-")</f>
        <v>-</v>
      </c>
      <c r="O358" s="710">
        <v>58.836300000000001</v>
      </c>
      <c r="P358" s="404">
        <f t="shared" si="331"/>
        <v>0</v>
      </c>
      <c r="Q358" s="449">
        <f t="shared" si="332"/>
        <v>0</v>
      </c>
    </row>
    <row r="359" spans="1:17" ht="24" thickBot="1" x14ac:dyDescent="0.45">
      <c r="A359" s="248"/>
      <c r="B359" s="1108"/>
      <c r="C359" s="545" t="s">
        <v>361</v>
      </c>
      <c r="D359" s="276"/>
      <c r="E359" s="435"/>
      <c r="F359" s="334">
        <f t="shared" si="333"/>
        <v>0</v>
      </c>
      <c r="G359" s="278"/>
      <c r="H359" s="278"/>
      <c r="I359" s="352"/>
      <c r="J359" s="333">
        <f t="shared" si="334"/>
        <v>0</v>
      </c>
      <c r="K359" s="278">
        <f t="shared" si="329"/>
        <v>0</v>
      </c>
      <c r="L359" s="436">
        <f t="shared" si="330"/>
        <v>0</v>
      </c>
      <c r="M359" s="337"/>
      <c r="N359" s="263" t="str">
        <f>IFERROR(L359/J359,"-")</f>
        <v>-</v>
      </c>
      <c r="O359" s="508">
        <v>55.4758</v>
      </c>
      <c r="P359" s="404">
        <f t="shared" si="331"/>
        <v>0</v>
      </c>
      <c r="Q359" s="449">
        <f t="shared" si="332"/>
        <v>0</v>
      </c>
    </row>
    <row r="360" spans="1:17" ht="23.4" x14ac:dyDescent="0.4">
      <c r="A360" s="248" t="s">
        <v>101</v>
      </c>
      <c r="B360" s="1106" t="s">
        <v>409</v>
      </c>
      <c r="C360" s="543" t="s">
        <v>77</v>
      </c>
      <c r="D360" s="276"/>
      <c r="E360" s="436"/>
      <c r="F360" s="333">
        <f t="shared" si="333"/>
        <v>5550</v>
      </c>
      <c r="G360" s="278">
        <v>5500</v>
      </c>
      <c r="H360" s="278">
        <v>50</v>
      </c>
      <c r="I360" s="352" t="str">
        <f>IFERROR(F360/#REF!,"-")</f>
        <v>-</v>
      </c>
      <c r="J360" s="333">
        <f t="shared" si="334"/>
        <v>8560</v>
      </c>
      <c r="K360" s="686">
        <f t="shared" si="329"/>
        <v>8500</v>
      </c>
      <c r="L360" s="687">
        <f t="shared" si="330"/>
        <v>60</v>
      </c>
      <c r="M360" s="337" t="str">
        <f t="shared" ref="M360:M387" si="339">IFERROR(J360/D360,"-")</f>
        <v>-</v>
      </c>
      <c r="N360" s="263">
        <f t="shared" ref="N360:N386" si="340">IFERROR(L360/J360,"-")</f>
        <v>7.0093457943925233E-3</v>
      </c>
      <c r="O360" s="508">
        <v>25.687200000000001</v>
      </c>
      <c r="P360" s="404">
        <f t="shared" si="331"/>
        <v>141279.6</v>
      </c>
      <c r="Q360" s="449">
        <f t="shared" si="332"/>
        <v>218341.2</v>
      </c>
    </row>
    <row r="361" spans="1:17" ht="24" thickBot="1" x14ac:dyDescent="0.45">
      <c r="A361" s="248" t="s">
        <v>101</v>
      </c>
      <c r="B361" s="1108"/>
      <c r="C361" s="543" t="s">
        <v>117</v>
      </c>
      <c r="D361" s="276"/>
      <c r="E361" s="436"/>
      <c r="F361" s="333">
        <f t="shared" si="333"/>
        <v>0</v>
      </c>
      <c r="G361" s="278"/>
      <c r="H361" s="278"/>
      <c r="I361" s="352" t="str">
        <f>IFERROR(F361/#REF!,"-")</f>
        <v>-</v>
      </c>
      <c r="J361" s="333">
        <f t="shared" si="334"/>
        <v>0</v>
      </c>
      <c r="K361" s="278">
        <f t="shared" si="329"/>
        <v>0</v>
      </c>
      <c r="L361" s="436">
        <f t="shared" si="330"/>
        <v>0</v>
      </c>
      <c r="M361" s="337" t="str">
        <f t="shared" si="339"/>
        <v>-</v>
      </c>
      <c r="N361" s="263" t="str">
        <f t="shared" si="340"/>
        <v>-</v>
      </c>
      <c r="O361" s="508">
        <v>25.033899999999999</v>
      </c>
      <c r="P361" s="404">
        <f t="shared" si="331"/>
        <v>0</v>
      </c>
      <c r="Q361" s="449">
        <f t="shared" si="332"/>
        <v>0</v>
      </c>
    </row>
    <row r="362" spans="1:17" ht="23.4" x14ac:dyDescent="0.4">
      <c r="A362" s="248"/>
      <c r="B362" s="1106" t="s">
        <v>410</v>
      </c>
      <c r="C362" s="543" t="s">
        <v>79</v>
      </c>
      <c r="D362" s="276"/>
      <c r="E362" s="436"/>
      <c r="F362" s="333">
        <f t="shared" si="333"/>
        <v>1839</v>
      </c>
      <c r="G362" s="278">
        <v>1800</v>
      </c>
      <c r="H362" s="278">
        <v>39</v>
      </c>
      <c r="I362" s="352" t="str">
        <f>IFERROR(F362/#REF!,"-")</f>
        <v>-</v>
      </c>
      <c r="J362" s="333">
        <f t="shared" si="334"/>
        <v>3878</v>
      </c>
      <c r="K362" s="278">
        <f t="shared" si="329"/>
        <v>3800</v>
      </c>
      <c r="L362" s="436">
        <f t="shared" si="330"/>
        <v>78</v>
      </c>
      <c r="M362" s="337" t="str">
        <f t="shared" si="339"/>
        <v>-</v>
      </c>
      <c r="N362" s="263">
        <f t="shared" si="340"/>
        <v>2.0113460546673543E-2</v>
      </c>
      <c r="O362" s="508">
        <v>41.992699999999999</v>
      </c>
      <c r="P362" s="404">
        <f t="shared" si="331"/>
        <v>75586.86</v>
      </c>
      <c r="Q362" s="449">
        <f t="shared" si="332"/>
        <v>159572.26</v>
      </c>
    </row>
    <row r="363" spans="1:17" ht="23.4" x14ac:dyDescent="0.4">
      <c r="A363" s="248"/>
      <c r="B363" s="1107"/>
      <c r="C363" s="543" t="s">
        <v>72</v>
      </c>
      <c r="D363" s="276"/>
      <c r="E363" s="436"/>
      <c r="F363" s="333">
        <f t="shared" si="333"/>
        <v>0</v>
      </c>
      <c r="G363" s="278"/>
      <c r="H363" s="278"/>
      <c r="I363" s="352" t="str">
        <f>IFERROR(F363/#REF!,"-")</f>
        <v>-</v>
      </c>
      <c r="J363" s="333">
        <f t="shared" si="334"/>
        <v>0</v>
      </c>
      <c r="K363" s="278">
        <f t="shared" si="329"/>
        <v>0</v>
      </c>
      <c r="L363" s="436">
        <f t="shared" si="330"/>
        <v>0</v>
      </c>
      <c r="M363" s="337" t="str">
        <f t="shared" si="339"/>
        <v>-</v>
      </c>
      <c r="N363" s="263" t="str">
        <f t="shared" si="340"/>
        <v>-</v>
      </c>
      <c r="O363" s="508">
        <v>42.283799999999999</v>
      </c>
      <c r="P363" s="404">
        <f t="shared" si="331"/>
        <v>0</v>
      </c>
      <c r="Q363" s="449">
        <f t="shared" si="332"/>
        <v>0</v>
      </c>
    </row>
    <row r="364" spans="1:17" ht="23.4" x14ac:dyDescent="0.4">
      <c r="A364" s="248"/>
      <c r="B364" s="1107"/>
      <c r="C364" s="543" t="s">
        <v>380</v>
      </c>
      <c r="D364" s="276"/>
      <c r="E364" s="436"/>
      <c r="F364" s="333">
        <f t="shared" si="333"/>
        <v>0</v>
      </c>
      <c r="G364" s="278"/>
      <c r="H364" s="278"/>
      <c r="I364" s="352" t="str">
        <f>IFERROR(F364/#REF!,"-")</f>
        <v>-</v>
      </c>
      <c r="J364" s="333">
        <f t="shared" si="334"/>
        <v>0</v>
      </c>
      <c r="K364" s="278">
        <f t="shared" si="329"/>
        <v>0</v>
      </c>
      <c r="L364" s="436">
        <f t="shared" si="330"/>
        <v>0</v>
      </c>
      <c r="M364" s="337" t="str">
        <f t="shared" si="339"/>
        <v>-</v>
      </c>
      <c r="N364" s="263" t="str">
        <f t="shared" si="340"/>
        <v>-</v>
      </c>
      <c r="O364" s="710">
        <v>41.992699999999999</v>
      </c>
      <c r="P364" s="404">
        <f t="shared" si="331"/>
        <v>0</v>
      </c>
      <c r="Q364" s="449">
        <f t="shared" si="332"/>
        <v>0</v>
      </c>
    </row>
    <row r="365" spans="1:17" ht="24" thickBot="1" x14ac:dyDescent="0.45">
      <c r="A365" s="248"/>
      <c r="B365" s="1108"/>
      <c r="C365" s="543" t="s">
        <v>381</v>
      </c>
      <c r="D365" s="276"/>
      <c r="E365" s="436"/>
      <c r="F365" s="333">
        <f t="shared" si="333"/>
        <v>0</v>
      </c>
      <c r="G365" s="278"/>
      <c r="H365" s="278"/>
      <c r="I365" s="352" t="str">
        <f>IFERROR(F365/#REF!,"-")</f>
        <v>-</v>
      </c>
      <c r="J365" s="333">
        <f t="shared" si="334"/>
        <v>0</v>
      </c>
      <c r="K365" s="278">
        <f t="shared" si="329"/>
        <v>0</v>
      </c>
      <c r="L365" s="436">
        <f t="shared" si="330"/>
        <v>0</v>
      </c>
      <c r="M365" s="337" t="str">
        <f t="shared" si="339"/>
        <v>-</v>
      </c>
      <c r="N365" s="263" t="str">
        <f t="shared" si="340"/>
        <v>-</v>
      </c>
      <c r="O365" s="710">
        <v>42.283799999999999</v>
      </c>
      <c r="P365" s="404">
        <f t="shared" si="331"/>
        <v>0</v>
      </c>
      <c r="Q365" s="449">
        <f t="shared" si="332"/>
        <v>0</v>
      </c>
    </row>
    <row r="366" spans="1:17" ht="24" thickBot="1" x14ac:dyDescent="0.45">
      <c r="A366" s="248"/>
      <c r="B366" s="717" t="s">
        <v>80</v>
      </c>
      <c r="C366" s="543" t="s">
        <v>81</v>
      </c>
      <c r="D366" s="276"/>
      <c r="E366" s="436"/>
      <c r="F366" s="333">
        <f t="shared" si="333"/>
        <v>905</v>
      </c>
      <c r="G366" s="278">
        <v>800</v>
      </c>
      <c r="H366" s="278">
        <v>105</v>
      </c>
      <c r="I366" s="352" t="str">
        <f>IFERROR(F366/#REF!,"-")</f>
        <v>-</v>
      </c>
      <c r="J366" s="333">
        <f t="shared" si="334"/>
        <v>8288</v>
      </c>
      <c r="K366" s="278">
        <f t="shared" si="329"/>
        <v>7800</v>
      </c>
      <c r="L366" s="436">
        <f t="shared" si="330"/>
        <v>488</v>
      </c>
      <c r="M366" s="337" t="str">
        <f t="shared" si="339"/>
        <v>-</v>
      </c>
      <c r="N366" s="263">
        <f t="shared" si="340"/>
        <v>5.8880308880308881E-2</v>
      </c>
      <c r="O366" s="508">
        <v>4.3535000000000004</v>
      </c>
      <c r="P366" s="404">
        <f t="shared" si="331"/>
        <v>3482.8</v>
      </c>
      <c r="Q366" s="449">
        <f t="shared" si="332"/>
        <v>33957.300000000003</v>
      </c>
    </row>
    <row r="367" spans="1:17" ht="23.4" x14ac:dyDescent="0.4">
      <c r="A367" s="248"/>
      <c r="B367" s="1106" t="s">
        <v>253</v>
      </c>
      <c r="C367" s="543" t="s">
        <v>77</v>
      </c>
      <c r="D367" s="276"/>
      <c r="E367" s="436"/>
      <c r="F367" s="333">
        <f t="shared" si="333"/>
        <v>24389</v>
      </c>
      <c r="G367" s="278">
        <v>24200</v>
      </c>
      <c r="H367" s="278">
        <v>189</v>
      </c>
      <c r="I367" s="352" t="str">
        <f>IFERROR(F367/#REF!,"-")</f>
        <v>-</v>
      </c>
      <c r="J367" s="333">
        <f t="shared" si="334"/>
        <v>250736</v>
      </c>
      <c r="K367" s="278">
        <f t="shared" si="329"/>
        <v>249700</v>
      </c>
      <c r="L367" s="436">
        <f t="shared" si="330"/>
        <v>1036</v>
      </c>
      <c r="M367" s="337" t="str">
        <f t="shared" si="339"/>
        <v>-</v>
      </c>
      <c r="N367" s="263">
        <f t="shared" si="340"/>
        <v>4.1318358751834599E-3</v>
      </c>
      <c r="O367" s="508">
        <v>4.6184000000000003</v>
      </c>
      <c r="P367" s="404">
        <f t="shared" si="331"/>
        <v>111765.28000000001</v>
      </c>
      <c r="Q367" s="449">
        <f t="shared" si="332"/>
        <v>1153214.48</v>
      </c>
    </row>
    <row r="368" spans="1:17" ht="23.4" x14ac:dyDescent="0.4">
      <c r="A368" s="248"/>
      <c r="B368" s="1107"/>
      <c r="C368" s="543" t="s">
        <v>340</v>
      </c>
      <c r="D368" s="276"/>
      <c r="E368" s="436"/>
      <c r="F368" s="333">
        <f t="shared" si="333"/>
        <v>0</v>
      </c>
      <c r="G368" s="278"/>
      <c r="H368" s="278"/>
      <c r="I368" s="352" t="str">
        <f>IFERROR(F368/#REF!,"-")</f>
        <v>-</v>
      </c>
      <c r="J368" s="333">
        <f t="shared" si="334"/>
        <v>0</v>
      </c>
      <c r="K368" s="278">
        <f t="shared" si="329"/>
        <v>0</v>
      </c>
      <c r="L368" s="436">
        <f t="shared" si="330"/>
        <v>0</v>
      </c>
      <c r="M368" s="337" t="str">
        <f t="shared" si="339"/>
        <v>-</v>
      </c>
      <c r="N368" s="263" t="str">
        <f t="shared" si="340"/>
        <v>-</v>
      </c>
      <c r="O368" s="508">
        <v>4.6184000000000003</v>
      </c>
      <c r="P368" s="404">
        <f t="shared" si="331"/>
        <v>0</v>
      </c>
      <c r="Q368" s="449">
        <f t="shared" si="332"/>
        <v>0</v>
      </c>
    </row>
    <row r="369" spans="1:17" ht="23.4" x14ac:dyDescent="0.4">
      <c r="A369" s="248"/>
      <c r="B369" s="1107"/>
      <c r="C369" s="543" t="s">
        <v>252</v>
      </c>
      <c r="D369" s="276"/>
      <c r="E369" s="436"/>
      <c r="F369" s="333">
        <f t="shared" si="333"/>
        <v>0</v>
      </c>
      <c r="G369" s="278"/>
      <c r="H369" s="278"/>
      <c r="I369" s="352" t="str">
        <f>IFERROR(F369/#REF!,"-")</f>
        <v>-</v>
      </c>
      <c r="J369" s="333">
        <f t="shared" si="334"/>
        <v>0</v>
      </c>
      <c r="K369" s="278">
        <f t="shared" si="329"/>
        <v>0</v>
      </c>
      <c r="L369" s="436">
        <f t="shared" si="330"/>
        <v>0</v>
      </c>
      <c r="M369" s="337" t="str">
        <f t="shared" si="339"/>
        <v>-</v>
      </c>
      <c r="N369" s="263" t="str">
        <f t="shared" si="340"/>
        <v>-</v>
      </c>
      <c r="O369" s="508">
        <v>4.6184000000000003</v>
      </c>
      <c r="P369" s="404">
        <f t="shared" si="331"/>
        <v>0</v>
      </c>
      <c r="Q369" s="449">
        <f t="shared" si="332"/>
        <v>0</v>
      </c>
    </row>
    <row r="370" spans="1:17" ht="23.4" x14ac:dyDescent="0.4">
      <c r="A370" s="248"/>
      <c r="B370" s="1107"/>
      <c r="C370" s="543" t="s">
        <v>350</v>
      </c>
      <c r="D370" s="276"/>
      <c r="E370" s="436"/>
      <c r="F370" s="333">
        <f t="shared" si="333"/>
        <v>0</v>
      </c>
      <c r="G370" s="278"/>
      <c r="H370" s="278"/>
      <c r="I370" s="352" t="str">
        <f>IFERROR(F370/#REF!,"-")</f>
        <v>-</v>
      </c>
      <c r="J370" s="333">
        <f t="shared" si="334"/>
        <v>0</v>
      </c>
      <c r="K370" s="686">
        <f t="shared" si="329"/>
        <v>0</v>
      </c>
      <c r="L370" s="687">
        <f t="shared" si="330"/>
        <v>0</v>
      </c>
      <c r="M370" s="337" t="str">
        <f t="shared" si="339"/>
        <v>-</v>
      </c>
      <c r="N370" s="263" t="str">
        <f t="shared" si="340"/>
        <v>-</v>
      </c>
      <c r="O370" s="508">
        <v>4.7636000000000003</v>
      </c>
      <c r="P370" s="404">
        <f t="shared" si="331"/>
        <v>0</v>
      </c>
      <c r="Q370" s="449">
        <f t="shared" si="332"/>
        <v>0</v>
      </c>
    </row>
    <row r="371" spans="1:17" ht="24" thickBot="1" x14ac:dyDescent="0.45">
      <c r="A371" s="248"/>
      <c r="B371" s="1108"/>
      <c r="C371" s="543" t="s">
        <v>346</v>
      </c>
      <c r="D371" s="276"/>
      <c r="E371" s="436"/>
      <c r="F371" s="333">
        <f t="shared" si="333"/>
        <v>0</v>
      </c>
      <c r="G371" s="278"/>
      <c r="H371" s="278"/>
      <c r="I371" s="352" t="str">
        <f>IFERROR(F371/#REF!,"-")</f>
        <v>-</v>
      </c>
      <c r="J371" s="333">
        <f t="shared" si="334"/>
        <v>0</v>
      </c>
      <c r="K371" s="278">
        <f t="shared" si="329"/>
        <v>0</v>
      </c>
      <c r="L371" s="436">
        <f t="shared" si="330"/>
        <v>0</v>
      </c>
      <c r="M371" s="337" t="str">
        <f t="shared" si="339"/>
        <v>-</v>
      </c>
      <c r="N371" s="263" t="str">
        <f t="shared" si="340"/>
        <v>-</v>
      </c>
      <c r="O371" s="508">
        <v>4.8738000000000001</v>
      </c>
      <c r="P371" s="404">
        <f t="shared" si="331"/>
        <v>0</v>
      </c>
      <c r="Q371" s="449">
        <f t="shared" si="332"/>
        <v>0</v>
      </c>
    </row>
    <row r="372" spans="1:17" ht="24" thickBot="1" x14ac:dyDescent="0.45">
      <c r="A372" s="248"/>
      <c r="B372" s="717" t="s">
        <v>254</v>
      </c>
      <c r="C372" s="543" t="s">
        <v>124</v>
      </c>
      <c r="D372" s="276"/>
      <c r="E372" s="436"/>
      <c r="F372" s="333">
        <f t="shared" si="333"/>
        <v>0</v>
      </c>
      <c r="G372" s="278"/>
      <c r="H372" s="278"/>
      <c r="I372" s="352" t="str">
        <f>IFERROR(F372/#REF!,"-")</f>
        <v>-</v>
      </c>
      <c r="J372" s="333">
        <f t="shared" si="334"/>
        <v>0</v>
      </c>
      <c r="K372" s="278">
        <f t="shared" si="329"/>
        <v>0</v>
      </c>
      <c r="L372" s="436">
        <f t="shared" si="330"/>
        <v>0</v>
      </c>
      <c r="M372" s="337" t="str">
        <f t="shared" si="339"/>
        <v>-</v>
      </c>
      <c r="N372" s="263" t="str">
        <f t="shared" si="340"/>
        <v>-</v>
      </c>
      <c r="O372" s="508">
        <v>4.8738000000000001</v>
      </c>
      <c r="P372" s="404">
        <f t="shared" si="331"/>
        <v>0</v>
      </c>
      <c r="Q372" s="449">
        <f t="shared" si="332"/>
        <v>0</v>
      </c>
    </row>
    <row r="373" spans="1:17" ht="23.4" x14ac:dyDescent="0.4">
      <c r="A373" s="248"/>
      <c r="B373" s="1106" t="s">
        <v>256</v>
      </c>
      <c r="C373" s="543" t="s">
        <v>77</v>
      </c>
      <c r="D373" s="276"/>
      <c r="E373" s="436"/>
      <c r="F373" s="333">
        <f t="shared" si="333"/>
        <v>30492</v>
      </c>
      <c r="G373" s="278">
        <v>29820</v>
      </c>
      <c r="H373" s="278">
        <v>672</v>
      </c>
      <c r="I373" s="352" t="str">
        <f>IFERROR(F373/#REF!,"-")</f>
        <v>-</v>
      </c>
      <c r="J373" s="333">
        <f t="shared" si="334"/>
        <v>195869</v>
      </c>
      <c r="K373" s="686">
        <f t="shared" si="329"/>
        <v>192220</v>
      </c>
      <c r="L373" s="687">
        <f t="shared" si="330"/>
        <v>3649</v>
      </c>
      <c r="M373" s="337" t="str">
        <f t="shared" si="339"/>
        <v>-</v>
      </c>
      <c r="N373" s="263">
        <f t="shared" si="340"/>
        <v>1.8629798487764783E-2</v>
      </c>
      <c r="O373" s="508">
        <v>4.9344999999999999</v>
      </c>
      <c r="P373" s="404">
        <f t="shared" si="331"/>
        <v>147146.79</v>
      </c>
      <c r="Q373" s="449">
        <f t="shared" si="332"/>
        <v>948509.59</v>
      </c>
    </row>
    <row r="374" spans="1:17" ht="23.4" x14ac:dyDescent="0.4">
      <c r="A374" s="248"/>
      <c r="B374" s="1107"/>
      <c r="C374" s="543" t="s">
        <v>135</v>
      </c>
      <c r="D374" s="276"/>
      <c r="E374" s="436"/>
      <c r="F374" s="333">
        <f t="shared" si="333"/>
        <v>0</v>
      </c>
      <c r="G374" s="278"/>
      <c r="H374" s="278"/>
      <c r="I374" s="352" t="str">
        <f>IFERROR(F374/#REF!,"-")</f>
        <v>-</v>
      </c>
      <c r="J374" s="333">
        <f t="shared" si="334"/>
        <v>0</v>
      </c>
      <c r="K374" s="278">
        <f t="shared" si="329"/>
        <v>0</v>
      </c>
      <c r="L374" s="436">
        <f t="shared" si="330"/>
        <v>0</v>
      </c>
      <c r="M374" s="337" t="str">
        <f t="shared" si="339"/>
        <v>-</v>
      </c>
      <c r="N374" s="263" t="str">
        <f t="shared" si="340"/>
        <v>-</v>
      </c>
      <c r="O374" s="508">
        <v>4.9344999999999999</v>
      </c>
      <c r="P374" s="404">
        <f t="shared" si="331"/>
        <v>0</v>
      </c>
      <c r="Q374" s="449">
        <f t="shared" si="332"/>
        <v>0</v>
      </c>
    </row>
    <row r="375" spans="1:17" ht="23.4" x14ac:dyDescent="0.4">
      <c r="A375" s="248"/>
      <c r="B375" s="1107"/>
      <c r="C375" s="543" t="s">
        <v>129</v>
      </c>
      <c r="D375" s="276"/>
      <c r="E375" s="436"/>
      <c r="F375" s="333">
        <f t="shared" si="333"/>
        <v>0</v>
      </c>
      <c r="G375" s="278"/>
      <c r="H375" s="278"/>
      <c r="I375" s="352" t="str">
        <f>IFERROR(F375/#REF!,"-")</f>
        <v>-</v>
      </c>
      <c r="J375" s="333">
        <f t="shared" si="334"/>
        <v>0</v>
      </c>
      <c r="K375" s="278">
        <f t="shared" si="329"/>
        <v>0</v>
      </c>
      <c r="L375" s="436">
        <f t="shared" si="330"/>
        <v>0</v>
      </c>
      <c r="M375" s="337" t="str">
        <f t="shared" si="339"/>
        <v>-</v>
      </c>
      <c r="N375" s="263" t="str">
        <f t="shared" si="340"/>
        <v>-</v>
      </c>
      <c r="O375" s="508">
        <v>4.9344999999999999</v>
      </c>
      <c r="P375" s="404">
        <f t="shared" si="331"/>
        <v>0</v>
      </c>
      <c r="Q375" s="449">
        <f t="shared" si="332"/>
        <v>0</v>
      </c>
    </row>
    <row r="376" spans="1:17" ht="24" thickBot="1" x14ac:dyDescent="0.45">
      <c r="A376" s="248"/>
      <c r="B376" s="1108"/>
      <c r="C376" s="543" t="s">
        <v>255</v>
      </c>
      <c r="D376" s="276"/>
      <c r="E376" s="436"/>
      <c r="F376" s="333">
        <f t="shared" si="333"/>
        <v>0</v>
      </c>
      <c r="G376" s="278"/>
      <c r="H376" s="278"/>
      <c r="I376" s="352" t="str">
        <f>IFERROR(F376/#REF!,"-")</f>
        <v>-</v>
      </c>
      <c r="J376" s="333">
        <f t="shared" si="334"/>
        <v>0</v>
      </c>
      <c r="K376" s="278">
        <f t="shared" si="329"/>
        <v>0</v>
      </c>
      <c r="L376" s="436">
        <f t="shared" si="330"/>
        <v>0</v>
      </c>
      <c r="M376" s="337" t="str">
        <f t="shared" si="339"/>
        <v>-</v>
      </c>
      <c r="N376" s="263" t="str">
        <f t="shared" si="340"/>
        <v>-</v>
      </c>
      <c r="O376" s="508">
        <v>5.5069999999999997</v>
      </c>
      <c r="P376" s="404">
        <f t="shared" si="331"/>
        <v>0</v>
      </c>
      <c r="Q376" s="449">
        <f t="shared" si="332"/>
        <v>0</v>
      </c>
    </row>
    <row r="377" spans="1:17" ht="23.4" x14ac:dyDescent="0.4">
      <c r="A377" s="248"/>
      <c r="B377" s="1106" t="s">
        <v>261</v>
      </c>
      <c r="C377" s="543" t="s">
        <v>257</v>
      </c>
      <c r="D377" s="276"/>
      <c r="E377" s="436"/>
      <c r="F377" s="333">
        <f t="shared" si="333"/>
        <v>29973</v>
      </c>
      <c r="G377" s="278">
        <v>29750</v>
      </c>
      <c r="H377" s="278">
        <v>223</v>
      </c>
      <c r="I377" s="352" t="str">
        <f>IFERROR(F377/#REF!,"-")</f>
        <v>-</v>
      </c>
      <c r="J377" s="333">
        <f t="shared" si="334"/>
        <v>217231</v>
      </c>
      <c r="K377" s="278">
        <f t="shared" si="329"/>
        <v>215250</v>
      </c>
      <c r="L377" s="436">
        <f t="shared" si="330"/>
        <v>1981</v>
      </c>
      <c r="M377" s="337" t="str">
        <f t="shared" si="339"/>
        <v>-</v>
      </c>
      <c r="N377" s="263">
        <f t="shared" si="340"/>
        <v>9.1193245899526317E-3</v>
      </c>
      <c r="O377" s="710">
        <v>5.5069999999999997</v>
      </c>
      <c r="P377" s="404">
        <f t="shared" si="331"/>
        <v>163833.25</v>
      </c>
      <c r="Q377" s="449">
        <f t="shared" si="332"/>
        <v>1185381.75</v>
      </c>
    </row>
    <row r="378" spans="1:17" ht="23.4" x14ac:dyDescent="0.4">
      <c r="A378" s="248"/>
      <c r="B378" s="1107"/>
      <c r="C378" s="543" t="s">
        <v>258</v>
      </c>
      <c r="D378" s="276"/>
      <c r="E378" s="436"/>
      <c r="F378" s="333">
        <f t="shared" si="333"/>
        <v>0</v>
      </c>
      <c r="G378" s="278"/>
      <c r="H378" s="278"/>
      <c r="I378" s="352" t="str">
        <f>IFERROR(F378/#REF!,"-")</f>
        <v>-</v>
      </c>
      <c r="J378" s="333">
        <f t="shared" si="334"/>
        <v>0</v>
      </c>
      <c r="K378" s="278">
        <f t="shared" si="329"/>
        <v>0</v>
      </c>
      <c r="L378" s="436">
        <f t="shared" si="330"/>
        <v>0</v>
      </c>
      <c r="M378" s="337" t="str">
        <f t="shared" si="339"/>
        <v>-</v>
      </c>
      <c r="N378" s="263" t="str">
        <f t="shared" si="340"/>
        <v>-</v>
      </c>
      <c r="O378" s="508">
        <v>5.6550000000000002</v>
      </c>
      <c r="P378" s="404">
        <f t="shared" si="331"/>
        <v>0</v>
      </c>
      <c r="Q378" s="449">
        <f t="shared" si="332"/>
        <v>0</v>
      </c>
    </row>
    <row r="379" spans="1:17" ht="23.4" x14ac:dyDescent="0.4">
      <c r="A379" s="248"/>
      <c r="B379" s="1107"/>
      <c r="C379" s="543" t="s">
        <v>321</v>
      </c>
      <c r="D379" s="276"/>
      <c r="E379" s="436"/>
      <c r="F379" s="333">
        <f t="shared" si="333"/>
        <v>0</v>
      </c>
      <c r="G379" s="278"/>
      <c r="H379" s="278"/>
      <c r="I379" s="352" t="str">
        <f>IFERROR(F379/#REF!,"-")</f>
        <v>-</v>
      </c>
      <c r="J379" s="333">
        <f t="shared" si="334"/>
        <v>0</v>
      </c>
      <c r="K379" s="686">
        <f t="shared" si="329"/>
        <v>0</v>
      </c>
      <c r="L379" s="687">
        <f t="shared" si="330"/>
        <v>0</v>
      </c>
      <c r="M379" s="337" t="str">
        <f t="shared" si="339"/>
        <v>-</v>
      </c>
      <c r="N379" s="263" t="str">
        <f t="shared" si="340"/>
        <v>-</v>
      </c>
      <c r="O379" s="508">
        <v>5.6550000000000002</v>
      </c>
      <c r="P379" s="404">
        <f t="shared" si="331"/>
        <v>0</v>
      </c>
      <c r="Q379" s="449">
        <f t="shared" si="332"/>
        <v>0</v>
      </c>
    </row>
    <row r="380" spans="1:17" ht="23.4" x14ac:dyDescent="0.4">
      <c r="A380" s="248"/>
      <c r="B380" s="1107"/>
      <c r="C380" s="543" t="s">
        <v>259</v>
      </c>
      <c r="D380" s="276"/>
      <c r="E380" s="436"/>
      <c r="F380" s="333">
        <f t="shared" si="333"/>
        <v>0</v>
      </c>
      <c r="G380" s="278"/>
      <c r="H380" s="278"/>
      <c r="I380" s="352" t="str">
        <f>IFERROR(F380/#REF!,"-")</f>
        <v>-</v>
      </c>
      <c r="J380" s="333">
        <f t="shared" si="334"/>
        <v>0</v>
      </c>
      <c r="K380" s="278">
        <f t="shared" si="329"/>
        <v>0</v>
      </c>
      <c r="L380" s="436">
        <f t="shared" si="330"/>
        <v>0</v>
      </c>
      <c r="M380" s="337" t="str">
        <f t="shared" si="339"/>
        <v>-</v>
      </c>
      <c r="N380" s="263" t="str">
        <f t="shared" si="340"/>
        <v>-</v>
      </c>
      <c r="O380" s="508">
        <v>5.6550000000000002</v>
      </c>
      <c r="P380" s="404">
        <f t="shared" si="331"/>
        <v>0</v>
      </c>
      <c r="Q380" s="449">
        <f t="shared" si="332"/>
        <v>0</v>
      </c>
    </row>
    <row r="381" spans="1:17" ht="23.4" x14ac:dyDescent="0.4">
      <c r="A381" s="248" t="s">
        <v>101</v>
      </c>
      <c r="B381" s="1107"/>
      <c r="C381" s="543" t="s">
        <v>260</v>
      </c>
      <c r="D381" s="276"/>
      <c r="E381" s="436"/>
      <c r="F381" s="333">
        <f t="shared" si="333"/>
        <v>0</v>
      </c>
      <c r="G381" s="278"/>
      <c r="H381" s="278"/>
      <c r="I381" s="352" t="str">
        <f>IFERROR(F381/#REF!,"-")</f>
        <v>-</v>
      </c>
      <c r="J381" s="333">
        <f t="shared" si="334"/>
        <v>0</v>
      </c>
      <c r="K381" s="278">
        <f t="shared" si="329"/>
        <v>0</v>
      </c>
      <c r="L381" s="436">
        <f t="shared" si="330"/>
        <v>0</v>
      </c>
      <c r="M381" s="337" t="str">
        <f t="shared" si="339"/>
        <v>-</v>
      </c>
      <c r="N381" s="263" t="str">
        <f t="shared" si="340"/>
        <v>-</v>
      </c>
      <c r="O381" s="508">
        <v>3.2963</v>
      </c>
      <c r="P381" s="404">
        <f t="shared" si="331"/>
        <v>0</v>
      </c>
      <c r="Q381" s="449">
        <f t="shared" si="332"/>
        <v>0</v>
      </c>
    </row>
    <row r="382" spans="1:17" ht="24" thickBot="1" x14ac:dyDescent="0.45">
      <c r="A382" s="248" t="s">
        <v>101</v>
      </c>
      <c r="B382" s="1108"/>
      <c r="C382" s="543" t="s">
        <v>255</v>
      </c>
      <c r="D382" s="276"/>
      <c r="E382" s="436"/>
      <c r="F382" s="333">
        <f t="shared" si="333"/>
        <v>0</v>
      </c>
      <c r="G382" s="278"/>
      <c r="H382" s="278"/>
      <c r="I382" s="352" t="str">
        <f>IFERROR(F382/#REF!,"-")</f>
        <v>-</v>
      </c>
      <c r="J382" s="333">
        <f t="shared" si="334"/>
        <v>0</v>
      </c>
      <c r="K382" s="278">
        <f t="shared" si="329"/>
        <v>0</v>
      </c>
      <c r="L382" s="436">
        <f t="shared" si="330"/>
        <v>0</v>
      </c>
      <c r="M382" s="337" t="str">
        <f t="shared" si="339"/>
        <v>-</v>
      </c>
      <c r="N382" s="263" t="str">
        <f t="shared" si="340"/>
        <v>-</v>
      </c>
      <c r="O382" s="508">
        <v>3.2963</v>
      </c>
      <c r="P382" s="404">
        <f t="shared" si="331"/>
        <v>0</v>
      </c>
      <c r="Q382" s="449">
        <f t="shared" si="332"/>
        <v>0</v>
      </c>
    </row>
    <row r="383" spans="1:17" ht="23.4" x14ac:dyDescent="0.4">
      <c r="A383" s="248" t="s">
        <v>101</v>
      </c>
      <c r="B383" s="546"/>
      <c r="C383" s="544" t="s">
        <v>89</v>
      </c>
      <c r="D383" s="511"/>
      <c r="E383" s="436"/>
      <c r="F383" s="333">
        <f t="shared" si="333"/>
        <v>0</v>
      </c>
      <c r="G383" s="278"/>
      <c r="H383" s="278"/>
      <c r="I383" s="352" t="str">
        <f>IFERROR(F383/#REF!,"-")</f>
        <v>-</v>
      </c>
      <c r="J383" s="333">
        <f t="shared" si="334"/>
        <v>0</v>
      </c>
      <c r="K383" s="278">
        <f t="shared" si="329"/>
        <v>0</v>
      </c>
      <c r="L383" s="436">
        <f t="shared" si="330"/>
        <v>0</v>
      </c>
      <c r="M383" s="337" t="str">
        <f t="shared" si="339"/>
        <v>-</v>
      </c>
      <c r="N383" s="263" t="str">
        <f t="shared" si="340"/>
        <v>-</v>
      </c>
      <c r="O383" s="508">
        <v>2.3201000000000001</v>
      </c>
      <c r="P383" s="404">
        <f t="shared" si="331"/>
        <v>0</v>
      </c>
      <c r="Q383" s="449">
        <f t="shared" si="332"/>
        <v>0</v>
      </c>
    </row>
    <row r="384" spans="1:17" ht="24" thickBot="1" x14ac:dyDescent="0.35">
      <c r="A384" s="248" t="s">
        <v>101</v>
      </c>
      <c r="B384" s="524"/>
      <c r="C384" s="541"/>
      <c r="D384" s="530"/>
      <c r="E384" s="462"/>
      <c r="F384" s="460">
        <f t="shared" si="333"/>
        <v>0</v>
      </c>
      <c r="G384" s="461"/>
      <c r="H384" s="461"/>
      <c r="I384" s="532" t="str">
        <f>IFERROR(F384/#REF!,"-")</f>
        <v>-</v>
      </c>
      <c r="J384" s="460">
        <f t="shared" si="334"/>
        <v>0</v>
      </c>
      <c r="K384" s="461">
        <f t="shared" si="329"/>
        <v>0</v>
      </c>
      <c r="L384" s="462">
        <f t="shared" si="330"/>
        <v>0</v>
      </c>
      <c r="M384" s="683" t="str">
        <f t="shared" si="339"/>
        <v>-</v>
      </c>
      <c r="N384" s="264" t="str">
        <f t="shared" si="340"/>
        <v>-</v>
      </c>
      <c r="O384" s="539"/>
      <c r="P384" s="536">
        <f t="shared" si="331"/>
        <v>0</v>
      </c>
      <c r="Q384" s="537">
        <f t="shared" si="332"/>
        <v>0</v>
      </c>
    </row>
    <row r="385" spans="1:17" ht="23.25" customHeight="1" thickBot="1" x14ac:dyDescent="0.35">
      <c r="A385" s="274" t="s">
        <v>101</v>
      </c>
      <c r="B385" s="1109" t="s">
        <v>25</v>
      </c>
      <c r="C385" s="1046"/>
      <c r="D385" s="513">
        <f>SUM(D358:D384)</f>
        <v>0</v>
      </c>
      <c r="E385" s="526">
        <v>100000</v>
      </c>
      <c r="F385" s="519">
        <f>SUM(F353:F384)</f>
        <v>95598</v>
      </c>
      <c r="G385" s="519">
        <f>SUM(G353:G384)</f>
        <v>94270</v>
      </c>
      <c r="H385" s="519">
        <f>SUM(H353:H384)</f>
        <v>1328</v>
      </c>
      <c r="I385" s="520" t="str">
        <f>IFERROR(F385/#REF!,"-")</f>
        <v>-</v>
      </c>
      <c r="J385" s="513">
        <f>SUM(J353:J384)</f>
        <v>716372</v>
      </c>
      <c r="K385" s="513">
        <f t="shared" ref="K385:L385" si="341">SUM(K353:K384)</f>
        <v>708433</v>
      </c>
      <c r="L385" s="513">
        <f t="shared" si="341"/>
        <v>7939</v>
      </c>
      <c r="M385" s="521" t="str">
        <f t="shared" si="339"/>
        <v>-</v>
      </c>
      <c r="N385" s="520">
        <f t="shared" si="340"/>
        <v>1.1082231019637841E-2</v>
      </c>
      <c r="O385" s="522"/>
      <c r="P385" s="523">
        <f>SUM(P353:P384)</f>
        <v>728050.74</v>
      </c>
      <c r="Q385" s="523">
        <f>SUM(Q353:Q384)</f>
        <v>5058344.7753999997</v>
      </c>
    </row>
    <row r="386" spans="1:17" ht="23.25" customHeight="1" thickBot="1" x14ac:dyDescent="0.35">
      <c r="A386" s="318" t="s">
        <v>101</v>
      </c>
      <c r="B386" s="1111" t="s">
        <v>249</v>
      </c>
      <c r="C386" s="1112"/>
      <c r="D386" s="326">
        <f>+D357+D385</f>
        <v>0</v>
      </c>
      <c r="E386" s="327">
        <f>+E357+E385</f>
        <v>100000</v>
      </c>
      <c r="F386" s="326">
        <f>+F385</f>
        <v>95598</v>
      </c>
      <c r="G386" s="326">
        <f t="shared" ref="G386:H386" si="342">+G385</f>
        <v>94270</v>
      </c>
      <c r="H386" s="326">
        <f t="shared" si="342"/>
        <v>1328</v>
      </c>
      <c r="I386" s="349" t="str">
        <f>IFERROR(F386/#REF!,"-")</f>
        <v>-</v>
      </c>
      <c r="J386" s="326">
        <f>+J385</f>
        <v>716372</v>
      </c>
      <c r="K386" s="326">
        <f t="shared" ref="K386:L386" si="343">+K385</f>
        <v>708433</v>
      </c>
      <c r="L386" s="326">
        <f t="shared" si="343"/>
        <v>7939</v>
      </c>
      <c r="M386" s="341" t="str">
        <f t="shared" si="339"/>
        <v>-</v>
      </c>
      <c r="N386" s="349">
        <f t="shared" si="340"/>
        <v>1.1082231019637841E-2</v>
      </c>
      <c r="O386" s="394"/>
      <c r="P386" s="410">
        <f>+P385</f>
        <v>728050.74</v>
      </c>
      <c r="Q386" s="428">
        <f>Q385</f>
        <v>5058344.7753999997</v>
      </c>
    </row>
    <row r="387" spans="1:17" ht="24.6" thickBot="1" x14ac:dyDescent="0.35">
      <c r="A387" s="319"/>
      <c r="B387" s="1113" t="s">
        <v>174</v>
      </c>
      <c r="C387" s="1114"/>
      <c r="D387" s="374">
        <f>+D386+D352+D343</f>
        <v>0</v>
      </c>
      <c r="E387" s="374">
        <f>+E386+E352+E343</f>
        <v>230000</v>
      </c>
      <c r="F387" s="374">
        <f>+F386+F352+F343</f>
        <v>253878</v>
      </c>
      <c r="G387" s="374">
        <f>+G386+G352+G343</f>
        <v>251170</v>
      </c>
      <c r="H387" s="374">
        <f>+H386+H352+H343</f>
        <v>2708</v>
      </c>
      <c r="I387" s="375" t="str">
        <f>IFERROR(F387/#REF!,"-")</f>
        <v>-</v>
      </c>
      <c r="J387" s="374">
        <f>+J386+J352+J343</f>
        <v>2025071</v>
      </c>
      <c r="K387" s="374">
        <f>+K386+K352+K343</f>
        <v>2004133</v>
      </c>
      <c r="L387" s="374">
        <f>+L386+L352+L343</f>
        <v>20938</v>
      </c>
      <c r="M387" s="375" t="str">
        <f t="shared" si="339"/>
        <v>-</v>
      </c>
      <c r="N387" s="375">
        <f>IFERROR(L387/J387,"-")</f>
        <v>1.0339390569515834E-2</v>
      </c>
      <c r="O387" s="401"/>
      <c r="P387" s="418">
        <f>+P386+P352+P343</f>
        <v>1737241.3900000001</v>
      </c>
      <c r="Q387" s="418">
        <f>+Q386+Q352+Q343</f>
        <v>11359183.9604</v>
      </c>
    </row>
    <row r="388" spans="1:17" ht="24.6" customHeight="1" thickBot="1" x14ac:dyDescent="0.35">
      <c r="A388" s="230"/>
      <c r="B388" s="230"/>
      <c r="C388" s="230"/>
      <c r="D388" s="232"/>
      <c r="E388" s="232"/>
      <c r="F388" s="232"/>
      <c r="G388" s="267"/>
      <c r="H388" s="267"/>
      <c r="I388" s="234"/>
      <c r="J388" s="232"/>
      <c r="K388" s="232"/>
      <c r="L388" s="232"/>
      <c r="M388" s="234"/>
      <c r="N388" s="234"/>
    </row>
    <row r="389" spans="1:17" ht="22.5" customHeight="1" x14ac:dyDescent="0.3">
      <c r="A389" s="1115" t="s">
        <v>1</v>
      </c>
      <c r="B389" s="1118" t="s">
        <v>2</v>
      </c>
      <c r="C389" s="1121" t="s">
        <v>396</v>
      </c>
      <c r="D389" s="1066" t="s">
        <v>4</v>
      </c>
      <c r="E389" s="1067"/>
      <c r="F389" s="1067"/>
      <c r="G389" s="1067"/>
      <c r="H389" s="1067"/>
      <c r="I389" s="1067"/>
      <c r="J389" s="1067"/>
      <c r="K389" s="1067"/>
      <c r="L389" s="1067"/>
      <c r="M389" s="1067"/>
      <c r="N389" s="1068"/>
      <c r="O389" s="1092" t="s">
        <v>167</v>
      </c>
      <c r="P389" s="1093"/>
      <c r="Q389" s="1124"/>
    </row>
    <row r="390" spans="1:17" ht="22.5" customHeight="1" x14ac:dyDescent="0.3">
      <c r="A390" s="1116"/>
      <c r="B390" s="1119"/>
      <c r="C390" s="1122"/>
      <c r="D390" s="1069" t="s">
        <v>7</v>
      </c>
      <c r="E390" s="1071" t="s">
        <v>108</v>
      </c>
      <c r="F390" s="1125" t="s">
        <v>516</v>
      </c>
      <c r="G390" s="1074"/>
      <c r="H390" s="1074"/>
      <c r="I390" s="1075"/>
      <c r="J390" s="1076" t="s">
        <v>8</v>
      </c>
      <c r="K390" s="1077"/>
      <c r="L390" s="1078"/>
      <c r="M390" s="1079" t="s">
        <v>165</v>
      </c>
      <c r="N390" s="1081" t="s">
        <v>164</v>
      </c>
      <c r="O390" s="1126" t="s">
        <v>169</v>
      </c>
      <c r="P390" s="1127"/>
      <c r="Q390" s="1128"/>
    </row>
    <row r="391" spans="1:17" ht="47.4" thickBot="1" x14ac:dyDescent="0.35">
      <c r="A391" s="1117"/>
      <c r="B391" s="1120"/>
      <c r="C391" s="1123"/>
      <c r="D391" s="1070"/>
      <c r="E391" s="1072"/>
      <c r="F391" s="452" t="s">
        <v>13</v>
      </c>
      <c r="G391" s="453" t="s">
        <v>14</v>
      </c>
      <c r="H391" s="453" t="s">
        <v>15</v>
      </c>
      <c r="I391" s="454" t="s">
        <v>166</v>
      </c>
      <c r="J391" s="680" t="s">
        <v>13</v>
      </c>
      <c r="K391" s="678" t="s">
        <v>14</v>
      </c>
      <c r="L391" s="679" t="s">
        <v>15</v>
      </c>
      <c r="M391" s="1080"/>
      <c r="N391" s="1082"/>
      <c r="O391" s="444" t="s">
        <v>170</v>
      </c>
      <c r="P391" s="445" t="s">
        <v>11</v>
      </c>
      <c r="Q391" s="446" t="s">
        <v>12</v>
      </c>
    </row>
    <row r="392" spans="1:17" ht="23.4" x14ac:dyDescent="0.3">
      <c r="A392" s="268" t="s">
        <v>103</v>
      </c>
      <c r="B392" s="439"/>
      <c r="C392" s="269" t="s">
        <v>502</v>
      </c>
      <c r="D392" s="270"/>
      <c r="E392" s="271"/>
      <c r="F392" s="332">
        <f>+G392+H392</f>
        <v>72000</v>
      </c>
      <c r="G392" s="272">
        <v>72000</v>
      </c>
      <c r="H392" s="272"/>
      <c r="I392" s="351" t="str">
        <f>IFERROR(F392/#REF!,"-")</f>
        <v>-</v>
      </c>
      <c r="J392" s="457">
        <f>+K392+L392</f>
        <v>128000</v>
      </c>
      <c r="K392" s="458">
        <f>+G392+K329</f>
        <v>128000</v>
      </c>
      <c r="L392" s="458">
        <f>+H392+L329</f>
        <v>0</v>
      </c>
      <c r="M392" s="336" t="str">
        <f>IFERROR(J392/D392,"-")</f>
        <v>-</v>
      </c>
      <c r="N392" s="343">
        <f t="shared" ref="N392:N393" si="344">IFERROR(L392/J392,"-")</f>
        <v>0</v>
      </c>
      <c r="O392" s="786">
        <v>0</v>
      </c>
      <c r="P392" s="402">
        <f>+O392*G392</f>
        <v>0</v>
      </c>
      <c r="Q392" s="447">
        <f>+O392*K392</f>
        <v>0</v>
      </c>
    </row>
    <row r="393" spans="1:17" ht="23.4" x14ac:dyDescent="0.3">
      <c r="A393" s="274" t="s">
        <v>103</v>
      </c>
      <c r="B393" s="438"/>
      <c r="C393" s="275" t="s">
        <v>245</v>
      </c>
      <c r="D393" s="276"/>
      <c r="E393" s="277"/>
      <c r="F393" s="333">
        <f t="shared" ref="F393:F396" si="345">+G393+H393</f>
        <v>0</v>
      </c>
      <c r="G393" s="719"/>
      <c r="H393" s="719"/>
      <c r="I393" s="352" t="str">
        <f>IFERROR(F393/#REF!,"-")</f>
        <v>-</v>
      </c>
      <c r="J393" s="333">
        <f t="shared" ref="J393:J396" si="346">+K393+L393</f>
        <v>115874</v>
      </c>
      <c r="K393" s="278">
        <f t="shared" ref="K393:K396" si="347">+G393+K330</f>
        <v>115000</v>
      </c>
      <c r="L393" s="436">
        <f t="shared" ref="L393:L396" si="348">+H393+L330</f>
        <v>874</v>
      </c>
      <c r="M393" s="337" t="str">
        <f t="shared" ref="M393:M396" si="349">IFERROR(J393/D393,"-")</f>
        <v>-</v>
      </c>
      <c r="N393" s="265">
        <f t="shared" si="344"/>
        <v>7.5426756649464074E-3</v>
      </c>
      <c r="O393" s="508">
        <v>2.3978999999999999</v>
      </c>
      <c r="P393" s="404">
        <f>+O393*G393</f>
        <v>0</v>
      </c>
      <c r="Q393" s="449">
        <f>+O393*K393</f>
        <v>275758.5</v>
      </c>
    </row>
    <row r="394" spans="1:17" ht="23.4" x14ac:dyDescent="0.3">
      <c r="A394" s="274" t="s">
        <v>103</v>
      </c>
      <c r="B394" s="438"/>
      <c r="C394" s="275" t="s">
        <v>395</v>
      </c>
      <c r="D394" s="276"/>
      <c r="E394" s="277"/>
      <c r="F394" s="333">
        <f t="shared" si="345"/>
        <v>158179</v>
      </c>
      <c r="G394" s="278">
        <v>156750</v>
      </c>
      <c r="H394" s="719">
        <v>1429</v>
      </c>
      <c r="I394" s="352" t="str">
        <f>IFERROR(F394/#REF!,"-")</f>
        <v>-</v>
      </c>
      <c r="J394" s="333">
        <f t="shared" si="346"/>
        <v>598129</v>
      </c>
      <c r="K394" s="278">
        <f t="shared" si="347"/>
        <v>592750</v>
      </c>
      <c r="L394" s="436">
        <f t="shared" si="348"/>
        <v>5379</v>
      </c>
      <c r="M394" s="337" t="str">
        <f t="shared" si="349"/>
        <v>-</v>
      </c>
      <c r="N394" s="716">
        <f>IFERROR(L394/J394,"-")</f>
        <v>8.993043306711428E-3</v>
      </c>
      <c r="O394" s="718">
        <v>3.6777000000000002</v>
      </c>
      <c r="P394" s="404">
        <f t="shared" ref="P394:P396" si="350">+O394*G394</f>
        <v>576479.47499999998</v>
      </c>
      <c r="Q394" s="449">
        <f t="shared" ref="Q394:Q396" si="351">+O394*K394</f>
        <v>2179956.6750000003</v>
      </c>
    </row>
    <row r="395" spans="1:17" ht="23.4" x14ac:dyDescent="0.3">
      <c r="A395" s="274"/>
      <c r="B395" s="451"/>
      <c r="C395" s="275" t="s">
        <v>319</v>
      </c>
      <c r="D395" s="280"/>
      <c r="E395" s="281"/>
      <c r="F395" s="333">
        <f t="shared" si="345"/>
        <v>11211</v>
      </c>
      <c r="G395" s="282">
        <v>11000</v>
      </c>
      <c r="H395" s="282">
        <v>211</v>
      </c>
      <c r="I395" s="352" t="str">
        <f>IFERROR(F395/#REF!,"-")</f>
        <v>-</v>
      </c>
      <c r="J395" s="333">
        <f t="shared" si="346"/>
        <v>235936</v>
      </c>
      <c r="K395" s="278">
        <f t="shared" si="347"/>
        <v>232800</v>
      </c>
      <c r="L395" s="436">
        <f t="shared" si="348"/>
        <v>3136</v>
      </c>
      <c r="M395" s="337" t="str">
        <f t="shared" si="349"/>
        <v>-</v>
      </c>
      <c r="N395" s="265">
        <f>IFERROR(L395/J395,"-")</f>
        <v>1.3291740132917401E-2</v>
      </c>
      <c r="O395" s="509">
        <v>12.284700000000001</v>
      </c>
      <c r="P395" s="404">
        <f t="shared" si="350"/>
        <v>135131.70000000001</v>
      </c>
      <c r="Q395" s="449">
        <f t="shared" si="351"/>
        <v>2859878.16</v>
      </c>
    </row>
    <row r="396" spans="1:17" ht="24" thickBot="1" x14ac:dyDescent="0.35">
      <c r="A396" s="274" t="s">
        <v>103</v>
      </c>
      <c r="B396" s="451"/>
      <c r="C396" s="275" t="s">
        <v>365</v>
      </c>
      <c r="D396" s="280"/>
      <c r="E396" s="281"/>
      <c r="F396" s="334">
        <f t="shared" si="345"/>
        <v>0</v>
      </c>
      <c r="G396" s="282"/>
      <c r="H396" s="282"/>
      <c r="I396" s="353" t="str">
        <f>IFERROR(F396/#REF!,"-")</f>
        <v>-</v>
      </c>
      <c r="J396" s="460">
        <f t="shared" si="346"/>
        <v>45034</v>
      </c>
      <c r="K396" s="461">
        <f t="shared" si="347"/>
        <v>44250</v>
      </c>
      <c r="L396" s="462">
        <f t="shared" si="348"/>
        <v>784</v>
      </c>
      <c r="M396" s="338" t="str">
        <f t="shared" si="349"/>
        <v>-</v>
      </c>
      <c r="N396" s="344">
        <f t="shared" ref="N396:N408" si="352">IFERROR(L396/J396,"-")</f>
        <v>1.7409068703646134E-2</v>
      </c>
      <c r="O396" s="718">
        <v>7.0612000000000004</v>
      </c>
      <c r="P396" s="405">
        <f t="shared" si="350"/>
        <v>0</v>
      </c>
      <c r="Q396" s="450">
        <f t="shared" si="351"/>
        <v>312458.10000000003</v>
      </c>
    </row>
    <row r="397" spans="1:17" ht="23.25" customHeight="1" thickBot="1" x14ac:dyDescent="0.35">
      <c r="A397" s="274" t="s">
        <v>103</v>
      </c>
      <c r="B397" s="1109" t="s">
        <v>21</v>
      </c>
      <c r="C397" s="1046"/>
      <c r="D397" s="320">
        <f>SUM(D392:D396)</f>
        <v>0</v>
      </c>
      <c r="E397" s="285">
        <v>15000</v>
      </c>
      <c r="F397" s="320">
        <f>SUM(F392:F396)</f>
        <v>241390</v>
      </c>
      <c r="G397" s="321">
        <f>SUM(G392:G396)</f>
        <v>239750</v>
      </c>
      <c r="H397" s="321">
        <f>SUM(H392:H396)</f>
        <v>1640</v>
      </c>
      <c r="I397" s="345" t="str">
        <f>IFERROR(F397/#REF!,"-")</f>
        <v>-</v>
      </c>
      <c r="J397" s="320">
        <f>SUM(J392:J396)</f>
        <v>1122973</v>
      </c>
      <c r="K397" s="321">
        <f>SUM(K392:K396)</f>
        <v>1112800</v>
      </c>
      <c r="L397" s="322">
        <f>SUM(L392:L396)</f>
        <v>10173</v>
      </c>
      <c r="M397" s="339" t="str">
        <f>IFERROR(J397/D397,"-")</f>
        <v>-</v>
      </c>
      <c r="N397" s="345">
        <f t="shared" si="352"/>
        <v>9.0589889516488817E-3</v>
      </c>
      <c r="O397" s="391"/>
      <c r="P397" s="406">
        <f>SUM(P392:P396)</f>
        <v>711611.17500000005</v>
      </c>
      <c r="Q397" s="425">
        <f>SUM(Q392:Q396)</f>
        <v>5628051.4350000005</v>
      </c>
    </row>
    <row r="398" spans="1:17" ht="23.4" x14ac:dyDescent="0.3">
      <c r="A398" s="274" t="s">
        <v>103</v>
      </c>
      <c r="B398" s="439"/>
      <c r="C398" s="269" t="s">
        <v>244</v>
      </c>
      <c r="D398" s="270"/>
      <c r="E398" s="271"/>
      <c r="F398" s="332">
        <f t="shared" ref="F398:F404" si="353">+G398+H398</f>
        <v>0</v>
      </c>
      <c r="G398" s="272"/>
      <c r="H398" s="272"/>
      <c r="I398" s="351" t="str">
        <f>IFERROR(F398/#REF!,"-")</f>
        <v>-</v>
      </c>
      <c r="J398" s="457">
        <f t="shared" ref="J398:J404" si="354">+K398+L398</f>
        <v>0</v>
      </c>
      <c r="K398" s="458">
        <f t="shared" ref="K398:K404" si="355">+G398+K335</f>
        <v>0</v>
      </c>
      <c r="L398" s="459">
        <f t="shared" ref="L398:L404" si="356">+H398+L335</f>
        <v>0</v>
      </c>
      <c r="M398" s="336" t="str">
        <f t="shared" ref="M398:M406" si="357">IFERROR(J398/D398,"-")</f>
        <v>-</v>
      </c>
      <c r="N398" s="346" t="str">
        <f t="shared" si="352"/>
        <v>-</v>
      </c>
      <c r="O398" s="507">
        <v>18.2316</v>
      </c>
      <c r="P398" s="402">
        <f t="shared" ref="P398:P404" si="358">+O398*G398</f>
        <v>0</v>
      </c>
      <c r="Q398" s="447">
        <f t="shared" ref="Q398:Q404" si="359">+O398*K398</f>
        <v>0</v>
      </c>
    </row>
    <row r="399" spans="1:17" ht="23.4" x14ac:dyDescent="0.3">
      <c r="A399" s="274" t="s">
        <v>103</v>
      </c>
      <c r="B399" s="438"/>
      <c r="C399" s="275" t="s">
        <v>89</v>
      </c>
      <c r="D399" s="276"/>
      <c r="E399" s="277"/>
      <c r="F399" s="333">
        <f t="shared" si="353"/>
        <v>0</v>
      </c>
      <c r="G399" s="278"/>
      <c r="H399" s="278"/>
      <c r="I399" s="352" t="str">
        <f>IFERROR(F399/#REF!,"-")</f>
        <v>-</v>
      </c>
      <c r="J399" s="333">
        <f t="shared" si="354"/>
        <v>60000</v>
      </c>
      <c r="K399" s="278">
        <f t="shared" si="355"/>
        <v>60000</v>
      </c>
      <c r="L399" s="436">
        <f t="shared" si="356"/>
        <v>0</v>
      </c>
      <c r="M399" s="337" t="str">
        <f t="shared" si="357"/>
        <v>-</v>
      </c>
      <c r="N399" s="263">
        <f t="shared" si="352"/>
        <v>0</v>
      </c>
      <c r="O399" s="508">
        <v>1.2824</v>
      </c>
      <c r="P399" s="404">
        <f t="shared" si="358"/>
        <v>0</v>
      </c>
      <c r="Q399" s="449">
        <f t="shared" si="359"/>
        <v>76944</v>
      </c>
    </row>
    <row r="400" spans="1:17" ht="23.4" x14ac:dyDescent="0.3">
      <c r="A400" s="274" t="s">
        <v>103</v>
      </c>
      <c r="B400" s="438"/>
      <c r="C400" s="275" t="s">
        <v>300</v>
      </c>
      <c r="D400" s="276"/>
      <c r="E400" s="277"/>
      <c r="F400" s="333">
        <f t="shared" si="353"/>
        <v>0</v>
      </c>
      <c r="G400" s="278"/>
      <c r="H400" s="278"/>
      <c r="I400" s="352" t="str">
        <f>IFERROR(F400/#REF!,"-")</f>
        <v>-</v>
      </c>
      <c r="J400" s="333">
        <f t="shared" si="354"/>
        <v>0</v>
      </c>
      <c r="K400" s="278">
        <f t="shared" si="355"/>
        <v>0</v>
      </c>
      <c r="L400" s="436">
        <f t="shared" si="356"/>
        <v>0</v>
      </c>
      <c r="M400" s="337" t="str">
        <f t="shared" si="357"/>
        <v>-</v>
      </c>
      <c r="N400" s="263" t="str">
        <f t="shared" si="352"/>
        <v>-</v>
      </c>
      <c r="O400" s="710">
        <v>5.7342000000000004</v>
      </c>
      <c r="P400" s="404">
        <f t="shared" si="358"/>
        <v>0</v>
      </c>
      <c r="Q400" s="449">
        <f t="shared" si="359"/>
        <v>0</v>
      </c>
    </row>
    <row r="401" spans="1:17" ht="23.4" x14ac:dyDescent="0.3">
      <c r="A401" s="274" t="s">
        <v>103</v>
      </c>
      <c r="B401" s="438"/>
      <c r="C401" s="275" t="s">
        <v>314</v>
      </c>
      <c r="D401" s="276"/>
      <c r="E401" s="277"/>
      <c r="F401" s="333">
        <f t="shared" si="353"/>
        <v>0</v>
      </c>
      <c r="G401" s="278"/>
      <c r="H401" s="278"/>
      <c r="I401" s="352" t="str">
        <f>IFERROR(F401/#REF!,"-")</f>
        <v>-</v>
      </c>
      <c r="J401" s="333">
        <f t="shared" si="354"/>
        <v>0</v>
      </c>
      <c r="K401" s="278">
        <f t="shared" si="355"/>
        <v>0</v>
      </c>
      <c r="L401" s="436">
        <f t="shared" si="356"/>
        <v>0</v>
      </c>
      <c r="M401" s="337" t="str">
        <f t="shared" si="357"/>
        <v>-</v>
      </c>
      <c r="N401" s="263" t="str">
        <f t="shared" si="352"/>
        <v>-</v>
      </c>
      <c r="O401" s="508"/>
      <c r="P401" s="404">
        <f t="shared" si="358"/>
        <v>0</v>
      </c>
      <c r="Q401" s="449">
        <f t="shared" si="359"/>
        <v>0</v>
      </c>
    </row>
    <row r="402" spans="1:17" ht="23.4" x14ac:dyDescent="0.3">
      <c r="A402" s="274" t="s">
        <v>103</v>
      </c>
      <c r="B402" s="438"/>
      <c r="C402" s="275" t="s">
        <v>320</v>
      </c>
      <c r="D402" s="276"/>
      <c r="E402" s="277"/>
      <c r="F402" s="333">
        <f t="shared" si="353"/>
        <v>0</v>
      </c>
      <c r="G402" s="278"/>
      <c r="H402" s="278"/>
      <c r="I402" s="352" t="str">
        <f>IFERROR(F402/#REF!,"-")</f>
        <v>-</v>
      </c>
      <c r="J402" s="333">
        <f t="shared" si="354"/>
        <v>51560</v>
      </c>
      <c r="K402" s="278">
        <f t="shared" si="355"/>
        <v>51400</v>
      </c>
      <c r="L402" s="436">
        <f t="shared" si="356"/>
        <v>160</v>
      </c>
      <c r="M402" s="337" t="str">
        <f t="shared" si="357"/>
        <v>-</v>
      </c>
      <c r="N402" s="263">
        <f t="shared" si="352"/>
        <v>3.1031807602792862E-3</v>
      </c>
      <c r="O402" s="508">
        <v>12.029500000000001</v>
      </c>
      <c r="P402" s="404">
        <f t="shared" si="358"/>
        <v>0</v>
      </c>
      <c r="Q402" s="449">
        <f t="shared" si="359"/>
        <v>618316.30000000005</v>
      </c>
    </row>
    <row r="403" spans="1:17" ht="23.4" x14ac:dyDescent="0.3">
      <c r="A403" s="274" t="s">
        <v>103</v>
      </c>
      <c r="B403" s="438"/>
      <c r="C403" s="275"/>
      <c r="D403" s="276"/>
      <c r="E403" s="277"/>
      <c r="F403" s="333">
        <f t="shared" si="353"/>
        <v>0</v>
      </c>
      <c r="G403" s="278"/>
      <c r="H403" s="278"/>
      <c r="I403" s="352" t="str">
        <f>IFERROR(F403/#REF!,"-")</f>
        <v>-</v>
      </c>
      <c r="J403" s="333">
        <f t="shared" si="354"/>
        <v>0</v>
      </c>
      <c r="K403" s="278">
        <f t="shared" si="355"/>
        <v>0</v>
      </c>
      <c r="L403" s="436">
        <f t="shared" si="356"/>
        <v>0</v>
      </c>
      <c r="M403" s="337" t="str">
        <f t="shared" si="357"/>
        <v>-</v>
      </c>
      <c r="N403" s="263" t="str">
        <f t="shared" si="352"/>
        <v>-</v>
      </c>
      <c r="O403" s="508"/>
      <c r="P403" s="404">
        <f t="shared" si="358"/>
        <v>0</v>
      </c>
      <c r="Q403" s="449">
        <f t="shared" si="359"/>
        <v>0</v>
      </c>
    </row>
    <row r="404" spans="1:17" ht="24" thickBot="1" x14ac:dyDescent="0.35">
      <c r="A404" s="274" t="s">
        <v>103</v>
      </c>
      <c r="B404" s="451"/>
      <c r="C404" s="279"/>
      <c r="D404" s="280">
        <v>0</v>
      </c>
      <c r="E404" s="281"/>
      <c r="F404" s="334">
        <f t="shared" si="353"/>
        <v>0</v>
      </c>
      <c r="G404" s="282"/>
      <c r="H404" s="282"/>
      <c r="I404" s="353" t="str">
        <f>IFERROR(F404/#REF!,"-")</f>
        <v>-</v>
      </c>
      <c r="J404" s="460">
        <f t="shared" si="354"/>
        <v>0</v>
      </c>
      <c r="K404" s="461">
        <f t="shared" si="355"/>
        <v>0</v>
      </c>
      <c r="L404" s="462">
        <f t="shared" si="356"/>
        <v>0</v>
      </c>
      <c r="M404" s="338" t="str">
        <f t="shared" si="357"/>
        <v>-</v>
      </c>
      <c r="N404" s="347" t="str">
        <f t="shared" si="352"/>
        <v>-</v>
      </c>
      <c r="O404" s="509"/>
      <c r="P404" s="405">
        <f t="shared" si="358"/>
        <v>0</v>
      </c>
      <c r="Q404" s="450">
        <f t="shared" si="359"/>
        <v>0</v>
      </c>
    </row>
    <row r="405" spans="1:17" ht="23.25" customHeight="1" thickBot="1" x14ac:dyDescent="0.35">
      <c r="A405" s="274" t="s">
        <v>103</v>
      </c>
      <c r="B405" s="1109" t="s">
        <v>25</v>
      </c>
      <c r="C405" s="1046"/>
      <c r="D405" s="320">
        <f t="shared" ref="D405" si="360">SUM(D398:D404)</f>
        <v>0</v>
      </c>
      <c r="E405" s="285">
        <v>100000</v>
      </c>
      <c r="F405" s="320">
        <f>SUM(F398:F404)</f>
        <v>0</v>
      </c>
      <c r="G405" s="321">
        <f t="shared" ref="G405:H405" si="361">SUM(G398:G404)</f>
        <v>0</v>
      </c>
      <c r="H405" s="321">
        <f t="shared" si="361"/>
        <v>0</v>
      </c>
      <c r="I405" s="345" t="str">
        <f>IFERROR(F405/#REF!,"-")</f>
        <v>-</v>
      </c>
      <c r="J405" s="320">
        <f t="shared" ref="J405:L405" si="362">SUM(J398:J404)</f>
        <v>111560</v>
      </c>
      <c r="K405" s="321">
        <f t="shared" si="362"/>
        <v>111400</v>
      </c>
      <c r="L405" s="322">
        <f t="shared" si="362"/>
        <v>160</v>
      </c>
      <c r="M405" s="339" t="str">
        <f t="shared" si="357"/>
        <v>-</v>
      </c>
      <c r="N405" s="345">
        <f t="shared" si="352"/>
        <v>1.4342058085335247E-3</v>
      </c>
      <c r="O405" s="391"/>
      <c r="P405" s="406">
        <f t="shared" ref="P405:Q405" si="363">SUM(P398:P404)</f>
        <v>0</v>
      </c>
      <c r="Q405" s="425">
        <f t="shared" si="363"/>
        <v>695260.3</v>
      </c>
    </row>
    <row r="406" spans="1:17" ht="23.25" customHeight="1" thickBot="1" x14ac:dyDescent="0.35">
      <c r="A406" s="274" t="s">
        <v>103</v>
      </c>
      <c r="B406" s="1111" t="s">
        <v>172</v>
      </c>
      <c r="C406" s="1112"/>
      <c r="D406" s="326">
        <f>+D397+D405</f>
        <v>0</v>
      </c>
      <c r="E406" s="327">
        <f t="shared" ref="E406:H406" si="364">+E397+E405</f>
        <v>115000</v>
      </c>
      <c r="F406" s="326">
        <f t="shared" si="364"/>
        <v>241390</v>
      </c>
      <c r="G406" s="324">
        <f t="shared" si="364"/>
        <v>239750</v>
      </c>
      <c r="H406" s="324">
        <f t="shared" si="364"/>
        <v>1640</v>
      </c>
      <c r="I406" s="349" t="str">
        <f>IFERROR(F406/#REF!,"-")</f>
        <v>-</v>
      </c>
      <c r="J406" s="326">
        <f t="shared" ref="J406:L406" si="365">+J397+J405</f>
        <v>1234533</v>
      </c>
      <c r="K406" s="324">
        <f t="shared" si="365"/>
        <v>1224200</v>
      </c>
      <c r="L406" s="325">
        <f t="shared" si="365"/>
        <v>10333</v>
      </c>
      <c r="M406" s="341" t="str">
        <f t="shared" si="357"/>
        <v>-</v>
      </c>
      <c r="N406" s="349">
        <f t="shared" si="352"/>
        <v>8.369966618956318E-3</v>
      </c>
      <c r="O406" s="394"/>
      <c r="P406" s="410">
        <f t="shared" ref="P406:Q406" si="366">+P397+P405</f>
        <v>711611.17500000005</v>
      </c>
      <c r="Q406" s="428">
        <f t="shared" si="366"/>
        <v>6323311.7350000003</v>
      </c>
    </row>
    <row r="407" spans="1:17" ht="23.4" x14ac:dyDescent="0.3">
      <c r="A407" s="244" t="s">
        <v>101</v>
      </c>
      <c r="B407" s="581"/>
      <c r="C407" s="582" t="s">
        <v>283</v>
      </c>
      <c r="D407" s="527"/>
      <c r="E407" s="459"/>
      <c r="F407" s="457">
        <f>+G407+H407</f>
        <v>0</v>
      </c>
      <c r="G407" s="458"/>
      <c r="H407" s="458"/>
      <c r="I407" s="531" t="str">
        <f>IFERROR(F407/#REF!,"-")</f>
        <v>-</v>
      </c>
      <c r="J407" s="457">
        <f>+K407+L407</f>
        <v>0</v>
      </c>
      <c r="K407" s="458">
        <f t="shared" ref="K407:K413" si="367">+G407+K344</f>
        <v>0</v>
      </c>
      <c r="L407" s="459">
        <f t="shared" ref="L407:L413" si="368">+H407+L344</f>
        <v>0</v>
      </c>
      <c r="M407" s="586" t="str">
        <f>IFERROR(J407/D407,"-")</f>
        <v>-</v>
      </c>
      <c r="N407" s="533" t="str">
        <f t="shared" si="352"/>
        <v>-</v>
      </c>
      <c r="O407" s="628">
        <v>4.8285999999999998</v>
      </c>
      <c r="P407" s="534">
        <f t="shared" ref="P407:P413" si="369">+O407*G407</f>
        <v>0</v>
      </c>
      <c r="Q407" s="535">
        <f t="shared" ref="Q407:Q413" si="370">+O407*K407</f>
        <v>0</v>
      </c>
    </row>
    <row r="408" spans="1:17" ht="23.4" x14ac:dyDescent="0.3">
      <c r="A408" s="248" t="s">
        <v>101</v>
      </c>
      <c r="B408" s="583"/>
      <c r="C408" s="275" t="s">
        <v>284</v>
      </c>
      <c r="D408" s="276"/>
      <c r="E408" s="436"/>
      <c r="F408" s="333">
        <f t="shared" ref="F408:F413" si="371">+G408+H408</f>
        <v>0</v>
      </c>
      <c r="G408" s="278"/>
      <c r="H408" s="278"/>
      <c r="I408" s="352" t="str">
        <f>IFERROR(F408/#REF!,"-")</f>
        <v>-</v>
      </c>
      <c r="J408" s="333">
        <f t="shared" ref="J408:J413" si="372">+K408+L408</f>
        <v>0</v>
      </c>
      <c r="K408" s="278">
        <f t="shared" si="367"/>
        <v>0</v>
      </c>
      <c r="L408" s="436">
        <f t="shared" si="368"/>
        <v>0</v>
      </c>
      <c r="M408" s="337" t="str">
        <f t="shared" ref="M408:M410" si="373">IFERROR(J408/D408,"-")</f>
        <v>-</v>
      </c>
      <c r="N408" s="265" t="str">
        <f t="shared" si="352"/>
        <v>-</v>
      </c>
      <c r="O408" s="629">
        <v>1.4086000000000001</v>
      </c>
      <c r="P408" s="404">
        <f t="shared" si="369"/>
        <v>0</v>
      </c>
      <c r="Q408" s="449">
        <f t="shared" si="370"/>
        <v>0</v>
      </c>
    </row>
    <row r="409" spans="1:17" ht="23.4" x14ac:dyDescent="0.3">
      <c r="A409" s="248" t="s">
        <v>101</v>
      </c>
      <c r="B409" s="583"/>
      <c r="C409" s="275" t="s">
        <v>315</v>
      </c>
      <c r="D409" s="276"/>
      <c r="E409" s="436"/>
      <c r="F409" s="333">
        <f t="shared" si="371"/>
        <v>0</v>
      </c>
      <c r="G409" s="278"/>
      <c r="H409" s="278"/>
      <c r="I409" s="352" t="str">
        <f>IFERROR(F409/#REF!,"-")</f>
        <v>-</v>
      </c>
      <c r="J409" s="333">
        <f t="shared" si="372"/>
        <v>0</v>
      </c>
      <c r="K409" s="278">
        <f t="shared" si="367"/>
        <v>0</v>
      </c>
      <c r="L409" s="436">
        <f t="shared" si="368"/>
        <v>0</v>
      </c>
      <c r="M409" s="337" t="str">
        <f t="shared" si="373"/>
        <v>-</v>
      </c>
      <c r="N409" s="265" t="str">
        <f>IFERROR(L409/J409,"-")</f>
        <v>-</v>
      </c>
      <c r="O409" s="629">
        <v>2.2141000000000002</v>
      </c>
      <c r="P409" s="404">
        <f t="shared" si="369"/>
        <v>0</v>
      </c>
      <c r="Q409" s="449">
        <f t="shared" si="370"/>
        <v>0</v>
      </c>
    </row>
    <row r="410" spans="1:17" ht="23.4" x14ac:dyDescent="0.3">
      <c r="A410" s="248" t="s">
        <v>101</v>
      </c>
      <c r="B410" s="584"/>
      <c r="C410" s="275" t="s">
        <v>447</v>
      </c>
      <c r="D410" s="280"/>
      <c r="E410" s="528"/>
      <c r="F410" s="334">
        <f t="shared" si="371"/>
        <v>30720</v>
      </c>
      <c r="G410" s="282">
        <v>29750</v>
      </c>
      <c r="H410" s="282">
        <v>970</v>
      </c>
      <c r="I410" s="353" t="str">
        <f>IFERROR(F410/#REF!,"-")</f>
        <v>-</v>
      </c>
      <c r="J410" s="333">
        <f t="shared" si="372"/>
        <v>346276</v>
      </c>
      <c r="K410" s="278">
        <f t="shared" si="367"/>
        <v>341000</v>
      </c>
      <c r="L410" s="436">
        <f t="shared" si="368"/>
        <v>5276</v>
      </c>
      <c r="M410" s="338" t="str">
        <f t="shared" si="373"/>
        <v>-</v>
      </c>
      <c r="N410" s="344">
        <f t="shared" ref="N410:N417" si="374">IFERROR(L410/J410,"-")</f>
        <v>1.5236401021150758E-2</v>
      </c>
      <c r="O410" s="629">
        <v>2.2141000000000002</v>
      </c>
      <c r="P410" s="405">
        <f t="shared" si="369"/>
        <v>65869.475000000006</v>
      </c>
      <c r="Q410" s="450">
        <f t="shared" si="370"/>
        <v>755008.10000000009</v>
      </c>
    </row>
    <row r="411" spans="1:17" ht="23.4" x14ac:dyDescent="0.3">
      <c r="A411" s="248" t="s">
        <v>101</v>
      </c>
      <c r="B411" s="440"/>
      <c r="C411" s="627" t="s">
        <v>353</v>
      </c>
      <c r="D411" s="510"/>
      <c r="E411" s="529"/>
      <c r="F411" s="333">
        <f t="shared" si="371"/>
        <v>0</v>
      </c>
      <c r="G411" s="547"/>
      <c r="H411" s="547"/>
      <c r="I411" s="352" t="str">
        <f>IFERROR(F411/#REF!,"-")</f>
        <v>-</v>
      </c>
      <c r="J411" s="333">
        <f t="shared" si="372"/>
        <v>0</v>
      </c>
      <c r="K411" s="278">
        <f t="shared" si="367"/>
        <v>0</v>
      </c>
      <c r="L411" s="436">
        <f t="shared" si="368"/>
        <v>0</v>
      </c>
      <c r="M411" s="682"/>
      <c r="N411" s="265" t="str">
        <f t="shared" si="374"/>
        <v>-</v>
      </c>
      <c r="O411" s="540">
        <v>4.8285999999999998</v>
      </c>
      <c r="P411" s="404">
        <f t="shared" si="369"/>
        <v>0</v>
      </c>
      <c r="Q411" s="449">
        <f t="shared" si="370"/>
        <v>0</v>
      </c>
    </row>
    <row r="412" spans="1:17" ht="23.4" x14ac:dyDescent="0.3">
      <c r="A412" s="248" t="s">
        <v>101</v>
      </c>
      <c r="B412" s="585"/>
      <c r="C412" s="627" t="s">
        <v>349</v>
      </c>
      <c r="D412" s="270"/>
      <c r="E412" s="435"/>
      <c r="F412" s="332">
        <f t="shared" si="371"/>
        <v>0</v>
      </c>
      <c r="G412" s="272"/>
      <c r="H412" s="272"/>
      <c r="I412" s="351" t="str">
        <f>IFERROR(F412/#REF!,"-")</f>
        <v>-</v>
      </c>
      <c r="J412" s="333">
        <f t="shared" si="372"/>
        <v>0</v>
      </c>
      <c r="K412" s="278">
        <f t="shared" si="367"/>
        <v>0</v>
      </c>
      <c r="L412" s="436">
        <f t="shared" si="368"/>
        <v>0</v>
      </c>
      <c r="M412" s="336" t="str">
        <f t="shared" ref="M412:M413" si="375">IFERROR(J412/D412,"-")</f>
        <v>-</v>
      </c>
      <c r="N412" s="346" t="str">
        <f t="shared" si="374"/>
        <v>-</v>
      </c>
      <c r="O412" s="507">
        <v>4.1712999999999996</v>
      </c>
      <c r="P412" s="402">
        <f t="shared" si="369"/>
        <v>0</v>
      </c>
      <c r="Q412" s="447">
        <f t="shared" si="370"/>
        <v>0</v>
      </c>
    </row>
    <row r="413" spans="1:17" ht="24" thickBot="1" x14ac:dyDescent="0.35">
      <c r="A413" s="248" t="s">
        <v>101</v>
      </c>
      <c r="B413" s="583"/>
      <c r="C413" s="275"/>
      <c r="D413" s="276"/>
      <c r="E413" s="436"/>
      <c r="F413" s="333">
        <f t="shared" si="371"/>
        <v>0</v>
      </c>
      <c r="G413" s="278"/>
      <c r="H413" s="278"/>
      <c r="I413" s="352" t="str">
        <f>IFERROR(F413/#REF!,"-")</f>
        <v>-</v>
      </c>
      <c r="J413" s="460">
        <f t="shared" si="372"/>
        <v>0</v>
      </c>
      <c r="K413" s="461">
        <f t="shared" si="367"/>
        <v>0</v>
      </c>
      <c r="L413" s="462">
        <f t="shared" si="368"/>
        <v>0</v>
      </c>
      <c r="M413" s="337" t="str">
        <f t="shared" si="375"/>
        <v>-</v>
      </c>
      <c r="N413" s="263" t="str">
        <f t="shared" si="374"/>
        <v>-</v>
      </c>
      <c r="O413" s="448"/>
      <c r="P413" s="404">
        <f t="shared" si="369"/>
        <v>0</v>
      </c>
      <c r="Q413" s="449">
        <f t="shared" si="370"/>
        <v>0</v>
      </c>
    </row>
    <row r="414" spans="1:17" ht="23.25" customHeight="1" thickBot="1" x14ac:dyDescent="0.35">
      <c r="A414" s="274" t="s">
        <v>101</v>
      </c>
      <c r="B414" s="1109" t="s">
        <v>21</v>
      </c>
      <c r="C414" s="1046"/>
      <c r="D414" s="320">
        <v>0</v>
      </c>
      <c r="E414" s="285">
        <v>15000</v>
      </c>
      <c r="F414" s="320">
        <f>SUM(F407:F413)</f>
        <v>30720</v>
      </c>
      <c r="G414" s="321">
        <f t="shared" ref="G414:H414" si="376">SUM(G407:G413)</f>
        <v>29750</v>
      </c>
      <c r="H414" s="321">
        <f t="shared" si="376"/>
        <v>970</v>
      </c>
      <c r="I414" s="345" t="str">
        <f>IFERROR(F414/#REF!,"-")</f>
        <v>-</v>
      </c>
      <c r="J414" s="513">
        <f t="shared" ref="J414" si="377">SUM(J407:J413)</f>
        <v>346276</v>
      </c>
      <c r="K414" s="519">
        <f>SUM(K407:K413)</f>
        <v>341000</v>
      </c>
      <c r="L414" s="519">
        <f>SUM(L407:L413)</f>
        <v>5276</v>
      </c>
      <c r="M414" s="339" t="str">
        <f>IFERROR(J414/D414,"-")</f>
        <v>-</v>
      </c>
      <c r="N414" s="345">
        <f t="shared" si="374"/>
        <v>1.5236401021150758E-2</v>
      </c>
      <c r="O414" s="391"/>
      <c r="P414" s="406">
        <f>SUM(P407:P413)</f>
        <v>65869.475000000006</v>
      </c>
      <c r="Q414" s="425">
        <f>SUM(Q407:Q413)</f>
        <v>755008.10000000009</v>
      </c>
    </row>
    <row r="415" spans="1:17" ht="23.25" customHeight="1" thickBot="1" x14ac:dyDescent="0.35">
      <c r="A415" s="274" t="s">
        <v>101</v>
      </c>
      <c r="B415" s="1111" t="s">
        <v>248</v>
      </c>
      <c r="C415" s="1112"/>
      <c r="D415" s="512">
        <f>+D411+D414</f>
        <v>0</v>
      </c>
      <c r="E415" s="525">
        <f>+E411+E414</f>
        <v>15000</v>
      </c>
      <c r="F415" s="512">
        <f>+F411+F414</f>
        <v>30720</v>
      </c>
      <c r="G415" s="514">
        <f>+G411+G414</f>
        <v>29750</v>
      </c>
      <c r="H415" s="514">
        <f>+H411+H414</f>
        <v>970</v>
      </c>
      <c r="I415" s="515" t="str">
        <f>IFERROR(F415/#REF!,"-")</f>
        <v>-</v>
      </c>
      <c r="J415" s="512">
        <f>+J411+J414</f>
        <v>346276</v>
      </c>
      <c r="K415" s="514">
        <f>+K414</f>
        <v>341000</v>
      </c>
      <c r="L415" s="514">
        <f>+L414</f>
        <v>5276</v>
      </c>
      <c r="M415" s="516" t="str">
        <f t="shared" ref="M415" si="378">IFERROR(J415/D415,"-")</f>
        <v>-</v>
      </c>
      <c r="N415" s="515">
        <f t="shared" si="374"/>
        <v>1.5236401021150758E-2</v>
      </c>
      <c r="O415" s="517"/>
      <c r="P415" s="518">
        <f>+P414</f>
        <v>65869.475000000006</v>
      </c>
      <c r="Q415" s="518">
        <f>+Q414</f>
        <v>755008.10000000009</v>
      </c>
    </row>
    <row r="416" spans="1:17" ht="23.4" x14ac:dyDescent="0.4">
      <c r="A416" s="244" t="s">
        <v>101</v>
      </c>
      <c r="B416" s="1106" t="s">
        <v>250</v>
      </c>
      <c r="C416" s="542" t="s">
        <v>71</v>
      </c>
      <c r="D416" s="527"/>
      <c r="E416" s="459"/>
      <c r="F416" s="457">
        <f>+G416+H416</f>
        <v>5085</v>
      </c>
      <c r="G416" s="458">
        <v>5000</v>
      </c>
      <c r="H416" s="458">
        <v>85</v>
      </c>
      <c r="I416" s="531" t="str">
        <f>IFERROR(F416/#REF!,"-")</f>
        <v>-</v>
      </c>
      <c r="J416" s="457">
        <f>+K416+L416</f>
        <v>5085</v>
      </c>
      <c r="K416" s="458">
        <f t="shared" ref="K416:K447" si="379">+G416+K353</f>
        <v>5000</v>
      </c>
      <c r="L416" s="459">
        <f t="shared" ref="L416:L447" si="380">+H416+L353</f>
        <v>85</v>
      </c>
      <c r="M416" s="586" t="str">
        <f>IFERROR(J416/D416,"-")</f>
        <v>-</v>
      </c>
      <c r="N416" s="533">
        <f t="shared" si="374"/>
        <v>1.6715830875122909E-2</v>
      </c>
      <c r="O416" s="538">
        <v>32.946300000000001</v>
      </c>
      <c r="P416" s="534">
        <f t="shared" ref="P416:P447" si="381">+O416*G416</f>
        <v>164731.5</v>
      </c>
      <c r="Q416" s="535">
        <f t="shared" ref="Q416:Q447" si="382">+O416*K416</f>
        <v>164731.5</v>
      </c>
    </row>
    <row r="417" spans="1:17" ht="23.4" x14ac:dyDescent="0.4">
      <c r="A417" s="248" t="s">
        <v>101</v>
      </c>
      <c r="B417" s="1107"/>
      <c r="C417" s="543" t="s">
        <v>72</v>
      </c>
      <c r="D417" s="511"/>
      <c r="E417" s="436"/>
      <c r="F417" s="333">
        <f t="shared" ref="F417:F447" si="383">+G417+H417</f>
        <v>0</v>
      </c>
      <c r="G417" s="278"/>
      <c r="H417" s="278"/>
      <c r="I417" s="352" t="str">
        <f>IFERROR(F417/#REF!,"-")</f>
        <v>-</v>
      </c>
      <c r="J417" s="333">
        <f t="shared" ref="J417:J447" si="384">+K417+L417</f>
        <v>10595</v>
      </c>
      <c r="K417" s="278">
        <f t="shared" si="379"/>
        <v>10500</v>
      </c>
      <c r="L417" s="436">
        <f t="shared" si="380"/>
        <v>95</v>
      </c>
      <c r="M417" s="337" t="str">
        <f t="shared" ref="M417:M419" si="385">IFERROR(J417/D417,"-")</f>
        <v>-</v>
      </c>
      <c r="N417" s="265">
        <f t="shared" si="374"/>
        <v>8.9664936290703157E-3</v>
      </c>
      <c r="O417" s="508">
        <v>35.398400000000002</v>
      </c>
      <c r="P417" s="404">
        <f t="shared" si="381"/>
        <v>0</v>
      </c>
      <c r="Q417" s="449">
        <f t="shared" si="382"/>
        <v>371683.2</v>
      </c>
    </row>
    <row r="418" spans="1:17" ht="24" thickBot="1" x14ac:dyDescent="0.45">
      <c r="A418" s="248" t="s">
        <v>101</v>
      </c>
      <c r="B418" s="1108"/>
      <c r="C418" s="543" t="s">
        <v>455</v>
      </c>
      <c r="D418" s="276"/>
      <c r="E418" s="436"/>
      <c r="F418" s="333">
        <f t="shared" si="383"/>
        <v>2092</v>
      </c>
      <c r="G418" s="278">
        <v>2000</v>
      </c>
      <c r="H418" s="278">
        <v>92</v>
      </c>
      <c r="I418" s="352" t="str">
        <f>IFERROR(F418/#REF!,"-")</f>
        <v>-</v>
      </c>
      <c r="J418" s="333">
        <f t="shared" si="384"/>
        <v>10147</v>
      </c>
      <c r="K418" s="278">
        <f t="shared" si="379"/>
        <v>9900</v>
      </c>
      <c r="L418" s="436">
        <f t="shared" si="380"/>
        <v>247</v>
      </c>
      <c r="M418" s="337" t="str">
        <f t="shared" si="385"/>
        <v>-</v>
      </c>
      <c r="N418" s="265">
        <f>IFERROR(L418/J418,"-")</f>
        <v>2.4342170099536809E-2</v>
      </c>
      <c r="O418" s="508">
        <v>35.398400000000002</v>
      </c>
      <c r="P418" s="404">
        <f t="shared" si="381"/>
        <v>70796.800000000003</v>
      </c>
      <c r="Q418" s="449">
        <f t="shared" si="382"/>
        <v>350444.16000000003</v>
      </c>
    </row>
    <row r="419" spans="1:17" ht="23.4" x14ac:dyDescent="0.4">
      <c r="A419" s="248" t="s">
        <v>101</v>
      </c>
      <c r="B419" s="1106" t="s">
        <v>251</v>
      </c>
      <c r="C419" s="545" t="s">
        <v>75</v>
      </c>
      <c r="D419" s="276"/>
      <c r="E419" s="528"/>
      <c r="F419" s="334">
        <f t="shared" si="383"/>
        <v>2442</v>
      </c>
      <c r="G419" s="278">
        <v>2400</v>
      </c>
      <c r="H419" s="278">
        <v>42</v>
      </c>
      <c r="I419" s="352" t="str">
        <f>IFERROR(F419/#REF!,"-")</f>
        <v>-</v>
      </c>
      <c r="J419" s="333">
        <f t="shared" si="384"/>
        <v>15602</v>
      </c>
      <c r="K419" s="278">
        <f t="shared" si="379"/>
        <v>15163</v>
      </c>
      <c r="L419" s="436">
        <f t="shared" si="380"/>
        <v>439</v>
      </c>
      <c r="M419" s="337" t="str">
        <f t="shared" si="385"/>
        <v>-</v>
      </c>
      <c r="N419" s="265">
        <f t="shared" ref="N419" si="386">IFERROR(L419/J419,"-")</f>
        <v>2.813741827970773E-2</v>
      </c>
      <c r="O419" s="508">
        <v>55.4758</v>
      </c>
      <c r="P419" s="404">
        <f t="shared" si="381"/>
        <v>133141.92000000001</v>
      </c>
      <c r="Q419" s="449">
        <f t="shared" si="382"/>
        <v>841179.55539999995</v>
      </c>
    </row>
    <row r="420" spans="1:17" ht="23.4" x14ac:dyDescent="0.4">
      <c r="A420" s="248" t="s">
        <v>101</v>
      </c>
      <c r="B420" s="1107"/>
      <c r="C420" s="545" t="s">
        <v>72</v>
      </c>
      <c r="D420" s="276"/>
      <c r="E420" s="529"/>
      <c r="F420" s="334">
        <f t="shared" si="383"/>
        <v>0</v>
      </c>
      <c r="G420" s="278"/>
      <c r="H420" s="278"/>
      <c r="I420" s="352" t="str">
        <f>IFERROR(F420/#REF!,"-")</f>
        <v>-</v>
      </c>
      <c r="J420" s="333">
        <f t="shared" si="384"/>
        <v>0</v>
      </c>
      <c r="K420" s="278">
        <f t="shared" si="379"/>
        <v>0</v>
      </c>
      <c r="L420" s="436">
        <f t="shared" si="380"/>
        <v>0</v>
      </c>
      <c r="M420" s="682"/>
      <c r="N420" s="372"/>
      <c r="O420" s="540">
        <v>58.836300000000001</v>
      </c>
      <c r="P420" s="404">
        <f t="shared" si="381"/>
        <v>0</v>
      </c>
      <c r="Q420" s="449">
        <f t="shared" si="382"/>
        <v>0</v>
      </c>
    </row>
    <row r="421" spans="1:17" ht="23.4" x14ac:dyDescent="0.4">
      <c r="A421" s="248" t="s">
        <v>101</v>
      </c>
      <c r="B421" s="1107"/>
      <c r="C421" s="545" t="s">
        <v>347</v>
      </c>
      <c r="D421" s="276"/>
      <c r="E421" s="435"/>
      <c r="F421" s="334">
        <f t="shared" si="383"/>
        <v>0</v>
      </c>
      <c r="G421" s="278"/>
      <c r="H421" s="278"/>
      <c r="I421" s="352" t="str">
        <f>IFERROR(F421/#REF!,"-")</f>
        <v>-</v>
      </c>
      <c r="J421" s="333">
        <f t="shared" si="384"/>
        <v>0</v>
      </c>
      <c r="K421" s="278">
        <f t="shared" si="379"/>
        <v>0</v>
      </c>
      <c r="L421" s="436">
        <f t="shared" si="380"/>
        <v>0</v>
      </c>
      <c r="M421" s="337" t="str">
        <f t="shared" ref="M421" si="387">IFERROR(J421/D421,"-")</f>
        <v>-</v>
      </c>
      <c r="N421" s="263" t="str">
        <f t="shared" ref="N421" si="388">IFERROR(L421/J421,"-")</f>
        <v>-</v>
      </c>
      <c r="O421" s="710">
        <v>58.836300000000001</v>
      </c>
      <c r="P421" s="404">
        <f t="shared" si="381"/>
        <v>0</v>
      </c>
      <c r="Q421" s="449">
        <f t="shared" si="382"/>
        <v>0</v>
      </c>
    </row>
    <row r="422" spans="1:17" ht="24" thickBot="1" x14ac:dyDescent="0.45">
      <c r="A422" s="248"/>
      <c r="B422" s="1108"/>
      <c r="C422" s="545" t="s">
        <v>361</v>
      </c>
      <c r="D422" s="276"/>
      <c r="E422" s="435"/>
      <c r="F422" s="334">
        <f t="shared" si="383"/>
        <v>0</v>
      </c>
      <c r="G422" s="278"/>
      <c r="H422" s="278"/>
      <c r="I422" s="352"/>
      <c r="J422" s="333">
        <f t="shared" si="384"/>
        <v>0</v>
      </c>
      <c r="K422" s="278">
        <f t="shared" si="379"/>
        <v>0</v>
      </c>
      <c r="L422" s="436">
        <f t="shared" si="380"/>
        <v>0</v>
      </c>
      <c r="M422" s="337"/>
      <c r="N422" s="263" t="str">
        <f>IFERROR(L422/J422,"-")</f>
        <v>-</v>
      </c>
      <c r="O422" s="508">
        <v>55.4758</v>
      </c>
      <c r="P422" s="404">
        <f t="shared" si="381"/>
        <v>0</v>
      </c>
      <c r="Q422" s="449">
        <f t="shared" si="382"/>
        <v>0</v>
      </c>
    </row>
    <row r="423" spans="1:17" ht="23.4" x14ac:dyDescent="0.4">
      <c r="A423" s="248" t="s">
        <v>101</v>
      </c>
      <c r="B423" s="1106" t="s">
        <v>409</v>
      </c>
      <c r="C423" s="543" t="s">
        <v>77</v>
      </c>
      <c r="D423" s="276"/>
      <c r="E423" s="436"/>
      <c r="F423" s="333">
        <f t="shared" si="383"/>
        <v>6088</v>
      </c>
      <c r="G423" s="278">
        <v>6000</v>
      </c>
      <c r="H423" s="278">
        <v>88</v>
      </c>
      <c r="I423" s="352" t="str">
        <f>IFERROR(F423/#REF!,"-")</f>
        <v>-</v>
      </c>
      <c r="J423" s="333">
        <f t="shared" si="384"/>
        <v>14648</v>
      </c>
      <c r="K423" s="719">
        <f t="shared" si="379"/>
        <v>14500</v>
      </c>
      <c r="L423" s="815">
        <f t="shared" si="380"/>
        <v>148</v>
      </c>
      <c r="M423" s="337" t="str">
        <f t="shared" ref="M423:M450" si="389">IFERROR(J423/D423,"-")</f>
        <v>-</v>
      </c>
      <c r="N423" s="263">
        <f t="shared" ref="N423:N449" si="390">IFERROR(L423/J423,"-")</f>
        <v>1.0103768432550519E-2</v>
      </c>
      <c r="O423" s="508">
        <v>25.687200000000001</v>
      </c>
      <c r="P423" s="404">
        <f t="shared" si="381"/>
        <v>154123.20000000001</v>
      </c>
      <c r="Q423" s="449">
        <f t="shared" si="382"/>
        <v>372464.4</v>
      </c>
    </row>
    <row r="424" spans="1:17" ht="24" thickBot="1" x14ac:dyDescent="0.45">
      <c r="A424" s="248" t="s">
        <v>101</v>
      </c>
      <c r="B424" s="1108"/>
      <c r="C424" s="543" t="s">
        <v>117</v>
      </c>
      <c r="D424" s="276"/>
      <c r="E424" s="436"/>
      <c r="F424" s="333">
        <f t="shared" si="383"/>
        <v>0</v>
      </c>
      <c r="G424" s="278"/>
      <c r="H424" s="278"/>
      <c r="I424" s="352" t="str">
        <f>IFERROR(F424/#REF!,"-")</f>
        <v>-</v>
      </c>
      <c r="J424" s="333">
        <f t="shared" si="384"/>
        <v>0</v>
      </c>
      <c r="K424" s="278">
        <f t="shared" si="379"/>
        <v>0</v>
      </c>
      <c r="L424" s="436">
        <f t="shared" si="380"/>
        <v>0</v>
      </c>
      <c r="M424" s="337" t="str">
        <f t="shared" si="389"/>
        <v>-</v>
      </c>
      <c r="N424" s="263" t="str">
        <f t="shared" si="390"/>
        <v>-</v>
      </c>
      <c r="O424" s="508">
        <v>25.033899999999999</v>
      </c>
      <c r="P424" s="404">
        <f t="shared" si="381"/>
        <v>0</v>
      </c>
      <c r="Q424" s="449">
        <f t="shared" si="382"/>
        <v>0</v>
      </c>
    </row>
    <row r="425" spans="1:17" ht="23.4" x14ac:dyDescent="0.4">
      <c r="A425" s="248"/>
      <c r="B425" s="1106" t="s">
        <v>410</v>
      </c>
      <c r="C425" s="543" t="s">
        <v>79</v>
      </c>
      <c r="D425" s="276"/>
      <c r="E425" s="436"/>
      <c r="F425" s="333">
        <f t="shared" si="383"/>
        <v>1742</v>
      </c>
      <c r="G425" s="278">
        <v>1700</v>
      </c>
      <c r="H425" s="278">
        <v>42</v>
      </c>
      <c r="I425" s="352" t="str">
        <f>IFERROR(F425/#REF!,"-")</f>
        <v>-</v>
      </c>
      <c r="J425" s="333">
        <f t="shared" si="384"/>
        <v>5620</v>
      </c>
      <c r="K425" s="278">
        <f t="shared" si="379"/>
        <v>5500</v>
      </c>
      <c r="L425" s="436">
        <f t="shared" si="380"/>
        <v>120</v>
      </c>
      <c r="M425" s="337" t="str">
        <f t="shared" si="389"/>
        <v>-</v>
      </c>
      <c r="N425" s="263">
        <f t="shared" si="390"/>
        <v>2.1352313167259787E-2</v>
      </c>
      <c r="O425" s="508">
        <v>41.992699999999999</v>
      </c>
      <c r="P425" s="404">
        <f t="shared" si="381"/>
        <v>71387.59</v>
      </c>
      <c r="Q425" s="449">
        <f t="shared" si="382"/>
        <v>230959.85</v>
      </c>
    </row>
    <row r="426" spans="1:17" ht="23.4" x14ac:dyDescent="0.4">
      <c r="A426" s="248"/>
      <c r="B426" s="1107"/>
      <c r="C426" s="543" t="s">
        <v>72</v>
      </c>
      <c r="D426" s="276"/>
      <c r="E426" s="436"/>
      <c r="F426" s="333">
        <f t="shared" si="383"/>
        <v>0</v>
      </c>
      <c r="G426" s="278"/>
      <c r="H426" s="278"/>
      <c r="I426" s="352" t="str">
        <f>IFERROR(F426/#REF!,"-")</f>
        <v>-</v>
      </c>
      <c r="J426" s="333">
        <f t="shared" si="384"/>
        <v>0</v>
      </c>
      <c r="K426" s="278">
        <f t="shared" si="379"/>
        <v>0</v>
      </c>
      <c r="L426" s="436">
        <f t="shared" si="380"/>
        <v>0</v>
      </c>
      <c r="M426" s="337" t="str">
        <f t="shared" si="389"/>
        <v>-</v>
      </c>
      <c r="N426" s="263" t="str">
        <f t="shared" si="390"/>
        <v>-</v>
      </c>
      <c r="O426" s="508">
        <v>42.283799999999999</v>
      </c>
      <c r="P426" s="404">
        <f t="shared" si="381"/>
        <v>0</v>
      </c>
      <c r="Q426" s="449">
        <f t="shared" si="382"/>
        <v>0</v>
      </c>
    </row>
    <row r="427" spans="1:17" ht="23.4" x14ac:dyDescent="0.4">
      <c r="A427" s="248"/>
      <c r="B427" s="1107"/>
      <c r="C427" s="543" t="s">
        <v>380</v>
      </c>
      <c r="D427" s="276"/>
      <c r="E427" s="436"/>
      <c r="F427" s="333">
        <f t="shared" si="383"/>
        <v>0</v>
      </c>
      <c r="G427" s="278"/>
      <c r="H427" s="278"/>
      <c r="I427" s="352" t="str">
        <f>IFERROR(F427/#REF!,"-")</f>
        <v>-</v>
      </c>
      <c r="J427" s="333">
        <f t="shared" si="384"/>
        <v>0</v>
      </c>
      <c r="K427" s="278">
        <f t="shared" si="379"/>
        <v>0</v>
      </c>
      <c r="L427" s="436">
        <f t="shared" si="380"/>
        <v>0</v>
      </c>
      <c r="M427" s="337" t="str">
        <f t="shared" si="389"/>
        <v>-</v>
      </c>
      <c r="N427" s="263" t="str">
        <f t="shared" si="390"/>
        <v>-</v>
      </c>
      <c r="O427" s="710">
        <v>41.992699999999999</v>
      </c>
      <c r="P427" s="404">
        <f t="shared" si="381"/>
        <v>0</v>
      </c>
      <c r="Q427" s="449">
        <f t="shared" si="382"/>
        <v>0</v>
      </c>
    </row>
    <row r="428" spans="1:17" ht="24" thickBot="1" x14ac:dyDescent="0.45">
      <c r="A428" s="248"/>
      <c r="B428" s="1108"/>
      <c r="C428" s="543" t="s">
        <v>381</v>
      </c>
      <c r="D428" s="276"/>
      <c r="E428" s="436"/>
      <c r="F428" s="333">
        <f t="shared" si="383"/>
        <v>0</v>
      </c>
      <c r="G428" s="278"/>
      <c r="H428" s="278"/>
      <c r="I428" s="352" t="str">
        <f>IFERROR(F428/#REF!,"-")</f>
        <v>-</v>
      </c>
      <c r="J428" s="333">
        <f t="shared" si="384"/>
        <v>0</v>
      </c>
      <c r="K428" s="278">
        <f t="shared" si="379"/>
        <v>0</v>
      </c>
      <c r="L428" s="436">
        <f t="shared" si="380"/>
        <v>0</v>
      </c>
      <c r="M428" s="337" t="str">
        <f t="shared" si="389"/>
        <v>-</v>
      </c>
      <c r="N428" s="263" t="str">
        <f t="shared" si="390"/>
        <v>-</v>
      </c>
      <c r="O428" s="710">
        <v>42.283799999999999</v>
      </c>
      <c r="P428" s="404">
        <f t="shared" si="381"/>
        <v>0</v>
      </c>
      <c r="Q428" s="449">
        <f t="shared" si="382"/>
        <v>0</v>
      </c>
    </row>
    <row r="429" spans="1:17" ht="24" thickBot="1" x14ac:dyDescent="0.45">
      <c r="A429" s="248"/>
      <c r="B429" s="717" t="s">
        <v>80</v>
      </c>
      <c r="C429" s="543" t="s">
        <v>81</v>
      </c>
      <c r="D429" s="276"/>
      <c r="E429" s="436"/>
      <c r="F429" s="333">
        <f t="shared" si="383"/>
        <v>3320</v>
      </c>
      <c r="G429" s="278">
        <v>3200</v>
      </c>
      <c r="H429" s="278">
        <v>120</v>
      </c>
      <c r="I429" s="352" t="str">
        <f>IFERROR(F429/#REF!,"-")</f>
        <v>-</v>
      </c>
      <c r="J429" s="333">
        <f t="shared" si="384"/>
        <v>11608</v>
      </c>
      <c r="K429" s="278">
        <f t="shared" si="379"/>
        <v>11000</v>
      </c>
      <c r="L429" s="436">
        <f t="shared" si="380"/>
        <v>608</v>
      </c>
      <c r="M429" s="337" t="str">
        <f t="shared" si="389"/>
        <v>-</v>
      </c>
      <c r="N429" s="263">
        <f t="shared" si="390"/>
        <v>5.2377670572019294E-2</v>
      </c>
      <c r="O429" s="508">
        <v>4.3535000000000004</v>
      </c>
      <c r="P429" s="404">
        <f t="shared" si="381"/>
        <v>13931.2</v>
      </c>
      <c r="Q429" s="449">
        <f t="shared" si="382"/>
        <v>47888.500000000007</v>
      </c>
    </row>
    <row r="430" spans="1:17" ht="23.4" x14ac:dyDescent="0.4">
      <c r="A430" s="248"/>
      <c r="B430" s="1106" t="s">
        <v>253</v>
      </c>
      <c r="C430" s="543" t="s">
        <v>77</v>
      </c>
      <c r="D430" s="276"/>
      <c r="E430" s="436"/>
      <c r="F430" s="333">
        <f t="shared" si="383"/>
        <v>45314</v>
      </c>
      <c r="G430" s="278">
        <v>45100</v>
      </c>
      <c r="H430" s="278">
        <v>214</v>
      </c>
      <c r="I430" s="352" t="str">
        <f>IFERROR(F430/#REF!,"-")</f>
        <v>-</v>
      </c>
      <c r="J430" s="333">
        <f t="shared" si="384"/>
        <v>296050</v>
      </c>
      <c r="K430" s="278">
        <f t="shared" si="379"/>
        <v>294800</v>
      </c>
      <c r="L430" s="436">
        <f t="shared" si="380"/>
        <v>1250</v>
      </c>
      <c r="M430" s="337" t="str">
        <f t="shared" si="389"/>
        <v>-</v>
      </c>
      <c r="N430" s="263">
        <f t="shared" si="390"/>
        <v>4.2222597534200303E-3</v>
      </c>
      <c r="O430" s="508">
        <v>4.6184000000000003</v>
      </c>
      <c r="P430" s="404">
        <f t="shared" si="381"/>
        <v>208289.84000000003</v>
      </c>
      <c r="Q430" s="449">
        <f t="shared" si="382"/>
        <v>1361504.32</v>
      </c>
    </row>
    <row r="431" spans="1:17" ht="23.4" x14ac:dyDescent="0.4">
      <c r="A431" s="248"/>
      <c r="B431" s="1107"/>
      <c r="C431" s="543" t="s">
        <v>340</v>
      </c>
      <c r="D431" s="276"/>
      <c r="E431" s="436"/>
      <c r="F431" s="333">
        <f t="shared" si="383"/>
        <v>0</v>
      </c>
      <c r="G431" s="278"/>
      <c r="H431" s="278"/>
      <c r="I431" s="352" t="str">
        <f>IFERROR(F431/#REF!,"-")</f>
        <v>-</v>
      </c>
      <c r="J431" s="333">
        <f t="shared" si="384"/>
        <v>0</v>
      </c>
      <c r="K431" s="278">
        <f t="shared" si="379"/>
        <v>0</v>
      </c>
      <c r="L431" s="436">
        <f t="shared" si="380"/>
        <v>0</v>
      </c>
      <c r="M431" s="337" t="str">
        <f t="shared" si="389"/>
        <v>-</v>
      </c>
      <c r="N431" s="263" t="str">
        <f t="shared" si="390"/>
        <v>-</v>
      </c>
      <c r="O431" s="508">
        <v>4.6184000000000003</v>
      </c>
      <c r="P431" s="404">
        <f t="shared" si="381"/>
        <v>0</v>
      </c>
      <c r="Q431" s="449">
        <f t="shared" si="382"/>
        <v>0</v>
      </c>
    </row>
    <row r="432" spans="1:17" ht="23.4" x14ac:dyDescent="0.4">
      <c r="A432" s="248"/>
      <c r="B432" s="1107"/>
      <c r="C432" s="543" t="s">
        <v>252</v>
      </c>
      <c r="D432" s="276"/>
      <c r="E432" s="436"/>
      <c r="F432" s="333">
        <f t="shared" si="383"/>
        <v>0</v>
      </c>
      <c r="G432" s="278"/>
      <c r="H432" s="278"/>
      <c r="I432" s="352" t="str">
        <f>IFERROR(F432/#REF!,"-")</f>
        <v>-</v>
      </c>
      <c r="J432" s="333">
        <f t="shared" si="384"/>
        <v>0</v>
      </c>
      <c r="K432" s="278">
        <f t="shared" si="379"/>
        <v>0</v>
      </c>
      <c r="L432" s="436">
        <f t="shared" si="380"/>
        <v>0</v>
      </c>
      <c r="M432" s="337" t="str">
        <f t="shared" si="389"/>
        <v>-</v>
      </c>
      <c r="N432" s="263" t="str">
        <f t="shared" si="390"/>
        <v>-</v>
      </c>
      <c r="O432" s="508">
        <v>4.6184000000000003</v>
      </c>
      <c r="P432" s="404">
        <f t="shared" si="381"/>
        <v>0</v>
      </c>
      <c r="Q432" s="449">
        <f t="shared" si="382"/>
        <v>0</v>
      </c>
    </row>
    <row r="433" spans="1:17" ht="23.4" x14ac:dyDescent="0.4">
      <c r="A433" s="248"/>
      <c r="B433" s="1107"/>
      <c r="C433" s="543" t="s">
        <v>350</v>
      </c>
      <c r="D433" s="276"/>
      <c r="E433" s="436"/>
      <c r="F433" s="333">
        <f t="shared" si="383"/>
        <v>0</v>
      </c>
      <c r="G433" s="278"/>
      <c r="H433" s="278"/>
      <c r="I433" s="352" t="str">
        <f>IFERROR(F433/#REF!,"-")</f>
        <v>-</v>
      </c>
      <c r="J433" s="333">
        <f t="shared" si="384"/>
        <v>0</v>
      </c>
      <c r="K433" s="686">
        <f t="shared" si="379"/>
        <v>0</v>
      </c>
      <c r="L433" s="687">
        <f t="shared" si="380"/>
        <v>0</v>
      </c>
      <c r="M433" s="337" t="str">
        <f t="shared" si="389"/>
        <v>-</v>
      </c>
      <c r="N433" s="263" t="str">
        <f t="shared" si="390"/>
        <v>-</v>
      </c>
      <c r="O433" s="508">
        <v>4.7636000000000003</v>
      </c>
      <c r="P433" s="404">
        <f t="shared" si="381"/>
        <v>0</v>
      </c>
      <c r="Q433" s="449">
        <f t="shared" si="382"/>
        <v>0</v>
      </c>
    </row>
    <row r="434" spans="1:17" ht="24" thickBot="1" x14ac:dyDescent="0.45">
      <c r="A434" s="248"/>
      <c r="B434" s="1108"/>
      <c r="C434" s="543" t="s">
        <v>346</v>
      </c>
      <c r="D434" s="276"/>
      <c r="E434" s="436"/>
      <c r="F434" s="333">
        <f t="shared" si="383"/>
        <v>0</v>
      </c>
      <c r="G434" s="278"/>
      <c r="H434" s="278"/>
      <c r="I434" s="352" t="str">
        <f>IFERROR(F434/#REF!,"-")</f>
        <v>-</v>
      </c>
      <c r="J434" s="333">
        <f t="shared" si="384"/>
        <v>0</v>
      </c>
      <c r="K434" s="278">
        <f t="shared" si="379"/>
        <v>0</v>
      </c>
      <c r="L434" s="436">
        <f t="shared" si="380"/>
        <v>0</v>
      </c>
      <c r="M434" s="337" t="str">
        <f t="shared" si="389"/>
        <v>-</v>
      </c>
      <c r="N434" s="263" t="str">
        <f t="shared" si="390"/>
        <v>-</v>
      </c>
      <c r="O434" s="508">
        <v>4.8738000000000001</v>
      </c>
      <c r="P434" s="404">
        <f t="shared" si="381"/>
        <v>0</v>
      </c>
      <c r="Q434" s="449">
        <f t="shared" si="382"/>
        <v>0</v>
      </c>
    </row>
    <row r="435" spans="1:17" ht="24" thickBot="1" x14ac:dyDescent="0.45">
      <c r="A435" s="248"/>
      <c r="B435" s="717" t="s">
        <v>254</v>
      </c>
      <c r="C435" s="543" t="s">
        <v>520</v>
      </c>
      <c r="D435" s="276"/>
      <c r="E435" s="436"/>
      <c r="F435" s="333">
        <f t="shared" si="383"/>
        <v>11082</v>
      </c>
      <c r="G435" s="278">
        <v>11000</v>
      </c>
      <c r="H435" s="278">
        <v>82</v>
      </c>
      <c r="I435" s="352" t="str">
        <f>IFERROR(F435/#REF!,"-")</f>
        <v>-</v>
      </c>
      <c r="J435" s="333">
        <f t="shared" si="384"/>
        <v>11082</v>
      </c>
      <c r="K435" s="278">
        <f t="shared" si="379"/>
        <v>11000</v>
      </c>
      <c r="L435" s="436">
        <f t="shared" si="380"/>
        <v>82</v>
      </c>
      <c r="M435" s="337" t="str">
        <f t="shared" si="389"/>
        <v>-</v>
      </c>
      <c r="N435" s="263">
        <f t="shared" si="390"/>
        <v>7.3993863923479519E-3</v>
      </c>
      <c r="O435" s="508">
        <v>4.8738000000000001</v>
      </c>
      <c r="P435" s="404">
        <f t="shared" si="381"/>
        <v>53611.8</v>
      </c>
      <c r="Q435" s="449">
        <f t="shared" si="382"/>
        <v>53611.8</v>
      </c>
    </row>
    <row r="436" spans="1:17" ht="23.4" x14ac:dyDescent="0.4">
      <c r="A436" s="248"/>
      <c r="B436" s="1106" t="s">
        <v>256</v>
      </c>
      <c r="C436" s="543" t="s">
        <v>77</v>
      </c>
      <c r="D436" s="276"/>
      <c r="E436" s="436"/>
      <c r="F436" s="333">
        <f t="shared" si="383"/>
        <v>29153</v>
      </c>
      <c r="G436" s="278">
        <v>28560</v>
      </c>
      <c r="H436" s="278">
        <v>593</v>
      </c>
      <c r="I436" s="352" t="str">
        <f>IFERROR(F436/#REF!,"-")</f>
        <v>-</v>
      </c>
      <c r="J436" s="333">
        <f t="shared" si="384"/>
        <v>225022</v>
      </c>
      <c r="K436" s="719">
        <f t="shared" si="379"/>
        <v>220780</v>
      </c>
      <c r="L436" s="815">
        <f t="shared" si="380"/>
        <v>4242</v>
      </c>
      <c r="M436" s="337" t="str">
        <f t="shared" si="389"/>
        <v>-</v>
      </c>
      <c r="N436" s="263">
        <f t="shared" si="390"/>
        <v>1.885149007652585E-2</v>
      </c>
      <c r="O436" s="508">
        <v>4.9344999999999999</v>
      </c>
      <c r="P436" s="404">
        <f t="shared" si="381"/>
        <v>140929.32</v>
      </c>
      <c r="Q436" s="449">
        <f t="shared" si="382"/>
        <v>1089438.9099999999</v>
      </c>
    </row>
    <row r="437" spans="1:17" ht="23.4" x14ac:dyDescent="0.4">
      <c r="A437" s="248"/>
      <c r="B437" s="1107"/>
      <c r="C437" s="543" t="s">
        <v>135</v>
      </c>
      <c r="D437" s="276"/>
      <c r="E437" s="436"/>
      <c r="F437" s="333">
        <f t="shared" si="383"/>
        <v>0</v>
      </c>
      <c r="G437" s="278"/>
      <c r="H437" s="278"/>
      <c r="I437" s="352" t="str">
        <f>IFERROR(F437/#REF!,"-")</f>
        <v>-</v>
      </c>
      <c r="J437" s="333">
        <f t="shared" si="384"/>
        <v>0</v>
      </c>
      <c r="K437" s="278">
        <f t="shared" si="379"/>
        <v>0</v>
      </c>
      <c r="L437" s="436">
        <f t="shared" si="380"/>
        <v>0</v>
      </c>
      <c r="M437" s="337" t="str">
        <f t="shared" si="389"/>
        <v>-</v>
      </c>
      <c r="N437" s="263" t="str">
        <f t="shared" si="390"/>
        <v>-</v>
      </c>
      <c r="O437" s="508">
        <v>4.9344999999999999</v>
      </c>
      <c r="P437" s="404">
        <f t="shared" si="381"/>
        <v>0</v>
      </c>
      <c r="Q437" s="449">
        <f t="shared" si="382"/>
        <v>0</v>
      </c>
    </row>
    <row r="438" spans="1:17" ht="23.4" x14ac:dyDescent="0.4">
      <c r="A438" s="248"/>
      <c r="B438" s="1107"/>
      <c r="C438" s="543" t="s">
        <v>129</v>
      </c>
      <c r="D438" s="276"/>
      <c r="E438" s="436"/>
      <c r="F438" s="333">
        <f t="shared" si="383"/>
        <v>0</v>
      </c>
      <c r="G438" s="278"/>
      <c r="H438" s="278"/>
      <c r="I438" s="352" t="str">
        <f>IFERROR(F438/#REF!,"-")</f>
        <v>-</v>
      </c>
      <c r="J438" s="333">
        <f t="shared" si="384"/>
        <v>0</v>
      </c>
      <c r="K438" s="278">
        <f t="shared" si="379"/>
        <v>0</v>
      </c>
      <c r="L438" s="436">
        <f t="shared" si="380"/>
        <v>0</v>
      </c>
      <c r="M438" s="337" t="str">
        <f t="shared" si="389"/>
        <v>-</v>
      </c>
      <c r="N438" s="263" t="str">
        <f t="shared" si="390"/>
        <v>-</v>
      </c>
      <c r="O438" s="508">
        <v>4.9344999999999999</v>
      </c>
      <c r="P438" s="404">
        <f t="shared" si="381"/>
        <v>0</v>
      </c>
      <c r="Q438" s="449">
        <f t="shared" si="382"/>
        <v>0</v>
      </c>
    </row>
    <row r="439" spans="1:17" ht="24" thickBot="1" x14ac:dyDescent="0.45">
      <c r="A439" s="248"/>
      <c r="B439" s="1108"/>
      <c r="C439" s="543" t="s">
        <v>255</v>
      </c>
      <c r="D439" s="276"/>
      <c r="E439" s="436"/>
      <c r="F439" s="333">
        <f t="shared" si="383"/>
        <v>0</v>
      </c>
      <c r="G439" s="278"/>
      <c r="H439" s="278"/>
      <c r="I439" s="352" t="str">
        <f>IFERROR(F439/#REF!,"-")</f>
        <v>-</v>
      </c>
      <c r="J439" s="333">
        <f t="shared" si="384"/>
        <v>0</v>
      </c>
      <c r="K439" s="278">
        <f t="shared" si="379"/>
        <v>0</v>
      </c>
      <c r="L439" s="436">
        <f t="shared" si="380"/>
        <v>0</v>
      </c>
      <c r="M439" s="337" t="str">
        <f t="shared" si="389"/>
        <v>-</v>
      </c>
      <c r="N439" s="263" t="str">
        <f t="shared" si="390"/>
        <v>-</v>
      </c>
      <c r="O439" s="508">
        <v>5.5069999999999997</v>
      </c>
      <c r="P439" s="404">
        <f t="shared" si="381"/>
        <v>0</v>
      </c>
      <c r="Q439" s="449">
        <f t="shared" si="382"/>
        <v>0</v>
      </c>
    </row>
    <row r="440" spans="1:17" ht="23.4" x14ac:dyDescent="0.4">
      <c r="A440" s="248"/>
      <c r="B440" s="1106" t="s">
        <v>261</v>
      </c>
      <c r="C440" s="543" t="s">
        <v>257</v>
      </c>
      <c r="D440" s="276"/>
      <c r="E440" s="436"/>
      <c r="F440" s="333">
        <f t="shared" si="383"/>
        <v>31892</v>
      </c>
      <c r="G440" s="278">
        <v>31500</v>
      </c>
      <c r="H440" s="278">
        <v>392</v>
      </c>
      <c r="I440" s="352" t="str">
        <f>IFERROR(F440/#REF!,"-")</f>
        <v>-</v>
      </c>
      <c r="J440" s="333">
        <f t="shared" si="384"/>
        <v>249123</v>
      </c>
      <c r="K440" s="278">
        <f t="shared" si="379"/>
        <v>246750</v>
      </c>
      <c r="L440" s="687">
        <f t="shared" si="380"/>
        <v>2373</v>
      </c>
      <c r="M440" s="337" t="str">
        <f t="shared" si="389"/>
        <v>-</v>
      </c>
      <c r="N440" s="263">
        <f t="shared" si="390"/>
        <v>9.5254151563685403E-3</v>
      </c>
      <c r="O440" s="710">
        <v>5.5069999999999997</v>
      </c>
      <c r="P440" s="404">
        <f t="shared" si="381"/>
        <v>173470.5</v>
      </c>
      <c r="Q440" s="449">
        <f t="shared" si="382"/>
        <v>1358852.25</v>
      </c>
    </row>
    <row r="441" spans="1:17" ht="23.4" x14ac:dyDescent="0.4">
      <c r="A441" s="248"/>
      <c r="B441" s="1107"/>
      <c r="C441" s="543" t="s">
        <v>258</v>
      </c>
      <c r="D441" s="276"/>
      <c r="E441" s="436"/>
      <c r="F441" s="333">
        <f t="shared" si="383"/>
        <v>0</v>
      </c>
      <c r="G441" s="278"/>
      <c r="H441" s="278"/>
      <c r="I441" s="352" t="str">
        <f>IFERROR(F441/#REF!,"-")</f>
        <v>-</v>
      </c>
      <c r="J441" s="333">
        <f t="shared" si="384"/>
        <v>0</v>
      </c>
      <c r="K441" s="278">
        <f t="shared" si="379"/>
        <v>0</v>
      </c>
      <c r="L441" s="436">
        <f t="shared" si="380"/>
        <v>0</v>
      </c>
      <c r="M441" s="337" t="str">
        <f t="shared" si="389"/>
        <v>-</v>
      </c>
      <c r="N441" s="263" t="str">
        <f t="shared" si="390"/>
        <v>-</v>
      </c>
      <c r="O441" s="508">
        <v>5.6550000000000002</v>
      </c>
      <c r="P441" s="404">
        <f t="shared" si="381"/>
        <v>0</v>
      </c>
      <c r="Q441" s="449">
        <f t="shared" si="382"/>
        <v>0</v>
      </c>
    </row>
    <row r="442" spans="1:17" ht="23.4" x14ac:dyDescent="0.4">
      <c r="A442" s="248"/>
      <c r="B442" s="1107"/>
      <c r="C442" s="543" t="s">
        <v>321</v>
      </c>
      <c r="D442" s="276"/>
      <c r="E442" s="436"/>
      <c r="F442" s="333">
        <f t="shared" si="383"/>
        <v>0</v>
      </c>
      <c r="G442" s="278"/>
      <c r="H442" s="278"/>
      <c r="I442" s="352" t="str">
        <f>IFERROR(F442/#REF!,"-")</f>
        <v>-</v>
      </c>
      <c r="J442" s="333">
        <f t="shared" si="384"/>
        <v>0</v>
      </c>
      <c r="K442" s="686">
        <f t="shared" si="379"/>
        <v>0</v>
      </c>
      <c r="L442" s="687">
        <f t="shared" si="380"/>
        <v>0</v>
      </c>
      <c r="M442" s="337" t="str">
        <f t="shared" si="389"/>
        <v>-</v>
      </c>
      <c r="N442" s="263" t="str">
        <f t="shared" si="390"/>
        <v>-</v>
      </c>
      <c r="O442" s="508">
        <v>5.6550000000000002</v>
      </c>
      <c r="P442" s="404">
        <f t="shared" si="381"/>
        <v>0</v>
      </c>
      <c r="Q442" s="449">
        <f t="shared" si="382"/>
        <v>0</v>
      </c>
    </row>
    <row r="443" spans="1:17" ht="23.4" x14ac:dyDescent="0.4">
      <c r="A443" s="248"/>
      <c r="B443" s="1107"/>
      <c r="C443" s="543" t="s">
        <v>259</v>
      </c>
      <c r="D443" s="276"/>
      <c r="E443" s="436"/>
      <c r="F443" s="333">
        <f t="shared" si="383"/>
        <v>0</v>
      </c>
      <c r="G443" s="278"/>
      <c r="H443" s="278"/>
      <c r="I443" s="352" t="str">
        <f>IFERROR(F443/#REF!,"-")</f>
        <v>-</v>
      </c>
      <c r="J443" s="333">
        <f t="shared" si="384"/>
        <v>0</v>
      </c>
      <c r="K443" s="278">
        <f t="shared" si="379"/>
        <v>0</v>
      </c>
      <c r="L443" s="436">
        <f t="shared" si="380"/>
        <v>0</v>
      </c>
      <c r="M443" s="337" t="str">
        <f t="shared" si="389"/>
        <v>-</v>
      </c>
      <c r="N443" s="263" t="str">
        <f t="shared" si="390"/>
        <v>-</v>
      </c>
      <c r="O443" s="508">
        <v>5.6550000000000002</v>
      </c>
      <c r="P443" s="404">
        <f t="shared" si="381"/>
        <v>0</v>
      </c>
      <c r="Q443" s="449">
        <f t="shared" si="382"/>
        <v>0</v>
      </c>
    </row>
    <row r="444" spans="1:17" ht="23.4" x14ac:dyDescent="0.4">
      <c r="A444" s="248" t="s">
        <v>101</v>
      </c>
      <c r="B444" s="1107"/>
      <c r="C444" s="543" t="s">
        <v>260</v>
      </c>
      <c r="D444" s="276"/>
      <c r="E444" s="436"/>
      <c r="F444" s="333">
        <f t="shared" si="383"/>
        <v>0</v>
      </c>
      <c r="G444" s="278"/>
      <c r="H444" s="278"/>
      <c r="I444" s="352" t="str">
        <f>IFERROR(F444/#REF!,"-")</f>
        <v>-</v>
      </c>
      <c r="J444" s="333">
        <f t="shared" si="384"/>
        <v>0</v>
      </c>
      <c r="K444" s="278">
        <f t="shared" si="379"/>
        <v>0</v>
      </c>
      <c r="L444" s="436">
        <f t="shared" si="380"/>
        <v>0</v>
      </c>
      <c r="M444" s="337" t="str">
        <f t="shared" si="389"/>
        <v>-</v>
      </c>
      <c r="N444" s="263" t="str">
        <f t="shared" si="390"/>
        <v>-</v>
      </c>
      <c r="O444" s="508">
        <v>3.2963</v>
      </c>
      <c r="P444" s="404">
        <f t="shared" si="381"/>
        <v>0</v>
      </c>
      <c r="Q444" s="449">
        <f t="shared" si="382"/>
        <v>0</v>
      </c>
    </row>
    <row r="445" spans="1:17" ht="24" thickBot="1" x14ac:dyDescent="0.45">
      <c r="A445" s="248" t="s">
        <v>101</v>
      </c>
      <c r="B445" s="1108"/>
      <c r="C445" s="543" t="s">
        <v>255</v>
      </c>
      <c r="D445" s="276"/>
      <c r="E445" s="436"/>
      <c r="F445" s="333">
        <f t="shared" si="383"/>
        <v>0</v>
      </c>
      <c r="G445" s="278"/>
      <c r="H445" s="278"/>
      <c r="I445" s="352" t="str">
        <f>IFERROR(F445/#REF!,"-")</f>
        <v>-</v>
      </c>
      <c r="J445" s="333">
        <f t="shared" si="384"/>
        <v>0</v>
      </c>
      <c r="K445" s="278">
        <f t="shared" si="379"/>
        <v>0</v>
      </c>
      <c r="L445" s="436">
        <f t="shared" si="380"/>
        <v>0</v>
      </c>
      <c r="M445" s="337" t="str">
        <f t="shared" si="389"/>
        <v>-</v>
      </c>
      <c r="N445" s="263" t="str">
        <f t="shared" si="390"/>
        <v>-</v>
      </c>
      <c r="O445" s="508">
        <v>3.2963</v>
      </c>
      <c r="P445" s="404">
        <f t="shared" si="381"/>
        <v>0</v>
      </c>
      <c r="Q445" s="449">
        <f t="shared" si="382"/>
        <v>0</v>
      </c>
    </row>
    <row r="446" spans="1:17" ht="23.4" x14ac:dyDescent="0.4">
      <c r="A446" s="248" t="s">
        <v>101</v>
      </c>
      <c r="B446" s="546"/>
      <c r="C446" s="544" t="s">
        <v>89</v>
      </c>
      <c r="D446" s="511"/>
      <c r="E446" s="436"/>
      <c r="F446" s="333">
        <f t="shared" si="383"/>
        <v>0</v>
      </c>
      <c r="G446" s="278"/>
      <c r="H446" s="278"/>
      <c r="I446" s="352" t="str">
        <f>IFERROR(F446/#REF!,"-")</f>
        <v>-</v>
      </c>
      <c r="J446" s="333">
        <f t="shared" si="384"/>
        <v>0</v>
      </c>
      <c r="K446" s="278">
        <f t="shared" si="379"/>
        <v>0</v>
      </c>
      <c r="L446" s="436">
        <f t="shared" si="380"/>
        <v>0</v>
      </c>
      <c r="M446" s="337" t="str">
        <f t="shared" si="389"/>
        <v>-</v>
      </c>
      <c r="N446" s="263" t="str">
        <f t="shared" si="390"/>
        <v>-</v>
      </c>
      <c r="O446" s="508">
        <v>2.3201000000000001</v>
      </c>
      <c r="P446" s="404">
        <f t="shared" si="381"/>
        <v>0</v>
      </c>
      <c r="Q446" s="449">
        <f t="shared" si="382"/>
        <v>0</v>
      </c>
    </row>
    <row r="447" spans="1:17" ht="24" thickBot="1" x14ac:dyDescent="0.35">
      <c r="A447" s="248" t="s">
        <v>101</v>
      </c>
      <c r="B447" s="524"/>
      <c r="C447" s="541"/>
      <c r="D447" s="530"/>
      <c r="E447" s="462"/>
      <c r="F447" s="460">
        <f t="shared" si="383"/>
        <v>0</v>
      </c>
      <c r="G447" s="461"/>
      <c r="H447" s="461"/>
      <c r="I447" s="532" t="str">
        <f>IFERROR(F447/#REF!,"-")</f>
        <v>-</v>
      </c>
      <c r="J447" s="460">
        <f t="shared" si="384"/>
        <v>0</v>
      </c>
      <c r="K447" s="461">
        <f t="shared" si="379"/>
        <v>0</v>
      </c>
      <c r="L447" s="462">
        <f t="shared" si="380"/>
        <v>0</v>
      </c>
      <c r="M447" s="683" t="str">
        <f t="shared" si="389"/>
        <v>-</v>
      </c>
      <c r="N447" s="264" t="str">
        <f t="shared" si="390"/>
        <v>-</v>
      </c>
      <c r="O447" s="539"/>
      <c r="P447" s="536">
        <f t="shared" si="381"/>
        <v>0</v>
      </c>
      <c r="Q447" s="537">
        <f t="shared" si="382"/>
        <v>0</v>
      </c>
    </row>
    <row r="448" spans="1:17" ht="23.25" customHeight="1" thickBot="1" x14ac:dyDescent="0.35">
      <c r="A448" s="274" t="s">
        <v>101</v>
      </c>
      <c r="B448" s="1109" t="s">
        <v>25</v>
      </c>
      <c r="C448" s="1046"/>
      <c r="D448" s="513">
        <f>SUM(D421:D447)</f>
        <v>0</v>
      </c>
      <c r="E448" s="526">
        <v>100000</v>
      </c>
      <c r="F448" s="519">
        <f>SUM(F416:F447)</f>
        <v>138210</v>
      </c>
      <c r="G448" s="519">
        <f>SUM(G416:G447)</f>
        <v>136460</v>
      </c>
      <c r="H448" s="519">
        <f>SUM(H416:H447)</f>
        <v>1750</v>
      </c>
      <c r="I448" s="520" t="str">
        <f>IFERROR(F448/#REF!,"-")</f>
        <v>-</v>
      </c>
      <c r="J448" s="513">
        <f>SUM(J416:J447)</f>
        <v>854582</v>
      </c>
      <c r="K448" s="513">
        <f t="shared" ref="K448:L448" si="391">SUM(K416:K447)</f>
        <v>844893</v>
      </c>
      <c r="L448" s="513">
        <f t="shared" si="391"/>
        <v>9689</v>
      </c>
      <c r="M448" s="521" t="str">
        <f t="shared" si="389"/>
        <v>-</v>
      </c>
      <c r="N448" s="520">
        <f t="shared" si="390"/>
        <v>1.1337706621482783E-2</v>
      </c>
      <c r="O448" s="522"/>
      <c r="P448" s="523">
        <f>SUM(P416:P447)</f>
        <v>1184413.6700000002</v>
      </c>
      <c r="Q448" s="523">
        <f>SUM(Q416:Q447)</f>
        <v>6242758.4453999996</v>
      </c>
    </row>
    <row r="449" spans="1:17" ht="23.25" customHeight="1" thickBot="1" x14ac:dyDescent="0.35">
      <c r="A449" s="318" t="s">
        <v>101</v>
      </c>
      <c r="B449" s="1111" t="s">
        <v>249</v>
      </c>
      <c r="C449" s="1112"/>
      <c r="D449" s="326">
        <f>+D420+D448</f>
        <v>0</v>
      </c>
      <c r="E449" s="327">
        <f>+E420+E448</f>
        <v>100000</v>
      </c>
      <c r="F449" s="326">
        <f>+F448</f>
        <v>138210</v>
      </c>
      <c r="G449" s="326">
        <f t="shared" ref="G449:H449" si="392">+G448</f>
        <v>136460</v>
      </c>
      <c r="H449" s="326">
        <f t="shared" si="392"/>
        <v>1750</v>
      </c>
      <c r="I449" s="349" t="str">
        <f>IFERROR(F449/#REF!,"-")</f>
        <v>-</v>
      </c>
      <c r="J449" s="326">
        <f>+J448</f>
        <v>854582</v>
      </c>
      <c r="K449" s="326">
        <f t="shared" ref="K449:L449" si="393">+K448</f>
        <v>844893</v>
      </c>
      <c r="L449" s="326">
        <f t="shared" si="393"/>
        <v>9689</v>
      </c>
      <c r="M449" s="341" t="str">
        <f t="shared" si="389"/>
        <v>-</v>
      </c>
      <c r="N449" s="349">
        <f t="shared" si="390"/>
        <v>1.1337706621482783E-2</v>
      </c>
      <c r="O449" s="394"/>
      <c r="P449" s="410">
        <f>+P448</f>
        <v>1184413.6700000002</v>
      </c>
      <c r="Q449" s="428">
        <f>Q448</f>
        <v>6242758.4453999996</v>
      </c>
    </row>
    <row r="450" spans="1:17" ht="24.6" thickBot="1" x14ac:dyDescent="0.35">
      <c r="A450" s="319"/>
      <c r="B450" s="1113" t="s">
        <v>174</v>
      </c>
      <c r="C450" s="1114"/>
      <c r="D450" s="374">
        <f>+D449+D415+D406</f>
        <v>0</v>
      </c>
      <c r="E450" s="374">
        <f>+E449+E415+E406</f>
        <v>230000</v>
      </c>
      <c r="F450" s="374">
        <f>+F449+F415+F406</f>
        <v>410320</v>
      </c>
      <c r="G450" s="374">
        <f>+G449+G415+G406</f>
        <v>405960</v>
      </c>
      <c r="H450" s="374">
        <f>+H449+H415+H406</f>
        <v>4360</v>
      </c>
      <c r="I450" s="375" t="str">
        <f>IFERROR(F450/#REF!,"-")</f>
        <v>-</v>
      </c>
      <c r="J450" s="374">
        <f>+J449+J415+J406</f>
        <v>2435391</v>
      </c>
      <c r="K450" s="374">
        <f>+K449+K415+K406</f>
        <v>2410093</v>
      </c>
      <c r="L450" s="374">
        <f>+L449+L415+L406</f>
        <v>25298</v>
      </c>
      <c r="M450" s="375" t="str">
        <f t="shared" si="389"/>
        <v>-</v>
      </c>
      <c r="N450" s="375">
        <f>IFERROR(L450/J450,"-")</f>
        <v>1.0387654384860582E-2</v>
      </c>
      <c r="O450" s="401"/>
      <c r="P450" s="418">
        <f>+P449+P415+P406</f>
        <v>1961894.3200000003</v>
      </c>
      <c r="Q450" s="418">
        <f>+Q449+Q415+Q406</f>
        <v>13321078.280400001</v>
      </c>
    </row>
    <row r="451" spans="1:17" ht="24.6" customHeight="1" thickBot="1" x14ac:dyDescent="0.35">
      <c r="A451" s="230"/>
      <c r="B451" s="230"/>
      <c r="C451" s="230"/>
      <c r="D451" s="232"/>
      <c r="E451" s="232"/>
      <c r="F451" s="232"/>
      <c r="G451" s="267"/>
      <c r="H451" s="267"/>
      <c r="I451" s="234"/>
      <c r="J451" s="232"/>
      <c r="K451" s="232"/>
      <c r="L451" s="232"/>
      <c r="M451" s="234"/>
      <c r="N451" s="234"/>
    </row>
    <row r="452" spans="1:17" ht="22.5" customHeight="1" x14ac:dyDescent="0.3">
      <c r="A452" s="1115" t="s">
        <v>1</v>
      </c>
      <c r="B452" s="1118" t="s">
        <v>2</v>
      </c>
      <c r="C452" s="1121" t="s">
        <v>396</v>
      </c>
      <c r="D452" s="1066" t="s">
        <v>4</v>
      </c>
      <c r="E452" s="1067"/>
      <c r="F452" s="1067"/>
      <c r="G452" s="1067"/>
      <c r="H452" s="1067"/>
      <c r="I452" s="1067"/>
      <c r="J452" s="1067"/>
      <c r="K452" s="1067"/>
      <c r="L452" s="1067"/>
      <c r="M452" s="1067"/>
      <c r="N452" s="1068"/>
      <c r="O452" s="1092" t="s">
        <v>167</v>
      </c>
      <c r="P452" s="1093"/>
      <c r="Q452" s="1124"/>
    </row>
    <row r="453" spans="1:17" ht="22.5" customHeight="1" x14ac:dyDescent="0.3">
      <c r="A453" s="1116"/>
      <c r="B453" s="1119"/>
      <c r="C453" s="1122"/>
      <c r="D453" s="1069" t="s">
        <v>7</v>
      </c>
      <c r="E453" s="1071" t="s">
        <v>108</v>
      </c>
      <c r="F453" s="1125" t="s">
        <v>526</v>
      </c>
      <c r="G453" s="1074"/>
      <c r="H453" s="1074"/>
      <c r="I453" s="1075"/>
      <c r="J453" s="1076" t="s">
        <v>8</v>
      </c>
      <c r="K453" s="1077"/>
      <c r="L453" s="1078"/>
      <c r="M453" s="1079" t="s">
        <v>165</v>
      </c>
      <c r="N453" s="1081" t="s">
        <v>164</v>
      </c>
      <c r="O453" s="1126" t="s">
        <v>169</v>
      </c>
      <c r="P453" s="1127"/>
      <c r="Q453" s="1128"/>
    </row>
    <row r="454" spans="1:17" ht="47.4" thickBot="1" x14ac:dyDescent="0.35">
      <c r="A454" s="1117"/>
      <c r="B454" s="1120"/>
      <c r="C454" s="1123"/>
      <c r="D454" s="1070"/>
      <c r="E454" s="1072"/>
      <c r="F454" s="452" t="s">
        <v>13</v>
      </c>
      <c r="G454" s="453" t="s">
        <v>14</v>
      </c>
      <c r="H454" s="453" t="s">
        <v>15</v>
      </c>
      <c r="I454" s="454" t="s">
        <v>166</v>
      </c>
      <c r="J454" s="680" t="s">
        <v>13</v>
      </c>
      <c r="K454" s="678" t="s">
        <v>14</v>
      </c>
      <c r="L454" s="679" t="s">
        <v>15</v>
      </c>
      <c r="M454" s="1080"/>
      <c r="N454" s="1082"/>
      <c r="O454" s="444" t="s">
        <v>170</v>
      </c>
      <c r="P454" s="445" t="s">
        <v>11</v>
      </c>
      <c r="Q454" s="446" t="s">
        <v>12</v>
      </c>
    </row>
    <row r="455" spans="1:17" ht="23.4" x14ac:dyDescent="0.3">
      <c r="A455" s="268" t="s">
        <v>103</v>
      </c>
      <c r="B455" s="439"/>
      <c r="C455" s="269" t="s">
        <v>502</v>
      </c>
      <c r="D455" s="270"/>
      <c r="E455" s="271"/>
      <c r="F455" s="332">
        <f>+G455+H455</f>
        <v>0</v>
      </c>
      <c r="G455" s="272"/>
      <c r="H455" s="272"/>
      <c r="I455" s="351" t="str">
        <f>IFERROR(F455/#REF!,"-")</f>
        <v>-</v>
      </c>
      <c r="J455" s="457">
        <f>+K455+L455</f>
        <v>128000</v>
      </c>
      <c r="K455" s="458">
        <f>+G455+K392</f>
        <v>128000</v>
      </c>
      <c r="L455" s="458">
        <f>+H455+L392</f>
        <v>0</v>
      </c>
      <c r="M455" s="336" t="str">
        <f>IFERROR(J455/D455,"-")</f>
        <v>-</v>
      </c>
      <c r="N455" s="343">
        <f t="shared" ref="N455:N456" si="394">IFERROR(L455/J455,"-")</f>
        <v>0</v>
      </c>
      <c r="O455" s="786">
        <v>0</v>
      </c>
      <c r="P455" s="402">
        <f>+O455*G455</f>
        <v>0</v>
      </c>
      <c r="Q455" s="447">
        <f>+O455*K455</f>
        <v>0</v>
      </c>
    </row>
    <row r="456" spans="1:17" ht="23.4" x14ac:dyDescent="0.3">
      <c r="A456" s="274" t="s">
        <v>103</v>
      </c>
      <c r="B456" s="438"/>
      <c r="C456" s="275" t="s">
        <v>245</v>
      </c>
      <c r="D456" s="276"/>
      <c r="E456" s="277"/>
      <c r="F456" s="333">
        <f t="shared" ref="F456:F459" si="395">+G456+H456</f>
        <v>0</v>
      </c>
      <c r="G456" s="719"/>
      <c r="H456" s="719"/>
      <c r="I456" s="352" t="str">
        <f>IFERROR(F456/#REF!,"-")</f>
        <v>-</v>
      </c>
      <c r="J456" s="333">
        <f t="shared" ref="J456:J459" si="396">+K456+L456</f>
        <v>115874</v>
      </c>
      <c r="K456" s="278">
        <f t="shared" ref="K456:K459" si="397">+G456+K393</f>
        <v>115000</v>
      </c>
      <c r="L456" s="436">
        <f t="shared" ref="L456:L459" si="398">+H456+L393</f>
        <v>874</v>
      </c>
      <c r="M456" s="337" t="str">
        <f t="shared" ref="M456:M459" si="399">IFERROR(J456/D456,"-")</f>
        <v>-</v>
      </c>
      <c r="N456" s="265">
        <f t="shared" si="394"/>
        <v>7.5426756649464074E-3</v>
      </c>
      <c r="O456" s="508">
        <v>2.3978999999999999</v>
      </c>
      <c r="P456" s="404">
        <f>+O456*G456</f>
        <v>0</v>
      </c>
      <c r="Q456" s="449">
        <f>+O456*K456</f>
        <v>275758.5</v>
      </c>
    </row>
    <row r="457" spans="1:17" ht="23.4" x14ac:dyDescent="0.3">
      <c r="A457" s="274" t="s">
        <v>103</v>
      </c>
      <c r="B457" s="438"/>
      <c r="C457" s="275" t="s">
        <v>395</v>
      </c>
      <c r="D457" s="276"/>
      <c r="E457" s="277"/>
      <c r="F457" s="333">
        <f t="shared" si="395"/>
        <v>115872</v>
      </c>
      <c r="G457" s="278">
        <v>115000</v>
      </c>
      <c r="H457" s="719">
        <v>872</v>
      </c>
      <c r="I457" s="352" t="str">
        <f>IFERROR(F457/#REF!,"-")</f>
        <v>-</v>
      </c>
      <c r="J457" s="333">
        <f t="shared" si="396"/>
        <v>714001</v>
      </c>
      <c r="K457" s="278">
        <f t="shared" si="397"/>
        <v>707750</v>
      </c>
      <c r="L457" s="436">
        <f t="shared" si="398"/>
        <v>6251</v>
      </c>
      <c r="M457" s="337" t="str">
        <f t="shared" si="399"/>
        <v>-</v>
      </c>
      <c r="N457" s="716">
        <f>IFERROR(L457/J457,"-")</f>
        <v>8.7548896990340356E-3</v>
      </c>
      <c r="O457" s="718">
        <v>3.6777000000000002</v>
      </c>
      <c r="P457" s="404">
        <f t="shared" ref="P457:P459" si="400">+O457*G457</f>
        <v>422935.5</v>
      </c>
      <c r="Q457" s="449">
        <f t="shared" ref="Q457:Q459" si="401">+O457*K457</f>
        <v>2602892.1750000003</v>
      </c>
    </row>
    <row r="458" spans="1:17" ht="23.4" x14ac:dyDescent="0.3">
      <c r="A458" s="274"/>
      <c r="B458" s="451"/>
      <c r="C458" s="275" t="s">
        <v>319</v>
      </c>
      <c r="D458" s="280"/>
      <c r="E458" s="281"/>
      <c r="F458" s="333">
        <f t="shared" si="395"/>
        <v>44619</v>
      </c>
      <c r="G458" s="282">
        <v>44000</v>
      </c>
      <c r="H458" s="282">
        <v>619</v>
      </c>
      <c r="I458" s="352" t="str">
        <f>IFERROR(F458/#REF!,"-")</f>
        <v>-</v>
      </c>
      <c r="J458" s="333">
        <f t="shared" si="396"/>
        <v>280555</v>
      </c>
      <c r="K458" s="278">
        <f t="shared" si="397"/>
        <v>276800</v>
      </c>
      <c r="L458" s="436">
        <f t="shared" si="398"/>
        <v>3755</v>
      </c>
      <c r="M458" s="337" t="str">
        <f t="shared" si="399"/>
        <v>-</v>
      </c>
      <c r="N458" s="265">
        <f>IFERROR(L458/J458,"-")</f>
        <v>1.3384184919178057E-2</v>
      </c>
      <c r="O458" s="509">
        <v>12.284700000000001</v>
      </c>
      <c r="P458" s="404">
        <f t="shared" si="400"/>
        <v>540526.80000000005</v>
      </c>
      <c r="Q458" s="449">
        <f t="shared" si="401"/>
        <v>3400404.9600000004</v>
      </c>
    </row>
    <row r="459" spans="1:17" ht="24" thickBot="1" x14ac:dyDescent="0.35">
      <c r="A459" s="274" t="s">
        <v>103</v>
      </c>
      <c r="B459" s="451"/>
      <c r="C459" s="275" t="s">
        <v>365</v>
      </c>
      <c r="D459" s="280"/>
      <c r="E459" s="281"/>
      <c r="F459" s="334">
        <f t="shared" si="395"/>
        <v>0</v>
      </c>
      <c r="G459" s="282"/>
      <c r="H459" s="282"/>
      <c r="I459" s="353" t="str">
        <f>IFERROR(F459/#REF!,"-")</f>
        <v>-</v>
      </c>
      <c r="J459" s="460">
        <f t="shared" si="396"/>
        <v>45034</v>
      </c>
      <c r="K459" s="461">
        <f t="shared" si="397"/>
        <v>44250</v>
      </c>
      <c r="L459" s="462">
        <f t="shared" si="398"/>
        <v>784</v>
      </c>
      <c r="M459" s="338" t="str">
        <f t="shared" si="399"/>
        <v>-</v>
      </c>
      <c r="N459" s="344">
        <f t="shared" ref="N459:N471" si="402">IFERROR(L459/J459,"-")</f>
        <v>1.7409068703646134E-2</v>
      </c>
      <c r="O459" s="718">
        <v>7.0612000000000004</v>
      </c>
      <c r="P459" s="405">
        <f t="shared" si="400"/>
        <v>0</v>
      </c>
      <c r="Q459" s="450">
        <f t="shared" si="401"/>
        <v>312458.10000000003</v>
      </c>
    </row>
    <row r="460" spans="1:17" ht="23.25" customHeight="1" thickBot="1" x14ac:dyDescent="0.35">
      <c r="A460" s="274" t="s">
        <v>103</v>
      </c>
      <c r="B460" s="1109" t="s">
        <v>21</v>
      </c>
      <c r="C460" s="1046"/>
      <c r="D460" s="320">
        <f>SUM(D455:D459)</f>
        <v>0</v>
      </c>
      <c r="E460" s="285">
        <v>15000</v>
      </c>
      <c r="F460" s="320">
        <f>SUM(F455:F459)</f>
        <v>160491</v>
      </c>
      <c r="G460" s="321">
        <f>SUM(G455:G459)</f>
        <v>159000</v>
      </c>
      <c r="H460" s="321">
        <f>SUM(H455:H459)</f>
        <v>1491</v>
      </c>
      <c r="I460" s="345" t="str">
        <f>IFERROR(F460/#REF!,"-")</f>
        <v>-</v>
      </c>
      <c r="J460" s="320">
        <f>SUM(J455:J459)</f>
        <v>1283464</v>
      </c>
      <c r="K460" s="321">
        <f>SUM(K455:K459)</f>
        <v>1271800</v>
      </c>
      <c r="L460" s="322">
        <f>SUM(L455:L459)</f>
        <v>11664</v>
      </c>
      <c r="M460" s="339" t="str">
        <f>IFERROR(J460/D460,"-")</f>
        <v>-</v>
      </c>
      <c r="N460" s="345">
        <f t="shared" si="402"/>
        <v>9.0879058547805001E-3</v>
      </c>
      <c r="O460" s="391"/>
      <c r="P460" s="406">
        <f>SUM(P455:P459)</f>
        <v>963462.3</v>
      </c>
      <c r="Q460" s="425">
        <f>SUM(Q455:Q459)</f>
        <v>6591513.7350000003</v>
      </c>
    </row>
    <row r="461" spans="1:17" ht="23.4" x14ac:dyDescent="0.3">
      <c r="A461" s="274" t="s">
        <v>103</v>
      </c>
      <c r="B461" s="439"/>
      <c r="C461" s="269" t="s">
        <v>244</v>
      </c>
      <c r="D461" s="270"/>
      <c r="E461" s="271"/>
      <c r="F461" s="332">
        <f t="shared" ref="F461:F467" si="403">+G461+H461</f>
        <v>0</v>
      </c>
      <c r="G461" s="272"/>
      <c r="H461" s="272"/>
      <c r="I461" s="351" t="str">
        <f>IFERROR(F461/#REF!,"-")</f>
        <v>-</v>
      </c>
      <c r="J461" s="457">
        <f t="shared" ref="J461:J467" si="404">+K461+L461</f>
        <v>0</v>
      </c>
      <c r="K461" s="458">
        <f t="shared" ref="K461:K467" si="405">+G461+K398</f>
        <v>0</v>
      </c>
      <c r="L461" s="459">
        <f t="shared" ref="L461:L467" si="406">+H461+L398</f>
        <v>0</v>
      </c>
      <c r="M461" s="336" t="str">
        <f t="shared" ref="M461:M469" si="407">IFERROR(J461/D461,"-")</f>
        <v>-</v>
      </c>
      <c r="N461" s="346" t="str">
        <f t="shared" si="402"/>
        <v>-</v>
      </c>
      <c r="O461" s="507">
        <v>18.2316</v>
      </c>
      <c r="P461" s="402">
        <f t="shared" ref="P461:P467" si="408">+O461*G461</f>
        <v>0</v>
      </c>
      <c r="Q461" s="447">
        <f t="shared" ref="Q461:Q467" si="409">+O461*K461</f>
        <v>0</v>
      </c>
    </row>
    <row r="462" spans="1:17" ht="23.4" x14ac:dyDescent="0.3">
      <c r="A462" s="274" t="s">
        <v>103</v>
      </c>
      <c r="B462" s="438"/>
      <c r="C462" s="275" t="s">
        <v>89</v>
      </c>
      <c r="D462" s="276"/>
      <c r="E462" s="277"/>
      <c r="F462" s="333">
        <f t="shared" si="403"/>
        <v>0</v>
      </c>
      <c r="G462" s="278"/>
      <c r="H462" s="278"/>
      <c r="I462" s="352" t="str">
        <f>IFERROR(F462/#REF!,"-")</f>
        <v>-</v>
      </c>
      <c r="J462" s="333">
        <f t="shared" si="404"/>
        <v>60000</v>
      </c>
      <c r="K462" s="278">
        <f t="shared" si="405"/>
        <v>60000</v>
      </c>
      <c r="L462" s="436">
        <f t="shared" si="406"/>
        <v>0</v>
      </c>
      <c r="M462" s="337" t="str">
        <f t="shared" si="407"/>
        <v>-</v>
      </c>
      <c r="N462" s="263">
        <f t="shared" si="402"/>
        <v>0</v>
      </c>
      <c r="O462" s="508">
        <v>1.2824</v>
      </c>
      <c r="P462" s="404">
        <f t="shared" si="408"/>
        <v>0</v>
      </c>
      <c r="Q462" s="449">
        <f t="shared" si="409"/>
        <v>76944</v>
      </c>
    </row>
    <row r="463" spans="1:17" ht="23.4" x14ac:dyDescent="0.3">
      <c r="A463" s="274" t="s">
        <v>103</v>
      </c>
      <c r="B463" s="438"/>
      <c r="C463" s="275" t="s">
        <v>300</v>
      </c>
      <c r="D463" s="276"/>
      <c r="E463" s="277"/>
      <c r="F463" s="333">
        <f t="shared" si="403"/>
        <v>0</v>
      </c>
      <c r="G463" s="278"/>
      <c r="H463" s="278"/>
      <c r="I463" s="352" t="str">
        <f>IFERROR(F463/#REF!,"-")</f>
        <v>-</v>
      </c>
      <c r="J463" s="333">
        <f t="shared" si="404"/>
        <v>0</v>
      </c>
      <c r="K463" s="278">
        <f t="shared" si="405"/>
        <v>0</v>
      </c>
      <c r="L463" s="436">
        <f t="shared" si="406"/>
        <v>0</v>
      </c>
      <c r="M463" s="337" t="str">
        <f t="shared" si="407"/>
        <v>-</v>
      </c>
      <c r="N463" s="263" t="str">
        <f t="shared" si="402"/>
        <v>-</v>
      </c>
      <c r="O463" s="710">
        <v>5.7342000000000004</v>
      </c>
      <c r="P463" s="404">
        <f t="shared" si="408"/>
        <v>0</v>
      </c>
      <c r="Q463" s="449">
        <f t="shared" si="409"/>
        <v>0</v>
      </c>
    </row>
    <row r="464" spans="1:17" ht="23.4" x14ac:dyDescent="0.3">
      <c r="A464" s="274" t="s">
        <v>103</v>
      </c>
      <c r="B464" s="438"/>
      <c r="C464" s="275" t="s">
        <v>314</v>
      </c>
      <c r="D464" s="276"/>
      <c r="E464" s="277"/>
      <c r="F464" s="333">
        <f t="shared" si="403"/>
        <v>0</v>
      </c>
      <c r="G464" s="278"/>
      <c r="H464" s="278"/>
      <c r="I464" s="352" t="str">
        <f>IFERROR(F464/#REF!,"-")</f>
        <v>-</v>
      </c>
      <c r="J464" s="333">
        <f t="shared" si="404"/>
        <v>0</v>
      </c>
      <c r="K464" s="278">
        <f t="shared" si="405"/>
        <v>0</v>
      </c>
      <c r="L464" s="436">
        <f t="shared" si="406"/>
        <v>0</v>
      </c>
      <c r="M464" s="337" t="str">
        <f t="shared" si="407"/>
        <v>-</v>
      </c>
      <c r="N464" s="263" t="str">
        <f t="shared" si="402"/>
        <v>-</v>
      </c>
      <c r="O464" s="508"/>
      <c r="P464" s="404">
        <f t="shared" si="408"/>
        <v>0</v>
      </c>
      <c r="Q464" s="449">
        <f t="shared" si="409"/>
        <v>0</v>
      </c>
    </row>
    <row r="465" spans="1:17" ht="23.4" x14ac:dyDescent="0.3">
      <c r="A465" s="274" t="s">
        <v>103</v>
      </c>
      <c r="B465" s="438"/>
      <c r="C465" s="275" t="s">
        <v>320</v>
      </c>
      <c r="D465" s="276"/>
      <c r="E465" s="277"/>
      <c r="F465" s="333">
        <f t="shared" si="403"/>
        <v>0</v>
      </c>
      <c r="G465" s="278"/>
      <c r="H465" s="278"/>
      <c r="I465" s="352" t="str">
        <f>IFERROR(F465/#REF!,"-")</f>
        <v>-</v>
      </c>
      <c r="J465" s="333">
        <f t="shared" si="404"/>
        <v>51560</v>
      </c>
      <c r="K465" s="278">
        <f t="shared" si="405"/>
        <v>51400</v>
      </c>
      <c r="L465" s="436">
        <f t="shared" si="406"/>
        <v>160</v>
      </c>
      <c r="M465" s="337" t="str">
        <f t="shared" si="407"/>
        <v>-</v>
      </c>
      <c r="N465" s="263">
        <f t="shared" si="402"/>
        <v>3.1031807602792862E-3</v>
      </c>
      <c r="O465" s="508">
        <v>12.029500000000001</v>
      </c>
      <c r="P465" s="404">
        <f t="shared" si="408"/>
        <v>0</v>
      </c>
      <c r="Q465" s="449">
        <f t="shared" si="409"/>
        <v>618316.30000000005</v>
      </c>
    </row>
    <row r="466" spans="1:17" ht="23.4" x14ac:dyDescent="0.3">
      <c r="A466" s="274" t="s">
        <v>103</v>
      </c>
      <c r="B466" s="438"/>
      <c r="C466" s="275"/>
      <c r="D466" s="276"/>
      <c r="E466" s="277"/>
      <c r="F466" s="333">
        <f t="shared" si="403"/>
        <v>0</v>
      </c>
      <c r="G466" s="278"/>
      <c r="H466" s="278"/>
      <c r="I466" s="352" t="str">
        <f>IFERROR(F466/#REF!,"-")</f>
        <v>-</v>
      </c>
      <c r="J466" s="333">
        <f t="shared" si="404"/>
        <v>0</v>
      </c>
      <c r="K466" s="278">
        <f t="shared" si="405"/>
        <v>0</v>
      </c>
      <c r="L466" s="436">
        <f t="shared" si="406"/>
        <v>0</v>
      </c>
      <c r="M466" s="337" t="str">
        <f t="shared" si="407"/>
        <v>-</v>
      </c>
      <c r="N466" s="263" t="str">
        <f t="shared" si="402"/>
        <v>-</v>
      </c>
      <c r="O466" s="508"/>
      <c r="P466" s="404">
        <f t="shared" si="408"/>
        <v>0</v>
      </c>
      <c r="Q466" s="449">
        <f t="shared" si="409"/>
        <v>0</v>
      </c>
    </row>
    <row r="467" spans="1:17" ht="24" thickBot="1" x14ac:dyDescent="0.35">
      <c r="A467" s="274" t="s">
        <v>103</v>
      </c>
      <c r="B467" s="451"/>
      <c r="C467" s="279"/>
      <c r="D467" s="280">
        <v>0</v>
      </c>
      <c r="E467" s="281"/>
      <c r="F467" s="334">
        <f t="shared" si="403"/>
        <v>0</v>
      </c>
      <c r="G467" s="282"/>
      <c r="H467" s="282"/>
      <c r="I467" s="353" t="str">
        <f>IFERROR(F467/#REF!,"-")</f>
        <v>-</v>
      </c>
      <c r="J467" s="460">
        <f t="shared" si="404"/>
        <v>0</v>
      </c>
      <c r="K467" s="461">
        <f t="shared" si="405"/>
        <v>0</v>
      </c>
      <c r="L467" s="462">
        <f t="shared" si="406"/>
        <v>0</v>
      </c>
      <c r="M467" s="338" t="str">
        <f t="shared" si="407"/>
        <v>-</v>
      </c>
      <c r="N467" s="347" t="str">
        <f t="shared" si="402"/>
        <v>-</v>
      </c>
      <c r="O467" s="509"/>
      <c r="P467" s="405">
        <f t="shared" si="408"/>
        <v>0</v>
      </c>
      <c r="Q467" s="450">
        <f t="shared" si="409"/>
        <v>0</v>
      </c>
    </row>
    <row r="468" spans="1:17" ht="23.25" customHeight="1" thickBot="1" x14ac:dyDescent="0.35">
      <c r="A468" s="274" t="s">
        <v>103</v>
      </c>
      <c r="B468" s="1109" t="s">
        <v>25</v>
      </c>
      <c r="C468" s="1046"/>
      <c r="D468" s="320">
        <f t="shared" ref="D468" si="410">SUM(D461:D467)</f>
        <v>0</v>
      </c>
      <c r="E468" s="285">
        <v>100000</v>
      </c>
      <c r="F468" s="320">
        <f>SUM(F461:F467)</f>
        <v>0</v>
      </c>
      <c r="G468" s="321">
        <f t="shared" ref="G468:H468" si="411">SUM(G461:G467)</f>
        <v>0</v>
      </c>
      <c r="H468" s="321">
        <f t="shared" si="411"/>
        <v>0</v>
      </c>
      <c r="I468" s="345" t="str">
        <f>IFERROR(F468/#REF!,"-")</f>
        <v>-</v>
      </c>
      <c r="J468" s="320">
        <f t="shared" ref="J468:L468" si="412">SUM(J461:J467)</f>
        <v>111560</v>
      </c>
      <c r="K468" s="321">
        <f t="shared" si="412"/>
        <v>111400</v>
      </c>
      <c r="L468" s="322">
        <f t="shared" si="412"/>
        <v>160</v>
      </c>
      <c r="M468" s="339" t="str">
        <f t="shared" si="407"/>
        <v>-</v>
      </c>
      <c r="N468" s="345">
        <f t="shared" si="402"/>
        <v>1.4342058085335247E-3</v>
      </c>
      <c r="O468" s="391"/>
      <c r="P468" s="406">
        <f t="shared" ref="P468:Q468" si="413">SUM(P461:P467)</f>
        <v>0</v>
      </c>
      <c r="Q468" s="425">
        <f t="shared" si="413"/>
        <v>695260.3</v>
      </c>
    </row>
    <row r="469" spans="1:17" ht="23.25" customHeight="1" thickBot="1" x14ac:dyDescent="0.35">
      <c r="A469" s="274" t="s">
        <v>103</v>
      </c>
      <c r="B469" s="1111" t="s">
        <v>172</v>
      </c>
      <c r="C469" s="1112"/>
      <c r="D469" s="326">
        <f>+D460+D468</f>
        <v>0</v>
      </c>
      <c r="E469" s="327">
        <f t="shared" ref="E469:H469" si="414">+E460+E468</f>
        <v>115000</v>
      </c>
      <c r="F469" s="326">
        <f t="shared" si="414"/>
        <v>160491</v>
      </c>
      <c r="G469" s="324">
        <f t="shared" si="414"/>
        <v>159000</v>
      </c>
      <c r="H469" s="324">
        <f t="shared" si="414"/>
        <v>1491</v>
      </c>
      <c r="I469" s="349" t="str">
        <f>IFERROR(F469/#REF!,"-")</f>
        <v>-</v>
      </c>
      <c r="J469" s="326">
        <f t="shared" ref="J469:L469" si="415">+J460+J468</f>
        <v>1395024</v>
      </c>
      <c r="K469" s="324">
        <f t="shared" si="415"/>
        <v>1383200</v>
      </c>
      <c r="L469" s="325">
        <f t="shared" si="415"/>
        <v>11824</v>
      </c>
      <c r="M469" s="341" t="str">
        <f t="shared" si="407"/>
        <v>-</v>
      </c>
      <c r="N469" s="349">
        <f t="shared" si="402"/>
        <v>8.4758398421819273E-3</v>
      </c>
      <c r="O469" s="394"/>
      <c r="P469" s="410">
        <f t="shared" ref="P469:Q469" si="416">+P460+P468</f>
        <v>963462.3</v>
      </c>
      <c r="Q469" s="428">
        <f t="shared" si="416"/>
        <v>7286774.0350000001</v>
      </c>
    </row>
    <row r="470" spans="1:17" ht="23.4" x14ac:dyDescent="0.3">
      <c r="A470" s="244" t="s">
        <v>101</v>
      </c>
      <c r="B470" s="581"/>
      <c r="C470" s="582" t="s">
        <v>283</v>
      </c>
      <c r="D470" s="527"/>
      <c r="E470" s="459"/>
      <c r="F470" s="457">
        <f>+G470+H470</f>
        <v>0</v>
      </c>
      <c r="G470" s="458"/>
      <c r="H470" s="458"/>
      <c r="I470" s="531" t="str">
        <f>IFERROR(F470/#REF!,"-")</f>
        <v>-</v>
      </c>
      <c r="J470" s="457">
        <f>+K470+L470</f>
        <v>0</v>
      </c>
      <c r="K470" s="458">
        <f t="shared" ref="K470:K476" si="417">+G470+K407</f>
        <v>0</v>
      </c>
      <c r="L470" s="459">
        <f t="shared" ref="L470:L476" si="418">+H470+L407</f>
        <v>0</v>
      </c>
      <c r="M470" s="586" t="str">
        <f>IFERROR(J470/D470,"-")</f>
        <v>-</v>
      </c>
      <c r="N470" s="533" t="str">
        <f t="shared" si="402"/>
        <v>-</v>
      </c>
      <c r="O470" s="628">
        <v>4.8285999999999998</v>
      </c>
      <c r="P470" s="534">
        <f t="shared" ref="P470:P476" si="419">+O470*G470</f>
        <v>0</v>
      </c>
      <c r="Q470" s="535">
        <f t="shared" ref="Q470:Q476" si="420">+O470*K470</f>
        <v>0</v>
      </c>
    </row>
    <row r="471" spans="1:17" ht="23.4" x14ac:dyDescent="0.3">
      <c r="A471" s="248" t="s">
        <v>101</v>
      </c>
      <c r="B471" s="583"/>
      <c r="C471" s="275" t="s">
        <v>284</v>
      </c>
      <c r="D471" s="276"/>
      <c r="E471" s="436"/>
      <c r="F471" s="333">
        <f t="shared" ref="F471:F476" si="421">+G471+H471</f>
        <v>0</v>
      </c>
      <c r="G471" s="278"/>
      <c r="H471" s="278"/>
      <c r="I471" s="352" t="str">
        <f>IFERROR(F471/#REF!,"-")</f>
        <v>-</v>
      </c>
      <c r="J471" s="333">
        <f t="shared" ref="J471:J476" si="422">+K471+L471</f>
        <v>0</v>
      </c>
      <c r="K471" s="278">
        <f t="shared" si="417"/>
        <v>0</v>
      </c>
      <c r="L471" s="436">
        <f t="shared" si="418"/>
        <v>0</v>
      </c>
      <c r="M471" s="337" t="str">
        <f t="shared" ref="M471:M473" si="423">IFERROR(J471/D471,"-")</f>
        <v>-</v>
      </c>
      <c r="N471" s="265" t="str">
        <f t="shared" si="402"/>
        <v>-</v>
      </c>
      <c r="O471" s="629">
        <v>1.4086000000000001</v>
      </c>
      <c r="P471" s="404">
        <f t="shared" si="419"/>
        <v>0</v>
      </c>
      <c r="Q471" s="449">
        <f t="shared" si="420"/>
        <v>0</v>
      </c>
    </row>
    <row r="472" spans="1:17" ht="23.4" x14ac:dyDescent="0.3">
      <c r="A472" s="248" t="s">
        <v>101</v>
      </c>
      <c r="B472" s="583"/>
      <c r="C472" s="275" t="s">
        <v>315</v>
      </c>
      <c r="D472" s="276"/>
      <c r="E472" s="436"/>
      <c r="F472" s="333">
        <f t="shared" si="421"/>
        <v>0</v>
      </c>
      <c r="G472" s="278"/>
      <c r="H472" s="278"/>
      <c r="I472" s="352" t="str">
        <f>IFERROR(F472/#REF!,"-")</f>
        <v>-</v>
      </c>
      <c r="J472" s="333">
        <f t="shared" si="422"/>
        <v>0</v>
      </c>
      <c r="K472" s="278">
        <f t="shared" si="417"/>
        <v>0</v>
      </c>
      <c r="L472" s="436">
        <f t="shared" si="418"/>
        <v>0</v>
      </c>
      <c r="M472" s="337" t="str">
        <f t="shared" si="423"/>
        <v>-</v>
      </c>
      <c r="N472" s="265" t="str">
        <f>IFERROR(L472/J472,"-")</f>
        <v>-</v>
      </c>
      <c r="O472" s="629">
        <v>2.2141000000000002</v>
      </c>
      <c r="P472" s="404">
        <f t="shared" si="419"/>
        <v>0</v>
      </c>
      <c r="Q472" s="449">
        <f t="shared" si="420"/>
        <v>0</v>
      </c>
    </row>
    <row r="473" spans="1:17" ht="23.4" x14ac:dyDescent="0.3">
      <c r="A473" s="248" t="s">
        <v>101</v>
      </c>
      <c r="B473" s="584"/>
      <c r="C473" s="275" t="s">
        <v>447</v>
      </c>
      <c r="D473" s="280"/>
      <c r="E473" s="528"/>
      <c r="F473" s="334">
        <f t="shared" si="421"/>
        <v>0</v>
      </c>
      <c r="G473" s="282"/>
      <c r="H473" s="282"/>
      <c r="I473" s="353" t="str">
        <f>IFERROR(F473/#REF!,"-")</f>
        <v>-</v>
      </c>
      <c r="J473" s="333">
        <f t="shared" si="422"/>
        <v>346276</v>
      </c>
      <c r="K473" s="278">
        <f t="shared" si="417"/>
        <v>341000</v>
      </c>
      <c r="L473" s="436">
        <f t="shared" si="418"/>
        <v>5276</v>
      </c>
      <c r="M473" s="338" t="str">
        <f t="shared" si="423"/>
        <v>-</v>
      </c>
      <c r="N473" s="344">
        <f t="shared" ref="N473:N480" si="424">IFERROR(L473/J473,"-")</f>
        <v>1.5236401021150758E-2</v>
      </c>
      <c r="O473" s="629">
        <v>2.2141000000000002</v>
      </c>
      <c r="P473" s="405">
        <f t="shared" si="419"/>
        <v>0</v>
      </c>
      <c r="Q473" s="450">
        <f t="shared" si="420"/>
        <v>755008.10000000009</v>
      </c>
    </row>
    <row r="474" spans="1:17" ht="23.4" x14ac:dyDescent="0.3">
      <c r="A474" s="248" t="s">
        <v>101</v>
      </c>
      <c r="B474" s="440"/>
      <c r="C474" s="627" t="s">
        <v>353</v>
      </c>
      <c r="D474" s="510"/>
      <c r="E474" s="529"/>
      <c r="F474" s="333">
        <f t="shared" si="421"/>
        <v>0</v>
      </c>
      <c r="G474" s="547"/>
      <c r="H474" s="547"/>
      <c r="I474" s="352" t="str">
        <f>IFERROR(F474/#REF!,"-")</f>
        <v>-</v>
      </c>
      <c r="J474" s="333">
        <f t="shared" si="422"/>
        <v>0</v>
      </c>
      <c r="K474" s="278">
        <f t="shared" si="417"/>
        <v>0</v>
      </c>
      <c r="L474" s="436">
        <f t="shared" si="418"/>
        <v>0</v>
      </c>
      <c r="M474" s="682"/>
      <c r="N474" s="265" t="str">
        <f t="shared" si="424"/>
        <v>-</v>
      </c>
      <c r="O474" s="540">
        <v>4.8285999999999998</v>
      </c>
      <c r="P474" s="404">
        <f t="shared" si="419"/>
        <v>0</v>
      </c>
      <c r="Q474" s="449">
        <f t="shared" si="420"/>
        <v>0</v>
      </c>
    </row>
    <row r="475" spans="1:17" ht="23.4" x14ac:dyDescent="0.3">
      <c r="A475" s="248" t="s">
        <v>101</v>
      </c>
      <c r="B475" s="585"/>
      <c r="C475" s="627" t="s">
        <v>349</v>
      </c>
      <c r="D475" s="270"/>
      <c r="E475" s="435"/>
      <c r="F475" s="332">
        <f t="shared" si="421"/>
        <v>0</v>
      </c>
      <c r="G475" s="272"/>
      <c r="H475" s="272"/>
      <c r="I475" s="351" t="str">
        <f>IFERROR(F475/#REF!,"-")</f>
        <v>-</v>
      </c>
      <c r="J475" s="333">
        <f t="shared" si="422"/>
        <v>0</v>
      </c>
      <c r="K475" s="278">
        <f t="shared" si="417"/>
        <v>0</v>
      </c>
      <c r="L475" s="436">
        <f t="shared" si="418"/>
        <v>0</v>
      </c>
      <c r="M475" s="336" t="str">
        <f t="shared" ref="M475:M476" si="425">IFERROR(J475/D475,"-")</f>
        <v>-</v>
      </c>
      <c r="N475" s="346" t="str">
        <f t="shared" si="424"/>
        <v>-</v>
      </c>
      <c r="O475" s="507">
        <v>4.1712999999999996</v>
      </c>
      <c r="P475" s="402">
        <f t="shared" si="419"/>
        <v>0</v>
      </c>
      <c r="Q475" s="447">
        <f t="shared" si="420"/>
        <v>0</v>
      </c>
    </row>
    <row r="476" spans="1:17" ht="24" thickBot="1" x14ac:dyDescent="0.35">
      <c r="A476" s="248" t="s">
        <v>101</v>
      </c>
      <c r="B476" s="583"/>
      <c r="C476" s="275"/>
      <c r="D476" s="276"/>
      <c r="E476" s="436"/>
      <c r="F476" s="333">
        <f t="shared" si="421"/>
        <v>0</v>
      </c>
      <c r="G476" s="278"/>
      <c r="H476" s="278"/>
      <c r="I476" s="352" t="str">
        <f>IFERROR(F476/#REF!,"-")</f>
        <v>-</v>
      </c>
      <c r="J476" s="460">
        <f t="shared" si="422"/>
        <v>0</v>
      </c>
      <c r="K476" s="461">
        <f t="shared" si="417"/>
        <v>0</v>
      </c>
      <c r="L476" s="462">
        <f t="shared" si="418"/>
        <v>0</v>
      </c>
      <c r="M476" s="337" t="str">
        <f t="shared" si="425"/>
        <v>-</v>
      </c>
      <c r="N476" s="263" t="str">
        <f t="shared" si="424"/>
        <v>-</v>
      </c>
      <c r="O476" s="448"/>
      <c r="P476" s="404">
        <f t="shared" si="419"/>
        <v>0</v>
      </c>
      <c r="Q476" s="449">
        <f t="shared" si="420"/>
        <v>0</v>
      </c>
    </row>
    <row r="477" spans="1:17" ht="23.25" customHeight="1" thickBot="1" x14ac:dyDescent="0.35">
      <c r="A477" s="274" t="s">
        <v>101</v>
      </c>
      <c r="B477" s="1109" t="s">
        <v>21</v>
      </c>
      <c r="C477" s="1046"/>
      <c r="D477" s="320">
        <v>0</v>
      </c>
      <c r="E477" s="285">
        <v>15000</v>
      </c>
      <c r="F477" s="320">
        <f>SUM(F470:F476)</f>
        <v>0</v>
      </c>
      <c r="G477" s="321">
        <f t="shared" ref="G477:H477" si="426">SUM(G470:G476)</f>
        <v>0</v>
      </c>
      <c r="H477" s="321">
        <f t="shared" si="426"/>
        <v>0</v>
      </c>
      <c r="I477" s="345" t="str">
        <f>IFERROR(F477/#REF!,"-")</f>
        <v>-</v>
      </c>
      <c r="J477" s="513">
        <f t="shared" ref="J477" si="427">SUM(J470:J476)</f>
        <v>346276</v>
      </c>
      <c r="K477" s="519">
        <f>SUM(K470:K476)</f>
        <v>341000</v>
      </c>
      <c r="L477" s="519">
        <f>SUM(L470:L476)</f>
        <v>5276</v>
      </c>
      <c r="M477" s="339" t="str">
        <f>IFERROR(J477/D477,"-")</f>
        <v>-</v>
      </c>
      <c r="N477" s="345">
        <f t="shared" si="424"/>
        <v>1.5236401021150758E-2</v>
      </c>
      <c r="O477" s="391"/>
      <c r="P477" s="406">
        <f>SUM(P470:P476)</f>
        <v>0</v>
      </c>
      <c r="Q477" s="425">
        <f>SUM(Q470:Q476)</f>
        <v>755008.10000000009</v>
      </c>
    </row>
    <row r="478" spans="1:17" ht="23.25" customHeight="1" thickBot="1" x14ac:dyDescent="0.35">
      <c r="A478" s="274" t="s">
        <v>101</v>
      </c>
      <c r="B478" s="1111" t="s">
        <v>248</v>
      </c>
      <c r="C478" s="1112"/>
      <c r="D478" s="512">
        <f>+D474+D477</f>
        <v>0</v>
      </c>
      <c r="E478" s="525">
        <f>+E474+E477</f>
        <v>15000</v>
      </c>
      <c r="F478" s="512">
        <f>+F474+F477</f>
        <v>0</v>
      </c>
      <c r="G478" s="514">
        <f>+G474+G477</f>
        <v>0</v>
      </c>
      <c r="H478" s="514">
        <f>+H474+H477</f>
        <v>0</v>
      </c>
      <c r="I478" s="515" t="str">
        <f>IFERROR(F478/#REF!,"-")</f>
        <v>-</v>
      </c>
      <c r="J478" s="512">
        <f>+J474+J477</f>
        <v>346276</v>
      </c>
      <c r="K478" s="514">
        <f>+K477</f>
        <v>341000</v>
      </c>
      <c r="L478" s="514">
        <f>+L477</f>
        <v>5276</v>
      </c>
      <c r="M478" s="516" t="str">
        <f t="shared" ref="M478" si="428">IFERROR(J478/D478,"-")</f>
        <v>-</v>
      </c>
      <c r="N478" s="515">
        <f t="shared" si="424"/>
        <v>1.5236401021150758E-2</v>
      </c>
      <c r="O478" s="517"/>
      <c r="P478" s="518">
        <f>+P477</f>
        <v>0</v>
      </c>
      <c r="Q478" s="518">
        <f>+Q477</f>
        <v>755008.10000000009</v>
      </c>
    </row>
    <row r="479" spans="1:17" ht="23.4" x14ac:dyDescent="0.4">
      <c r="A479" s="244" t="s">
        <v>101</v>
      </c>
      <c r="B479" s="1106" t="s">
        <v>250</v>
      </c>
      <c r="C479" s="542" t="s">
        <v>71</v>
      </c>
      <c r="D479" s="527"/>
      <c r="E479" s="459"/>
      <c r="F479" s="457">
        <f>+G479+H479</f>
        <v>3015</v>
      </c>
      <c r="G479" s="458">
        <v>3000</v>
      </c>
      <c r="H479" s="458">
        <v>15</v>
      </c>
      <c r="I479" s="531" t="str">
        <f>IFERROR(F479/#REF!,"-")</f>
        <v>-</v>
      </c>
      <c r="J479" s="457">
        <f>+K479+L479</f>
        <v>8100</v>
      </c>
      <c r="K479" s="458">
        <f t="shared" ref="K479:K510" si="429">+G479+K416</f>
        <v>8000</v>
      </c>
      <c r="L479" s="459">
        <f t="shared" ref="L479:L510" si="430">+H479+L416</f>
        <v>100</v>
      </c>
      <c r="M479" s="586" t="str">
        <f>IFERROR(J479/D479,"-")</f>
        <v>-</v>
      </c>
      <c r="N479" s="533">
        <f t="shared" si="424"/>
        <v>1.2345679012345678E-2</v>
      </c>
      <c r="O479" s="538">
        <v>32.946300000000001</v>
      </c>
      <c r="P479" s="534">
        <f t="shared" ref="P479:P510" si="431">+O479*G479</f>
        <v>98838.900000000009</v>
      </c>
      <c r="Q479" s="535">
        <f t="shared" ref="Q479:Q510" si="432">+O479*K479</f>
        <v>263570.40000000002</v>
      </c>
    </row>
    <row r="480" spans="1:17" ht="23.4" x14ac:dyDescent="0.4">
      <c r="A480" s="248" t="s">
        <v>101</v>
      </c>
      <c r="B480" s="1107"/>
      <c r="C480" s="543" t="s">
        <v>72</v>
      </c>
      <c r="D480" s="511"/>
      <c r="E480" s="436"/>
      <c r="F480" s="333">
        <f t="shared" ref="F480:F510" si="433">+G480+H480</f>
        <v>0</v>
      </c>
      <c r="G480" s="278"/>
      <c r="H480" s="278"/>
      <c r="I480" s="352" t="str">
        <f>IFERROR(F480/#REF!,"-")</f>
        <v>-</v>
      </c>
      <c r="J480" s="333">
        <f t="shared" ref="J480:J510" si="434">+K480+L480</f>
        <v>10595</v>
      </c>
      <c r="K480" s="278">
        <f t="shared" si="429"/>
        <v>10500</v>
      </c>
      <c r="L480" s="436">
        <f t="shared" si="430"/>
        <v>95</v>
      </c>
      <c r="M480" s="337" t="str">
        <f t="shared" ref="M480:M482" si="435">IFERROR(J480/D480,"-")</f>
        <v>-</v>
      </c>
      <c r="N480" s="265">
        <f t="shared" si="424"/>
        <v>8.9664936290703157E-3</v>
      </c>
      <c r="O480" s="508">
        <v>35.398400000000002</v>
      </c>
      <c r="P480" s="404">
        <f t="shared" si="431"/>
        <v>0</v>
      </c>
      <c r="Q480" s="449">
        <f t="shared" si="432"/>
        <v>371683.2</v>
      </c>
    </row>
    <row r="481" spans="1:17" ht="24" thickBot="1" x14ac:dyDescent="0.45">
      <c r="A481" s="248" t="s">
        <v>101</v>
      </c>
      <c r="B481" s="1108"/>
      <c r="C481" s="543" t="s">
        <v>455</v>
      </c>
      <c r="D481" s="276"/>
      <c r="E481" s="436"/>
      <c r="F481" s="333">
        <f t="shared" si="433"/>
        <v>0</v>
      </c>
      <c r="G481" s="278"/>
      <c r="H481" s="278"/>
      <c r="I481" s="352" t="str">
        <f>IFERROR(F481/#REF!,"-")</f>
        <v>-</v>
      </c>
      <c r="J481" s="333">
        <f t="shared" si="434"/>
        <v>10147</v>
      </c>
      <c r="K481" s="278">
        <f t="shared" si="429"/>
        <v>9900</v>
      </c>
      <c r="L481" s="436">
        <f t="shared" si="430"/>
        <v>247</v>
      </c>
      <c r="M481" s="337" t="str">
        <f t="shared" si="435"/>
        <v>-</v>
      </c>
      <c r="N481" s="265">
        <f>IFERROR(L481/J481,"-")</f>
        <v>2.4342170099536809E-2</v>
      </c>
      <c r="O481" s="508">
        <v>35.398400000000002</v>
      </c>
      <c r="P481" s="404">
        <f t="shared" si="431"/>
        <v>0</v>
      </c>
      <c r="Q481" s="449">
        <f t="shared" si="432"/>
        <v>350444.16000000003</v>
      </c>
    </row>
    <row r="482" spans="1:17" ht="23.4" x14ac:dyDescent="0.4">
      <c r="A482" s="248" t="s">
        <v>101</v>
      </c>
      <c r="B482" s="1106" t="s">
        <v>251</v>
      </c>
      <c r="C482" s="545" t="s">
        <v>75</v>
      </c>
      <c r="D482" s="276"/>
      <c r="E482" s="528"/>
      <c r="F482" s="334">
        <f t="shared" si="433"/>
        <v>5198</v>
      </c>
      <c r="G482" s="278">
        <f>320+4800</f>
        <v>5120</v>
      </c>
      <c r="H482" s="278">
        <f>10+68</f>
        <v>78</v>
      </c>
      <c r="I482" s="352" t="str">
        <f>IFERROR(F482/#REF!,"-")</f>
        <v>-</v>
      </c>
      <c r="J482" s="333">
        <f t="shared" si="434"/>
        <v>20800</v>
      </c>
      <c r="K482" s="278">
        <f t="shared" si="429"/>
        <v>20283</v>
      </c>
      <c r="L482" s="436">
        <f t="shared" si="430"/>
        <v>517</v>
      </c>
      <c r="M482" s="337" t="str">
        <f t="shared" si="435"/>
        <v>-</v>
      </c>
      <c r="N482" s="265">
        <f t="shared" ref="N482" si="436">IFERROR(L482/J482,"-")</f>
        <v>2.485576923076923E-2</v>
      </c>
      <c r="O482" s="508">
        <v>55.4758</v>
      </c>
      <c r="P482" s="404">
        <f t="shared" si="431"/>
        <v>284036.09600000002</v>
      </c>
      <c r="Q482" s="449">
        <f t="shared" si="432"/>
        <v>1125215.6514000001</v>
      </c>
    </row>
    <row r="483" spans="1:17" ht="23.4" x14ac:dyDescent="0.4">
      <c r="A483" s="248" t="s">
        <v>101</v>
      </c>
      <c r="B483" s="1107"/>
      <c r="C483" s="545" t="s">
        <v>72</v>
      </c>
      <c r="D483" s="276"/>
      <c r="E483" s="529"/>
      <c r="F483" s="334">
        <f t="shared" si="433"/>
        <v>0</v>
      </c>
      <c r="G483" s="278"/>
      <c r="H483" s="278"/>
      <c r="I483" s="352" t="str">
        <f>IFERROR(F483/#REF!,"-")</f>
        <v>-</v>
      </c>
      <c r="J483" s="333">
        <f t="shared" si="434"/>
        <v>0</v>
      </c>
      <c r="K483" s="278">
        <f t="shared" si="429"/>
        <v>0</v>
      </c>
      <c r="L483" s="436">
        <f t="shared" si="430"/>
        <v>0</v>
      </c>
      <c r="M483" s="682"/>
      <c r="N483" s="372"/>
      <c r="O483" s="540">
        <v>58.836300000000001</v>
      </c>
      <c r="P483" s="404">
        <f t="shared" si="431"/>
        <v>0</v>
      </c>
      <c r="Q483" s="449">
        <f t="shared" si="432"/>
        <v>0</v>
      </c>
    </row>
    <row r="484" spans="1:17" ht="23.4" x14ac:dyDescent="0.4">
      <c r="A484" s="248" t="s">
        <v>101</v>
      </c>
      <c r="B484" s="1107"/>
      <c r="C484" s="545" t="s">
        <v>347</v>
      </c>
      <c r="D484" s="276"/>
      <c r="E484" s="435"/>
      <c r="F484" s="334">
        <f t="shared" si="433"/>
        <v>0</v>
      </c>
      <c r="G484" s="278"/>
      <c r="H484" s="278"/>
      <c r="I484" s="352" t="str">
        <f>IFERROR(F484/#REF!,"-")</f>
        <v>-</v>
      </c>
      <c r="J484" s="333">
        <f t="shared" si="434"/>
        <v>0</v>
      </c>
      <c r="K484" s="278">
        <f t="shared" si="429"/>
        <v>0</v>
      </c>
      <c r="L484" s="436">
        <f t="shared" si="430"/>
        <v>0</v>
      </c>
      <c r="M484" s="337" t="str">
        <f t="shared" ref="M484" si="437">IFERROR(J484/D484,"-")</f>
        <v>-</v>
      </c>
      <c r="N484" s="263" t="str">
        <f t="shared" ref="N484" si="438">IFERROR(L484/J484,"-")</f>
        <v>-</v>
      </c>
      <c r="O484" s="710">
        <v>58.836300000000001</v>
      </c>
      <c r="P484" s="404">
        <f t="shared" si="431"/>
        <v>0</v>
      </c>
      <c r="Q484" s="449">
        <f t="shared" si="432"/>
        <v>0</v>
      </c>
    </row>
    <row r="485" spans="1:17" ht="24" thickBot="1" x14ac:dyDescent="0.45">
      <c r="A485" s="248"/>
      <c r="B485" s="1108"/>
      <c r="C485" s="545" t="s">
        <v>361</v>
      </c>
      <c r="D485" s="276"/>
      <c r="E485" s="435"/>
      <c r="F485" s="334">
        <f t="shared" si="433"/>
        <v>0</v>
      </c>
      <c r="G485" s="278"/>
      <c r="H485" s="278"/>
      <c r="I485" s="352"/>
      <c r="J485" s="333">
        <f t="shared" si="434"/>
        <v>0</v>
      </c>
      <c r="K485" s="278">
        <f t="shared" si="429"/>
        <v>0</v>
      </c>
      <c r="L485" s="436">
        <f t="shared" si="430"/>
        <v>0</v>
      </c>
      <c r="M485" s="337"/>
      <c r="N485" s="263" t="str">
        <f>IFERROR(L485/J485,"-")</f>
        <v>-</v>
      </c>
      <c r="O485" s="508">
        <v>55.4758</v>
      </c>
      <c r="P485" s="404">
        <f t="shared" si="431"/>
        <v>0</v>
      </c>
      <c r="Q485" s="449">
        <f t="shared" si="432"/>
        <v>0</v>
      </c>
    </row>
    <row r="486" spans="1:17" ht="23.4" x14ac:dyDescent="0.4">
      <c r="A486" s="248" t="s">
        <v>101</v>
      </c>
      <c r="B486" s="1106" t="s">
        <v>409</v>
      </c>
      <c r="C486" s="543" t="s">
        <v>77</v>
      </c>
      <c r="D486" s="276"/>
      <c r="E486" s="436"/>
      <c r="F486" s="333">
        <f t="shared" si="433"/>
        <v>3861</v>
      </c>
      <c r="G486" s="278">
        <v>3800</v>
      </c>
      <c r="H486" s="278">
        <v>61</v>
      </c>
      <c r="I486" s="352" t="str">
        <f>IFERROR(F486/#REF!,"-")</f>
        <v>-</v>
      </c>
      <c r="J486" s="333">
        <f t="shared" si="434"/>
        <v>18509</v>
      </c>
      <c r="K486" s="719">
        <f t="shared" si="429"/>
        <v>18300</v>
      </c>
      <c r="L486" s="815">
        <f t="shared" si="430"/>
        <v>209</v>
      </c>
      <c r="M486" s="337" t="str">
        <f t="shared" ref="M486:M513" si="439">IFERROR(J486/D486,"-")</f>
        <v>-</v>
      </c>
      <c r="N486" s="263">
        <f t="shared" ref="N486:N512" si="440">IFERROR(L486/J486,"-")</f>
        <v>1.1291803987249447E-2</v>
      </c>
      <c r="O486" s="508">
        <v>25.687200000000001</v>
      </c>
      <c r="P486" s="404">
        <f t="shared" si="431"/>
        <v>97611.36</v>
      </c>
      <c r="Q486" s="449">
        <f t="shared" si="432"/>
        <v>470075.76</v>
      </c>
    </row>
    <row r="487" spans="1:17" ht="24" thickBot="1" x14ac:dyDescent="0.45">
      <c r="A487" s="248" t="s">
        <v>101</v>
      </c>
      <c r="B487" s="1108"/>
      <c r="C487" s="543" t="s">
        <v>117</v>
      </c>
      <c r="D487" s="276"/>
      <c r="E487" s="436"/>
      <c r="F487" s="333">
        <f t="shared" si="433"/>
        <v>0</v>
      </c>
      <c r="G487" s="278"/>
      <c r="H487" s="278"/>
      <c r="I487" s="352" t="str">
        <f>IFERROR(F487/#REF!,"-")</f>
        <v>-</v>
      </c>
      <c r="J487" s="333">
        <f t="shared" si="434"/>
        <v>0</v>
      </c>
      <c r="K487" s="278">
        <f t="shared" si="429"/>
        <v>0</v>
      </c>
      <c r="L487" s="436">
        <f t="shared" si="430"/>
        <v>0</v>
      </c>
      <c r="M487" s="337" t="str">
        <f t="shared" si="439"/>
        <v>-</v>
      </c>
      <c r="N487" s="263" t="str">
        <f t="shared" si="440"/>
        <v>-</v>
      </c>
      <c r="O487" s="508">
        <v>25.033899999999999</v>
      </c>
      <c r="P487" s="404">
        <f t="shared" si="431"/>
        <v>0</v>
      </c>
      <c r="Q487" s="449">
        <f t="shared" si="432"/>
        <v>0</v>
      </c>
    </row>
    <row r="488" spans="1:17" ht="23.4" x14ac:dyDescent="0.4">
      <c r="A488" s="248"/>
      <c r="B488" s="1106" t="s">
        <v>410</v>
      </c>
      <c r="C488" s="543" t="s">
        <v>79</v>
      </c>
      <c r="D488" s="276"/>
      <c r="E488" s="436"/>
      <c r="F488" s="333">
        <f t="shared" si="433"/>
        <v>3829</v>
      </c>
      <c r="G488" s="278">
        <f>1800+2000</f>
        <v>3800</v>
      </c>
      <c r="H488" s="278">
        <f>14+15</f>
        <v>29</v>
      </c>
      <c r="I488" s="352" t="str">
        <f>IFERROR(F488/#REF!,"-")</f>
        <v>-</v>
      </c>
      <c r="J488" s="333">
        <f t="shared" si="434"/>
        <v>9449</v>
      </c>
      <c r="K488" s="278">
        <f t="shared" si="429"/>
        <v>9300</v>
      </c>
      <c r="L488" s="436">
        <f t="shared" si="430"/>
        <v>149</v>
      </c>
      <c r="M488" s="337" t="str">
        <f t="shared" si="439"/>
        <v>-</v>
      </c>
      <c r="N488" s="263">
        <f t="shared" si="440"/>
        <v>1.5768864430098423E-2</v>
      </c>
      <c r="O488" s="508">
        <v>41.992699999999999</v>
      </c>
      <c r="P488" s="404">
        <f t="shared" si="431"/>
        <v>159572.26</v>
      </c>
      <c r="Q488" s="449">
        <f t="shared" si="432"/>
        <v>390532.11</v>
      </c>
    </row>
    <row r="489" spans="1:17" ht="23.4" x14ac:dyDescent="0.4">
      <c r="A489" s="248"/>
      <c r="B489" s="1107"/>
      <c r="C489" s="543" t="s">
        <v>72</v>
      </c>
      <c r="D489" s="276"/>
      <c r="E489" s="436"/>
      <c r="F489" s="333">
        <f t="shared" si="433"/>
        <v>0</v>
      </c>
      <c r="G489" s="278"/>
      <c r="H489" s="278"/>
      <c r="I489" s="352" t="str">
        <f>IFERROR(F489/#REF!,"-")</f>
        <v>-</v>
      </c>
      <c r="J489" s="333">
        <f t="shared" si="434"/>
        <v>0</v>
      </c>
      <c r="K489" s="278">
        <f t="shared" si="429"/>
        <v>0</v>
      </c>
      <c r="L489" s="436">
        <f t="shared" si="430"/>
        <v>0</v>
      </c>
      <c r="M489" s="337" t="str">
        <f t="shared" si="439"/>
        <v>-</v>
      </c>
      <c r="N489" s="263" t="str">
        <f t="shared" si="440"/>
        <v>-</v>
      </c>
      <c r="O489" s="508">
        <v>42.283799999999999</v>
      </c>
      <c r="P489" s="404">
        <f t="shared" si="431"/>
        <v>0</v>
      </c>
      <c r="Q489" s="449">
        <f t="shared" si="432"/>
        <v>0</v>
      </c>
    </row>
    <row r="490" spans="1:17" ht="23.4" x14ac:dyDescent="0.4">
      <c r="A490" s="248"/>
      <c r="B490" s="1107"/>
      <c r="C490" s="543" t="s">
        <v>380</v>
      </c>
      <c r="D490" s="276"/>
      <c r="E490" s="436"/>
      <c r="F490" s="333">
        <f t="shared" si="433"/>
        <v>0</v>
      </c>
      <c r="G490" s="278"/>
      <c r="H490" s="278"/>
      <c r="I490" s="352" t="str">
        <f>IFERROR(F490/#REF!,"-")</f>
        <v>-</v>
      </c>
      <c r="J490" s="333">
        <f t="shared" si="434"/>
        <v>0</v>
      </c>
      <c r="K490" s="278">
        <f t="shared" si="429"/>
        <v>0</v>
      </c>
      <c r="L490" s="436">
        <f t="shared" si="430"/>
        <v>0</v>
      </c>
      <c r="M490" s="337" t="str">
        <f t="shared" si="439"/>
        <v>-</v>
      </c>
      <c r="N490" s="263" t="str">
        <f t="shared" si="440"/>
        <v>-</v>
      </c>
      <c r="O490" s="710">
        <v>41.992699999999999</v>
      </c>
      <c r="P490" s="404">
        <f t="shared" si="431"/>
        <v>0</v>
      </c>
      <c r="Q490" s="449">
        <f t="shared" si="432"/>
        <v>0</v>
      </c>
    </row>
    <row r="491" spans="1:17" ht="24" thickBot="1" x14ac:dyDescent="0.45">
      <c r="A491" s="248"/>
      <c r="B491" s="1108"/>
      <c r="C491" s="543" t="s">
        <v>381</v>
      </c>
      <c r="D491" s="276"/>
      <c r="E491" s="436"/>
      <c r="F491" s="333">
        <f t="shared" si="433"/>
        <v>0</v>
      </c>
      <c r="G491" s="278"/>
      <c r="H491" s="278"/>
      <c r="I491" s="352" t="str">
        <f>IFERROR(F491/#REF!,"-")</f>
        <v>-</v>
      </c>
      <c r="J491" s="333">
        <f t="shared" si="434"/>
        <v>0</v>
      </c>
      <c r="K491" s="278">
        <f t="shared" si="429"/>
        <v>0</v>
      </c>
      <c r="L491" s="436">
        <f t="shared" si="430"/>
        <v>0</v>
      </c>
      <c r="M491" s="337" t="str">
        <f t="shared" si="439"/>
        <v>-</v>
      </c>
      <c r="N491" s="263" t="str">
        <f t="shared" si="440"/>
        <v>-</v>
      </c>
      <c r="O491" s="710">
        <v>42.283799999999999</v>
      </c>
      <c r="P491" s="404">
        <f t="shared" si="431"/>
        <v>0</v>
      </c>
      <c r="Q491" s="449">
        <f t="shared" si="432"/>
        <v>0</v>
      </c>
    </row>
    <row r="492" spans="1:17" ht="24" thickBot="1" x14ac:dyDescent="0.45">
      <c r="A492" s="248"/>
      <c r="B492" s="717" t="s">
        <v>80</v>
      </c>
      <c r="C492" s="543" t="s">
        <v>81</v>
      </c>
      <c r="D492" s="276"/>
      <c r="E492" s="436"/>
      <c r="F492" s="333">
        <f t="shared" si="433"/>
        <v>4615</v>
      </c>
      <c r="G492" s="278">
        <v>4500</v>
      </c>
      <c r="H492" s="278">
        <v>115</v>
      </c>
      <c r="I492" s="352" t="str">
        <f>IFERROR(F492/#REF!,"-")</f>
        <v>-</v>
      </c>
      <c r="J492" s="333">
        <f t="shared" si="434"/>
        <v>16223</v>
      </c>
      <c r="K492" s="278">
        <f t="shared" si="429"/>
        <v>15500</v>
      </c>
      <c r="L492" s="436">
        <f t="shared" si="430"/>
        <v>723</v>
      </c>
      <c r="M492" s="337" t="str">
        <f t="shared" si="439"/>
        <v>-</v>
      </c>
      <c r="N492" s="263">
        <f t="shared" si="440"/>
        <v>4.45663564075695E-2</v>
      </c>
      <c r="O492" s="508">
        <v>4.3535000000000004</v>
      </c>
      <c r="P492" s="404">
        <f t="shared" si="431"/>
        <v>19590.75</v>
      </c>
      <c r="Q492" s="449">
        <f t="shared" si="432"/>
        <v>67479.25</v>
      </c>
    </row>
    <row r="493" spans="1:17" ht="23.4" x14ac:dyDescent="0.4">
      <c r="A493" s="248"/>
      <c r="B493" s="1106" t="s">
        <v>253</v>
      </c>
      <c r="C493" s="543" t="s">
        <v>77</v>
      </c>
      <c r="D493" s="276"/>
      <c r="E493" s="436"/>
      <c r="F493" s="333">
        <f t="shared" si="433"/>
        <v>42381</v>
      </c>
      <c r="G493" s="278">
        <f>27500+14300</f>
        <v>41800</v>
      </c>
      <c r="H493" s="278">
        <f>270+311</f>
        <v>581</v>
      </c>
      <c r="I493" s="352" t="str">
        <f>IFERROR(F493/#REF!,"-")</f>
        <v>-</v>
      </c>
      <c r="J493" s="333">
        <f t="shared" si="434"/>
        <v>338431</v>
      </c>
      <c r="K493" s="278">
        <f t="shared" si="429"/>
        <v>336600</v>
      </c>
      <c r="L493" s="436">
        <f t="shared" si="430"/>
        <v>1831</v>
      </c>
      <c r="M493" s="337" t="str">
        <f t="shared" si="439"/>
        <v>-</v>
      </c>
      <c r="N493" s="263">
        <f t="shared" si="440"/>
        <v>5.4102608803567051E-3</v>
      </c>
      <c r="O493" s="508">
        <v>4.6184000000000003</v>
      </c>
      <c r="P493" s="404">
        <f t="shared" si="431"/>
        <v>193049.12000000002</v>
      </c>
      <c r="Q493" s="449">
        <f t="shared" si="432"/>
        <v>1554553.4400000002</v>
      </c>
    </row>
    <row r="494" spans="1:17" ht="23.4" x14ac:dyDescent="0.4">
      <c r="A494" s="248"/>
      <c r="B494" s="1107"/>
      <c r="C494" s="543" t="s">
        <v>340</v>
      </c>
      <c r="D494" s="276"/>
      <c r="E494" s="436"/>
      <c r="F494" s="333">
        <f t="shared" si="433"/>
        <v>0</v>
      </c>
      <c r="G494" s="278"/>
      <c r="H494" s="278"/>
      <c r="I494" s="352" t="str">
        <f>IFERROR(F494/#REF!,"-")</f>
        <v>-</v>
      </c>
      <c r="J494" s="333">
        <f t="shared" si="434"/>
        <v>0</v>
      </c>
      <c r="K494" s="278">
        <f t="shared" si="429"/>
        <v>0</v>
      </c>
      <c r="L494" s="436">
        <f t="shared" si="430"/>
        <v>0</v>
      </c>
      <c r="M494" s="337" t="str">
        <f t="shared" si="439"/>
        <v>-</v>
      </c>
      <c r="N494" s="263" t="str">
        <f t="shared" si="440"/>
        <v>-</v>
      </c>
      <c r="O494" s="508">
        <v>4.6184000000000003</v>
      </c>
      <c r="P494" s="404">
        <f t="shared" si="431"/>
        <v>0</v>
      </c>
      <c r="Q494" s="449">
        <f t="shared" si="432"/>
        <v>0</v>
      </c>
    </row>
    <row r="495" spans="1:17" ht="23.4" x14ac:dyDescent="0.4">
      <c r="A495" s="248"/>
      <c r="B495" s="1107"/>
      <c r="C495" s="543" t="s">
        <v>252</v>
      </c>
      <c r="D495" s="276"/>
      <c r="E495" s="436"/>
      <c r="F495" s="333">
        <f t="shared" si="433"/>
        <v>0</v>
      </c>
      <c r="G495" s="278"/>
      <c r="H495" s="278"/>
      <c r="I495" s="352" t="str">
        <f>IFERROR(F495/#REF!,"-")</f>
        <v>-</v>
      </c>
      <c r="J495" s="333">
        <f t="shared" si="434"/>
        <v>0</v>
      </c>
      <c r="K495" s="278">
        <f t="shared" si="429"/>
        <v>0</v>
      </c>
      <c r="L495" s="436">
        <f t="shared" si="430"/>
        <v>0</v>
      </c>
      <c r="M495" s="337" t="str">
        <f t="shared" si="439"/>
        <v>-</v>
      </c>
      <c r="N495" s="263" t="str">
        <f t="shared" si="440"/>
        <v>-</v>
      </c>
      <c r="O495" s="508">
        <v>4.6184000000000003</v>
      </c>
      <c r="P495" s="404">
        <f t="shared" si="431"/>
        <v>0</v>
      </c>
      <c r="Q495" s="449">
        <f t="shared" si="432"/>
        <v>0</v>
      </c>
    </row>
    <row r="496" spans="1:17" ht="23.4" x14ac:dyDescent="0.4">
      <c r="A496" s="248"/>
      <c r="B496" s="1107"/>
      <c r="C496" s="543" t="s">
        <v>350</v>
      </c>
      <c r="D496" s="276"/>
      <c r="E496" s="436"/>
      <c r="F496" s="333">
        <f t="shared" si="433"/>
        <v>0</v>
      </c>
      <c r="G496" s="278"/>
      <c r="H496" s="278"/>
      <c r="I496" s="352" t="str">
        <f>IFERROR(F496/#REF!,"-")</f>
        <v>-</v>
      </c>
      <c r="J496" s="333">
        <f t="shared" si="434"/>
        <v>0</v>
      </c>
      <c r="K496" s="686">
        <f t="shared" si="429"/>
        <v>0</v>
      </c>
      <c r="L496" s="687">
        <f t="shared" si="430"/>
        <v>0</v>
      </c>
      <c r="M496" s="337" t="str">
        <f t="shared" si="439"/>
        <v>-</v>
      </c>
      <c r="N496" s="263" t="str">
        <f t="shared" si="440"/>
        <v>-</v>
      </c>
      <c r="O496" s="508">
        <v>4.7636000000000003</v>
      </c>
      <c r="P496" s="404">
        <f t="shared" si="431"/>
        <v>0</v>
      </c>
      <c r="Q496" s="449">
        <f t="shared" si="432"/>
        <v>0</v>
      </c>
    </row>
    <row r="497" spans="1:17" ht="24" thickBot="1" x14ac:dyDescent="0.45">
      <c r="A497" s="248"/>
      <c r="B497" s="1108"/>
      <c r="C497" s="543" t="s">
        <v>346</v>
      </c>
      <c r="D497" s="276"/>
      <c r="E497" s="436"/>
      <c r="F497" s="333">
        <f t="shared" si="433"/>
        <v>0</v>
      </c>
      <c r="G497" s="278"/>
      <c r="H497" s="278"/>
      <c r="I497" s="352" t="str">
        <f>IFERROR(F497/#REF!,"-")</f>
        <v>-</v>
      </c>
      <c r="J497" s="333">
        <f t="shared" si="434"/>
        <v>0</v>
      </c>
      <c r="K497" s="278">
        <f t="shared" si="429"/>
        <v>0</v>
      </c>
      <c r="L497" s="436">
        <f t="shared" si="430"/>
        <v>0</v>
      </c>
      <c r="M497" s="337" t="str">
        <f t="shared" si="439"/>
        <v>-</v>
      </c>
      <c r="N497" s="263" t="str">
        <f t="shared" si="440"/>
        <v>-</v>
      </c>
      <c r="O497" s="508">
        <v>4.8738000000000001</v>
      </c>
      <c r="P497" s="404">
        <f t="shared" si="431"/>
        <v>0</v>
      </c>
      <c r="Q497" s="449">
        <f t="shared" si="432"/>
        <v>0</v>
      </c>
    </row>
    <row r="498" spans="1:17" ht="24" thickBot="1" x14ac:dyDescent="0.45">
      <c r="A498" s="248"/>
      <c r="B498" s="717" t="s">
        <v>254</v>
      </c>
      <c r="C498" s="543" t="s">
        <v>520</v>
      </c>
      <c r="D498" s="276"/>
      <c r="E498" s="436"/>
      <c r="F498" s="333">
        <f t="shared" si="433"/>
        <v>6670</v>
      </c>
      <c r="G498" s="278">
        <v>6600</v>
      </c>
      <c r="H498" s="278">
        <v>70</v>
      </c>
      <c r="I498" s="352" t="str">
        <f>IFERROR(F498/#REF!,"-")</f>
        <v>-</v>
      </c>
      <c r="J498" s="333">
        <f t="shared" si="434"/>
        <v>17752</v>
      </c>
      <c r="K498" s="278">
        <f t="shared" si="429"/>
        <v>17600</v>
      </c>
      <c r="L498" s="436">
        <f t="shared" si="430"/>
        <v>152</v>
      </c>
      <c r="M498" s="337" t="str">
        <f t="shared" si="439"/>
        <v>-</v>
      </c>
      <c r="N498" s="263">
        <f t="shared" si="440"/>
        <v>8.5624155024785938E-3</v>
      </c>
      <c r="O498" s="508">
        <v>4.8738000000000001</v>
      </c>
      <c r="P498" s="404">
        <f t="shared" si="431"/>
        <v>32167.08</v>
      </c>
      <c r="Q498" s="449">
        <f t="shared" si="432"/>
        <v>85778.880000000005</v>
      </c>
    </row>
    <row r="499" spans="1:17" ht="23.4" x14ac:dyDescent="0.4">
      <c r="A499" s="248"/>
      <c r="B499" s="1106" t="s">
        <v>256</v>
      </c>
      <c r="C499" s="543" t="s">
        <v>77</v>
      </c>
      <c r="D499" s="276"/>
      <c r="E499" s="436"/>
      <c r="F499" s="333">
        <f t="shared" si="433"/>
        <v>64130</v>
      </c>
      <c r="G499" s="278">
        <f>43470+19600</f>
        <v>63070</v>
      </c>
      <c r="H499" s="278">
        <f>570+490</f>
        <v>1060</v>
      </c>
      <c r="I499" s="352" t="str">
        <f>IFERROR(F499/#REF!,"-")</f>
        <v>-</v>
      </c>
      <c r="J499" s="333">
        <f t="shared" si="434"/>
        <v>289152</v>
      </c>
      <c r="K499" s="719">
        <f t="shared" si="429"/>
        <v>283850</v>
      </c>
      <c r="L499" s="815">
        <f t="shared" si="430"/>
        <v>5302</v>
      </c>
      <c r="M499" s="337" t="str">
        <f t="shared" si="439"/>
        <v>-</v>
      </c>
      <c r="N499" s="263">
        <f t="shared" si="440"/>
        <v>1.8336376715360779E-2</v>
      </c>
      <c r="O499" s="508">
        <v>4.9344999999999999</v>
      </c>
      <c r="P499" s="404">
        <f t="shared" si="431"/>
        <v>311218.91499999998</v>
      </c>
      <c r="Q499" s="449">
        <f t="shared" si="432"/>
        <v>1400657.825</v>
      </c>
    </row>
    <row r="500" spans="1:17" ht="23.4" x14ac:dyDescent="0.4">
      <c r="A500" s="248"/>
      <c r="B500" s="1107"/>
      <c r="C500" s="543" t="s">
        <v>135</v>
      </c>
      <c r="D500" s="276"/>
      <c r="E500" s="436"/>
      <c r="F500" s="333">
        <f t="shared" si="433"/>
        <v>0</v>
      </c>
      <c r="G500" s="278"/>
      <c r="H500" s="278"/>
      <c r="I500" s="352" t="str">
        <f>IFERROR(F500/#REF!,"-")</f>
        <v>-</v>
      </c>
      <c r="J500" s="333">
        <f t="shared" si="434"/>
        <v>0</v>
      </c>
      <c r="K500" s="278">
        <f t="shared" si="429"/>
        <v>0</v>
      </c>
      <c r="L500" s="436">
        <f t="shared" si="430"/>
        <v>0</v>
      </c>
      <c r="M500" s="337" t="str">
        <f t="shared" si="439"/>
        <v>-</v>
      </c>
      <c r="N500" s="263" t="str">
        <f t="shared" si="440"/>
        <v>-</v>
      </c>
      <c r="O500" s="508">
        <v>4.9344999999999999</v>
      </c>
      <c r="P500" s="404">
        <f t="shared" si="431"/>
        <v>0</v>
      </c>
      <c r="Q500" s="449">
        <f t="shared" si="432"/>
        <v>0</v>
      </c>
    </row>
    <row r="501" spans="1:17" ht="23.4" x14ac:dyDescent="0.4">
      <c r="A501" s="248"/>
      <c r="B501" s="1107"/>
      <c r="C501" s="543" t="s">
        <v>129</v>
      </c>
      <c r="D501" s="276"/>
      <c r="E501" s="436"/>
      <c r="F501" s="333">
        <f t="shared" si="433"/>
        <v>0</v>
      </c>
      <c r="G501" s="278"/>
      <c r="H501" s="278"/>
      <c r="I501" s="352" t="str">
        <f>IFERROR(F501/#REF!,"-")</f>
        <v>-</v>
      </c>
      <c r="J501" s="333">
        <f t="shared" si="434"/>
        <v>0</v>
      </c>
      <c r="K501" s="278">
        <f t="shared" si="429"/>
        <v>0</v>
      </c>
      <c r="L501" s="436">
        <f t="shared" si="430"/>
        <v>0</v>
      </c>
      <c r="M501" s="337" t="str">
        <f t="shared" si="439"/>
        <v>-</v>
      </c>
      <c r="N501" s="263" t="str">
        <f t="shared" si="440"/>
        <v>-</v>
      </c>
      <c r="O501" s="508">
        <v>4.9344999999999999</v>
      </c>
      <c r="P501" s="404">
        <f t="shared" si="431"/>
        <v>0</v>
      </c>
      <c r="Q501" s="449">
        <f t="shared" si="432"/>
        <v>0</v>
      </c>
    </row>
    <row r="502" spans="1:17" ht="24" thickBot="1" x14ac:dyDescent="0.45">
      <c r="A502" s="248"/>
      <c r="B502" s="1108"/>
      <c r="C502" s="543" t="s">
        <v>255</v>
      </c>
      <c r="D502" s="276"/>
      <c r="E502" s="436"/>
      <c r="F502" s="333">
        <f t="shared" si="433"/>
        <v>0</v>
      </c>
      <c r="G502" s="278"/>
      <c r="H502" s="278"/>
      <c r="I502" s="352" t="str">
        <f>IFERROR(F502/#REF!,"-")</f>
        <v>-</v>
      </c>
      <c r="J502" s="333">
        <f t="shared" si="434"/>
        <v>0</v>
      </c>
      <c r="K502" s="278">
        <f t="shared" si="429"/>
        <v>0</v>
      </c>
      <c r="L502" s="436">
        <f t="shared" si="430"/>
        <v>0</v>
      </c>
      <c r="M502" s="337" t="str">
        <f t="shared" si="439"/>
        <v>-</v>
      </c>
      <c r="N502" s="263" t="str">
        <f t="shared" si="440"/>
        <v>-</v>
      </c>
      <c r="O502" s="508">
        <v>5.5069999999999997</v>
      </c>
      <c r="P502" s="404">
        <f t="shared" si="431"/>
        <v>0</v>
      </c>
      <c r="Q502" s="449">
        <f t="shared" si="432"/>
        <v>0</v>
      </c>
    </row>
    <row r="503" spans="1:17" ht="23.4" x14ac:dyDescent="0.4">
      <c r="A503" s="248"/>
      <c r="B503" s="1106" t="s">
        <v>261</v>
      </c>
      <c r="C503" s="543" t="s">
        <v>257</v>
      </c>
      <c r="D503" s="276"/>
      <c r="E503" s="436"/>
      <c r="F503" s="333">
        <f t="shared" si="433"/>
        <v>47670</v>
      </c>
      <c r="G503" s="278">
        <f>36750+10500</f>
        <v>47250</v>
      </c>
      <c r="H503" s="278">
        <f>240+180</f>
        <v>420</v>
      </c>
      <c r="I503" s="352" t="str">
        <f>IFERROR(F503/#REF!,"-")</f>
        <v>-</v>
      </c>
      <c r="J503" s="333">
        <f t="shared" si="434"/>
        <v>296793</v>
      </c>
      <c r="K503" s="278">
        <f t="shared" si="429"/>
        <v>294000</v>
      </c>
      <c r="L503" s="687">
        <f t="shared" si="430"/>
        <v>2793</v>
      </c>
      <c r="M503" s="337" t="str">
        <f t="shared" si="439"/>
        <v>-</v>
      </c>
      <c r="N503" s="263">
        <f t="shared" si="440"/>
        <v>9.410599306587419E-3</v>
      </c>
      <c r="O503" s="710">
        <v>5.5069999999999997</v>
      </c>
      <c r="P503" s="404">
        <f t="shared" si="431"/>
        <v>260205.74999999997</v>
      </c>
      <c r="Q503" s="449">
        <f t="shared" si="432"/>
        <v>1619058</v>
      </c>
    </row>
    <row r="504" spans="1:17" ht="23.4" x14ac:dyDescent="0.4">
      <c r="A504" s="248"/>
      <c r="B504" s="1107"/>
      <c r="C504" s="543" t="s">
        <v>258</v>
      </c>
      <c r="D504" s="276"/>
      <c r="E504" s="436"/>
      <c r="F504" s="333">
        <f t="shared" si="433"/>
        <v>0</v>
      </c>
      <c r="G504" s="278"/>
      <c r="H504" s="278"/>
      <c r="I504" s="352" t="str">
        <f>IFERROR(F504/#REF!,"-")</f>
        <v>-</v>
      </c>
      <c r="J504" s="333">
        <f t="shared" si="434"/>
        <v>0</v>
      </c>
      <c r="K504" s="278">
        <f t="shared" si="429"/>
        <v>0</v>
      </c>
      <c r="L504" s="436">
        <f t="shared" si="430"/>
        <v>0</v>
      </c>
      <c r="M504" s="337" t="str">
        <f t="shared" si="439"/>
        <v>-</v>
      </c>
      <c r="N504" s="263" t="str">
        <f t="shared" si="440"/>
        <v>-</v>
      </c>
      <c r="O504" s="508">
        <v>5.6550000000000002</v>
      </c>
      <c r="P504" s="404">
        <f t="shared" si="431"/>
        <v>0</v>
      </c>
      <c r="Q504" s="449">
        <f t="shared" si="432"/>
        <v>0</v>
      </c>
    </row>
    <row r="505" spans="1:17" ht="23.4" x14ac:dyDescent="0.4">
      <c r="A505" s="248"/>
      <c r="B505" s="1107"/>
      <c r="C505" s="543" t="s">
        <v>321</v>
      </c>
      <c r="D505" s="276"/>
      <c r="E505" s="436"/>
      <c r="F505" s="333">
        <f t="shared" si="433"/>
        <v>0</v>
      </c>
      <c r="G505" s="278"/>
      <c r="H505" s="278"/>
      <c r="I505" s="352" t="str">
        <f>IFERROR(F505/#REF!,"-")</f>
        <v>-</v>
      </c>
      <c r="J505" s="333">
        <f t="shared" si="434"/>
        <v>0</v>
      </c>
      <c r="K505" s="686">
        <f t="shared" si="429"/>
        <v>0</v>
      </c>
      <c r="L505" s="687">
        <f t="shared" si="430"/>
        <v>0</v>
      </c>
      <c r="M505" s="337" t="str">
        <f t="shared" si="439"/>
        <v>-</v>
      </c>
      <c r="N505" s="263" t="str">
        <f t="shared" si="440"/>
        <v>-</v>
      </c>
      <c r="O505" s="508">
        <v>5.6550000000000002</v>
      </c>
      <c r="P505" s="404">
        <f t="shared" si="431"/>
        <v>0</v>
      </c>
      <c r="Q505" s="449">
        <f t="shared" si="432"/>
        <v>0</v>
      </c>
    </row>
    <row r="506" spans="1:17" ht="23.4" x14ac:dyDescent="0.4">
      <c r="A506" s="248"/>
      <c r="B506" s="1107"/>
      <c r="C506" s="543" t="s">
        <v>259</v>
      </c>
      <c r="D506" s="276"/>
      <c r="E506" s="436"/>
      <c r="F506" s="333">
        <f t="shared" si="433"/>
        <v>0</v>
      </c>
      <c r="G506" s="278"/>
      <c r="H506" s="278"/>
      <c r="I506" s="352" t="str">
        <f>IFERROR(F506/#REF!,"-")</f>
        <v>-</v>
      </c>
      <c r="J506" s="333">
        <f t="shared" si="434"/>
        <v>0</v>
      </c>
      <c r="K506" s="278">
        <f t="shared" si="429"/>
        <v>0</v>
      </c>
      <c r="L506" s="436">
        <f t="shared" si="430"/>
        <v>0</v>
      </c>
      <c r="M506" s="337" t="str">
        <f t="shared" si="439"/>
        <v>-</v>
      </c>
      <c r="N506" s="263" t="str">
        <f t="shared" si="440"/>
        <v>-</v>
      </c>
      <c r="O506" s="508">
        <v>5.6550000000000002</v>
      </c>
      <c r="P506" s="404">
        <f t="shared" si="431"/>
        <v>0</v>
      </c>
      <c r="Q506" s="449">
        <f t="shared" si="432"/>
        <v>0</v>
      </c>
    </row>
    <row r="507" spans="1:17" ht="23.4" x14ac:dyDescent="0.4">
      <c r="A507" s="248" t="s">
        <v>101</v>
      </c>
      <c r="B507" s="1107"/>
      <c r="C507" s="543" t="s">
        <v>260</v>
      </c>
      <c r="D507" s="276"/>
      <c r="E507" s="436"/>
      <c r="F507" s="333">
        <f t="shared" si="433"/>
        <v>0</v>
      </c>
      <c r="G507" s="278"/>
      <c r="H507" s="278"/>
      <c r="I507" s="352" t="str">
        <f>IFERROR(F507/#REF!,"-")</f>
        <v>-</v>
      </c>
      <c r="J507" s="333">
        <f t="shared" si="434"/>
        <v>0</v>
      </c>
      <c r="K507" s="278">
        <f t="shared" si="429"/>
        <v>0</v>
      </c>
      <c r="L507" s="436">
        <f t="shared" si="430"/>
        <v>0</v>
      </c>
      <c r="M507" s="337" t="str">
        <f t="shared" si="439"/>
        <v>-</v>
      </c>
      <c r="N507" s="263" t="str">
        <f t="shared" si="440"/>
        <v>-</v>
      </c>
      <c r="O507" s="508">
        <v>3.2963</v>
      </c>
      <c r="P507" s="404">
        <f t="shared" si="431"/>
        <v>0</v>
      </c>
      <c r="Q507" s="449">
        <f t="shared" si="432"/>
        <v>0</v>
      </c>
    </row>
    <row r="508" spans="1:17" ht="24" thickBot="1" x14ac:dyDescent="0.45">
      <c r="A508" s="248" t="s">
        <v>101</v>
      </c>
      <c r="B508" s="1108"/>
      <c r="C508" s="543" t="s">
        <v>255</v>
      </c>
      <c r="D508" s="276"/>
      <c r="E508" s="436"/>
      <c r="F508" s="333">
        <f t="shared" si="433"/>
        <v>0</v>
      </c>
      <c r="G508" s="278"/>
      <c r="H508" s="278"/>
      <c r="I508" s="352" t="str">
        <f>IFERROR(F508/#REF!,"-")</f>
        <v>-</v>
      </c>
      <c r="J508" s="333">
        <f t="shared" si="434"/>
        <v>0</v>
      </c>
      <c r="K508" s="278">
        <f t="shared" si="429"/>
        <v>0</v>
      </c>
      <c r="L508" s="436">
        <f t="shared" si="430"/>
        <v>0</v>
      </c>
      <c r="M508" s="337" t="str">
        <f t="shared" si="439"/>
        <v>-</v>
      </c>
      <c r="N508" s="263" t="str">
        <f t="shared" si="440"/>
        <v>-</v>
      </c>
      <c r="O508" s="508">
        <v>3.2963</v>
      </c>
      <c r="P508" s="404">
        <f t="shared" si="431"/>
        <v>0</v>
      </c>
      <c r="Q508" s="449">
        <f t="shared" si="432"/>
        <v>0</v>
      </c>
    </row>
    <row r="509" spans="1:17" ht="23.4" x14ac:dyDescent="0.4">
      <c r="A509" s="248" t="s">
        <v>101</v>
      </c>
      <c r="B509" s="546"/>
      <c r="C509" s="544" t="s">
        <v>89</v>
      </c>
      <c r="D509" s="511"/>
      <c r="E509" s="436"/>
      <c r="F509" s="333">
        <f t="shared" si="433"/>
        <v>83715</v>
      </c>
      <c r="G509" s="278">
        <v>83400</v>
      </c>
      <c r="H509" s="278">
        <v>315</v>
      </c>
      <c r="I509" s="352" t="str">
        <f>IFERROR(F509/#REF!,"-")</f>
        <v>-</v>
      </c>
      <c r="J509" s="333">
        <f t="shared" si="434"/>
        <v>83715</v>
      </c>
      <c r="K509" s="278">
        <f t="shared" si="429"/>
        <v>83400</v>
      </c>
      <c r="L509" s="436">
        <f t="shared" si="430"/>
        <v>315</v>
      </c>
      <c r="M509" s="337" t="str">
        <f t="shared" si="439"/>
        <v>-</v>
      </c>
      <c r="N509" s="263">
        <f t="shared" si="440"/>
        <v>3.7627665292958249E-3</v>
      </c>
      <c r="O509" s="508">
        <v>2.3201000000000001</v>
      </c>
      <c r="P509" s="404">
        <f t="shared" si="431"/>
        <v>193496.34</v>
      </c>
      <c r="Q509" s="449">
        <f t="shared" si="432"/>
        <v>193496.34</v>
      </c>
    </row>
    <row r="510" spans="1:17" ht="24" thickBot="1" x14ac:dyDescent="0.35">
      <c r="A510" s="248" t="s">
        <v>101</v>
      </c>
      <c r="B510" s="524"/>
      <c r="C510" s="541"/>
      <c r="D510" s="530"/>
      <c r="E510" s="462"/>
      <c r="F510" s="460">
        <f t="shared" si="433"/>
        <v>0</v>
      </c>
      <c r="G510" s="461"/>
      <c r="H510" s="461"/>
      <c r="I510" s="532" t="str">
        <f>IFERROR(F510/#REF!,"-")</f>
        <v>-</v>
      </c>
      <c r="J510" s="460">
        <f t="shared" si="434"/>
        <v>0</v>
      </c>
      <c r="K510" s="461">
        <f t="shared" si="429"/>
        <v>0</v>
      </c>
      <c r="L510" s="462">
        <f t="shared" si="430"/>
        <v>0</v>
      </c>
      <c r="M510" s="683" t="str">
        <f t="shared" si="439"/>
        <v>-</v>
      </c>
      <c r="N510" s="264" t="str">
        <f t="shared" si="440"/>
        <v>-</v>
      </c>
      <c r="O510" s="539"/>
      <c r="P510" s="536">
        <f t="shared" si="431"/>
        <v>0</v>
      </c>
      <c r="Q510" s="537">
        <f t="shared" si="432"/>
        <v>0</v>
      </c>
    </row>
    <row r="511" spans="1:17" ht="23.25" customHeight="1" thickBot="1" x14ac:dyDescent="0.35">
      <c r="A511" s="274" t="s">
        <v>101</v>
      </c>
      <c r="B511" s="1109" t="s">
        <v>25</v>
      </c>
      <c r="C511" s="1046"/>
      <c r="D511" s="513">
        <f>SUM(D484:D510)</f>
        <v>0</v>
      </c>
      <c r="E511" s="526">
        <v>100000</v>
      </c>
      <c r="F511" s="519">
        <f>SUM(F479:F510)</f>
        <v>265084</v>
      </c>
      <c r="G511" s="519">
        <f>SUM(G479:G510)</f>
        <v>262340</v>
      </c>
      <c r="H511" s="519">
        <f>SUM(H479:H510)</f>
        <v>2744</v>
      </c>
      <c r="I511" s="520" t="str">
        <f>IFERROR(F511/#REF!,"-")</f>
        <v>-</v>
      </c>
      <c r="J511" s="513">
        <f>SUM(J479:J510)</f>
        <v>1119666</v>
      </c>
      <c r="K511" s="513">
        <f t="shared" ref="K511:L511" si="441">SUM(K479:K510)</f>
        <v>1107233</v>
      </c>
      <c r="L511" s="513">
        <f t="shared" si="441"/>
        <v>12433</v>
      </c>
      <c r="M511" s="521" t="str">
        <f t="shared" si="439"/>
        <v>-</v>
      </c>
      <c r="N511" s="520">
        <f t="shared" si="440"/>
        <v>1.1104204289493474E-2</v>
      </c>
      <c r="O511" s="522"/>
      <c r="P511" s="523">
        <f>SUM(P479:P510)</f>
        <v>1649786.571</v>
      </c>
      <c r="Q511" s="523">
        <f>SUM(Q479:Q510)</f>
        <v>7892545.0164000001</v>
      </c>
    </row>
    <row r="512" spans="1:17" ht="23.25" customHeight="1" thickBot="1" x14ac:dyDescent="0.35">
      <c r="A512" s="318" t="s">
        <v>101</v>
      </c>
      <c r="B512" s="1111" t="s">
        <v>249</v>
      </c>
      <c r="C512" s="1112"/>
      <c r="D512" s="326">
        <f>+D483+D511</f>
        <v>0</v>
      </c>
      <c r="E512" s="327">
        <f>+E483+E511</f>
        <v>100000</v>
      </c>
      <c r="F512" s="326">
        <f>+F511</f>
        <v>265084</v>
      </c>
      <c r="G512" s="326">
        <f t="shared" ref="G512:H512" si="442">+G511</f>
        <v>262340</v>
      </c>
      <c r="H512" s="326">
        <f t="shared" si="442"/>
        <v>2744</v>
      </c>
      <c r="I512" s="349" t="str">
        <f>IFERROR(F512/#REF!,"-")</f>
        <v>-</v>
      </c>
      <c r="J512" s="326">
        <f>+J511</f>
        <v>1119666</v>
      </c>
      <c r="K512" s="326">
        <f t="shared" ref="K512:L512" si="443">+K511</f>
        <v>1107233</v>
      </c>
      <c r="L512" s="326">
        <f t="shared" si="443"/>
        <v>12433</v>
      </c>
      <c r="M512" s="341" t="str">
        <f t="shared" si="439"/>
        <v>-</v>
      </c>
      <c r="N512" s="349">
        <f t="shared" si="440"/>
        <v>1.1104204289493474E-2</v>
      </c>
      <c r="O512" s="394"/>
      <c r="P512" s="410">
        <f>+P511</f>
        <v>1649786.571</v>
      </c>
      <c r="Q512" s="428">
        <f>Q511</f>
        <v>7892545.0164000001</v>
      </c>
    </row>
    <row r="513" spans="1:17" ht="24.6" thickBot="1" x14ac:dyDescent="0.35">
      <c r="A513" s="319"/>
      <c r="B513" s="1113" t="s">
        <v>174</v>
      </c>
      <c r="C513" s="1114"/>
      <c r="D513" s="374">
        <f>+D512+D478+D469</f>
        <v>0</v>
      </c>
      <c r="E513" s="374">
        <f>+E512+E478+E469</f>
        <v>230000</v>
      </c>
      <c r="F513" s="374">
        <f>+F512+F478+F469</f>
        <v>425575</v>
      </c>
      <c r="G513" s="374">
        <f>+G512+G478+G469</f>
        <v>421340</v>
      </c>
      <c r="H513" s="374">
        <f>+H512+H478+H469</f>
        <v>4235</v>
      </c>
      <c r="I513" s="375" t="str">
        <f>IFERROR(F513/#REF!,"-")</f>
        <v>-</v>
      </c>
      <c r="J513" s="374">
        <f>+J512+J478+J469</f>
        <v>2860966</v>
      </c>
      <c r="K513" s="374">
        <f>+K512+K478+K469</f>
        <v>2831433</v>
      </c>
      <c r="L513" s="374">
        <f>+L512+L478+L469</f>
        <v>29533</v>
      </c>
      <c r="M513" s="375" t="str">
        <f t="shared" si="439"/>
        <v>-</v>
      </c>
      <c r="N513" s="375">
        <f>IFERROR(L513/J513,"-")</f>
        <v>1.0322737145425706E-2</v>
      </c>
      <c r="O513" s="401"/>
      <c r="P513" s="418">
        <f>+P512+P478+P469</f>
        <v>2613248.8710000003</v>
      </c>
      <c r="Q513" s="418">
        <f>+Q512+Q478+Q469</f>
        <v>15934327.1514</v>
      </c>
    </row>
    <row r="514" spans="1:17" ht="24.6" customHeight="1" thickBot="1" x14ac:dyDescent="0.35">
      <c r="A514" s="230"/>
      <c r="B514" s="230"/>
      <c r="C514" s="230"/>
      <c r="D514" s="232"/>
      <c r="E514" s="232"/>
      <c r="F514" s="232"/>
      <c r="G514" s="267"/>
      <c r="H514" s="267"/>
      <c r="I514" s="234"/>
      <c r="J514" s="232"/>
      <c r="K514" s="232"/>
      <c r="L514" s="232"/>
      <c r="M514" s="234"/>
      <c r="N514" s="234"/>
    </row>
    <row r="515" spans="1:17" ht="22.5" customHeight="1" x14ac:dyDescent="0.3">
      <c r="A515" s="1115" t="s">
        <v>1</v>
      </c>
      <c r="B515" s="1118" t="s">
        <v>2</v>
      </c>
      <c r="C515" s="1121" t="s">
        <v>396</v>
      </c>
      <c r="D515" s="1066" t="s">
        <v>4</v>
      </c>
      <c r="E515" s="1067"/>
      <c r="F515" s="1067"/>
      <c r="G515" s="1067"/>
      <c r="H515" s="1067"/>
      <c r="I515" s="1067"/>
      <c r="J515" s="1067"/>
      <c r="K515" s="1067"/>
      <c r="L515" s="1067"/>
      <c r="M515" s="1067"/>
      <c r="N515" s="1068"/>
      <c r="O515" s="1092" t="s">
        <v>167</v>
      </c>
      <c r="P515" s="1093"/>
      <c r="Q515" s="1124"/>
    </row>
    <row r="516" spans="1:17" ht="22.5" customHeight="1" x14ac:dyDescent="0.3">
      <c r="A516" s="1116"/>
      <c r="B516" s="1119"/>
      <c r="C516" s="1122"/>
      <c r="D516" s="1069" t="s">
        <v>7</v>
      </c>
      <c r="E516" s="1071" t="s">
        <v>108</v>
      </c>
      <c r="F516" s="1125" t="s">
        <v>533</v>
      </c>
      <c r="G516" s="1074"/>
      <c r="H516" s="1074"/>
      <c r="I516" s="1075"/>
      <c r="J516" s="1076" t="s">
        <v>8</v>
      </c>
      <c r="K516" s="1077"/>
      <c r="L516" s="1078"/>
      <c r="M516" s="1079" t="s">
        <v>165</v>
      </c>
      <c r="N516" s="1081" t="s">
        <v>164</v>
      </c>
      <c r="O516" s="1126" t="s">
        <v>169</v>
      </c>
      <c r="P516" s="1127"/>
      <c r="Q516" s="1128"/>
    </row>
    <row r="517" spans="1:17" ht="47.4" thickBot="1" x14ac:dyDescent="0.35">
      <c r="A517" s="1117"/>
      <c r="B517" s="1120"/>
      <c r="C517" s="1123"/>
      <c r="D517" s="1070"/>
      <c r="E517" s="1072"/>
      <c r="F517" s="452" t="s">
        <v>13</v>
      </c>
      <c r="G517" s="453" t="s">
        <v>14</v>
      </c>
      <c r="H517" s="453" t="s">
        <v>15</v>
      </c>
      <c r="I517" s="454" t="s">
        <v>166</v>
      </c>
      <c r="J517" s="680" t="s">
        <v>13</v>
      </c>
      <c r="K517" s="678" t="s">
        <v>14</v>
      </c>
      <c r="L517" s="679" t="s">
        <v>15</v>
      </c>
      <c r="M517" s="1080"/>
      <c r="N517" s="1082"/>
      <c r="O517" s="444" t="s">
        <v>170</v>
      </c>
      <c r="P517" s="445" t="s">
        <v>11</v>
      </c>
      <c r="Q517" s="446" t="s">
        <v>12</v>
      </c>
    </row>
    <row r="518" spans="1:17" ht="23.4" x14ac:dyDescent="0.3">
      <c r="A518" s="268" t="s">
        <v>103</v>
      </c>
      <c r="B518" s="439"/>
      <c r="C518" s="269" t="s">
        <v>502</v>
      </c>
      <c r="D518" s="270"/>
      <c r="E518" s="271"/>
      <c r="F518" s="332">
        <f>+G518+H518</f>
        <v>0</v>
      </c>
      <c r="G518" s="272"/>
      <c r="H518" s="272"/>
      <c r="I518" s="351" t="str">
        <f>IFERROR(F518/E518,"-")</f>
        <v>-</v>
      </c>
      <c r="J518" s="457">
        <f>+K518+L518</f>
        <v>128000</v>
      </c>
      <c r="K518" s="458">
        <f>+G518+K455</f>
        <v>128000</v>
      </c>
      <c r="L518" s="458">
        <f>+H518+L455</f>
        <v>0</v>
      </c>
      <c r="M518" s="336" t="str">
        <f>IFERROR(J518/D518,"-")</f>
        <v>-</v>
      </c>
      <c r="N518" s="343">
        <f t="shared" ref="N518:N519" si="444">IFERROR(L518/J518,"-")</f>
        <v>0</v>
      </c>
      <c r="O518" s="786">
        <v>0</v>
      </c>
      <c r="P518" s="402">
        <f>+O518*G518</f>
        <v>0</v>
      </c>
      <c r="Q518" s="447">
        <f>+O518*K518</f>
        <v>0</v>
      </c>
    </row>
    <row r="519" spans="1:17" ht="23.4" x14ac:dyDescent="0.3">
      <c r="A519" s="274" t="s">
        <v>103</v>
      </c>
      <c r="B519" s="438"/>
      <c r="C519" s="275" t="s">
        <v>245</v>
      </c>
      <c r="D519" s="276"/>
      <c r="E519" s="277"/>
      <c r="F519" s="333">
        <f t="shared" ref="F519:F522" si="445">+G519+H519</f>
        <v>0</v>
      </c>
      <c r="G519" s="719"/>
      <c r="H519" s="719"/>
      <c r="I519" s="351" t="str">
        <f t="shared" ref="I519:I522" si="446">IFERROR(F519/E519,"-")</f>
        <v>-</v>
      </c>
      <c r="J519" s="333">
        <f t="shared" ref="J519:J522" si="447">+K519+L519</f>
        <v>115874</v>
      </c>
      <c r="K519" s="278">
        <f t="shared" ref="K519:K522" si="448">+G519+K456</f>
        <v>115000</v>
      </c>
      <c r="L519" s="436">
        <f t="shared" ref="L519:L522" si="449">+H519+L456</f>
        <v>874</v>
      </c>
      <c r="M519" s="337" t="str">
        <f t="shared" ref="M519:M522" si="450">IFERROR(J519/D519,"-")</f>
        <v>-</v>
      </c>
      <c r="N519" s="265">
        <f t="shared" si="444"/>
        <v>7.5426756649464074E-3</v>
      </c>
      <c r="O519" s="508">
        <v>2.3978999999999999</v>
      </c>
      <c r="P519" s="404">
        <f>+O519*G519</f>
        <v>0</v>
      </c>
      <c r="Q519" s="449">
        <f>+O519*K519</f>
        <v>275758.5</v>
      </c>
    </row>
    <row r="520" spans="1:17" ht="23.4" x14ac:dyDescent="0.3">
      <c r="A520" s="274" t="s">
        <v>103</v>
      </c>
      <c r="B520" s="438"/>
      <c r="C520" s="275" t="s">
        <v>395</v>
      </c>
      <c r="D520" s="276"/>
      <c r="E520" s="277"/>
      <c r="F520" s="333">
        <f t="shared" si="445"/>
        <v>0</v>
      </c>
      <c r="G520" s="278"/>
      <c r="H520" s="719"/>
      <c r="I520" s="351" t="str">
        <f t="shared" si="446"/>
        <v>-</v>
      </c>
      <c r="J520" s="333">
        <f t="shared" si="447"/>
        <v>714001</v>
      </c>
      <c r="K520" s="278">
        <f t="shared" si="448"/>
        <v>707750</v>
      </c>
      <c r="L520" s="436">
        <f t="shared" si="449"/>
        <v>6251</v>
      </c>
      <c r="M520" s="337" t="str">
        <f t="shared" si="450"/>
        <v>-</v>
      </c>
      <c r="N520" s="716">
        <f>IFERROR(L520/J520,"-")</f>
        <v>8.7548896990340356E-3</v>
      </c>
      <c r="O520" s="718">
        <v>3.6777000000000002</v>
      </c>
      <c r="P520" s="404">
        <f t="shared" ref="P520:P522" si="451">+O520*G520</f>
        <v>0</v>
      </c>
      <c r="Q520" s="449">
        <f t="shared" ref="Q520:Q522" si="452">+O520*K520</f>
        <v>2602892.1750000003</v>
      </c>
    </row>
    <row r="521" spans="1:17" ht="23.4" x14ac:dyDescent="0.3">
      <c r="A521" s="274"/>
      <c r="B521" s="451"/>
      <c r="C521" s="275" t="s">
        <v>319</v>
      </c>
      <c r="D521" s="280"/>
      <c r="E521" s="281"/>
      <c r="F521" s="333">
        <f t="shared" si="445"/>
        <v>44663</v>
      </c>
      <c r="G521" s="282">
        <v>44000</v>
      </c>
      <c r="H521" s="282">
        <v>663</v>
      </c>
      <c r="I521" s="351" t="str">
        <f t="shared" si="446"/>
        <v>-</v>
      </c>
      <c r="J521" s="333">
        <f t="shared" si="447"/>
        <v>325218</v>
      </c>
      <c r="K521" s="278">
        <f t="shared" si="448"/>
        <v>320800</v>
      </c>
      <c r="L521" s="436">
        <f t="shared" si="449"/>
        <v>4418</v>
      </c>
      <c r="M521" s="337" t="str">
        <f t="shared" si="450"/>
        <v>-</v>
      </c>
      <c r="N521" s="265">
        <f>IFERROR(L521/J521,"-")</f>
        <v>1.358473393231617E-2</v>
      </c>
      <c r="O521" s="509">
        <v>12.284700000000001</v>
      </c>
      <c r="P521" s="404">
        <f t="shared" si="451"/>
        <v>540526.80000000005</v>
      </c>
      <c r="Q521" s="449">
        <f t="shared" si="452"/>
        <v>3940931.7600000002</v>
      </c>
    </row>
    <row r="522" spans="1:17" ht="24" thickBot="1" x14ac:dyDescent="0.35">
      <c r="A522" s="274" t="s">
        <v>103</v>
      </c>
      <c r="B522" s="451"/>
      <c r="C522" s="275" t="s">
        <v>365</v>
      </c>
      <c r="D522" s="280"/>
      <c r="E522" s="281"/>
      <c r="F522" s="334">
        <f t="shared" si="445"/>
        <v>0</v>
      </c>
      <c r="G522" s="282"/>
      <c r="H522" s="282"/>
      <c r="I522" s="351" t="str">
        <f t="shared" si="446"/>
        <v>-</v>
      </c>
      <c r="J522" s="460">
        <f t="shared" si="447"/>
        <v>45034</v>
      </c>
      <c r="K522" s="461">
        <f t="shared" si="448"/>
        <v>44250</v>
      </c>
      <c r="L522" s="462">
        <f t="shared" si="449"/>
        <v>784</v>
      </c>
      <c r="M522" s="338" t="str">
        <f t="shared" si="450"/>
        <v>-</v>
      </c>
      <c r="N522" s="344">
        <f t="shared" ref="N522:N534" si="453">IFERROR(L522/J522,"-")</f>
        <v>1.7409068703646134E-2</v>
      </c>
      <c r="O522" s="718">
        <v>7.0612000000000004</v>
      </c>
      <c r="P522" s="405">
        <f t="shared" si="451"/>
        <v>0</v>
      </c>
      <c r="Q522" s="450">
        <f t="shared" si="452"/>
        <v>312458.10000000003</v>
      </c>
    </row>
    <row r="523" spans="1:17" ht="23.25" customHeight="1" thickBot="1" x14ac:dyDescent="0.35">
      <c r="A523" s="274" t="s">
        <v>103</v>
      </c>
      <c r="B523" s="1109" t="s">
        <v>21</v>
      </c>
      <c r="C523" s="1046"/>
      <c r="D523" s="320">
        <f>SUM(D518:D522)</f>
        <v>0</v>
      </c>
      <c r="E523" s="285">
        <v>15000</v>
      </c>
      <c r="F523" s="320">
        <f>SUM(F518:F522)</f>
        <v>44663</v>
      </c>
      <c r="G523" s="321">
        <f>SUM(G518:G522)</f>
        <v>44000</v>
      </c>
      <c r="H523" s="321">
        <f>SUM(H518:H522)</f>
        <v>663</v>
      </c>
      <c r="I523" s="345">
        <f>IFERROR(F523/E523,"-")</f>
        <v>2.9775333333333331</v>
      </c>
      <c r="J523" s="320">
        <f>SUM(J518:J522)</f>
        <v>1328127</v>
      </c>
      <c r="K523" s="321">
        <f>SUM(K518:K522)</f>
        <v>1315800</v>
      </c>
      <c r="L523" s="322">
        <f>SUM(L518:L522)</f>
        <v>12327</v>
      </c>
      <c r="M523" s="339" t="str">
        <f>IFERROR(J523/D523,"-")</f>
        <v>-</v>
      </c>
      <c r="N523" s="345">
        <f t="shared" si="453"/>
        <v>9.2814919055180713E-3</v>
      </c>
      <c r="O523" s="391"/>
      <c r="P523" s="406">
        <f>SUM(P518:P522)</f>
        <v>540526.80000000005</v>
      </c>
      <c r="Q523" s="425">
        <f>SUM(Q518:Q522)</f>
        <v>7132040.5350000001</v>
      </c>
    </row>
    <row r="524" spans="1:17" ht="23.4" x14ac:dyDescent="0.3">
      <c r="A524" s="274" t="s">
        <v>103</v>
      </c>
      <c r="B524" s="439"/>
      <c r="C524" s="269" t="s">
        <v>244</v>
      </c>
      <c r="D524" s="270"/>
      <c r="E524" s="271"/>
      <c r="F524" s="332">
        <f t="shared" ref="F524:F530" si="454">+G524+H524</f>
        <v>0</v>
      </c>
      <c r="G524" s="272"/>
      <c r="H524" s="272"/>
      <c r="I524" s="351" t="str">
        <f>IFERROR(F524/E524,"-")</f>
        <v>-</v>
      </c>
      <c r="J524" s="457">
        <f t="shared" ref="J524:J530" si="455">+K524+L524</f>
        <v>0</v>
      </c>
      <c r="K524" s="458">
        <f t="shared" ref="K524:K530" si="456">+G524+K461</f>
        <v>0</v>
      </c>
      <c r="L524" s="459">
        <f t="shared" ref="L524:L530" si="457">+H524+L461</f>
        <v>0</v>
      </c>
      <c r="M524" s="336" t="str">
        <f t="shared" ref="M524:M532" si="458">IFERROR(J524/D524,"-")</f>
        <v>-</v>
      </c>
      <c r="N524" s="346" t="str">
        <f t="shared" si="453"/>
        <v>-</v>
      </c>
      <c r="O524" s="507">
        <v>18.2316</v>
      </c>
      <c r="P524" s="402">
        <f t="shared" ref="P524:P530" si="459">+O524*G524</f>
        <v>0</v>
      </c>
      <c r="Q524" s="447">
        <f t="shared" ref="Q524:Q530" si="460">+O524*K524</f>
        <v>0</v>
      </c>
    </row>
    <row r="525" spans="1:17" ht="23.4" x14ac:dyDescent="0.3">
      <c r="A525" s="274" t="s">
        <v>103</v>
      </c>
      <c r="B525" s="438"/>
      <c r="C525" s="275" t="s">
        <v>89</v>
      </c>
      <c r="D525" s="276"/>
      <c r="E525" s="277"/>
      <c r="F525" s="333">
        <f t="shared" si="454"/>
        <v>60000</v>
      </c>
      <c r="G525" s="278">
        <v>60000</v>
      </c>
      <c r="H525" s="278"/>
      <c r="I525" s="351" t="str">
        <f t="shared" ref="I525:I530" si="461">IFERROR(F525/E525,"-")</f>
        <v>-</v>
      </c>
      <c r="J525" s="333">
        <f t="shared" si="455"/>
        <v>120000</v>
      </c>
      <c r="K525" s="278">
        <f t="shared" si="456"/>
        <v>120000</v>
      </c>
      <c r="L525" s="436">
        <f t="shared" si="457"/>
        <v>0</v>
      </c>
      <c r="M525" s="337" t="str">
        <f t="shared" si="458"/>
        <v>-</v>
      </c>
      <c r="N525" s="263">
        <f t="shared" si="453"/>
        <v>0</v>
      </c>
      <c r="O525" s="508">
        <v>1.2824</v>
      </c>
      <c r="P525" s="404">
        <f t="shared" si="459"/>
        <v>76944</v>
      </c>
      <c r="Q525" s="449">
        <f t="shared" si="460"/>
        <v>153888</v>
      </c>
    </row>
    <row r="526" spans="1:17" ht="23.4" x14ac:dyDescent="0.3">
      <c r="A526" s="274" t="s">
        <v>103</v>
      </c>
      <c r="B526" s="438"/>
      <c r="C526" s="275" t="s">
        <v>300</v>
      </c>
      <c r="D526" s="276"/>
      <c r="E526" s="277"/>
      <c r="F526" s="333">
        <f t="shared" si="454"/>
        <v>0</v>
      </c>
      <c r="G526" s="278"/>
      <c r="H526" s="278"/>
      <c r="I526" s="351" t="str">
        <f t="shared" si="461"/>
        <v>-</v>
      </c>
      <c r="J526" s="333">
        <f t="shared" si="455"/>
        <v>0</v>
      </c>
      <c r="K526" s="278">
        <f t="shared" si="456"/>
        <v>0</v>
      </c>
      <c r="L526" s="436">
        <f t="shared" si="457"/>
        <v>0</v>
      </c>
      <c r="M526" s="337" t="str">
        <f t="shared" si="458"/>
        <v>-</v>
      </c>
      <c r="N526" s="263" t="str">
        <f t="shared" si="453"/>
        <v>-</v>
      </c>
      <c r="O526" s="710">
        <v>5.7342000000000004</v>
      </c>
      <c r="P526" s="404">
        <f t="shared" si="459"/>
        <v>0</v>
      </c>
      <c r="Q526" s="449">
        <f t="shared" si="460"/>
        <v>0</v>
      </c>
    </row>
    <row r="527" spans="1:17" ht="23.4" x14ac:dyDescent="0.3">
      <c r="A527" s="274" t="s">
        <v>103</v>
      </c>
      <c r="B527" s="438"/>
      <c r="C527" s="275" t="s">
        <v>314</v>
      </c>
      <c r="D527" s="276"/>
      <c r="E527" s="277"/>
      <c r="F527" s="333">
        <f t="shared" si="454"/>
        <v>0</v>
      </c>
      <c r="G527" s="278"/>
      <c r="H527" s="278"/>
      <c r="I527" s="351" t="str">
        <f t="shared" si="461"/>
        <v>-</v>
      </c>
      <c r="J527" s="333">
        <f t="shared" si="455"/>
        <v>0</v>
      </c>
      <c r="K527" s="278">
        <f t="shared" si="456"/>
        <v>0</v>
      </c>
      <c r="L527" s="436">
        <f t="shared" si="457"/>
        <v>0</v>
      </c>
      <c r="M527" s="337" t="str">
        <f t="shared" si="458"/>
        <v>-</v>
      </c>
      <c r="N527" s="263" t="str">
        <f t="shared" si="453"/>
        <v>-</v>
      </c>
      <c r="O527" s="508"/>
      <c r="P527" s="404">
        <f t="shared" si="459"/>
        <v>0</v>
      </c>
      <c r="Q527" s="449">
        <f t="shared" si="460"/>
        <v>0</v>
      </c>
    </row>
    <row r="528" spans="1:17" ht="23.4" x14ac:dyDescent="0.3">
      <c r="A528" s="274" t="s">
        <v>103</v>
      </c>
      <c r="B528" s="438"/>
      <c r="C528" s="275" t="s">
        <v>320</v>
      </c>
      <c r="D528" s="276"/>
      <c r="E528" s="277"/>
      <c r="F528" s="333">
        <f t="shared" si="454"/>
        <v>6047</v>
      </c>
      <c r="G528" s="278">
        <v>6000</v>
      </c>
      <c r="H528" s="278">
        <v>47</v>
      </c>
      <c r="I528" s="351" t="str">
        <f t="shared" si="461"/>
        <v>-</v>
      </c>
      <c r="J528" s="333">
        <f t="shared" si="455"/>
        <v>57607</v>
      </c>
      <c r="K528" s="278">
        <f t="shared" si="456"/>
        <v>57400</v>
      </c>
      <c r="L528" s="436">
        <f t="shared" si="457"/>
        <v>207</v>
      </c>
      <c r="M528" s="337" t="str">
        <f t="shared" si="458"/>
        <v>-</v>
      </c>
      <c r="N528" s="263">
        <f t="shared" si="453"/>
        <v>3.593313312618258E-3</v>
      </c>
      <c r="O528" s="508">
        <v>12.029500000000001</v>
      </c>
      <c r="P528" s="404">
        <f t="shared" si="459"/>
        <v>72177</v>
      </c>
      <c r="Q528" s="449">
        <f t="shared" si="460"/>
        <v>690493.3</v>
      </c>
    </row>
    <row r="529" spans="1:17" ht="23.4" x14ac:dyDescent="0.3">
      <c r="A529" s="274" t="s">
        <v>103</v>
      </c>
      <c r="B529" s="438"/>
      <c r="C529" s="275"/>
      <c r="D529" s="276"/>
      <c r="E529" s="277"/>
      <c r="F529" s="333">
        <f t="shared" si="454"/>
        <v>0</v>
      </c>
      <c r="G529" s="278"/>
      <c r="H529" s="278"/>
      <c r="I529" s="351" t="str">
        <f t="shared" si="461"/>
        <v>-</v>
      </c>
      <c r="J529" s="333">
        <f t="shared" si="455"/>
        <v>0</v>
      </c>
      <c r="K529" s="278">
        <f t="shared" si="456"/>
        <v>0</v>
      </c>
      <c r="L529" s="436">
        <f t="shared" si="457"/>
        <v>0</v>
      </c>
      <c r="M529" s="337" t="str">
        <f t="shared" si="458"/>
        <v>-</v>
      </c>
      <c r="N529" s="263" t="str">
        <f t="shared" si="453"/>
        <v>-</v>
      </c>
      <c r="O529" s="508"/>
      <c r="P529" s="404">
        <f t="shared" si="459"/>
        <v>0</v>
      </c>
      <c r="Q529" s="449">
        <f t="shared" si="460"/>
        <v>0</v>
      </c>
    </row>
    <row r="530" spans="1:17" ht="24" thickBot="1" x14ac:dyDescent="0.35">
      <c r="A530" s="274" t="s">
        <v>103</v>
      </c>
      <c r="B530" s="451"/>
      <c r="C530" s="279"/>
      <c r="D530" s="280">
        <v>0</v>
      </c>
      <c r="E530" s="281"/>
      <c r="F530" s="334">
        <f t="shared" si="454"/>
        <v>0</v>
      </c>
      <c r="G530" s="282"/>
      <c r="H530" s="282"/>
      <c r="I530" s="351" t="str">
        <f t="shared" si="461"/>
        <v>-</v>
      </c>
      <c r="J530" s="460">
        <f t="shared" si="455"/>
        <v>0</v>
      </c>
      <c r="K530" s="461">
        <f t="shared" si="456"/>
        <v>0</v>
      </c>
      <c r="L530" s="462">
        <f t="shared" si="457"/>
        <v>0</v>
      </c>
      <c r="M530" s="338" t="str">
        <f t="shared" si="458"/>
        <v>-</v>
      </c>
      <c r="N530" s="347" t="str">
        <f t="shared" si="453"/>
        <v>-</v>
      </c>
      <c r="O530" s="509"/>
      <c r="P530" s="405">
        <f t="shared" si="459"/>
        <v>0</v>
      </c>
      <c r="Q530" s="450">
        <f t="shared" si="460"/>
        <v>0</v>
      </c>
    </row>
    <row r="531" spans="1:17" ht="23.25" customHeight="1" thickBot="1" x14ac:dyDescent="0.35">
      <c r="A531" s="274" t="s">
        <v>103</v>
      </c>
      <c r="B531" s="1109" t="s">
        <v>25</v>
      </c>
      <c r="C531" s="1046"/>
      <c r="D531" s="320">
        <f t="shared" ref="D531" si="462">SUM(D524:D530)</f>
        <v>0</v>
      </c>
      <c r="E531" s="285">
        <v>100000</v>
      </c>
      <c r="F531" s="320">
        <f>SUM(F524:F530)</f>
        <v>66047</v>
      </c>
      <c r="G531" s="321">
        <f t="shared" ref="G531:H531" si="463">SUM(G524:G530)</f>
        <v>66000</v>
      </c>
      <c r="H531" s="321">
        <f t="shared" si="463"/>
        <v>47</v>
      </c>
      <c r="I531" s="345">
        <f>IFERROR(F531/E531,"-")</f>
        <v>0.66047</v>
      </c>
      <c r="J531" s="320">
        <f t="shared" ref="J531:L531" si="464">SUM(J524:J530)</f>
        <v>177607</v>
      </c>
      <c r="K531" s="321">
        <f t="shared" si="464"/>
        <v>177400</v>
      </c>
      <c r="L531" s="322">
        <f t="shared" si="464"/>
        <v>207</v>
      </c>
      <c r="M531" s="339" t="str">
        <f t="shared" si="458"/>
        <v>-</v>
      </c>
      <c r="N531" s="345">
        <f t="shared" si="453"/>
        <v>1.1654946032532501E-3</v>
      </c>
      <c r="O531" s="391"/>
      <c r="P531" s="406">
        <f t="shared" ref="P531:Q531" si="465">SUM(P524:P530)</f>
        <v>149121</v>
      </c>
      <c r="Q531" s="425">
        <f t="shared" si="465"/>
        <v>844381.3</v>
      </c>
    </row>
    <row r="532" spans="1:17" ht="23.25" customHeight="1" thickBot="1" x14ac:dyDescent="0.35">
      <c r="A532" s="274" t="s">
        <v>103</v>
      </c>
      <c r="B532" s="1111" t="s">
        <v>172</v>
      </c>
      <c r="C532" s="1112"/>
      <c r="D532" s="326">
        <f>+D523+D531</f>
        <v>0</v>
      </c>
      <c r="E532" s="327">
        <f t="shared" ref="E532:H532" si="466">+E523+E531</f>
        <v>115000</v>
      </c>
      <c r="F532" s="512">
        <f t="shared" si="466"/>
        <v>110710</v>
      </c>
      <c r="G532" s="514">
        <f t="shared" si="466"/>
        <v>110000</v>
      </c>
      <c r="H532" s="514">
        <f t="shared" si="466"/>
        <v>710</v>
      </c>
      <c r="I532" s="515">
        <f>IFERROR(F532/E532,"-")</f>
        <v>0.96269565217391306</v>
      </c>
      <c r="J532" s="326">
        <f t="shared" ref="J532:L532" si="467">+J523+J531</f>
        <v>1505734</v>
      </c>
      <c r="K532" s="324">
        <f t="shared" si="467"/>
        <v>1493200</v>
      </c>
      <c r="L532" s="325">
        <f t="shared" si="467"/>
        <v>12534</v>
      </c>
      <c r="M532" s="341" t="str">
        <f t="shared" si="458"/>
        <v>-</v>
      </c>
      <c r="N532" s="349">
        <f t="shared" si="453"/>
        <v>8.3241794367398224E-3</v>
      </c>
      <c r="O532" s="394"/>
      <c r="P532" s="410">
        <f t="shared" ref="P532:Q532" si="468">+P523+P531</f>
        <v>689647.8</v>
      </c>
      <c r="Q532" s="428">
        <f t="shared" si="468"/>
        <v>7976421.835</v>
      </c>
    </row>
    <row r="533" spans="1:17" ht="23.4" x14ac:dyDescent="0.3">
      <c r="A533" s="244" t="s">
        <v>101</v>
      </c>
      <c r="B533" s="581"/>
      <c r="C533" s="582" t="s">
        <v>283</v>
      </c>
      <c r="D533" s="527"/>
      <c r="E533" s="459"/>
      <c r="F533" s="457">
        <f>+G533+H533</f>
        <v>0</v>
      </c>
      <c r="G533" s="458"/>
      <c r="H533" s="838"/>
      <c r="I533" s="531" t="str">
        <f>IFERROR(F533/E533,"-")</f>
        <v>-</v>
      </c>
      <c r="J533" s="644">
        <f>+K533+L533</f>
        <v>0</v>
      </c>
      <c r="K533" s="458">
        <f t="shared" ref="K533:K539" si="469">+G533+K470</f>
        <v>0</v>
      </c>
      <c r="L533" s="459">
        <f t="shared" ref="L533:L539" si="470">+H533+L470</f>
        <v>0</v>
      </c>
      <c r="M533" s="586" t="str">
        <f>IFERROR(J533/D533,"-")</f>
        <v>-</v>
      </c>
      <c r="N533" s="533" t="str">
        <f t="shared" si="453"/>
        <v>-</v>
      </c>
      <c r="O533" s="628">
        <v>4.8285999999999998</v>
      </c>
      <c r="P533" s="534">
        <f t="shared" ref="P533:P539" si="471">+O533*G533</f>
        <v>0</v>
      </c>
      <c r="Q533" s="535">
        <f t="shared" ref="Q533:Q539" si="472">+O533*K533</f>
        <v>0</v>
      </c>
    </row>
    <row r="534" spans="1:17" ht="23.4" x14ac:dyDescent="0.3">
      <c r="A534" s="248" t="s">
        <v>101</v>
      </c>
      <c r="B534" s="583"/>
      <c r="C534" s="275" t="s">
        <v>284</v>
      </c>
      <c r="D534" s="276"/>
      <c r="E534" s="436"/>
      <c r="F534" s="333">
        <f t="shared" ref="F534:F539" si="473">+G534+H534</f>
        <v>0</v>
      </c>
      <c r="G534" s="278"/>
      <c r="H534" s="277"/>
      <c r="I534" s="352" t="str">
        <f t="shared" ref="I534:I539" si="474">IFERROR(F534/E534,"-")</f>
        <v>-</v>
      </c>
      <c r="J534" s="874">
        <f t="shared" ref="J534:J539" si="475">+K534+L534</f>
        <v>0</v>
      </c>
      <c r="K534" s="278">
        <f t="shared" si="469"/>
        <v>0</v>
      </c>
      <c r="L534" s="436">
        <f t="shared" si="470"/>
        <v>0</v>
      </c>
      <c r="M534" s="337" t="str">
        <f t="shared" ref="M534:M537" si="476">IFERROR(J534/D534,"-")</f>
        <v>-</v>
      </c>
      <c r="N534" s="265" t="str">
        <f t="shared" si="453"/>
        <v>-</v>
      </c>
      <c r="O534" s="629">
        <v>1.4086000000000001</v>
      </c>
      <c r="P534" s="404">
        <f t="shared" si="471"/>
        <v>0</v>
      </c>
      <c r="Q534" s="449">
        <f t="shared" si="472"/>
        <v>0</v>
      </c>
    </row>
    <row r="535" spans="1:17" ht="23.4" x14ac:dyDescent="0.3">
      <c r="A535" s="248" t="s">
        <v>101</v>
      </c>
      <c r="B535" s="583"/>
      <c r="C535" s="275" t="s">
        <v>315</v>
      </c>
      <c r="D535" s="276"/>
      <c r="E535" s="436"/>
      <c r="F535" s="333">
        <f t="shared" si="473"/>
        <v>0</v>
      </c>
      <c r="G535" s="278"/>
      <c r="H535" s="277"/>
      <c r="I535" s="352" t="str">
        <f t="shared" si="474"/>
        <v>-</v>
      </c>
      <c r="J535" s="874">
        <f t="shared" si="475"/>
        <v>0</v>
      </c>
      <c r="K535" s="278">
        <f t="shared" si="469"/>
        <v>0</v>
      </c>
      <c r="L535" s="436">
        <f t="shared" si="470"/>
        <v>0</v>
      </c>
      <c r="M535" s="337" t="str">
        <f t="shared" si="476"/>
        <v>-</v>
      </c>
      <c r="N535" s="265" t="str">
        <f>IFERROR(L535/J535,"-")</f>
        <v>-</v>
      </c>
      <c r="O535" s="629">
        <v>2.2141000000000002</v>
      </c>
      <c r="P535" s="404">
        <f t="shared" si="471"/>
        <v>0</v>
      </c>
      <c r="Q535" s="449">
        <f t="shared" si="472"/>
        <v>0</v>
      </c>
    </row>
    <row r="536" spans="1:17" ht="23.4" x14ac:dyDescent="0.3">
      <c r="A536" s="248" t="s">
        <v>101</v>
      </c>
      <c r="B536" s="584"/>
      <c r="C536" s="275" t="s">
        <v>447</v>
      </c>
      <c r="D536" s="280"/>
      <c r="E536" s="528"/>
      <c r="F536" s="334">
        <f t="shared" si="473"/>
        <v>0</v>
      </c>
      <c r="G536" s="282"/>
      <c r="H536" s="281"/>
      <c r="I536" s="352" t="str">
        <f t="shared" si="474"/>
        <v>-</v>
      </c>
      <c r="J536" s="874">
        <f t="shared" si="475"/>
        <v>346276</v>
      </c>
      <c r="K536" s="278">
        <f t="shared" si="469"/>
        <v>341000</v>
      </c>
      <c r="L536" s="436">
        <f t="shared" si="470"/>
        <v>5276</v>
      </c>
      <c r="M536" s="338" t="str">
        <f t="shared" si="476"/>
        <v>-</v>
      </c>
      <c r="N536" s="344">
        <f t="shared" ref="N536:N543" si="477">IFERROR(L536/J536,"-")</f>
        <v>1.5236401021150758E-2</v>
      </c>
      <c r="O536" s="629">
        <v>2.2141000000000002</v>
      </c>
      <c r="P536" s="405">
        <f t="shared" si="471"/>
        <v>0</v>
      </c>
      <c r="Q536" s="450">
        <f t="shared" si="472"/>
        <v>755008.10000000009</v>
      </c>
    </row>
    <row r="537" spans="1:17" ht="23.4" x14ac:dyDescent="0.3">
      <c r="A537" s="248" t="s">
        <v>101</v>
      </c>
      <c r="B537" s="440"/>
      <c r="C537" s="627" t="s">
        <v>353</v>
      </c>
      <c r="D537" s="510"/>
      <c r="E537" s="529"/>
      <c r="F537" s="333">
        <f t="shared" si="473"/>
        <v>0</v>
      </c>
      <c r="G537" s="547"/>
      <c r="H537" s="873"/>
      <c r="I537" s="352" t="str">
        <f t="shared" si="474"/>
        <v>-</v>
      </c>
      <c r="J537" s="874">
        <f t="shared" si="475"/>
        <v>0</v>
      </c>
      <c r="K537" s="278">
        <f t="shared" si="469"/>
        <v>0</v>
      </c>
      <c r="L537" s="436">
        <f t="shared" si="470"/>
        <v>0</v>
      </c>
      <c r="M537" s="338" t="str">
        <f t="shared" si="476"/>
        <v>-</v>
      </c>
      <c r="N537" s="265" t="str">
        <f t="shared" si="477"/>
        <v>-</v>
      </c>
      <c r="O537" s="540">
        <v>4.8285999999999998</v>
      </c>
      <c r="P537" s="404">
        <f t="shared" si="471"/>
        <v>0</v>
      </c>
      <c r="Q537" s="449">
        <f t="shared" si="472"/>
        <v>0</v>
      </c>
    </row>
    <row r="538" spans="1:17" ht="23.4" x14ac:dyDescent="0.3">
      <c r="A538" s="248" t="s">
        <v>101</v>
      </c>
      <c r="B538" s="585"/>
      <c r="C538" s="627" t="s">
        <v>349</v>
      </c>
      <c r="D538" s="270"/>
      <c r="E538" s="435"/>
      <c r="F538" s="332">
        <f t="shared" si="473"/>
        <v>17157</v>
      </c>
      <c r="G538" s="272">
        <v>16250</v>
      </c>
      <c r="H538" s="271">
        <v>907</v>
      </c>
      <c r="I538" s="352" t="str">
        <f t="shared" si="474"/>
        <v>-</v>
      </c>
      <c r="J538" s="874">
        <f t="shared" si="475"/>
        <v>17157</v>
      </c>
      <c r="K538" s="278">
        <f t="shared" si="469"/>
        <v>16250</v>
      </c>
      <c r="L538" s="436">
        <f t="shared" si="470"/>
        <v>907</v>
      </c>
      <c r="M538" s="336" t="str">
        <f t="shared" ref="M538:M539" si="478">IFERROR(J538/D538,"-")</f>
        <v>-</v>
      </c>
      <c r="N538" s="346">
        <f t="shared" si="477"/>
        <v>5.2864719939383339E-2</v>
      </c>
      <c r="O538" s="507">
        <v>4.1712999999999996</v>
      </c>
      <c r="P538" s="402">
        <f t="shared" si="471"/>
        <v>67783.625</v>
      </c>
      <c r="Q538" s="447">
        <f t="shared" si="472"/>
        <v>67783.625</v>
      </c>
    </row>
    <row r="539" spans="1:17" ht="24" thickBot="1" x14ac:dyDescent="0.35">
      <c r="A539" s="248" t="s">
        <v>101</v>
      </c>
      <c r="B539" s="583"/>
      <c r="C539" s="275"/>
      <c r="D539" s="276"/>
      <c r="E539" s="436"/>
      <c r="F539" s="460">
        <f t="shared" si="473"/>
        <v>0</v>
      </c>
      <c r="G539" s="461"/>
      <c r="H539" s="839"/>
      <c r="I539" s="532" t="str">
        <f t="shared" si="474"/>
        <v>-</v>
      </c>
      <c r="J539" s="875">
        <f t="shared" si="475"/>
        <v>0</v>
      </c>
      <c r="K539" s="461">
        <f t="shared" si="469"/>
        <v>0</v>
      </c>
      <c r="L539" s="462">
        <f t="shared" si="470"/>
        <v>0</v>
      </c>
      <c r="M539" s="337" t="str">
        <f t="shared" si="478"/>
        <v>-</v>
      </c>
      <c r="N539" s="263" t="str">
        <f t="shared" si="477"/>
        <v>-</v>
      </c>
      <c r="O539" s="448"/>
      <c r="P539" s="404">
        <f t="shared" si="471"/>
        <v>0</v>
      </c>
      <c r="Q539" s="449">
        <f t="shared" si="472"/>
        <v>0</v>
      </c>
    </row>
    <row r="540" spans="1:17" ht="23.25" customHeight="1" thickBot="1" x14ac:dyDescent="0.35">
      <c r="A540" s="274" t="s">
        <v>101</v>
      </c>
      <c r="B540" s="1109" t="s">
        <v>21</v>
      </c>
      <c r="C540" s="1046"/>
      <c r="D540" s="320">
        <v>0</v>
      </c>
      <c r="E540" s="285">
        <v>15000</v>
      </c>
      <c r="F540" s="513">
        <f>SUM(F533:F539)</f>
        <v>17157</v>
      </c>
      <c r="G540" s="519">
        <f t="shared" ref="G540:H540" si="479">SUM(G533:G539)</f>
        <v>16250</v>
      </c>
      <c r="H540" s="519">
        <f t="shared" si="479"/>
        <v>907</v>
      </c>
      <c r="I540" s="520">
        <f>IFERROR(F540/E540,"-")</f>
        <v>1.1437999999999999</v>
      </c>
      <c r="J540" s="513">
        <f t="shared" ref="J540" si="480">SUM(J533:J539)</f>
        <v>363433</v>
      </c>
      <c r="K540" s="519">
        <f>SUM(K533:K539)</f>
        <v>357250</v>
      </c>
      <c r="L540" s="519">
        <f>SUM(L533:L539)</f>
        <v>6183</v>
      </c>
      <c r="M540" s="339" t="str">
        <f>IFERROR(J540/D540,"-")</f>
        <v>-</v>
      </c>
      <c r="N540" s="345">
        <f t="shared" si="477"/>
        <v>1.7012764388484258E-2</v>
      </c>
      <c r="O540" s="391"/>
      <c r="P540" s="406">
        <f>SUM(P533:P539)</f>
        <v>67783.625</v>
      </c>
      <c r="Q540" s="425">
        <f>SUM(Q533:Q539)</f>
        <v>822791.72500000009</v>
      </c>
    </row>
    <row r="541" spans="1:17" ht="23.25" customHeight="1" thickBot="1" x14ac:dyDescent="0.35">
      <c r="A541" s="274" t="s">
        <v>101</v>
      </c>
      <c r="B541" s="1111" t="s">
        <v>248</v>
      </c>
      <c r="C541" s="1112"/>
      <c r="D541" s="512">
        <f>+D537+D540</f>
        <v>0</v>
      </c>
      <c r="E541" s="525">
        <f>+E537+E540</f>
        <v>15000</v>
      </c>
      <c r="F541" s="512">
        <f>+F537+F540</f>
        <v>17157</v>
      </c>
      <c r="G541" s="514">
        <f>+G537+G540</f>
        <v>16250</v>
      </c>
      <c r="H541" s="514">
        <f>+H537+H540</f>
        <v>907</v>
      </c>
      <c r="I541" s="515">
        <f>IFERROR(F541/E541,"-")</f>
        <v>1.1437999999999999</v>
      </c>
      <c r="J541" s="512">
        <f>+J537+J540</f>
        <v>363433</v>
      </c>
      <c r="K541" s="514">
        <f>+K540</f>
        <v>357250</v>
      </c>
      <c r="L541" s="514">
        <f>+L540</f>
        <v>6183</v>
      </c>
      <c r="M541" s="516" t="str">
        <f t="shared" ref="M541" si="481">IFERROR(J541/D541,"-")</f>
        <v>-</v>
      </c>
      <c r="N541" s="515">
        <f t="shared" si="477"/>
        <v>1.7012764388484258E-2</v>
      </c>
      <c r="O541" s="517"/>
      <c r="P541" s="518">
        <f>+P540</f>
        <v>67783.625</v>
      </c>
      <c r="Q541" s="518">
        <f>+Q540</f>
        <v>822791.72500000009</v>
      </c>
    </row>
    <row r="542" spans="1:17" ht="23.4" x14ac:dyDescent="0.4">
      <c r="A542" s="244" t="s">
        <v>101</v>
      </c>
      <c r="B542" s="1106" t="s">
        <v>250</v>
      </c>
      <c r="C542" s="542" t="s">
        <v>71</v>
      </c>
      <c r="D542" s="527"/>
      <c r="E542" s="459"/>
      <c r="F542" s="694">
        <f>+G542+H542</f>
        <v>0</v>
      </c>
      <c r="G542" s="527"/>
      <c r="H542" s="458"/>
      <c r="I542" s="531" t="str">
        <f>IFERROR(F542/E542,"-")</f>
        <v>-</v>
      </c>
      <c r="J542" s="644">
        <f>+K542+L542</f>
        <v>8100</v>
      </c>
      <c r="K542" s="458">
        <f t="shared" ref="K542:K573" si="482">+G542+K479</f>
        <v>8000</v>
      </c>
      <c r="L542" s="459">
        <f t="shared" ref="L542:L573" si="483">+H542+L479</f>
        <v>100</v>
      </c>
      <c r="M542" s="586" t="str">
        <f>IFERROR(J542/D542,"-")</f>
        <v>-</v>
      </c>
      <c r="N542" s="533">
        <f t="shared" si="477"/>
        <v>1.2345679012345678E-2</v>
      </c>
      <c r="O542" s="538">
        <v>32.946300000000001</v>
      </c>
      <c r="P542" s="534">
        <f t="shared" ref="P542:P573" si="484">+O542*G542</f>
        <v>0</v>
      </c>
      <c r="Q542" s="535">
        <f t="shared" ref="Q542:Q573" si="485">+O542*K542</f>
        <v>263570.40000000002</v>
      </c>
    </row>
    <row r="543" spans="1:17" ht="23.4" x14ac:dyDescent="0.4">
      <c r="A543" s="248" t="s">
        <v>101</v>
      </c>
      <c r="B543" s="1107"/>
      <c r="C543" s="543" t="s">
        <v>72</v>
      </c>
      <c r="D543" s="511"/>
      <c r="E543" s="436"/>
      <c r="F543" s="690">
        <f t="shared" ref="F543:F573" si="486">+G543+H543</f>
        <v>0</v>
      </c>
      <c r="G543" s="276"/>
      <c r="H543" s="278"/>
      <c r="I543" s="352" t="str">
        <f t="shared" ref="I543:I573" si="487">IFERROR(F543/E543,"-")</f>
        <v>-</v>
      </c>
      <c r="J543" s="874">
        <f t="shared" ref="J543:J573" si="488">+K543+L543</f>
        <v>10595</v>
      </c>
      <c r="K543" s="278">
        <f t="shared" si="482"/>
        <v>10500</v>
      </c>
      <c r="L543" s="436">
        <f t="shared" si="483"/>
        <v>95</v>
      </c>
      <c r="M543" s="337" t="str">
        <f t="shared" ref="M543:M546" si="489">IFERROR(J543/D543,"-")</f>
        <v>-</v>
      </c>
      <c r="N543" s="265">
        <f t="shared" si="477"/>
        <v>8.9664936290703157E-3</v>
      </c>
      <c r="O543" s="508">
        <v>35.398400000000002</v>
      </c>
      <c r="P543" s="404">
        <f t="shared" si="484"/>
        <v>0</v>
      </c>
      <c r="Q543" s="449">
        <f t="shared" si="485"/>
        <v>371683.2</v>
      </c>
    </row>
    <row r="544" spans="1:17" ht="24" thickBot="1" x14ac:dyDescent="0.45">
      <c r="A544" s="248" t="s">
        <v>101</v>
      </c>
      <c r="B544" s="1108"/>
      <c r="C544" s="543" t="s">
        <v>455</v>
      </c>
      <c r="D544" s="276"/>
      <c r="E544" s="436"/>
      <c r="F544" s="690">
        <f t="shared" si="486"/>
        <v>0</v>
      </c>
      <c r="G544" s="276"/>
      <c r="H544" s="278"/>
      <c r="I544" s="352" t="str">
        <f t="shared" si="487"/>
        <v>-</v>
      </c>
      <c r="J544" s="874">
        <f t="shared" si="488"/>
        <v>10147</v>
      </c>
      <c r="K544" s="278">
        <f t="shared" si="482"/>
        <v>9900</v>
      </c>
      <c r="L544" s="436">
        <f t="shared" si="483"/>
        <v>247</v>
      </c>
      <c r="M544" s="337" t="str">
        <f t="shared" si="489"/>
        <v>-</v>
      </c>
      <c r="N544" s="265">
        <f>IFERROR(L544/J544,"-")</f>
        <v>2.4342170099536809E-2</v>
      </c>
      <c r="O544" s="508">
        <v>35.398400000000002</v>
      </c>
      <c r="P544" s="404">
        <f t="shared" si="484"/>
        <v>0</v>
      </c>
      <c r="Q544" s="449">
        <f t="shared" si="485"/>
        <v>350444.16000000003</v>
      </c>
    </row>
    <row r="545" spans="1:17" ht="23.4" x14ac:dyDescent="0.4">
      <c r="A545" s="248" t="s">
        <v>101</v>
      </c>
      <c r="B545" s="1106" t="s">
        <v>251</v>
      </c>
      <c r="C545" s="545" t="s">
        <v>75</v>
      </c>
      <c r="D545" s="276"/>
      <c r="E545" s="528"/>
      <c r="F545" s="696">
        <f t="shared" si="486"/>
        <v>2512</v>
      </c>
      <c r="G545" s="276">
        <v>2400</v>
      </c>
      <c r="H545" s="278">
        <v>112</v>
      </c>
      <c r="I545" s="352" t="str">
        <f t="shared" si="487"/>
        <v>-</v>
      </c>
      <c r="J545" s="874">
        <f t="shared" si="488"/>
        <v>23312</v>
      </c>
      <c r="K545" s="278">
        <f t="shared" si="482"/>
        <v>22683</v>
      </c>
      <c r="L545" s="436">
        <f t="shared" si="483"/>
        <v>629</v>
      </c>
      <c r="M545" s="337" t="str">
        <f t="shared" si="489"/>
        <v>-</v>
      </c>
      <c r="N545" s="265">
        <f t="shared" ref="N545:N546" si="490">IFERROR(L545/J545,"-")</f>
        <v>2.6981811942347288E-2</v>
      </c>
      <c r="O545" s="508">
        <v>55.4758</v>
      </c>
      <c r="P545" s="404">
        <f t="shared" si="484"/>
        <v>133141.92000000001</v>
      </c>
      <c r="Q545" s="449">
        <f t="shared" si="485"/>
        <v>1258357.5714</v>
      </c>
    </row>
    <row r="546" spans="1:17" ht="23.4" x14ac:dyDescent="0.4">
      <c r="A546" s="248" t="s">
        <v>101</v>
      </c>
      <c r="B546" s="1107"/>
      <c r="C546" s="545" t="s">
        <v>72</v>
      </c>
      <c r="D546" s="276"/>
      <c r="E546" s="529"/>
      <c r="F546" s="696">
        <f t="shared" si="486"/>
        <v>0</v>
      </c>
      <c r="G546" s="276"/>
      <c r="H546" s="278"/>
      <c r="I546" s="352" t="str">
        <f t="shared" si="487"/>
        <v>-</v>
      </c>
      <c r="J546" s="874">
        <f t="shared" si="488"/>
        <v>0</v>
      </c>
      <c r="K546" s="278">
        <f t="shared" si="482"/>
        <v>0</v>
      </c>
      <c r="L546" s="436">
        <f t="shared" si="483"/>
        <v>0</v>
      </c>
      <c r="M546" s="337" t="str">
        <f t="shared" si="489"/>
        <v>-</v>
      </c>
      <c r="N546" s="265" t="str">
        <f t="shared" si="490"/>
        <v>-</v>
      </c>
      <c r="O546" s="540">
        <v>58.836300000000001</v>
      </c>
      <c r="P546" s="404">
        <f t="shared" si="484"/>
        <v>0</v>
      </c>
      <c r="Q546" s="449">
        <f t="shared" si="485"/>
        <v>0</v>
      </c>
    </row>
    <row r="547" spans="1:17" ht="23.4" x14ac:dyDescent="0.4">
      <c r="A547" s="248" t="s">
        <v>101</v>
      </c>
      <c r="B547" s="1107"/>
      <c r="C547" s="545" t="s">
        <v>347</v>
      </c>
      <c r="D547" s="276"/>
      <c r="E547" s="435"/>
      <c r="F547" s="696">
        <f t="shared" si="486"/>
        <v>2745</v>
      </c>
      <c r="G547" s="276">
        <v>2305</v>
      </c>
      <c r="H547" s="278">
        <v>440</v>
      </c>
      <c r="I547" s="352" t="str">
        <f t="shared" si="487"/>
        <v>-</v>
      </c>
      <c r="J547" s="874">
        <f t="shared" si="488"/>
        <v>2745</v>
      </c>
      <c r="K547" s="278">
        <f t="shared" si="482"/>
        <v>2305</v>
      </c>
      <c r="L547" s="436">
        <f t="shared" si="483"/>
        <v>440</v>
      </c>
      <c r="M547" s="337" t="str">
        <f t="shared" ref="M547:M548" si="491">IFERROR(J547/D547,"-")</f>
        <v>-</v>
      </c>
      <c r="N547" s="263">
        <f t="shared" ref="N547" si="492">IFERROR(L547/J547,"-")</f>
        <v>0.16029143897996356</v>
      </c>
      <c r="O547" s="710">
        <v>58.836300000000001</v>
      </c>
      <c r="P547" s="404">
        <f t="shared" si="484"/>
        <v>135617.6715</v>
      </c>
      <c r="Q547" s="449">
        <f t="shared" si="485"/>
        <v>135617.6715</v>
      </c>
    </row>
    <row r="548" spans="1:17" ht="24" thickBot="1" x14ac:dyDescent="0.45">
      <c r="A548" s="248"/>
      <c r="B548" s="1108"/>
      <c r="C548" s="545" t="s">
        <v>361</v>
      </c>
      <c r="D548" s="276"/>
      <c r="E548" s="435"/>
      <c r="F548" s="696">
        <f t="shared" si="486"/>
        <v>0</v>
      </c>
      <c r="G548" s="276"/>
      <c r="H548" s="278"/>
      <c r="I548" s="352" t="str">
        <f t="shared" si="487"/>
        <v>-</v>
      </c>
      <c r="J548" s="874">
        <f t="shared" si="488"/>
        <v>0</v>
      </c>
      <c r="K548" s="278">
        <f t="shared" si="482"/>
        <v>0</v>
      </c>
      <c r="L548" s="436">
        <f t="shared" si="483"/>
        <v>0</v>
      </c>
      <c r="M548" s="337" t="str">
        <f t="shared" si="491"/>
        <v>-</v>
      </c>
      <c r="N548" s="263" t="str">
        <f>IFERROR(L548/J548,"-")</f>
        <v>-</v>
      </c>
      <c r="O548" s="508">
        <v>55.4758</v>
      </c>
      <c r="P548" s="404">
        <f t="shared" si="484"/>
        <v>0</v>
      </c>
      <c r="Q548" s="449">
        <f t="shared" si="485"/>
        <v>0</v>
      </c>
    </row>
    <row r="549" spans="1:17" ht="23.4" x14ac:dyDescent="0.4">
      <c r="A549" s="248" t="s">
        <v>101</v>
      </c>
      <c r="B549" s="1106" t="s">
        <v>409</v>
      </c>
      <c r="C549" s="543" t="s">
        <v>77</v>
      </c>
      <c r="D549" s="276"/>
      <c r="E549" s="436"/>
      <c r="F549" s="690">
        <f t="shared" si="486"/>
        <v>1228</v>
      </c>
      <c r="G549" s="276">
        <v>1200</v>
      </c>
      <c r="H549" s="278">
        <v>28</v>
      </c>
      <c r="I549" s="352" t="str">
        <f t="shared" si="487"/>
        <v>-</v>
      </c>
      <c r="J549" s="874">
        <f t="shared" si="488"/>
        <v>19737</v>
      </c>
      <c r="K549" s="719">
        <f t="shared" si="482"/>
        <v>19500</v>
      </c>
      <c r="L549" s="815">
        <f t="shared" si="483"/>
        <v>237</v>
      </c>
      <c r="M549" s="337" t="str">
        <f t="shared" ref="M549:M576" si="493">IFERROR(J549/D549,"-")</f>
        <v>-</v>
      </c>
      <c r="N549" s="263">
        <f t="shared" ref="N549:N575" si="494">IFERROR(L549/J549,"-")</f>
        <v>1.2007903936768505E-2</v>
      </c>
      <c r="O549" s="508">
        <v>25.687200000000001</v>
      </c>
      <c r="P549" s="404">
        <f t="shared" si="484"/>
        <v>30824.639999999999</v>
      </c>
      <c r="Q549" s="449">
        <f t="shared" si="485"/>
        <v>500900.4</v>
      </c>
    </row>
    <row r="550" spans="1:17" ht="24" thickBot="1" x14ac:dyDescent="0.45">
      <c r="A550" s="248" t="s">
        <v>101</v>
      </c>
      <c r="B550" s="1108"/>
      <c r="C550" s="543" t="s">
        <v>117</v>
      </c>
      <c r="D550" s="276"/>
      <c r="E550" s="436"/>
      <c r="F550" s="690">
        <f t="shared" si="486"/>
        <v>0</v>
      </c>
      <c r="G550" s="276"/>
      <c r="H550" s="278"/>
      <c r="I550" s="352" t="str">
        <f t="shared" si="487"/>
        <v>-</v>
      </c>
      <c r="J550" s="874">
        <f t="shared" si="488"/>
        <v>0</v>
      </c>
      <c r="K550" s="278">
        <f t="shared" si="482"/>
        <v>0</v>
      </c>
      <c r="L550" s="436">
        <f t="shared" si="483"/>
        <v>0</v>
      </c>
      <c r="M550" s="337" t="str">
        <f t="shared" si="493"/>
        <v>-</v>
      </c>
      <c r="N550" s="263" t="str">
        <f t="shared" si="494"/>
        <v>-</v>
      </c>
      <c r="O550" s="508">
        <v>25.033899999999999</v>
      </c>
      <c r="P550" s="404">
        <f t="shared" si="484"/>
        <v>0</v>
      </c>
      <c r="Q550" s="449">
        <f t="shared" si="485"/>
        <v>0</v>
      </c>
    </row>
    <row r="551" spans="1:17" ht="23.4" x14ac:dyDescent="0.4">
      <c r="A551" s="248"/>
      <c r="B551" s="1106" t="s">
        <v>410</v>
      </c>
      <c r="C551" s="543" t="s">
        <v>79</v>
      </c>
      <c r="D551" s="276"/>
      <c r="E551" s="436"/>
      <c r="F551" s="690">
        <f t="shared" si="486"/>
        <v>0</v>
      </c>
      <c r="G551" s="276"/>
      <c r="H551" s="278"/>
      <c r="I551" s="352" t="str">
        <f t="shared" si="487"/>
        <v>-</v>
      </c>
      <c r="J551" s="874">
        <f t="shared" si="488"/>
        <v>9449</v>
      </c>
      <c r="K551" s="278">
        <f t="shared" si="482"/>
        <v>9300</v>
      </c>
      <c r="L551" s="436">
        <f t="shared" si="483"/>
        <v>149</v>
      </c>
      <c r="M551" s="337" t="str">
        <f t="shared" si="493"/>
        <v>-</v>
      </c>
      <c r="N551" s="263">
        <f t="shared" si="494"/>
        <v>1.5768864430098423E-2</v>
      </c>
      <c r="O551" s="508">
        <v>41.992699999999999</v>
      </c>
      <c r="P551" s="404">
        <f t="shared" si="484"/>
        <v>0</v>
      </c>
      <c r="Q551" s="449">
        <f t="shared" si="485"/>
        <v>390532.11</v>
      </c>
    </row>
    <row r="552" spans="1:17" ht="23.4" x14ac:dyDescent="0.4">
      <c r="A552" s="248"/>
      <c r="B552" s="1107"/>
      <c r="C552" s="543" t="s">
        <v>72</v>
      </c>
      <c r="D552" s="276"/>
      <c r="E552" s="436"/>
      <c r="F552" s="690">
        <f t="shared" si="486"/>
        <v>0</v>
      </c>
      <c r="G552" s="276"/>
      <c r="H552" s="278"/>
      <c r="I552" s="352" t="str">
        <f t="shared" si="487"/>
        <v>-</v>
      </c>
      <c r="J552" s="874">
        <f t="shared" si="488"/>
        <v>0</v>
      </c>
      <c r="K552" s="278">
        <f t="shared" si="482"/>
        <v>0</v>
      </c>
      <c r="L552" s="436">
        <f t="shared" si="483"/>
        <v>0</v>
      </c>
      <c r="M552" s="337" t="str">
        <f t="shared" si="493"/>
        <v>-</v>
      </c>
      <c r="N552" s="263" t="str">
        <f t="shared" si="494"/>
        <v>-</v>
      </c>
      <c r="O552" s="508">
        <v>42.283799999999999</v>
      </c>
      <c r="P552" s="404">
        <f t="shared" si="484"/>
        <v>0</v>
      </c>
      <c r="Q552" s="449">
        <f t="shared" si="485"/>
        <v>0</v>
      </c>
    </row>
    <row r="553" spans="1:17" ht="23.4" x14ac:dyDescent="0.4">
      <c r="A553" s="248"/>
      <c r="B553" s="1107"/>
      <c r="C553" s="543" t="s">
        <v>380</v>
      </c>
      <c r="D553" s="276"/>
      <c r="E553" s="436"/>
      <c r="F553" s="690">
        <f t="shared" si="486"/>
        <v>0</v>
      </c>
      <c r="G553" s="276"/>
      <c r="H553" s="278"/>
      <c r="I553" s="352" t="str">
        <f t="shared" si="487"/>
        <v>-</v>
      </c>
      <c r="J553" s="874">
        <f t="shared" si="488"/>
        <v>0</v>
      </c>
      <c r="K553" s="278">
        <f t="shared" si="482"/>
        <v>0</v>
      </c>
      <c r="L553" s="436">
        <f t="shared" si="483"/>
        <v>0</v>
      </c>
      <c r="M553" s="337" t="str">
        <f t="shared" si="493"/>
        <v>-</v>
      </c>
      <c r="N553" s="263" t="str">
        <f t="shared" si="494"/>
        <v>-</v>
      </c>
      <c r="O553" s="710">
        <v>41.992699999999999</v>
      </c>
      <c r="P553" s="404">
        <f t="shared" si="484"/>
        <v>0</v>
      </c>
      <c r="Q553" s="449">
        <f t="shared" si="485"/>
        <v>0</v>
      </c>
    </row>
    <row r="554" spans="1:17" ht="24" thickBot="1" x14ac:dyDescent="0.45">
      <c r="A554" s="248"/>
      <c r="B554" s="1108"/>
      <c r="C554" s="543" t="s">
        <v>381</v>
      </c>
      <c r="D554" s="276"/>
      <c r="E554" s="436"/>
      <c r="F554" s="690">
        <f t="shared" si="486"/>
        <v>0</v>
      </c>
      <c r="G554" s="276"/>
      <c r="H554" s="278"/>
      <c r="I554" s="352" t="str">
        <f t="shared" si="487"/>
        <v>-</v>
      </c>
      <c r="J554" s="874">
        <f t="shared" si="488"/>
        <v>0</v>
      </c>
      <c r="K554" s="278">
        <f t="shared" si="482"/>
        <v>0</v>
      </c>
      <c r="L554" s="436">
        <f t="shared" si="483"/>
        <v>0</v>
      </c>
      <c r="M554" s="337" t="str">
        <f t="shared" si="493"/>
        <v>-</v>
      </c>
      <c r="N554" s="263" t="str">
        <f t="shared" si="494"/>
        <v>-</v>
      </c>
      <c r="O554" s="710">
        <v>42.283799999999999</v>
      </c>
      <c r="P554" s="404">
        <f t="shared" si="484"/>
        <v>0</v>
      </c>
      <c r="Q554" s="449">
        <f t="shared" si="485"/>
        <v>0</v>
      </c>
    </row>
    <row r="555" spans="1:17" ht="24" thickBot="1" x14ac:dyDescent="0.45">
      <c r="A555" s="248"/>
      <c r="B555" s="717" t="s">
        <v>80</v>
      </c>
      <c r="C555" s="543" t="s">
        <v>81</v>
      </c>
      <c r="D555" s="276"/>
      <c r="E555" s="436"/>
      <c r="F555" s="690">
        <f t="shared" si="486"/>
        <v>3330</v>
      </c>
      <c r="G555" s="276">
        <v>3200</v>
      </c>
      <c r="H555" s="278">
        <v>130</v>
      </c>
      <c r="I555" s="352" t="str">
        <f t="shared" si="487"/>
        <v>-</v>
      </c>
      <c r="J555" s="874">
        <f t="shared" si="488"/>
        <v>19553</v>
      </c>
      <c r="K555" s="278">
        <f t="shared" si="482"/>
        <v>18700</v>
      </c>
      <c r="L555" s="436">
        <f t="shared" si="483"/>
        <v>853</v>
      </c>
      <c r="M555" s="337" t="str">
        <f t="shared" si="493"/>
        <v>-</v>
      </c>
      <c r="N555" s="263">
        <f t="shared" si="494"/>
        <v>4.3625019178642664E-2</v>
      </c>
      <c r="O555" s="508">
        <v>4.3535000000000004</v>
      </c>
      <c r="P555" s="404">
        <f t="shared" si="484"/>
        <v>13931.2</v>
      </c>
      <c r="Q555" s="449">
        <f t="shared" si="485"/>
        <v>81410.450000000012</v>
      </c>
    </row>
    <row r="556" spans="1:17" ht="23.4" x14ac:dyDescent="0.4">
      <c r="A556" s="248"/>
      <c r="B556" s="1106" t="s">
        <v>253</v>
      </c>
      <c r="C556" s="543" t="s">
        <v>77</v>
      </c>
      <c r="D556" s="276"/>
      <c r="E556" s="436"/>
      <c r="F556" s="690">
        <f t="shared" si="486"/>
        <v>40823</v>
      </c>
      <c r="G556" s="276">
        <v>40700</v>
      </c>
      <c r="H556" s="278">
        <v>123</v>
      </c>
      <c r="I556" s="352" t="str">
        <f t="shared" si="487"/>
        <v>-</v>
      </c>
      <c r="J556" s="874">
        <f t="shared" si="488"/>
        <v>379254</v>
      </c>
      <c r="K556" s="278">
        <f t="shared" si="482"/>
        <v>377300</v>
      </c>
      <c r="L556" s="436">
        <f t="shared" si="483"/>
        <v>1954</v>
      </c>
      <c r="M556" s="337" t="str">
        <f t="shared" si="493"/>
        <v>-</v>
      </c>
      <c r="N556" s="263">
        <f t="shared" si="494"/>
        <v>5.1522198842991768E-3</v>
      </c>
      <c r="O556" s="508">
        <v>4.6184000000000003</v>
      </c>
      <c r="P556" s="404">
        <f t="shared" si="484"/>
        <v>187968.88</v>
      </c>
      <c r="Q556" s="449">
        <f t="shared" si="485"/>
        <v>1742522.32</v>
      </c>
    </row>
    <row r="557" spans="1:17" ht="23.4" x14ac:dyDescent="0.4">
      <c r="A557" s="248"/>
      <c r="B557" s="1107"/>
      <c r="C557" s="543" t="s">
        <v>340</v>
      </c>
      <c r="D557" s="276"/>
      <c r="E557" s="436"/>
      <c r="F557" s="690">
        <f t="shared" si="486"/>
        <v>0</v>
      </c>
      <c r="G557" s="276"/>
      <c r="H557" s="278"/>
      <c r="I557" s="352" t="str">
        <f t="shared" si="487"/>
        <v>-</v>
      </c>
      <c r="J557" s="874">
        <f t="shared" si="488"/>
        <v>0</v>
      </c>
      <c r="K557" s="278">
        <f t="shared" si="482"/>
        <v>0</v>
      </c>
      <c r="L557" s="436">
        <f t="shared" si="483"/>
        <v>0</v>
      </c>
      <c r="M557" s="337" t="str">
        <f t="shared" si="493"/>
        <v>-</v>
      </c>
      <c r="N557" s="263" t="str">
        <f t="shared" si="494"/>
        <v>-</v>
      </c>
      <c r="O557" s="508">
        <v>4.6184000000000003</v>
      </c>
      <c r="P557" s="404">
        <f t="shared" si="484"/>
        <v>0</v>
      </c>
      <c r="Q557" s="449">
        <f t="shared" si="485"/>
        <v>0</v>
      </c>
    </row>
    <row r="558" spans="1:17" ht="23.4" x14ac:dyDescent="0.4">
      <c r="A558" s="248"/>
      <c r="B558" s="1107"/>
      <c r="C558" s="543" t="s">
        <v>252</v>
      </c>
      <c r="D558" s="276"/>
      <c r="E558" s="436"/>
      <c r="F558" s="690">
        <f t="shared" si="486"/>
        <v>0</v>
      </c>
      <c r="G558" s="276"/>
      <c r="H558" s="278"/>
      <c r="I558" s="352" t="str">
        <f t="shared" si="487"/>
        <v>-</v>
      </c>
      <c r="J558" s="874">
        <f t="shared" si="488"/>
        <v>0</v>
      </c>
      <c r="K558" s="278">
        <f t="shared" si="482"/>
        <v>0</v>
      </c>
      <c r="L558" s="436">
        <f t="shared" si="483"/>
        <v>0</v>
      </c>
      <c r="M558" s="337" t="str">
        <f t="shared" si="493"/>
        <v>-</v>
      </c>
      <c r="N558" s="263" t="str">
        <f t="shared" si="494"/>
        <v>-</v>
      </c>
      <c r="O558" s="508">
        <v>4.6184000000000003</v>
      </c>
      <c r="P558" s="404">
        <f t="shared" si="484"/>
        <v>0</v>
      </c>
      <c r="Q558" s="449">
        <f t="shared" si="485"/>
        <v>0</v>
      </c>
    </row>
    <row r="559" spans="1:17" ht="23.4" x14ac:dyDescent="0.4">
      <c r="A559" s="248"/>
      <c r="B559" s="1107"/>
      <c r="C559" s="543" t="s">
        <v>350</v>
      </c>
      <c r="D559" s="276"/>
      <c r="E559" s="436"/>
      <c r="F559" s="690">
        <f t="shared" si="486"/>
        <v>0</v>
      </c>
      <c r="G559" s="276"/>
      <c r="H559" s="278"/>
      <c r="I559" s="352" t="str">
        <f t="shared" si="487"/>
        <v>-</v>
      </c>
      <c r="J559" s="874">
        <f t="shared" si="488"/>
        <v>0</v>
      </c>
      <c r="K559" s="686">
        <f t="shared" si="482"/>
        <v>0</v>
      </c>
      <c r="L559" s="687">
        <f t="shared" si="483"/>
        <v>0</v>
      </c>
      <c r="M559" s="337" t="str">
        <f t="shared" si="493"/>
        <v>-</v>
      </c>
      <c r="N559" s="263" t="str">
        <f t="shared" si="494"/>
        <v>-</v>
      </c>
      <c r="O559" s="508">
        <v>4.7636000000000003</v>
      </c>
      <c r="P559" s="404">
        <f t="shared" si="484"/>
        <v>0</v>
      </c>
      <c r="Q559" s="449">
        <f t="shared" si="485"/>
        <v>0</v>
      </c>
    </row>
    <row r="560" spans="1:17" ht="24" thickBot="1" x14ac:dyDescent="0.45">
      <c r="A560" s="248"/>
      <c r="B560" s="1108"/>
      <c r="C560" s="543" t="s">
        <v>346</v>
      </c>
      <c r="D560" s="276"/>
      <c r="E560" s="436"/>
      <c r="F560" s="690">
        <f t="shared" si="486"/>
        <v>0</v>
      </c>
      <c r="G560" s="276"/>
      <c r="H560" s="278"/>
      <c r="I560" s="352" t="str">
        <f t="shared" si="487"/>
        <v>-</v>
      </c>
      <c r="J560" s="874">
        <f t="shared" si="488"/>
        <v>0</v>
      </c>
      <c r="K560" s="278">
        <f t="shared" si="482"/>
        <v>0</v>
      </c>
      <c r="L560" s="436">
        <f t="shared" si="483"/>
        <v>0</v>
      </c>
      <c r="M560" s="337" t="str">
        <f t="shared" si="493"/>
        <v>-</v>
      </c>
      <c r="N560" s="263" t="str">
        <f t="shared" si="494"/>
        <v>-</v>
      </c>
      <c r="O560" s="508">
        <v>4.8738000000000001</v>
      </c>
      <c r="P560" s="404">
        <f t="shared" si="484"/>
        <v>0</v>
      </c>
      <c r="Q560" s="449">
        <f t="shared" si="485"/>
        <v>0</v>
      </c>
    </row>
    <row r="561" spans="1:17" ht="24" thickBot="1" x14ac:dyDescent="0.45">
      <c r="A561" s="248"/>
      <c r="B561" s="717" t="s">
        <v>254</v>
      </c>
      <c r="C561" s="543" t="s">
        <v>520</v>
      </c>
      <c r="D561" s="276"/>
      <c r="E561" s="436"/>
      <c r="F561" s="690">
        <f t="shared" si="486"/>
        <v>0</v>
      </c>
      <c r="G561" s="276"/>
      <c r="H561" s="278"/>
      <c r="I561" s="352" t="str">
        <f t="shared" si="487"/>
        <v>-</v>
      </c>
      <c r="J561" s="874">
        <f t="shared" si="488"/>
        <v>17752</v>
      </c>
      <c r="K561" s="278">
        <f t="shared" si="482"/>
        <v>17600</v>
      </c>
      <c r="L561" s="436">
        <f t="shared" si="483"/>
        <v>152</v>
      </c>
      <c r="M561" s="337" t="str">
        <f t="shared" si="493"/>
        <v>-</v>
      </c>
      <c r="N561" s="263">
        <f t="shared" si="494"/>
        <v>8.5624155024785938E-3</v>
      </c>
      <c r="O561" s="508">
        <v>4.8738000000000001</v>
      </c>
      <c r="P561" s="404">
        <f t="shared" si="484"/>
        <v>0</v>
      </c>
      <c r="Q561" s="449">
        <f t="shared" si="485"/>
        <v>85778.880000000005</v>
      </c>
    </row>
    <row r="562" spans="1:17" ht="23.4" x14ac:dyDescent="0.4">
      <c r="A562" s="248"/>
      <c r="B562" s="1106" t="s">
        <v>256</v>
      </c>
      <c r="C562" s="543" t="s">
        <v>77</v>
      </c>
      <c r="D562" s="276"/>
      <c r="E562" s="436"/>
      <c r="F562" s="690">
        <f t="shared" si="486"/>
        <v>36520</v>
      </c>
      <c r="G562" s="276">
        <v>35910</v>
      </c>
      <c r="H562" s="278">
        <v>610</v>
      </c>
      <c r="I562" s="352" t="str">
        <f t="shared" si="487"/>
        <v>-</v>
      </c>
      <c r="J562" s="874">
        <f t="shared" si="488"/>
        <v>325672</v>
      </c>
      <c r="K562" s="719">
        <f t="shared" si="482"/>
        <v>319760</v>
      </c>
      <c r="L562" s="815">
        <f t="shared" si="483"/>
        <v>5912</v>
      </c>
      <c r="M562" s="337" t="str">
        <f t="shared" si="493"/>
        <v>-</v>
      </c>
      <c r="N562" s="263">
        <f t="shared" si="494"/>
        <v>1.8153233928615294E-2</v>
      </c>
      <c r="O562" s="508">
        <v>4.9344999999999999</v>
      </c>
      <c r="P562" s="404">
        <f t="shared" si="484"/>
        <v>177197.89499999999</v>
      </c>
      <c r="Q562" s="449">
        <f t="shared" si="485"/>
        <v>1577855.72</v>
      </c>
    </row>
    <row r="563" spans="1:17" ht="23.4" x14ac:dyDescent="0.4">
      <c r="A563" s="248"/>
      <c r="B563" s="1107"/>
      <c r="C563" s="543" t="s">
        <v>135</v>
      </c>
      <c r="D563" s="276"/>
      <c r="E563" s="436"/>
      <c r="F563" s="690">
        <f t="shared" si="486"/>
        <v>0</v>
      </c>
      <c r="G563" s="276"/>
      <c r="H563" s="278"/>
      <c r="I563" s="352" t="str">
        <f t="shared" si="487"/>
        <v>-</v>
      </c>
      <c r="J563" s="874">
        <f t="shared" si="488"/>
        <v>0</v>
      </c>
      <c r="K563" s="278">
        <f t="shared" si="482"/>
        <v>0</v>
      </c>
      <c r="L563" s="436">
        <f t="shared" si="483"/>
        <v>0</v>
      </c>
      <c r="M563" s="337" t="str">
        <f t="shared" si="493"/>
        <v>-</v>
      </c>
      <c r="N563" s="263" t="str">
        <f t="shared" si="494"/>
        <v>-</v>
      </c>
      <c r="O563" s="508">
        <v>4.9344999999999999</v>
      </c>
      <c r="P563" s="404">
        <f t="shared" si="484"/>
        <v>0</v>
      </c>
      <c r="Q563" s="449">
        <f t="shared" si="485"/>
        <v>0</v>
      </c>
    </row>
    <row r="564" spans="1:17" ht="23.4" x14ac:dyDescent="0.4">
      <c r="A564" s="248"/>
      <c r="B564" s="1107"/>
      <c r="C564" s="543" t="s">
        <v>129</v>
      </c>
      <c r="D564" s="276"/>
      <c r="E564" s="436"/>
      <c r="F564" s="690">
        <f t="shared" si="486"/>
        <v>0</v>
      </c>
      <c r="G564" s="276"/>
      <c r="H564" s="278"/>
      <c r="I564" s="352" t="str">
        <f t="shared" si="487"/>
        <v>-</v>
      </c>
      <c r="J564" s="874">
        <f t="shared" si="488"/>
        <v>0</v>
      </c>
      <c r="K564" s="278">
        <f t="shared" si="482"/>
        <v>0</v>
      </c>
      <c r="L564" s="436">
        <f t="shared" si="483"/>
        <v>0</v>
      </c>
      <c r="M564" s="337" t="str">
        <f t="shared" si="493"/>
        <v>-</v>
      </c>
      <c r="N564" s="263" t="str">
        <f t="shared" si="494"/>
        <v>-</v>
      </c>
      <c r="O564" s="508">
        <v>4.9344999999999999</v>
      </c>
      <c r="P564" s="404">
        <f t="shared" si="484"/>
        <v>0</v>
      </c>
      <c r="Q564" s="449">
        <f t="shared" si="485"/>
        <v>0</v>
      </c>
    </row>
    <row r="565" spans="1:17" ht="24" thickBot="1" x14ac:dyDescent="0.45">
      <c r="A565" s="248"/>
      <c r="B565" s="1108"/>
      <c r="C565" s="543" t="s">
        <v>255</v>
      </c>
      <c r="D565" s="276"/>
      <c r="E565" s="436"/>
      <c r="F565" s="690">
        <f t="shared" si="486"/>
        <v>0</v>
      </c>
      <c r="G565" s="276"/>
      <c r="H565" s="278"/>
      <c r="I565" s="352" t="str">
        <f t="shared" si="487"/>
        <v>-</v>
      </c>
      <c r="J565" s="874">
        <f t="shared" si="488"/>
        <v>0</v>
      </c>
      <c r="K565" s="278">
        <f t="shared" si="482"/>
        <v>0</v>
      </c>
      <c r="L565" s="436">
        <f t="shared" si="483"/>
        <v>0</v>
      </c>
      <c r="M565" s="337" t="str">
        <f t="shared" si="493"/>
        <v>-</v>
      </c>
      <c r="N565" s="263" t="str">
        <f t="shared" si="494"/>
        <v>-</v>
      </c>
      <c r="O565" s="508">
        <v>5.5069999999999997</v>
      </c>
      <c r="P565" s="404">
        <f t="shared" si="484"/>
        <v>0</v>
      </c>
      <c r="Q565" s="449">
        <f t="shared" si="485"/>
        <v>0</v>
      </c>
    </row>
    <row r="566" spans="1:17" ht="23.4" x14ac:dyDescent="0.4">
      <c r="A566" s="248"/>
      <c r="B566" s="1106" t="s">
        <v>261</v>
      </c>
      <c r="C566" s="543" t="s">
        <v>257</v>
      </c>
      <c r="D566" s="276"/>
      <c r="E566" s="436"/>
      <c r="F566" s="690">
        <f t="shared" si="486"/>
        <v>38261</v>
      </c>
      <c r="G566" s="276">
        <v>38150</v>
      </c>
      <c r="H566" s="278">
        <v>111</v>
      </c>
      <c r="I566" s="352" t="str">
        <f t="shared" si="487"/>
        <v>-</v>
      </c>
      <c r="J566" s="874">
        <f t="shared" si="488"/>
        <v>335054</v>
      </c>
      <c r="K566" s="278">
        <f t="shared" si="482"/>
        <v>332150</v>
      </c>
      <c r="L566" s="687">
        <f t="shared" si="483"/>
        <v>2904</v>
      </c>
      <c r="M566" s="337" t="str">
        <f t="shared" si="493"/>
        <v>-</v>
      </c>
      <c r="N566" s="263">
        <f t="shared" si="494"/>
        <v>8.6672596059142702E-3</v>
      </c>
      <c r="O566" s="710">
        <v>5.5069999999999997</v>
      </c>
      <c r="P566" s="404">
        <f t="shared" si="484"/>
        <v>210092.05</v>
      </c>
      <c r="Q566" s="449">
        <f t="shared" si="485"/>
        <v>1829150.0499999998</v>
      </c>
    </row>
    <row r="567" spans="1:17" ht="23.4" x14ac:dyDescent="0.4">
      <c r="A567" s="248"/>
      <c r="B567" s="1107"/>
      <c r="C567" s="543" t="s">
        <v>258</v>
      </c>
      <c r="D567" s="276"/>
      <c r="E567" s="436"/>
      <c r="F567" s="690">
        <f t="shared" si="486"/>
        <v>0</v>
      </c>
      <c r="G567" s="276"/>
      <c r="H567" s="278"/>
      <c r="I567" s="352" t="str">
        <f t="shared" si="487"/>
        <v>-</v>
      </c>
      <c r="J567" s="874">
        <f t="shared" si="488"/>
        <v>0</v>
      </c>
      <c r="K567" s="278">
        <f t="shared" si="482"/>
        <v>0</v>
      </c>
      <c r="L567" s="436">
        <f t="shared" si="483"/>
        <v>0</v>
      </c>
      <c r="M567" s="337" t="str">
        <f t="shared" si="493"/>
        <v>-</v>
      </c>
      <c r="N567" s="263" t="str">
        <f t="shared" si="494"/>
        <v>-</v>
      </c>
      <c r="O567" s="508">
        <v>5.6550000000000002</v>
      </c>
      <c r="P567" s="404">
        <f t="shared" si="484"/>
        <v>0</v>
      </c>
      <c r="Q567" s="449">
        <f t="shared" si="485"/>
        <v>0</v>
      </c>
    </row>
    <row r="568" spans="1:17" ht="23.4" x14ac:dyDescent="0.4">
      <c r="A568" s="248"/>
      <c r="B568" s="1107"/>
      <c r="C568" s="543" t="s">
        <v>321</v>
      </c>
      <c r="D568" s="276"/>
      <c r="E568" s="436"/>
      <c r="F568" s="690">
        <f t="shared" si="486"/>
        <v>0</v>
      </c>
      <c r="G568" s="276"/>
      <c r="H568" s="278"/>
      <c r="I568" s="352" t="str">
        <f t="shared" si="487"/>
        <v>-</v>
      </c>
      <c r="J568" s="874">
        <f t="shared" si="488"/>
        <v>0</v>
      </c>
      <c r="K568" s="686">
        <f t="shared" si="482"/>
        <v>0</v>
      </c>
      <c r="L568" s="687">
        <f t="shared" si="483"/>
        <v>0</v>
      </c>
      <c r="M568" s="337" t="str">
        <f t="shared" si="493"/>
        <v>-</v>
      </c>
      <c r="N568" s="263" t="str">
        <f t="shared" si="494"/>
        <v>-</v>
      </c>
      <c r="O568" s="508">
        <v>5.6550000000000002</v>
      </c>
      <c r="P568" s="404">
        <f t="shared" si="484"/>
        <v>0</v>
      </c>
      <c r="Q568" s="449">
        <f t="shared" si="485"/>
        <v>0</v>
      </c>
    </row>
    <row r="569" spans="1:17" ht="23.4" x14ac:dyDescent="0.4">
      <c r="A569" s="248"/>
      <c r="B569" s="1107"/>
      <c r="C569" s="543" t="s">
        <v>259</v>
      </c>
      <c r="D569" s="276"/>
      <c r="E569" s="436"/>
      <c r="F569" s="690">
        <f t="shared" si="486"/>
        <v>0</v>
      </c>
      <c r="G569" s="276"/>
      <c r="H569" s="278"/>
      <c r="I569" s="352" t="str">
        <f t="shared" si="487"/>
        <v>-</v>
      </c>
      <c r="J569" s="874">
        <f t="shared" si="488"/>
        <v>0</v>
      </c>
      <c r="K569" s="278">
        <f t="shared" si="482"/>
        <v>0</v>
      </c>
      <c r="L569" s="436">
        <f t="shared" si="483"/>
        <v>0</v>
      </c>
      <c r="M569" s="337" t="str">
        <f t="shared" si="493"/>
        <v>-</v>
      </c>
      <c r="N569" s="263" t="str">
        <f t="shared" si="494"/>
        <v>-</v>
      </c>
      <c r="O569" s="508">
        <v>5.6550000000000002</v>
      </c>
      <c r="P569" s="404">
        <f t="shared" si="484"/>
        <v>0</v>
      </c>
      <c r="Q569" s="449">
        <f t="shared" si="485"/>
        <v>0</v>
      </c>
    </row>
    <row r="570" spans="1:17" ht="23.4" x14ac:dyDescent="0.4">
      <c r="A570" s="248" t="s">
        <v>101</v>
      </c>
      <c r="B570" s="1107"/>
      <c r="C570" s="543" t="s">
        <v>260</v>
      </c>
      <c r="D570" s="276"/>
      <c r="E570" s="436"/>
      <c r="F570" s="690">
        <f t="shared" si="486"/>
        <v>0</v>
      </c>
      <c r="G570" s="276"/>
      <c r="H570" s="278"/>
      <c r="I570" s="352" t="str">
        <f t="shared" si="487"/>
        <v>-</v>
      </c>
      <c r="J570" s="874">
        <f t="shared" si="488"/>
        <v>0</v>
      </c>
      <c r="K570" s="278">
        <f t="shared" si="482"/>
        <v>0</v>
      </c>
      <c r="L570" s="436">
        <f t="shared" si="483"/>
        <v>0</v>
      </c>
      <c r="M570" s="337" t="str">
        <f t="shared" si="493"/>
        <v>-</v>
      </c>
      <c r="N570" s="263" t="str">
        <f t="shared" si="494"/>
        <v>-</v>
      </c>
      <c r="O570" s="508">
        <v>3.2963</v>
      </c>
      <c r="P570" s="404">
        <f t="shared" si="484"/>
        <v>0</v>
      </c>
      <c r="Q570" s="449">
        <f t="shared" si="485"/>
        <v>0</v>
      </c>
    </row>
    <row r="571" spans="1:17" ht="24" thickBot="1" x14ac:dyDescent="0.45">
      <c r="A571" s="248" t="s">
        <v>101</v>
      </c>
      <c r="B571" s="1108"/>
      <c r="C571" s="543" t="s">
        <v>255</v>
      </c>
      <c r="D571" s="276"/>
      <c r="E571" s="436"/>
      <c r="F571" s="690">
        <f t="shared" si="486"/>
        <v>0</v>
      </c>
      <c r="G571" s="276"/>
      <c r="H571" s="278"/>
      <c r="I571" s="352" t="str">
        <f t="shared" si="487"/>
        <v>-</v>
      </c>
      <c r="J571" s="874">
        <f t="shared" si="488"/>
        <v>0</v>
      </c>
      <c r="K571" s="278">
        <f t="shared" si="482"/>
        <v>0</v>
      </c>
      <c r="L571" s="436">
        <f t="shared" si="483"/>
        <v>0</v>
      </c>
      <c r="M571" s="337" t="str">
        <f t="shared" si="493"/>
        <v>-</v>
      </c>
      <c r="N571" s="263" t="str">
        <f t="shared" si="494"/>
        <v>-</v>
      </c>
      <c r="O571" s="508">
        <v>3.2963</v>
      </c>
      <c r="P571" s="404">
        <f t="shared" si="484"/>
        <v>0</v>
      </c>
      <c r="Q571" s="449">
        <f t="shared" si="485"/>
        <v>0</v>
      </c>
    </row>
    <row r="572" spans="1:17" ht="23.4" x14ac:dyDescent="0.4">
      <c r="A572" s="248" t="s">
        <v>101</v>
      </c>
      <c r="B572" s="546"/>
      <c r="C572" s="544" t="s">
        <v>89</v>
      </c>
      <c r="D572" s="511"/>
      <c r="E572" s="436"/>
      <c r="F572" s="690">
        <f t="shared" si="486"/>
        <v>0</v>
      </c>
      <c r="G572" s="276"/>
      <c r="H572" s="278"/>
      <c r="I572" s="352" t="str">
        <f t="shared" si="487"/>
        <v>-</v>
      </c>
      <c r="J572" s="874">
        <f t="shared" si="488"/>
        <v>83715</v>
      </c>
      <c r="K572" s="278">
        <f t="shared" si="482"/>
        <v>83400</v>
      </c>
      <c r="L572" s="436">
        <f t="shared" si="483"/>
        <v>315</v>
      </c>
      <c r="M572" s="337" t="str">
        <f t="shared" si="493"/>
        <v>-</v>
      </c>
      <c r="N572" s="263">
        <f t="shared" si="494"/>
        <v>3.7627665292958249E-3</v>
      </c>
      <c r="O572" s="508">
        <v>2.3201000000000001</v>
      </c>
      <c r="P572" s="404">
        <f t="shared" si="484"/>
        <v>0</v>
      </c>
      <c r="Q572" s="449">
        <f t="shared" si="485"/>
        <v>193496.34</v>
      </c>
    </row>
    <row r="573" spans="1:17" ht="24" thickBot="1" x14ac:dyDescent="0.35">
      <c r="A573" s="248" t="s">
        <v>101</v>
      </c>
      <c r="B573" s="524"/>
      <c r="C573" s="541"/>
      <c r="D573" s="530"/>
      <c r="E573" s="462"/>
      <c r="F573" s="691">
        <f t="shared" si="486"/>
        <v>0</v>
      </c>
      <c r="G573" s="530"/>
      <c r="H573" s="461"/>
      <c r="I573" s="532" t="str">
        <f t="shared" si="487"/>
        <v>-</v>
      </c>
      <c r="J573" s="875">
        <f t="shared" si="488"/>
        <v>0</v>
      </c>
      <c r="K573" s="461">
        <f t="shared" si="482"/>
        <v>0</v>
      </c>
      <c r="L573" s="462">
        <f t="shared" si="483"/>
        <v>0</v>
      </c>
      <c r="M573" s="683" t="str">
        <f t="shared" si="493"/>
        <v>-</v>
      </c>
      <c r="N573" s="264" t="str">
        <f t="shared" si="494"/>
        <v>-</v>
      </c>
      <c r="O573" s="539"/>
      <c r="P573" s="536">
        <f t="shared" si="484"/>
        <v>0</v>
      </c>
      <c r="Q573" s="537">
        <f t="shared" si="485"/>
        <v>0</v>
      </c>
    </row>
    <row r="574" spans="1:17" ht="23.25" customHeight="1" thickBot="1" x14ac:dyDescent="0.35">
      <c r="A574" s="274" t="s">
        <v>101</v>
      </c>
      <c r="B574" s="1109" t="s">
        <v>25</v>
      </c>
      <c r="C574" s="1046"/>
      <c r="D574" s="513">
        <f>SUM(D547:D573)</f>
        <v>0</v>
      </c>
      <c r="E574" s="526">
        <v>100000</v>
      </c>
      <c r="F574" s="519">
        <f>SUM(F542:F573)</f>
        <v>125419</v>
      </c>
      <c r="G574" s="519">
        <f>SUM(G542:G573)</f>
        <v>123865</v>
      </c>
      <c r="H574" s="519">
        <f>SUM(H542:H573)</f>
        <v>1554</v>
      </c>
      <c r="I574" s="520">
        <f>IFERROR(F574/E574,"-")</f>
        <v>1.2541899999999999</v>
      </c>
      <c r="J574" s="513">
        <f>SUM(J542:J573)</f>
        <v>1245085</v>
      </c>
      <c r="K574" s="513">
        <f t="shared" ref="K574:L574" si="495">SUM(K542:K573)</f>
        <v>1231098</v>
      </c>
      <c r="L574" s="513">
        <f t="shared" si="495"/>
        <v>13987</v>
      </c>
      <c r="M574" s="521" t="str">
        <f t="shared" si="493"/>
        <v>-</v>
      </c>
      <c r="N574" s="520">
        <f t="shared" si="494"/>
        <v>1.1233771188312444E-2</v>
      </c>
      <c r="O574" s="522"/>
      <c r="P574" s="523">
        <f>SUM(P542:P573)</f>
        <v>888774.2564999999</v>
      </c>
      <c r="Q574" s="523">
        <f>SUM(Q542:Q573)</f>
        <v>8781319.2729000002</v>
      </c>
    </row>
    <row r="575" spans="1:17" ht="23.25" customHeight="1" thickBot="1" x14ac:dyDescent="0.35">
      <c r="A575" s="318" t="s">
        <v>101</v>
      </c>
      <c r="B575" s="1111" t="s">
        <v>249</v>
      </c>
      <c r="C575" s="1112"/>
      <c r="D575" s="326">
        <f>+D546+D574</f>
        <v>0</v>
      </c>
      <c r="E575" s="327">
        <f>+E546+E574</f>
        <v>100000</v>
      </c>
      <c r="F575" s="326">
        <f>+F574</f>
        <v>125419</v>
      </c>
      <c r="G575" s="326">
        <f t="shared" ref="G575:H575" si="496">+G574</f>
        <v>123865</v>
      </c>
      <c r="H575" s="326">
        <f t="shared" si="496"/>
        <v>1554</v>
      </c>
      <c r="I575" s="349">
        <f>IFERROR(F575/E575,"-")</f>
        <v>1.2541899999999999</v>
      </c>
      <c r="J575" s="326">
        <f>+J574</f>
        <v>1245085</v>
      </c>
      <c r="K575" s="326">
        <f t="shared" ref="K575:L575" si="497">+K574</f>
        <v>1231098</v>
      </c>
      <c r="L575" s="326">
        <f t="shared" si="497"/>
        <v>13987</v>
      </c>
      <c r="M575" s="341" t="str">
        <f t="shared" si="493"/>
        <v>-</v>
      </c>
      <c r="N575" s="349">
        <f t="shared" si="494"/>
        <v>1.1233771188312444E-2</v>
      </c>
      <c r="O575" s="394"/>
      <c r="P575" s="410">
        <f>+P574</f>
        <v>888774.2564999999</v>
      </c>
      <c r="Q575" s="428">
        <f>Q574</f>
        <v>8781319.2729000002</v>
      </c>
    </row>
    <row r="576" spans="1:17" ht="24.6" thickBot="1" x14ac:dyDescent="0.35">
      <c r="A576" s="319"/>
      <c r="B576" s="1113" t="s">
        <v>174</v>
      </c>
      <c r="C576" s="1114"/>
      <c r="D576" s="374">
        <f>+D575+D541+D532</f>
        <v>0</v>
      </c>
      <c r="E576" s="374">
        <f>+E575+E541+E532</f>
        <v>230000</v>
      </c>
      <c r="F576" s="374">
        <f>+F575+F541+F532</f>
        <v>253286</v>
      </c>
      <c r="G576" s="374">
        <f>+G575+G541+G532</f>
        <v>250115</v>
      </c>
      <c r="H576" s="374">
        <f>+H575+H541+H532</f>
        <v>3171</v>
      </c>
      <c r="I576" s="375">
        <f>IFERROR(F576/E576,"-")</f>
        <v>1.1012434782608695</v>
      </c>
      <c r="J576" s="374">
        <f>+J575+J541+J532</f>
        <v>3114252</v>
      </c>
      <c r="K576" s="374">
        <f>+K575+K541+K532</f>
        <v>3081548</v>
      </c>
      <c r="L576" s="374">
        <f>+L575+L541+L532</f>
        <v>32704</v>
      </c>
      <c r="M576" s="375" t="str">
        <f t="shared" si="493"/>
        <v>-</v>
      </c>
      <c r="N576" s="375">
        <f>IFERROR(L576/J576,"-")</f>
        <v>1.0501398088529765E-2</v>
      </c>
      <c r="O576" s="401"/>
      <c r="P576" s="418">
        <f>+P575+P541+P532</f>
        <v>1646205.6814999999</v>
      </c>
      <c r="Q576" s="418">
        <f>+Q575+Q541+Q532</f>
        <v>17580532.832899999</v>
      </c>
    </row>
    <row r="577" spans="1:17" ht="24.6" customHeight="1" thickBot="1" x14ac:dyDescent="0.35">
      <c r="A577" s="230"/>
      <c r="B577" s="230"/>
      <c r="C577" s="230"/>
      <c r="D577" s="232"/>
      <c r="E577" s="232"/>
      <c r="F577" s="232"/>
      <c r="G577" s="267"/>
      <c r="H577" s="267"/>
      <c r="I577" s="234"/>
      <c r="J577" s="232"/>
      <c r="K577" s="232"/>
      <c r="L577" s="232"/>
      <c r="M577" s="234"/>
      <c r="N577" s="234"/>
    </row>
    <row r="578" spans="1:17" ht="22.5" customHeight="1" x14ac:dyDescent="0.3">
      <c r="A578" s="1115" t="s">
        <v>1</v>
      </c>
      <c r="B578" s="1118" t="s">
        <v>2</v>
      </c>
      <c r="C578" s="1121" t="s">
        <v>396</v>
      </c>
      <c r="D578" s="1066" t="s">
        <v>4</v>
      </c>
      <c r="E578" s="1067"/>
      <c r="F578" s="1067"/>
      <c r="G578" s="1067"/>
      <c r="H578" s="1067"/>
      <c r="I578" s="1067"/>
      <c r="J578" s="1067"/>
      <c r="K578" s="1067"/>
      <c r="L578" s="1067"/>
      <c r="M578" s="1067"/>
      <c r="N578" s="1068"/>
      <c r="O578" s="1092" t="s">
        <v>167</v>
      </c>
      <c r="P578" s="1093"/>
      <c r="Q578" s="1124"/>
    </row>
    <row r="579" spans="1:17" ht="22.5" customHeight="1" x14ac:dyDescent="0.3">
      <c r="A579" s="1116"/>
      <c r="B579" s="1119"/>
      <c r="C579" s="1122"/>
      <c r="D579" s="1069" t="s">
        <v>7</v>
      </c>
      <c r="E579" s="1071" t="s">
        <v>108</v>
      </c>
      <c r="F579" s="1125" t="s">
        <v>543</v>
      </c>
      <c r="G579" s="1074"/>
      <c r="H579" s="1074"/>
      <c r="I579" s="1075"/>
      <c r="J579" s="1076" t="s">
        <v>8</v>
      </c>
      <c r="K579" s="1077"/>
      <c r="L579" s="1078"/>
      <c r="M579" s="1079" t="s">
        <v>165</v>
      </c>
      <c r="N579" s="1081" t="s">
        <v>164</v>
      </c>
      <c r="O579" s="1126" t="s">
        <v>169</v>
      </c>
      <c r="P579" s="1127"/>
      <c r="Q579" s="1128"/>
    </row>
    <row r="580" spans="1:17" ht="47.4" thickBot="1" x14ac:dyDescent="0.35">
      <c r="A580" s="1117"/>
      <c r="B580" s="1120"/>
      <c r="C580" s="1123"/>
      <c r="D580" s="1070"/>
      <c r="E580" s="1072"/>
      <c r="F580" s="452" t="s">
        <v>13</v>
      </c>
      <c r="G580" s="453" t="s">
        <v>14</v>
      </c>
      <c r="H580" s="453" t="s">
        <v>15</v>
      </c>
      <c r="I580" s="454" t="s">
        <v>166</v>
      </c>
      <c r="J580" s="680" t="s">
        <v>13</v>
      </c>
      <c r="K580" s="678" t="s">
        <v>14</v>
      </c>
      <c r="L580" s="679" t="s">
        <v>15</v>
      </c>
      <c r="M580" s="1080"/>
      <c r="N580" s="1082"/>
      <c r="O580" s="444" t="s">
        <v>170</v>
      </c>
      <c r="P580" s="445" t="s">
        <v>11</v>
      </c>
      <c r="Q580" s="446" t="s">
        <v>12</v>
      </c>
    </row>
    <row r="581" spans="1:17" ht="23.4" x14ac:dyDescent="0.3">
      <c r="A581" s="268" t="s">
        <v>103</v>
      </c>
      <c r="B581" s="439"/>
      <c r="C581" s="269" t="s">
        <v>502</v>
      </c>
      <c r="D581" s="270"/>
      <c r="E581" s="271"/>
      <c r="F581" s="332">
        <f>+G581+H581</f>
        <v>0</v>
      </c>
      <c r="G581" s="272"/>
      <c r="H581" s="272"/>
      <c r="I581" s="351" t="str">
        <f>IFERROR(F581/E581,"-")</f>
        <v>-</v>
      </c>
      <c r="J581" s="457">
        <f>+K581+L581</f>
        <v>128000</v>
      </c>
      <c r="K581" s="458">
        <f>+G581+K518</f>
        <v>128000</v>
      </c>
      <c r="L581" s="458">
        <f>+H581+L518</f>
        <v>0</v>
      </c>
      <c r="M581" s="336" t="str">
        <f>IFERROR(J581/D581,"-")</f>
        <v>-</v>
      </c>
      <c r="N581" s="343">
        <f t="shared" ref="N581:N582" si="498">IFERROR(L581/J581,"-")</f>
        <v>0</v>
      </c>
      <c r="O581" s="786">
        <v>0</v>
      </c>
      <c r="P581" s="402">
        <f>+O581*G581</f>
        <v>0</v>
      </c>
      <c r="Q581" s="447">
        <f>+O581*K581</f>
        <v>0</v>
      </c>
    </row>
    <row r="582" spans="1:17" ht="23.4" x14ac:dyDescent="0.3">
      <c r="A582" s="274" t="s">
        <v>103</v>
      </c>
      <c r="B582" s="438"/>
      <c r="C582" s="275" t="s">
        <v>245</v>
      </c>
      <c r="D582" s="276"/>
      <c r="E582" s="277"/>
      <c r="F582" s="333">
        <f t="shared" ref="F582:F585" si="499">+G582+H582</f>
        <v>0</v>
      </c>
      <c r="G582" s="719"/>
      <c r="H582" s="719"/>
      <c r="I582" s="351" t="str">
        <f t="shared" ref="I582:I585" si="500">IFERROR(F582/E582,"-")</f>
        <v>-</v>
      </c>
      <c r="J582" s="333">
        <f t="shared" ref="J582:J585" si="501">+K582+L582</f>
        <v>115874</v>
      </c>
      <c r="K582" s="278">
        <f t="shared" ref="K582:K585" si="502">+G582+K519</f>
        <v>115000</v>
      </c>
      <c r="L582" s="436">
        <f t="shared" ref="L582:L585" si="503">+H582+L519</f>
        <v>874</v>
      </c>
      <c r="M582" s="337" t="str">
        <f t="shared" ref="M582:M585" si="504">IFERROR(J582/D582,"-")</f>
        <v>-</v>
      </c>
      <c r="N582" s="265">
        <f t="shared" si="498"/>
        <v>7.5426756649464074E-3</v>
      </c>
      <c r="O582" s="508">
        <v>2.3978999999999999</v>
      </c>
      <c r="P582" s="404">
        <f>+O582*G582</f>
        <v>0</v>
      </c>
      <c r="Q582" s="449">
        <f>+O582*K582</f>
        <v>275758.5</v>
      </c>
    </row>
    <row r="583" spans="1:17" ht="23.4" x14ac:dyDescent="0.3">
      <c r="A583" s="274" t="s">
        <v>103</v>
      </c>
      <c r="B583" s="438"/>
      <c r="C583" s="275" t="s">
        <v>395</v>
      </c>
      <c r="D583" s="276"/>
      <c r="E583" s="277"/>
      <c r="F583" s="333">
        <f t="shared" si="499"/>
        <v>80004</v>
      </c>
      <c r="G583" s="278">
        <v>79250</v>
      </c>
      <c r="H583" s="719">
        <v>754</v>
      </c>
      <c r="I583" s="351" t="str">
        <f t="shared" si="500"/>
        <v>-</v>
      </c>
      <c r="J583" s="333">
        <f t="shared" si="501"/>
        <v>794005</v>
      </c>
      <c r="K583" s="278">
        <f t="shared" si="502"/>
        <v>787000</v>
      </c>
      <c r="L583" s="436">
        <f t="shared" si="503"/>
        <v>7005</v>
      </c>
      <c r="M583" s="337" t="str">
        <f t="shared" si="504"/>
        <v>-</v>
      </c>
      <c r="N583" s="716">
        <f>IFERROR(L583/J583,"-")</f>
        <v>8.8223625795807326E-3</v>
      </c>
      <c r="O583" s="718">
        <v>3.6777000000000002</v>
      </c>
      <c r="P583" s="404">
        <f t="shared" ref="P583:P585" si="505">+O583*G583</f>
        <v>291457.72500000003</v>
      </c>
      <c r="Q583" s="449">
        <f t="shared" ref="Q583:Q585" si="506">+O583*K583</f>
        <v>2894349.9000000004</v>
      </c>
    </row>
    <row r="584" spans="1:17" ht="23.4" x14ac:dyDescent="0.3">
      <c r="A584" s="274"/>
      <c r="B584" s="451"/>
      <c r="C584" s="275" t="s">
        <v>319</v>
      </c>
      <c r="D584" s="280"/>
      <c r="E584" s="281"/>
      <c r="F584" s="333">
        <f t="shared" si="499"/>
        <v>44570</v>
      </c>
      <c r="G584" s="282">
        <v>44000</v>
      </c>
      <c r="H584" s="282">
        <v>570</v>
      </c>
      <c r="I584" s="351" t="str">
        <f t="shared" si="500"/>
        <v>-</v>
      </c>
      <c r="J584" s="333">
        <f t="shared" si="501"/>
        <v>369788</v>
      </c>
      <c r="K584" s="278">
        <f t="shared" si="502"/>
        <v>364800</v>
      </c>
      <c r="L584" s="436">
        <f t="shared" si="503"/>
        <v>4988</v>
      </c>
      <c r="M584" s="337" t="str">
        <f t="shared" si="504"/>
        <v>-</v>
      </c>
      <c r="N584" s="265">
        <f>IFERROR(L584/J584,"-")</f>
        <v>1.3488809804536653E-2</v>
      </c>
      <c r="O584" s="509">
        <v>12.284700000000001</v>
      </c>
      <c r="P584" s="404">
        <f t="shared" si="505"/>
        <v>540526.80000000005</v>
      </c>
      <c r="Q584" s="449">
        <f t="shared" si="506"/>
        <v>4481458.5600000005</v>
      </c>
    </row>
    <row r="585" spans="1:17" ht="24" thickBot="1" x14ac:dyDescent="0.35">
      <c r="A585" s="274" t="s">
        <v>103</v>
      </c>
      <c r="B585" s="451"/>
      <c r="C585" s="275" t="s">
        <v>365</v>
      </c>
      <c r="D585" s="280"/>
      <c r="E585" s="281"/>
      <c r="F585" s="334">
        <f t="shared" si="499"/>
        <v>0</v>
      </c>
      <c r="G585" s="282"/>
      <c r="H585" s="282"/>
      <c r="I585" s="351" t="str">
        <f t="shared" si="500"/>
        <v>-</v>
      </c>
      <c r="J585" s="460">
        <f t="shared" si="501"/>
        <v>45034</v>
      </c>
      <c r="K585" s="461">
        <f t="shared" si="502"/>
        <v>44250</v>
      </c>
      <c r="L585" s="462">
        <f t="shared" si="503"/>
        <v>784</v>
      </c>
      <c r="M585" s="338" t="str">
        <f t="shared" si="504"/>
        <v>-</v>
      </c>
      <c r="N585" s="344">
        <f t="shared" ref="N585:N597" si="507">IFERROR(L585/J585,"-")</f>
        <v>1.7409068703646134E-2</v>
      </c>
      <c r="O585" s="718">
        <v>7.0612000000000004</v>
      </c>
      <c r="P585" s="405">
        <f t="shared" si="505"/>
        <v>0</v>
      </c>
      <c r="Q585" s="450">
        <f t="shared" si="506"/>
        <v>312458.10000000003</v>
      </c>
    </row>
    <row r="586" spans="1:17" ht="23.25" customHeight="1" thickBot="1" x14ac:dyDescent="0.35">
      <c r="A586" s="274" t="s">
        <v>103</v>
      </c>
      <c r="B586" s="1109" t="s">
        <v>21</v>
      </c>
      <c r="C586" s="1046"/>
      <c r="D586" s="320">
        <f>SUM(D581:D585)</f>
        <v>0</v>
      </c>
      <c r="E586" s="285">
        <v>15000</v>
      </c>
      <c r="F586" s="320">
        <f>SUM(F581:F585)</f>
        <v>124574</v>
      </c>
      <c r="G586" s="321">
        <f>SUM(G581:G585)</f>
        <v>123250</v>
      </c>
      <c r="H586" s="321">
        <f>SUM(H581:H585)</f>
        <v>1324</v>
      </c>
      <c r="I586" s="345">
        <f>IFERROR(F586/E586,"-")</f>
        <v>8.3049333333333326</v>
      </c>
      <c r="J586" s="320">
        <f>SUM(J581:J585)</f>
        <v>1452701</v>
      </c>
      <c r="K586" s="321">
        <f>SUM(K581:K585)</f>
        <v>1439050</v>
      </c>
      <c r="L586" s="322">
        <f>SUM(L581:L585)</f>
        <v>13651</v>
      </c>
      <c r="M586" s="339" t="str">
        <f>IFERROR(J586/D586,"-")</f>
        <v>-</v>
      </c>
      <c r="N586" s="345">
        <f t="shared" si="507"/>
        <v>9.3969784559933527E-3</v>
      </c>
      <c r="O586" s="391"/>
      <c r="P586" s="406">
        <f>SUM(P581:P585)</f>
        <v>831984.52500000014</v>
      </c>
      <c r="Q586" s="425">
        <f>SUM(Q581:Q585)</f>
        <v>7964025.0600000005</v>
      </c>
    </row>
    <row r="587" spans="1:17" ht="23.4" x14ac:dyDescent="0.3">
      <c r="A587" s="274" t="s">
        <v>103</v>
      </c>
      <c r="B587" s="439"/>
      <c r="C587" s="269" t="s">
        <v>244</v>
      </c>
      <c r="D587" s="270"/>
      <c r="E587" s="271"/>
      <c r="F587" s="332">
        <f t="shared" ref="F587:F593" si="508">+G587+H587</f>
        <v>0</v>
      </c>
      <c r="G587" s="272"/>
      <c r="H587" s="272"/>
      <c r="I587" s="351" t="str">
        <f>IFERROR(F587/E587,"-")</f>
        <v>-</v>
      </c>
      <c r="J587" s="457">
        <f t="shared" ref="J587:J593" si="509">+K587+L587</f>
        <v>0</v>
      </c>
      <c r="K587" s="458">
        <f t="shared" ref="K587:K593" si="510">+G587+K524</f>
        <v>0</v>
      </c>
      <c r="L587" s="459">
        <f t="shared" ref="L587:L593" si="511">+H587+L524</f>
        <v>0</v>
      </c>
      <c r="M587" s="336" t="str">
        <f t="shared" ref="M587:M595" si="512">IFERROR(J587/D587,"-")</f>
        <v>-</v>
      </c>
      <c r="N587" s="346" t="str">
        <f t="shared" si="507"/>
        <v>-</v>
      </c>
      <c r="O587" s="507">
        <v>18.2316</v>
      </c>
      <c r="P587" s="402">
        <f t="shared" ref="P587:P593" si="513">+O587*G587</f>
        <v>0</v>
      </c>
      <c r="Q587" s="447">
        <f t="shared" ref="Q587:Q593" si="514">+O587*K587</f>
        <v>0</v>
      </c>
    </row>
    <row r="588" spans="1:17" ht="23.4" x14ac:dyDescent="0.3">
      <c r="A588" s="274" t="s">
        <v>103</v>
      </c>
      <c r="B588" s="438"/>
      <c r="C588" s="275" t="s">
        <v>89</v>
      </c>
      <c r="D588" s="276"/>
      <c r="E588" s="277"/>
      <c r="F588" s="333">
        <f t="shared" si="508"/>
        <v>0</v>
      </c>
      <c r="G588" s="278"/>
      <c r="H588" s="278"/>
      <c r="I588" s="351" t="str">
        <f t="shared" ref="I588:I593" si="515">IFERROR(F588/E588,"-")</f>
        <v>-</v>
      </c>
      <c r="J588" s="333">
        <f t="shared" si="509"/>
        <v>120000</v>
      </c>
      <c r="K588" s="278">
        <f t="shared" si="510"/>
        <v>120000</v>
      </c>
      <c r="L588" s="436">
        <f t="shared" si="511"/>
        <v>0</v>
      </c>
      <c r="M588" s="337" t="str">
        <f t="shared" si="512"/>
        <v>-</v>
      </c>
      <c r="N588" s="263">
        <f t="shared" si="507"/>
        <v>0</v>
      </c>
      <c r="O588" s="508">
        <v>1.2824</v>
      </c>
      <c r="P588" s="404">
        <f t="shared" si="513"/>
        <v>0</v>
      </c>
      <c r="Q588" s="449">
        <f t="shared" si="514"/>
        <v>153888</v>
      </c>
    </row>
    <row r="589" spans="1:17" ht="23.4" x14ac:dyDescent="0.3">
      <c r="A589" s="274" t="s">
        <v>103</v>
      </c>
      <c r="B589" s="438"/>
      <c r="C589" s="275" t="s">
        <v>300</v>
      </c>
      <c r="D589" s="276"/>
      <c r="E589" s="277"/>
      <c r="F589" s="333">
        <f t="shared" si="508"/>
        <v>0</v>
      </c>
      <c r="G589" s="278"/>
      <c r="H589" s="278"/>
      <c r="I589" s="351" t="str">
        <f t="shared" si="515"/>
        <v>-</v>
      </c>
      <c r="J589" s="333">
        <f t="shared" si="509"/>
        <v>0</v>
      </c>
      <c r="K589" s="278">
        <f t="shared" si="510"/>
        <v>0</v>
      </c>
      <c r="L589" s="436">
        <f t="shared" si="511"/>
        <v>0</v>
      </c>
      <c r="M589" s="337" t="str">
        <f t="shared" si="512"/>
        <v>-</v>
      </c>
      <c r="N589" s="263" t="str">
        <f t="shared" si="507"/>
        <v>-</v>
      </c>
      <c r="O589" s="710">
        <v>5.7342000000000004</v>
      </c>
      <c r="P589" s="404">
        <f t="shared" si="513"/>
        <v>0</v>
      </c>
      <c r="Q589" s="449">
        <f t="shared" si="514"/>
        <v>0</v>
      </c>
    </row>
    <row r="590" spans="1:17" ht="23.4" x14ac:dyDescent="0.3">
      <c r="A590" s="274" t="s">
        <v>103</v>
      </c>
      <c r="B590" s="438"/>
      <c r="C590" s="275" t="s">
        <v>314</v>
      </c>
      <c r="D590" s="276"/>
      <c r="E590" s="277"/>
      <c r="F590" s="333">
        <f t="shared" si="508"/>
        <v>0</v>
      </c>
      <c r="G590" s="278"/>
      <c r="H590" s="278"/>
      <c r="I590" s="351" t="str">
        <f t="shared" si="515"/>
        <v>-</v>
      </c>
      <c r="J590" s="333">
        <f t="shared" si="509"/>
        <v>0</v>
      </c>
      <c r="K590" s="278">
        <f t="shared" si="510"/>
        <v>0</v>
      </c>
      <c r="L590" s="436">
        <f t="shared" si="511"/>
        <v>0</v>
      </c>
      <c r="M590" s="337" t="str">
        <f t="shared" si="512"/>
        <v>-</v>
      </c>
      <c r="N590" s="263" t="str">
        <f t="shared" si="507"/>
        <v>-</v>
      </c>
      <c r="O590" s="508"/>
      <c r="P590" s="404">
        <f t="shared" si="513"/>
        <v>0</v>
      </c>
      <c r="Q590" s="449">
        <f t="shared" si="514"/>
        <v>0</v>
      </c>
    </row>
    <row r="591" spans="1:17" ht="23.4" x14ac:dyDescent="0.3">
      <c r="A591" s="274" t="s">
        <v>103</v>
      </c>
      <c r="B591" s="438"/>
      <c r="C591" s="275" t="s">
        <v>320</v>
      </c>
      <c r="D591" s="276"/>
      <c r="E591" s="277"/>
      <c r="F591" s="333">
        <f t="shared" si="508"/>
        <v>18062</v>
      </c>
      <c r="G591" s="278">
        <v>18000</v>
      </c>
      <c r="H591" s="278">
        <v>62</v>
      </c>
      <c r="I591" s="351" t="str">
        <f t="shared" si="515"/>
        <v>-</v>
      </c>
      <c r="J591" s="333">
        <f t="shared" si="509"/>
        <v>75669</v>
      </c>
      <c r="K591" s="278">
        <f t="shared" si="510"/>
        <v>75400</v>
      </c>
      <c r="L591" s="436">
        <f t="shared" si="511"/>
        <v>269</v>
      </c>
      <c r="M591" s="337" t="str">
        <f t="shared" si="512"/>
        <v>-</v>
      </c>
      <c r="N591" s="263">
        <f t="shared" si="507"/>
        <v>3.5549564550872879E-3</v>
      </c>
      <c r="O591" s="508">
        <v>12.029500000000001</v>
      </c>
      <c r="P591" s="404">
        <f t="shared" si="513"/>
        <v>216531</v>
      </c>
      <c r="Q591" s="449">
        <f t="shared" si="514"/>
        <v>907024.3</v>
      </c>
    </row>
    <row r="592" spans="1:17" ht="23.4" x14ac:dyDescent="0.3">
      <c r="A592" s="274" t="s">
        <v>103</v>
      </c>
      <c r="B592" s="438"/>
      <c r="C592" s="275"/>
      <c r="D592" s="276"/>
      <c r="E592" s="277"/>
      <c r="F592" s="333">
        <f t="shared" si="508"/>
        <v>0</v>
      </c>
      <c r="G592" s="278"/>
      <c r="H592" s="278"/>
      <c r="I592" s="351" t="str">
        <f t="shared" si="515"/>
        <v>-</v>
      </c>
      <c r="J592" s="333">
        <f t="shared" si="509"/>
        <v>0</v>
      </c>
      <c r="K592" s="278">
        <f t="shared" si="510"/>
        <v>0</v>
      </c>
      <c r="L592" s="436">
        <f t="shared" si="511"/>
        <v>0</v>
      </c>
      <c r="M592" s="337" t="str">
        <f t="shared" si="512"/>
        <v>-</v>
      </c>
      <c r="N592" s="263" t="str">
        <f t="shared" si="507"/>
        <v>-</v>
      </c>
      <c r="O592" s="508"/>
      <c r="P592" s="404">
        <f t="shared" si="513"/>
        <v>0</v>
      </c>
      <c r="Q592" s="449">
        <f t="shared" si="514"/>
        <v>0</v>
      </c>
    </row>
    <row r="593" spans="1:17" ht="24" thickBot="1" x14ac:dyDescent="0.35">
      <c r="A593" s="274" t="s">
        <v>103</v>
      </c>
      <c r="B593" s="451"/>
      <c r="C593" s="279"/>
      <c r="D593" s="280">
        <v>0</v>
      </c>
      <c r="E593" s="281"/>
      <c r="F593" s="334">
        <f t="shared" si="508"/>
        <v>0</v>
      </c>
      <c r="G593" s="282"/>
      <c r="H593" s="282"/>
      <c r="I593" s="351" t="str">
        <f t="shared" si="515"/>
        <v>-</v>
      </c>
      <c r="J593" s="460">
        <f t="shared" si="509"/>
        <v>0</v>
      </c>
      <c r="K593" s="461">
        <f t="shared" si="510"/>
        <v>0</v>
      </c>
      <c r="L593" s="462">
        <f t="shared" si="511"/>
        <v>0</v>
      </c>
      <c r="M593" s="338" t="str">
        <f t="shared" si="512"/>
        <v>-</v>
      </c>
      <c r="N593" s="347" t="str">
        <f t="shared" si="507"/>
        <v>-</v>
      </c>
      <c r="O593" s="509"/>
      <c r="P593" s="405">
        <f t="shared" si="513"/>
        <v>0</v>
      </c>
      <c r="Q593" s="450">
        <f t="shared" si="514"/>
        <v>0</v>
      </c>
    </row>
    <row r="594" spans="1:17" ht="23.25" customHeight="1" thickBot="1" x14ac:dyDescent="0.35">
      <c r="A594" s="274" t="s">
        <v>103</v>
      </c>
      <c r="B594" s="1109" t="s">
        <v>25</v>
      </c>
      <c r="C594" s="1046"/>
      <c r="D594" s="320">
        <f t="shared" ref="D594" si="516">SUM(D587:D593)</f>
        <v>0</v>
      </c>
      <c r="E594" s="285">
        <v>100000</v>
      </c>
      <c r="F594" s="320">
        <f>SUM(F587:F593)</f>
        <v>18062</v>
      </c>
      <c r="G594" s="321">
        <f t="shared" ref="G594:H594" si="517">SUM(G587:G593)</f>
        <v>18000</v>
      </c>
      <c r="H594" s="321">
        <f t="shared" si="517"/>
        <v>62</v>
      </c>
      <c r="I594" s="345">
        <f>IFERROR(F594/E594,"-")</f>
        <v>0.18062</v>
      </c>
      <c r="J594" s="320">
        <f t="shared" ref="J594:L594" si="518">SUM(J587:J593)</f>
        <v>195669</v>
      </c>
      <c r="K594" s="321">
        <f t="shared" si="518"/>
        <v>195400</v>
      </c>
      <c r="L594" s="322">
        <f t="shared" si="518"/>
        <v>269</v>
      </c>
      <c r="M594" s="339" t="str">
        <f t="shared" si="512"/>
        <v>-</v>
      </c>
      <c r="N594" s="345">
        <f t="shared" si="507"/>
        <v>1.3747706586122483E-3</v>
      </c>
      <c r="O594" s="391"/>
      <c r="P594" s="406">
        <f t="shared" ref="P594:Q594" si="519">SUM(P587:P593)</f>
        <v>216531</v>
      </c>
      <c r="Q594" s="425">
        <f t="shared" si="519"/>
        <v>1060912.3</v>
      </c>
    </row>
    <row r="595" spans="1:17" ht="23.25" customHeight="1" thickBot="1" x14ac:dyDescent="0.35">
      <c r="A595" s="274" t="s">
        <v>103</v>
      </c>
      <c r="B595" s="1111" t="s">
        <v>172</v>
      </c>
      <c r="C595" s="1112"/>
      <c r="D595" s="326">
        <f>+D586+D594</f>
        <v>0</v>
      </c>
      <c r="E595" s="327">
        <f t="shared" ref="E595:H595" si="520">+E586+E594</f>
        <v>115000</v>
      </c>
      <c r="F595" s="512">
        <f t="shared" si="520"/>
        <v>142636</v>
      </c>
      <c r="G595" s="514">
        <f t="shared" si="520"/>
        <v>141250</v>
      </c>
      <c r="H595" s="514">
        <f t="shared" si="520"/>
        <v>1386</v>
      </c>
      <c r="I595" s="515">
        <f>IFERROR(F595/E595,"-")</f>
        <v>1.2403130434782608</v>
      </c>
      <c r="J595" s="326">
        <f t="shared" ref="J595:L595" si="521">+J586+J594</f>
        <v>1648370</v>
      </c>
      <c r="K595" s="324">
        <f t="shared" si="521"/>
        <v>1634450</v>
      </c>
      <c r="L595" s="325">
        <f t="shared" si="521"/>
        <v>13920</v>
      </c>
      <c r="M595" s="341" t="str">
        <f t="shared" si="512"/>
        <v>-</v>
      </c>
      <c r="N595" s="349">
        <f t="shared" si="507"/>
        <v>8.4447059822733966E-3</v>
      </c>
      <c r="O595" s="394"/>
      <c r="P595" s="410">
        <f t="shared" ref="P595:Q595" si="522">+P586+P594</f>
        <v>1048515.5250000001</v>
      </c>
      <c r="Q595" s="428">
        <f t="shared" si="522"/>
        <v>9024937.3600000013</v>
      </c>
    </row>
    <row r="596" spans="1:17" ht="23.4" x14ac:dyDescent="0.3">
      <c r="A596" s="244" t="s">
        <v>101</v>
      </c>
      <c r="B596" s="581"/>
      <c r="C596" s="582" t="s">
        <v>283</v>
      </c>
      <c r="D596" s="527"/>
      <c r="E596" s="459"/>
      <c r="F596" s="457">
        <f>+G596+H596</f>
        <v>0</v>
      </c>
      <c r="G596" s="458"/>
      <c r="H596" s="838"/>
      <c r="I596" s="531" t="str">
        <f>IFERROR(F596/E596,"-")</f>
        <v>-</v>
      </c>
      <c r="J596" s="644">
        <f>+K596+L596</f>
        <v>0</v>
      </c>
      <c r="K596" s="458">
        <f t="shared" ref="K596:K602" si="523">+G596+K533</f>
        <v>0</v>
      </c>
      <c r="L596" s="459">
        <f t="shared" ref="L596:L602" si="524">+H596+L533</f>
        <v>0</v>
      </c>
      <c r="M596" s="586" t="str">
        <f>IFERROR(J596/D596,"-")</f>
        <v>-</v>
      </c>
      <c r="N596" s="533" t="str">
        <f t="shared" si="507"/>
        <v>-</v>
      </c>
      <c r="O596" s="628">
        <v>4.8285999999999998</v>
      </c>
      <c r="P596" s="534">
        <f t="shared" ref="P596:P602" si="525">+O596*G596</f>
        <v>0</v>
      </c>
      <c r="Q596" s="535">
        <f t="shared" ref="Q596:Q602" si="526">+O596*K596</f>
        <v>0</v>
      </c>
    </row>
    <row r="597" spans="1:17" ht="23.4" x14ac:dyDescent="0.3">
      <c r="A597" s="248" t="s">
        <v>101</v>
      </c>
      <c r="B597" s="583"/>
      <c r="C597" s="275" t="s">
        <v>284</v>
      </c>
      <c r="D597" s="276"/>
      <c r="E597" s="436"/>
      <c r="F597" s="333">
        <f t="shared" ref="F597:F602" si="527">+G597+H597</f>
        <v>0</v>
      </c>
      <c r="G597" s="278"/>
      <c r="H597" s="277"/>
      <c r="I597" s="352" t="str">
        <f t="shared" ref="I597:I602" si="528">IFERROR(F597/E597,"-")</f>
        <v>-</v>
      </c>
      <c r="J597" s="874">
        <f t="shared" ref="J597:J602" si="529">+K597+L597</f>
        <v>0</v>
      </c>
      <c r="K597" s="278">
        <f t="shared" si="523"/>
        <v>0</v>
      </c>
      <c r="L597" s="436">
        <f t="shared" si="524"/>
        <v>0</v>
      </c>
      <c r="M597" s="337" t="str">
        <f t="shared" ref="M597:M602" si="530">IFERROR(J597/D597,"-")</f>
        <v>-</v>
      </c>
      <c r="N597" s="265" t="str">
        <f t="shared" si="507"/>
        <v>-</v>
      </c>
      <c r="O597" s="629">
        <v>1.4086000000000001</v>
      </c>
      <c r="P597" s="404">
        <f t="shared" si="525"/>
        <v>0</v>
      </c>
      <c r="Q597" s="449">
        <f t="shared" si="526"/>
        <v>0</v>
      </c>
    </row>
    <row r="598" spans="1:17" ht="23.4" x14ac:dyDescent="0.3">
      <c r="A598" s="248" t="s">
        <v>101</v>
      </c>
      <c r="B598" s="583"/>
      <c r="C598" s="275" t="s">
        <v>315</v>
      </c>
      <c r="D598" s="276"/>
      <c r="E598" s="436"/>
      <c r="F598" s="333">
        <f t="shared" si="527"/>
        <v>0</v>
      </c>
      <c r="G598" s="278"/>
      <c r="H598" s="277"/>
      <c r="I598" s="352" t="str">
        <f t="shared" si="528"/>
        <v>-</v>
      </c>
      <c r="J598" s="874">
        <f t="shared" si="529"/>
        <v>0</v>
      </c>
      <c r="K598" s="278">
        <f t="shared" si="523"/>
        <v>0</v>
      </c>
      <c r="L598" s="436">
        <f t="shared" si="524"/>
        <v>0</v>
      </c>
      <c r="M598" s="337" t="str">
        <f t="shared" si="530"/>
        <v>-</v>
      </c>
      <c r="N598" s="265" t="str">
        <f>IFERROR(L598/J598,"-")</f>
        <v>-</v>
      </c>
      <c r="O598" s="629">
        <v>2.2141000000000002</v>
      </c>
      <c r="P598" s="404">
        <f t="shared" si="525"/>
        <v>0</v>
      </c>
      <c r="Q598" s="449">
        <f t="shared" si="526"/>
        <v>0</v>
      </c>
    </row>
    <row r="599" spans="1:17" ht="23.4" x14ac:dyDescent="0.3">
      <c r="A599" s="248" t="s">
        <v>101</v>
      </c>
      <c r="B599" s="584"/>
      <c r="C599" s="275" t="s">
        <v>447</v>
      </c>
      <c r="D599" s="280"/>
      <c r="E599" s="528"/>
      <c r="F599" s="334">
        <f t="shared" si="527"/>
        <v>101137</v>
      </c>
      <c r="G599" s="282">
        <v>100000</v>
      </c>
      <c r="H599" s="281">
        <v>1137</v>
      </c>
      <c r="I599" s="352" t="str">
        <f t="shared" si="528"/>
        <v>-</v>
      </c>
      <c r="J599" s="874">
        <f t="shared" si="529"/>
        <v>447413</v>
      </c>
      <c r="K599" s="278">
        <f t="shared" si="523"/>
        <v>441000</v>
      </c>
      <c r="L599" s="436">
        <f t="shared" si="524"/>
        <v>6413</v>
      </c>
      <c r="M599" s="338" t="str">
        <f t="shared" si="530"/>
        <v>-</v>
      </c>
      <c r="N599" s="344">
        <f t="shared" ref="N599:N606" si="531">IFERROR(L599/J599,"-")</f>
        <v>1.4333512884069081E-2</v>
      </c>
      <c r="O599" s="629">
        <v>2.2141000000000002</v>
      </c>
      <c r="P599" s="405">
        <f t="shared" si="525"/>
        <v>221410.00000000003</v>
      </c>
      <c r="Q599" s="450">
        <f t="shared" si="526"/>
        <v>976418.10000000009</v>
      </c>
    </row>
    <row r="600" spans="1:17" ht="23.4" x14ac:dyDescent="0.3">
      <c r="A600" s="248" t="s">
        <v>101</v>
      </c>
      <c r="B600" s="440"/>
      <c r="C600" s="627" t="s">
        <v>353</v>
      </c>
      <c r="D600" s="510"/>
      <c r="E600" s="529"/>
      <c r="F600" s="333">
        <f t="shared" si="527"/>
        <v>0</v>
      </c>
      <c r="G600" s="547"/>
      <c r="H600" s="873"/>
      <c r="I600" s="352" t="str">
        <f t="shared" si="528"/>
        <v>-</v>
      </c>
      <c r="J600" s="874">
        <f t="shared" si="529"/>
        <v>0</v>
      </c>
      <c r="K600" s="278">
        <f t="shared" si="523"/>
        <v>0</v>
      </c>
      <c r="L600" s="436">
        <f t="shared" si="524"/>
        <v>0</v>
      </c>
      <c r="M600" s="338" t="str">
        <f t="shared" si="530"/>
        <v>-</v>
      </c>
      <c r="N600" s="265" t="str">
        <f t="shared" si="531"/>
        <v>-</v>
      </c>
      <c r="O600" s="540">
        <v>4.8285999999999998</v>
      </c>
      <c r="P600" s="404">
        <f t="shared" si="525"/>
        <v>0</v>
      </c>
      <c r="Q600" s="449">
        <f t="shared" si="526"/>
        <v>0</v>
      </c>
    </row>
    <row r="601" spans="1:17" ht="23.4" x14ac:dyDescent="0.3">
      <c r="A601" s="248" t="s">
        <v>101</v>
      </c>
      <c r="B601" s="585"/>
      <c r="C601" s="627" t="s">
        <v>349</v>
      </c>
      <c r="D601" s="270"/>
      <c r="E601" s="435"/>
      <c r="F601" s="332">
        <f t="shared" si="527"/>
        <v>0</v>
      </c>
      <c r="G601" s="272"/>
      <c r="H601" s="271"/>
      <c r="I601" s="352" t="str">
        <f t="shared" si="528"/>
        <v>-</v>
      </c>
      <c r="J601" s="874">
        <f t="shared" si="529"/>
        <v>17157</v>
      </c>
      <c r="K601" s="278">
        <f t="shared" si="523"/>
        <v>16250</v>
      </c>
      <c r="L601" s="436">
        <f t="shared" si="524"/>
        <v>907</v>
      </c>
      <c r="M601" s="336" t="str">
        <f t="shared" si="530"/>
        <v>-</v>
      </c>
      <c r="N601" s="346">
        <f t="shared" si="531"/>
        <v>5.2864719939383339E-2</v>
      </c>
      <c r="O601" s="507">
        <v>4.1712999999999996</v>
      </c>
      <c r="P601" s="402">
        <f t="shared" si="525"/>
        <v>0</v>
      </c>
      <c r="Q601" s="447">
        <f t="shared" si="526"/>
        <v>67783.625</v>
      </c>
    </row>
    <row r="602" spans="1:17" ht="24" thickBot="1" x14ac:dyDescent="0.35">
      <c r="A602" s="248" t="s">
        <v>101</v>
      </c>
      <c r="B602" s="583"/>
      <c r="C602" s="275"/>
      <c r="D602" s="276"/>
      <c r="E602" s="436"/>
      <c r="F602" s="460">
        <f t="shared" si="527"/>
        <v>0</v>
      </c>
      <c r="G602" s="461"/>
      <c r="H602" s="839"/>
      <c r="I602" s="532" t="str">
        <f t="shared" si="528"/>
        <v>-</v>
      </c>
      <c r="J602" s="875">
        <f t="shared" si="529"/>
        <v>0</v>
      </c>
      <c r="K602" s="461">
        <f t="shared" si="523"/>
        <v>0</v>
      </c>
      <c r="L602" s="462">
        <f t="shared" si="524"/>
        <v>0</v>
      </c>
      <c r="M602" s="337" t="str">
        <f t="shared" si="530"/>
        <v>-</v>
      </c>
      <c r="N602" s="263" t="str">
        <f t="shared" si="531"/>
        <v>-</v>
      </c>
      <c r="O602" s="448"/>
      <c r="P602" s="404">
        <f t="shared" si="525"/>
        <v>0</v>
      </c>
      <c r="Q602" s="449">
        <f t="shared" si="526"/>
        <v>0</v>
      </c>
    </row>
    <row r="603" spans="1:17" ht="23.25" customHeight="1" thickBot="1" x14ac:dyDescent="0.35">
      <c r="A603" s="274" t="s">
        <v>101</v>
      </c>
      <c r="B603" s="1109" t="s">
        <v>21</v>
      </c>
      <c r="C603" s="1046"/>
      <c r="D603" s="320">
        <v>0</v>
      </c>
      <c r="E603" s="285">
        <v>15000</v>
      </c>
      <c r="F603" s="513">
        <f>SUM(F596:F602)</f>
        <v>101137</v>
      </c>
      <c r="G603" s="519">
        <f t="shared" ref="G603:H603" si="532">SUM(G596:G602)</f>
        <v>100000</v>
      </c>
      <c r="H603" s="519">
        <f t="shared" si="532"/>
        <v>1137</v>
      </c>
      <c r="I603" s="520">
        <f>IFERROR(F603/E603,"-")</f>
        <v>6.7424666666666671</v>
      </c>
      <c r="J603" s="513">
        <f t="shared" ref="J603" si="533">SUM(J596:J602)</f>
        <v>464570</v>
      </c>
      <c r="K603" s="519">
        <f>SUM(K596:K602)</f>
        <v>457250</v>
      </c>
      <c r="L603" s="519">
        <f>SUM(L596:L602)</f>
        <v>7320</v>
      </c>
      <c r="M603" s="339" t="str">
        <f>IFERROR(J603/D603,"-")</f>
        <v>-</v>
      </c>
      <c r="N603" s="345">
        <f t="shared" si="531"/>
        <v>1.5756506016316164E-2</v>
      </c>
      <c r="O603" s="391"/>
      <c r="P603" s="406">
        <f>SUM(P596:P602)</f>
        <v>221410.00000000003</v>
      </c>
      <c r="Q603" s="425">
        <f>SUM(Q596:Q602)</f>
        <v>1044201.7250000001</v>
      </c>
    </row>
    <row r="604" spans="1:17" ht="23.25" customHeight="1" thickBot="1" x14ac:dyDescent="0.35">
      <c r="A604" s="274" t="s">
        <v>101</v>
      </c>
      <c r="B604" s="1111" t="s">
        <v>248</v>
      </c>
      <c r="C604" s="1112"/>
      <c r="D604" s="512">
        <f>+D600+D603</f>
        <v>0</v>
      </c>
      <c r="E604" s="525">
        <f>+E600+E603</f>
        <v>15000</v>
      </c>
      <c r="F604" s="512">
        <f>+F600+F603</f>
        <v>101137</v>
      </c>
      <c r="G604" s="514">
        <f>+G600+G603</f>
        <v>100000</v>
      </c>
      <c r="H604" s="514">
        <f>+H600+H603</f>
        <v>1137</v>
      </c>
      <c r="I604" s="515">
        <f>IFERROR(F604/E604,"-")</f>
        <v>6.7424666666666671</v>
      </c>
      <c r="J604" s="512">
        <f>+J600+J603</f>
        <v>464570</v>
      </c>
      <c r="K604" s="514">
        <f>+K603</f>
        <v>457250</v>
      </c>
      <c r="L604" s="514">
        <f>+L603</f>
        <v>7320</v>
      </c>
      <c r="M604" s="516" t="str">
        <f t="shared" ref="M604" si="534">IFERROR(J604/D604,"-")</f>
        <v>-</v>
      </c>
      <c r="N604" s="515">
        <f t="shared" si="531"/>
        <v>1.5756506016316164E-2</v>
      </c>
      <c r="O604" s="517"/>
      <c r="P604" s="518">
        <f>+P603</f>
        <v>221410.00000000003</v>
      </c>
      <c r="Q604" s="518">
        <f>+Q603</f>
        <v>1044201.7250000001</v>
      </c>
    </row>
    <row r="605" spans="1:17" ht="23.4" x14ac:dyDescent="0.4">
      <c r="A605" s="244" t="s">
        <v>101</v>
      </c>
      <c r="B605" s="1106" t="s">
        <v>250</v>
      </c>
      <c r="C605" s="542" t="s">
        <v>71</v>
      </c>
      <c r="D605" s="527"/>
      <c r="E605" s="459"/>
      <c r="F605" s="694">
        <f>+G605+H605</f>
        <v>3070</v>
      </c>
      <c r="G605" s="527">
        <v>3000</v>
      </c>
      <c r="H605" s="458">
        <v>70</v>
      </c>
      <c r="I605" s="531" t="str">
        <f>IFERROR(F605/E605,"-")</f>
        <v>-</v>
      </c>
      <c r="J605" s="644">
        <f>+K605+L605</f>
        <v>11170</v>
      </c>
      <c r="K605" s="458">
        <f t="shared" ref="K605:K636" si="535">+G605+K542</f>
        <v>11000</v>
      </c>
      <c r="L605" s="459">
        <f t="shared" ref="L605:L636" si="536">+H605+L542</f>
        <v>170</v>
      </c>
      <c r="M605" s="586" t="str">
        <f>IFERROR(J605/D605,"-")</f>
        <v>-</v>
      </c>
      <c r="N605" s="533">
        <f t="shared" si="531"/>
        <v>1.521933751119069E-2</v>
      </c>
      <c r="O605" s="538">
        <v>32.946300000000001</v>
      </c>
      <c r="P605" s="534">
        <f t="shared" ref="P605:P636" si="537">+O605*G605</f>
        <v>98838.900000000009</v>
      </c>
      <c r="Q605" s="535">
        <f t="shared" ref="Q605:Q636" si="538">+O605*K605</f>
        <v>362409.3</v>
      </c>
    </row>
    <row r="606" spans="1:17" ht="23.4" x14ac:dyDescent="0.4">
      <c r="A606" s="248" t="s">
        <v>101</v>
      </c>
      <c r="B606" s="1107"/>
      <c r="C606" s="543" t="s">
        <v>72</v>
      </c>
      <c r="D606" s="511"/>
      <c r="E606" s="436"/>
      <c r="F606" s="690">
        <f t="shared" ref="F606:F636" si="539">+G606+H606</f>
        <v>0</v>
      </c>
      <c r="G606" s="276"/>
      <c r="H606" s="278"/>
      <c r="I606" s="352" t="str">
        <f t="shared" ref="I606:I636" si="540">IFERROR(F606/E606,"-")</f>
        <v>-</v>
      </c>
      <c r="J606" s="874">
        <f t="shared" ref="J606:J636" si="541">+K606+L606</f>
        <v>10595</v>
      </c>
      <c r="K606" s="278">
        <f t="shared" si="535"/>
        <v>10500</v>
      </c>
      <c r="L606" s="436">
        <f t="shared" si="536"/>
        <v>95</v>
      </c>
      <c r="M606" s="337" t="str">
        <f t="shared" ref="M606:M639" si="542">IFERROR(J606/D606,"-")</f>
        <v>-</v>
      </c>
      <c r="N606" s="265">
        <f t="shared" si="531"/>
        <v>8.9664936290703157E-3</v>
      </c>
      <c r="O606" s="508">
        <v>35.398400000000002</v>
      </c>
      <c r="P606" s="404">
        <f t="shared" si="537"/>
        <v>0</v>
      </c>
      <c r="Q606" s="449">
        <f t="shared" si="538"/>
        <v>371683.2</v>
      </c>
    </row>
    <row r="607" spans="1:17" ht="24" thickBot="1" x14ac:dyDescent="0.45">
      <c r="A607" s="248" t="s">
        <v>101</v>
      </c>
      <c r="B607" s="1108"/>
      <c r="C607" s="543" t="s">
        <v>455</v>
      </c>
      <c r="D607" s="276"/>
      <c r="E607" s="436"/>
      <c r="F607" s="690">
        <f t="shared" si="539"/>
        <v>0</v>
      </c>
      <c r="G607" s="276"/>
      <c r="H607" s="278"/>
      <c r="I607" s="352" t="str">
        <f t="shared" si="540"/>
        <v>-</v>
      </c>
      <c r="J607" s="874">
        <f t="shared" si="541"/>
        <v>10147</v>
      </c>
      <c r="K607" s="278">
        <f t="shared" si="535"/>
        <v>9900</v>
      </c>
      <c r="L607" s="436">
        <f t="shared" si="536"/>
        <v>247</v>
      </c>
      <c r="M607" s="337" t="str">
        <f t="shared" si="542"/>
        <v>-</v>
      </c>
      <c r="N607" s="265">
        <f>IFERROR(L607/J607,"-")</f>
        <v>2.4342170099536809E-2</v>
      </c>
      <c r="O607" s="508">
        <v>35.398400000000002</v>
      </c>
      <c r="P607" s="404">
        <f t="shared" si="537"/>
        <v>0</v>
      </c>
      <c r="Q607" s="449">
        <f t="shared" si="538"/>
        <v>350444.16000000003</v>
      </c>
    </row>
    <row r="608" spans="1:17" ht="23.4" x14ac:dyDescent="0.4">
      <c r="A608" s="248" t="s">
        <v>101</v>
      </c>
      <c r="B608" s="1106" t="s">
        <v>251</v>
      </c>
      <c r="C608" s="545" t="s">
        <v>75</v>
      </c>
      <c r="D608" s="276"/>
      <c r="E608" s="528"/>
      <c r="F608" s="696">
        <f t="shared" si="539"/>
        <v>1415</v>
      </c>
      <c r="G608" s="276">
        <v>1400</v>
      </c>
      <c r="H608" s="278">
        <v>15</v>
      </c>
      <c r="I608" s="352" t="str">
        <f t="shared" si="540"/>
        <v>-</v>
      </c>
      <c r="J608" s="874">
        <f t="shared" si="541"/>
        <v>24727</v>
      </c>
      <c r="K608" s="278">
        <f t="shared" si="535"/>
        <v>24083</v>
      </c>
      <c r="L608" s="436">
        <f t="shared" si="536"/>
        <v>644</v>
      </c>
      <c r="M608" s="337" t="str">
        <f t="shared" si="542"/>
        <v>-</v>
      </c>
      <c r="N608" s="265">
        <f t="shared" ref="N608:N610" si="543">IFERROR(L608/J608,"-")</f>
        <v>2.604440490152465E-2</v>
      </c>
      <c r="O608" s="508">
        <v>55.4758</v>
      </c>
      <c r="P608" s="404">
        <f t="shared" si="537"/>
        <v>77666.12</v>
      </c>
      <c r="Q608" s="449">
        <f t="shared" si="538"/>
        <v>1336023.6913999999</v>
      </c>
    </row>
    <row r="609" spans="1:17" ht="23.4" x14ac:dyDescent="0.4">
      <c r="A609" s="248" t="s">
        <v>101</v>
      </c>
      <c r="B609" s="1107"/>
      <c r="C609" s="545" t="s">
        <v>72</v>
      </c>
      <c r="D609" s="276"/>
      <c r="E609" s="529"/>
      <c r="F609" s="696">
        <f t="shared" si="539"/>
        <v>0</v>
      </c>
      <c r="G609" s="276"/>
      <c r="H609" s="278"/>
      <c r="I609" s="352" t="str">
        <f t="shared" si="540"/>
        <v>-</v>
      </c>
      <c r="J609" s="874">
        <f t="shared" si="541"/>
        <v>0</v>
      </c>
      <c r="K609" s="278">
        <f t="shared" si="535"/>
        <v>0</v>
      </c>
      <c r="L609" s="436">
        <f t="shared" si="536"/>
        <v>0</v>
      </c>
      <c r="M609" s="337" t="str">
        <f t="shared" si="542"/>
        <v>-</v>
      </c>
      <c r="N609" s="265" t="str">
        <f t="shared" si="543"/>
        <v>-</v>
      </c>
      <c r="O609" s="540">
        <v>58.836300000000001</v>
      </c>
      <c r="P609" s="404">
        <f t="shared" si="537"/>
        <v>0</v>
      </c>
      <c r="Q609" s="449">
        <f t="shared" si="538"/>
        <v>0</v>
      </c>
    </row>
    <row r="610" spans="1:17" ht="23.4" x14ac:dyDescent="0.4">
      <c r="A610" s="248" t="s">
        <v>101</v>
      </c>
      <c r="B610" s="1107"/>
      <c r="C610" s="545" t="s">
        <v>347</v>
      </c>
      <c r="D610" s="276"/>
      <c r="E610" s="435"/>
      <c r="F610" s="696">
        <f t="shared" si="539"/>
        <v>0</v>
      </c>
      <c r="G610" s="276"/>
      <c r="H610" s="278"/>
      <c r="I610" s="352" t="str">
        <f t="shared" si="540"/>
        <v>-</v>
      </c>
      <c r="J610" s="874">
        <f t="shared" si="541"/>
        <v>2745</v>
      </c>
      <c r="K610" s="278">
        <f t="shared" si="535"/>
        <v>2305</v>
      </c>
      <c r="L610" s="436">
        <f t="shared" si="536"/>
        <v>440</v>
      </c>
      <c r="M610" s="337" t="str">
        <f t="shared" si="542"/>
        <v>-</v>
      </c>
      <c r="N610" s="263">
        <f t="shared" si="543"/>
        <v>0.16029143897996356</v>
      </c>
      <c r="O610" s="710">
        <v>58.836300000000001</v>
      </c>
      <c r="P610" s="404">
        <f t="shared" si="537"/>
        <v>0</v>
      </c>
      <c r="Q610" s="449">
        <f t="shared" si="538"/>
        <v>135617.6715</v>
      </c>
    </row>
    <row r="611" spans="1:17" ht="24" thickBot="1" x14ac:dyDescent="0.45">
      <c r="A611" s="248"/>
      <c r="B611" s="1108"/>
      <c r="C611" s="545" t="s">
        <v>361</v>
      </c>
      <c r="D611" s="276"/>
      <c r="E611" s="435"/>
      <c r="F611" s="696">
        <f t="shared" si="539"/>
        <v>0</v>
      </c>
      <c r="G611" s="276"/>
      <c r="H611" s="278"/>
      <c r="I611" s="352" t="str">
        <f t="shared" si="540"/>
        <v>-</v>
      </c>
      <c r="J611" s="874">
        <f t="shared" si="541"/>
        <v>0</v>
      </c>
      <c r="K611" s="278">
        <f t="shared" si="535"/>
        <v>0</v>
      </c>
      <c r="L611" s="436">
        <f t="shared" si="536"/>
        <v>0</v>
      </c>
      <c r="M611" s="337" t="str">
        <f t="shared" si="542"/>
        <v>-</v>
      </c>
      <c r="N611" s="263" t="str">
        <f>IFERROR(L611/J611,"-")</f>
        <v>-</v>
      </c>
      <c r="O611" s="508">
        <v>55.4758</v>
      </c>
      <c r="P611" s="404">
        <f t="shared" si="537"/>
        <v>0</v>
      </c>
      <c r="Q611" s="449">
        <f t="shared" si="538"/>
        <v>0</v>
      </c>
    </row>
    <row r="612" spans="1:17" ht="23.4" x14ac:dyDescent="0.4">
      <c r="A612" s="248" t="s">
        <v>101</v>
      </c>
      <c r="B612" s="1106" t="s">
        <v>409</v>
      </c>
      <c r="C612" s="543" t="s">
        <v>77</v>
      </c>
      <c r="D612" s="276"/>
      <c r="E612" s="436"/>
      <c r="F612" s="690">
        <f t="shared" si="539"/>
        <v>4563</v>
      </c>
      <c r="G612" s="276">
        <v>4460</v>
      </c>
      <c r="H612" s="278">
        <v>103</v>
      </c>
      <c r="I612" s="352" t="str">
        <f t="shared" si="540"/>
        <v>-</v>
      </c>
      <c r="J612" s="874">
        <f t="shared" si="541"/>
        <v>24300</v>
      </c>
      <c r="K612" s="719">
        <f t="shared" si="535"/>
        <v>23960</v>
      </c>
      <c r="L612" s="815">
        <f t="shared" si="536"/>
        <v>340</v>
      </c>
      <c r="M612" s="337" t="str">
        <f t="shared" si="542"/>
        <v>-</v>
      </c>
      <c r="N612" s="263">
        <f t="shared" ref="N612:N638" si="544">IFERROR(L612/J612,"-")</f>
        <v>1.3991769547325103E-2</v>
      </c>
      <c r="O612" s="508">
        <v>25.687200000000001</v>
      </c>
      <c r="P612" s="404">
        <f t="shared" si="537"/>
        <v>114564.912</v>
      </c>
      <c r="Q612" s="449">
        <f t="shared" si="538"/>
        <v>615465.31200000003</v>
      </c>
    </row>
    <row r="613" spans="1:17" ht="24" thickBot="1" x14ac:dyDescent="0.45">
      <c r="A613" s="248" t="s">
        <v>101</v>
      </c>
      <c r="B613" s="1108"/>
      <c r="C613" s="543" t="s">
        <v>117</v>
      </c>
      <c r="D613" s="276"/>
      <c r="E613" s="436"/>
      <c r="F613" s="690">
        <f t="shared" si="539"/>
        <v>0</v>
      </c>
      <c r="G613" s="276"/>
      <c r="H613" s="278"/>
      <c r="I613" s="352" t="str">
        <f t="shared" si="540"/>
        <v>-</v>
      </c>
      <c r="J613" s="874">
        <f t="shared" si="541"/>
        <v>0</v>
      </c>
      <c r="K613" s="278">
        <f t="shared" si="535"/>
        <v>0</v>
      </c>
      <c r="L613" s="436">
        <f t="shared" si="536"/>
        <v>0</v>
      </c>
      <c r="M613" s="337" t="str">
        <f t="shared" si="542"/>
        <v>-</v>
      </c>
      <c r="N613" s="263" t="str">
        <f t="shared" si="544"/>
        <v>-</v>
      </c>
      <c r="O613" s="508">
        <v>25.033899999999999</v>
      </c>
      <c r="P613" s="404">
        <f t="shared" si="537"/>
        <v>0</v>
      </c>
      <c r="Q613" s="449">
        <f t="shared" si="538"/>
        <v>0</v>
      </c>
    </row>
    <row r="614" spans="1:17" ht="23.4" x14ac:dyDescent="0.4">
      <c r="A614" s="248"/>
      <c r="B614" s="1106" t="s">
        <v>410</v>
      </c>
      <c r="C614" s="543" t="s">
        <v>79</v>
      </c>
      <c r="D614" s="276"/>
      <c r="E614" s="436"/>
      <c r="F614" s="690">
        <f t="shared" si="539"/>
        <v>3415</v>
      </c>
      <c r="G614" s="276">
        <v>3390</v>
      </c>
      <c r="H614" s="278">
        <v>25</v>
      </c>
      <c r="I614" s="352" t="str">
        <f t="shared" si="540"/>
        <v>-</v>
      </c>
      <c r="J614" s="874">
        <f t="shared" si="541"/>
        <v>12864</v>
      </c>
      <c r="K614" s="278">
        <f t="shared" si="535"/>
        <v>12690</v>
      </c>
      <c r="L614" s="436">
        <f t="shared" si="536"/>
        <v>174</v>
      </c>
      <c r="M614" s="337" t="str">
        <f t="shared" si="542"/>
        <v>-</v>
      </c>
      <c r="N614" s="263">
        <f t="shared" si="544"/>
        <v>1.3526119402985074E-2</v>
      </c>
      <c r="O614" s="508">
        <v>41.992699999999999</v>
      </c>
      <c r="P614" s="404">
        <f t="shared" si="537"/>
        <v>142355.253</v>
      </c>
      <c r="Q614" s="449">
        <f t="shared" si="538"/>
        <v>532887.36300000001</v>
      </c>
    </row>
    <row r="615" spans="1:17" ht="23.4" x14ac:dyDescent="0.4">
      <c r="A615" s="248"/>
      <c r="B615" s="1107"/>
      <c r="C615" s="543" t="s">
        <v>72</v>
      </c>
      <c r="D615" s="276"/>
      <c r="E615" s="436"/>
      <c r="F615" s="690">
        <f t="shared" si="539"/>
        <v>0</v>
      </c>
      <c r="G615" s="276"/>
      <c r="H615" s="278"/>
      <c r="I615" s="352" t="str">
        <f t="shared" si="540"/>
        <v>-</v>
      </c>
      <c r="J615" s="874">
        <f t="shared" si="541"/>
        <v>0</v>
      </c>
      <c r="K615" s="278">
        <f t="shared" si="535"/>
        <v>0</v>
      </c>
      <c r="L615" s="436">
        <f t="shared" si="536"/>
        <v>0</v>
      </c>
      <c r="M615" s="337" t="str">
        <f t="shared" si="542"/>
        <v>-</v>
      </c>
      <c r="N615" s="263" t="str">
        <f t="shared" si="544"/>
        <v>-</v>
      </c>
      <c r="O615" s="508">
        <v>42.283799999999999</v>
      </c>
      <c r="P615" s="404">
        <f t="shared" si="537"/>
        <v>0</v>
      </c>
      <c r="Q615" s="449">
        <f t="shared" si="538"/>
        <v>0</v>
      </c>
    </row>
    <row r="616" spans="1:17" ht="23.4" x14ac:dyDescent="0.4">
      <c r="A616" s="248"/>
      <c r="B616" s="1107"/>
      <c r="C616" s="543" t="s">
        <v>380</v>
      </c>
      <c r="D616" s="276"/>
      <c r="E616" s="436"/>
      <c r="F616" s="690">
        <f t="shared" si="539"/>
        <v>0</v>
      </c>
      <c r="G616" s="276"/>
      <c r="H616" s="278"/>
      <c r="I616" s="352" t="str">
        <f t="shared" si="540"/>
        <v>-</v>
      </c>
      <c r="J616" s="874">
        <f t="shared" si="541"/>
        <v>0</v>
      </c>
      <c r="K616" s="278">
        <f t="shared" si="535"/>
        <v>0</v>
      </c>
      <c r="L616" s="436">
        <f t="shared" si="536"/>
        <v>0</v>
      </c>
      <c r="M616" s="337" t="str">
        <f t="shared" si="542"/>
        <v>-</v>
      </c>
      <c r="N616" s="263" t="str">
        <f t="shared" si="544"/>
        <v>-</v>
      </c>
      <c r="O616" s="710">
        <v>41.992699999999999</v>
      </c>
      <c r="P616" s="404">
        <f t="shared" si="537"/>
        <v>0</v>
      </c>
      <c r="Q616" s="449">
        <f t="shared" si="538"/>
        <v>0</v>
      </c>
    </row>
    <row r="617" spans="1:17" ht="24" thickBot="1" x14ac:dyDescent="0.45">
      <c r="A617" s="248"/>
      <c r="B617" s="1108"/>
      <c r="C617" s="543" t="s">
        <v>381</v>
      </c>
      <c r="D617" s="276"/>
      <c r="E617" s="436"/>
      <c r="F617" s="690">
        <f t="shared" si="539"/>
        <v>0</v>
      </c>
      <c r="G617" s="276"/>
      <c r="H617" s="278"/>
      <c r="I617" s="352" t="str">
        <f t="shared" si="540"/>
        <v>-</v>
      </c>
      <c r="J617" s="874">
        <f t="shared" si="541"/>
        <v>0</v>
      </c>
      <c r="K617" s="278">
        <f t="shared" si="535"/>
        <v>0</v>
      </c>
      <c r="L617" s="436">
        <f t="shared" si="536"/>
        <v>0</v>
      </c>
      <c r="M617" s="337" t="str">
        <f t="shared" si="542"/>
        <v>-</v>
      </c>
      <c r="N617" s="263" t="str">
        <f t="shared" si="544"/>
        <v>-</v>
      </c>
      <c r="O617" s="710">
        <v>42.283799999999999</v>
      </c>
      <c r="P617" s="404">
        <f t="shared" si="537"/>
        <v>0</v>
      </c>
      <c r="Q617" s="449">
        <f t="shared" si="538"/>
        <v>0</v>
      </c>
    </row>
    <row r="618" spans="1:17" ht="24" thickBot="1" x14ac:dyDescent="0.45">
      <c r="A618" s="248"/>
      <c r="B618" s="717" t="s">
        <v>80</v>
      </c>
      <c r="C618" s="543" t="s">
        <v>81</v>
      </c>
      <c r="D618" s="276"/>
      <c r="E618" s="436"/>
      <c r="F618" s="690">
        <f t="shared" si="539"/>
        <v>3610</v>
      </c>
      <c r="G618" s="276">
        <v>3500</v>
      </c>
      <c r="H618" s="278">
        <v>110</v>
      </c>
      <c r="I618" s="352" t="str">
        <f t="shared" si="540"/>
        <v>-</v>
      </c>
      <c r="J618" s="874">
        <f t="shared" si="541"/>
        <v>23163</v>
      </c>
      <c r="K618" s="278">
        <f t="shared" si="535"/>
        <v>22200</v>
      </c>
      <c r="L618" s="687">
        <f t="shared" si="536"/>
        <v>963</v>
      </c>
      <c r="M618" s="337" t="str">
        <f t="shared" si="542"/>
        <v>-</v>
      </c>
      <c r="N618" s="263">
        <f t="shared" si="544"/>
        <v>4.1574925527781373E-2</v>
      </c>
      <c r="O618" s="508">
        <v>4.3535000000000004</v>
      </c>
      <c r="P618" s="404">
        <f t="shared" si="537"/>
        <v>15237.250000000002</v>
      </c>
      <c r="Q618" s="449">
        <f t="shared" si="538"/>
        <v>96647.700000000012</v>
      </c>
    </row>
    <row r="619" spans="1:17" ht="23.4" x14ac:dyDescent="0.4">
      <c r="A619" s="248"/>
      <c r="B619" s="1106" t="s">
        <v>253</v>
      </c>
      <c r="C619" s="543" t="s">
        <v>77</v>
      </c>
      <c r="D619" s="276"/>
      <c r="E619" s="436"/>
      <c r="F619" s="690">
        <f t="shared" si="539"/>
        <v>39728</v>
      </c>
      <c r="G619" s="276">
        <v>39600</v>
      </c>
      <c r="H619" s="278">
        <v>128</v>
      </c>
      <c r="I619" s="352" t="str">
        <f t="shared" si="540"/>
        <v>-</v>
      </c>
      <c r="J619" s="874">
        <f t="shared" si="541"/>
        <v>418982</v>
      </c>
      <c r="K619" s="278">
        <f t="shared" si="535"/>
        <v>416900</v>
      </c>
      <c r="L619" s="436">
        <f t="shared" si="536"/>
        <v>2082</v>
      </c>
      <c r="M619" s="337" t="str">
        <f t="shared" si="542"/>
        <v>-</v>
      </c>
      <c r="N619" s="263">
        <f t="shared" si="544"/>
        <v>4.9691872204533846E-3</v>
      </c>
      <c r="O619" s="508">
        <v>4.6184000000000003</v>
      </c>
      <c r="P619" s="404">
        <f t="shared" si="537"/>
        <v>182888.64</v>
      </c>
      <c r="Q619" s="449">
        <f t="shared" si="538"/>
        <v>1925410.9600000002</v>
      </c>
    </row>
    <row r="620" spans="1:17" ht="23.4" x14ac:dyDescent="0.4">
      <c r="A620" s="248"/>
      <c r="B620" s="1107"/>
      <c r="C620" s="543" t="s">
        <v>340</v>
      </c>
      <c r="D620" s="276"/>
      <c r="E620" s="436"/>
      <c r="F620" s="690">
        <f t="shared" si="539"/>
        <v>0</v>
      </c>
      <c r="G620" s="276"/>
      <c r="H620" s="278"/>
      <c r="I620" s="352" t="str">
        <f t="shared" si="540"/>
        <v>-</v>
      </c>
      <c r="J620" s="874">
        <f t="shared" si="541"/>
        <v>0</v>
      </c>
      <c r="K620" s="278">
        <f t="shared" si="535"/>
        <v>0</v>
      </c>
      <c r="L620" s="436">
        <f t="shared" si="536"/>
        <v>0</v>
      </c>
      <c r="M620" s="337" t="str">
        <f t="shared" si="542"/>
        <v>-</v>
      </c>
      <c r="N620" s="263" t="str">
        <f t="shared" si="544"/>
        <v>-</v>
      </c>
      <c r="O620" s="508">
        <v>4.6184000000000003</v>
      </c>
      <c r="P620" s="404">
        <f t="shared" si="537"/>
        <v>0</v>
      </c>
      <c r="Q620" s="449">
        <f t="shared" si="538"/>
        <v>0</v>
      </c>
    </row>
    <row r="621" spans="1:17" ht="23.4" x14ac:dyDescent="0.4">
      <c r="A621" s="248"/>
      <c r="B621" s="1107"/>
      <c r="C621" s="543" t="s">
        <v>252</v>
      </c>
      <c r="D621" s="276"/>
      <c r="E621" s="436"/>
      <c r="F621" s="690">
        <f t="shared" si="539"/>
        <v>0</v>
      </c>
      <c r="G621" s="276"/>
      <c r="H621" s="278"/>
      <c r="I621" s="352" t="str">
        <f t="shared" si="540"/>
        <v>-</v>
      </c>
      <c r="J621" s="874">
        <f t="shared" si="541"/>
        <v>0</v>
      </c>
      <c r="K621" s="278">
        <f t="shared" si="535"/>
        <v>0</v>
      </c>
      <c r="L621" s="436">
        <f t="shared" si="536"/>
        <v>0</v>
      </c>
      <c r="M621" s="337" t="str">
        <f t="shared" si="542"/>
        <v>-</v>
      </c>
      <c r="N621" s="263" t="str">
        <f t="shared" si="544"/>
        <v>-</v>
      </c>
      <c r="O621" s="508">
        <v>4.6184000000000003</v>
      </c>
      <c r="P621" s="404">
        <f t="shared" si="537"/>
        <v>0</v>
      </c>
      <c r="Q621" s="449">
        <f t="shared" si="538"/>
        <v>0</v>
      </c>
    </row>
    <row r="622" spans="1:17" ht="23.4" x14ac:dyDescent="0.4">
      <c r="A622" s="248"/>
      <c r="B622" s="1107"/>
      <c r="C622" s="543" t="s">
        <v>350</v>
      </c>
      <c r="D622" s="276"/>
      <c r="E622" s="436"/>
      <c r="F622" s="690">
        <f t="shared" si="539"/>
        <v>0</v>
      </c>
      <c r="G622" s="276"/>
      <c r="H622" s="278"/>
      <c r="I622" s="352" t="str">
        <f t="shared" si="540"/>
        <v>-</v>
      </c>
      <c r="J622" s="874">
        <f t="shared" si="541"/>
        <v>0</v>
      </c>
      <c r="K622" s="686">
        <f t="shared" si="535"/>
        <v>0</v>
      </c>
      <c r="L622" s="687">
        <f t="shared" si="536"/>
        <v>0</v>
      </c>
      <c r="M622" s="337" t="str">
        <f t="shared" si="542"/>
        <v>-</v>
      </c>
      <c r="N622" s="263" t="str">
        <f t="shared" si="544"/>
        <v>-</v>
      </c>
      <c r="O622" s="508">
        <v>4.7636000000000003</v>
      </c>
      <c r="P622" s="404">
        <f t="shared" si="537"/>
        <v>0</v>
      </c>
      <c r="Q622" s="449">
        <f t="shared" si="538"/>
        <v>0</v>
      </c>
    </row>
    <row r="623" spans="1:17" ht="24" thickBot="1" x14ac:dyDescent="0.45">
      <c r="A623" s="248"/>
      <c r="B623" s="1108"/>
      <c r="C623" s="543" t="s">
        <v>346</v>
      </c>
      <c r="D623" s="276"/>
      <c r="E623" s="436"/>
      <c r="F623" s="690">
        <f t="shared" si="539"/>
        <v>0</v>
      </c>
      <c r="G623" s="276"/>
      <c r="H623" s="278"/>
      <c r="I623" s="352" t="str">
        <f t="shared" si="540"/>
        <v>-</v>
      </c>
      <c r="J623" s="874">
        <f t="shared" si="541"/>
        <v>0</v>
      </c>
      <c r="K623" s="278">
        <f t="shared" si="535"/>
        <v>0</v>
      </c>
      <c r="L623" s="436">
        <f t="shared" si="536"/>
        <v>0</v>
      </c>
      <c r="M623" s="337" t="str">
        <f t="shared" si="542"/>
        <v>-</v>
      </c>
      <c r="N623" s="263" t="str">
        <f t="shared" si="544"/>
        <v>-</v>
      </c>
      <c r="O623" s="508">
        <v>4.8738000000000001</v>
      </c>
      <c r="P623" s="404">
        <f t="shared" si="537"/>
        <v>0</v>
      </c>
      <c r="Q623" s="449">
        <f t="shared" si="538"/>
        <v>0</v>
      </c>
    </row>
    <row r="624" spans="1:17" ht="24" thickBot="1" x14ac:dyDescent="0.45">
      <c r="A624" s="248"/>
      <c r="B624" s="717" t="s">
        <v>254</v>
      </c>
      <c r="C624" s="543" t="s">
        <v>520</v>
      </c>
      <c r="D624" s="276"/>
      <c r="E624" s="436"/>
      <c r="F624" s="690">
        <f t="shared" si="539"/>
        <v>0</v>
      </c>
      <c r="G624" s="276"/>
      <c r="H624" s="278"/>
      <c r="I624" s="352" t="str">
        <f t="shared" si="540"/>
        <v>-</v>
      </c>
      <c r="J624" s="874">
        <f t="shared" si="541"/>
        <v>17752</v>
      </c>
      <c r="K624" s="278">
        <f t="shared" si="535"/>
        <v>17600</v>
      </c>
      <c r="L624" s="436">
        <f t="shared" si="536"/>
        <v>152</v>
      </c>
      <c r="M624" s="337" t="str">
        <f t="shared" si="542"/>
        <v>-</v>
      </c>
      <c r="N624" s="263">
        <f t="shared" si="544"/>
        <v>8.5624155024785938E-3</v>
      </c>
      <c r="O624" s="508">
        <v>4.8738000000000001</v>
      </c>
      <c r="P624" s="404">
        <f t="shared" si="537"/>
        <v>0</v>
      </c>
      <c r="Q624" s="449">
        <f t="shared" si="538"/>
        <v>85778.880000000005</v>
      </c>
    </row>
    <row r="625" spans="1:17" ht="23.4" x14ac:dyDescent="0.4">
      <c r="A625" s="248"/>
      <c r="B625" s="1106" t="s">
        <v>256</v>
      </c>
      <c r="C625" s="543" t="s">
        <v>77</v>
      </c>
      <c r="D625" s="276"/>
      <c r="E625" s="436"/>
      <c r="F625" s="690">
        <f t="shared" si="539"/>
        <v>62790</v>
      </c>
      <c r="G625" s="276">
        <v>61670</v>
      </c>
      <c r="H625" s="278">
        <v>1120</v>
      </c>
      <c r="I625" s="352" t="str">
        <f t="shared" si="540"/>
        <v>-</v>
      </c>
      <c r="J625" s="874">
        <f t="shared" si="541"/>
        <v>388462</v>
      </c>
      <c r="K625" s="719">
        <f t="shared" si="535"/>
        <v>381430</v>
      </c>
      <c r="L625" s="815">
        <f t="shared" si="536"/>
        <v>7032</v>
      </c>
      <c r="M625" s="337" t="str">
        <f t="shared" si="542"/>
        <v>-</v>
      </c>
      <c r="N625" s="263">
        <f t="shared" si="544"/>
        <v>1.8102156710308858E-2</v>
      </c>
      <c r="O625" s="508">
        <v>4.9344999999999999</v>
      </c>
      <c r="P625" s="404">
        <f t="shared" si="537"/>
        <v>304310.61499999999</v>
      </c>
      <c r="Q625" s="449">
        <f t="shared" si="538"/>
        <v>1882166.335</v>
      </c>
    </row>
    <row r="626" spans="1:17" ht="23.4" x14ac:dyDescent="0.4">
      <c r="A626" s="248"/>
      <c r="B626" s="1107"/>
      <c r="C626" s="543" t="s">
        <v>135</v>
      </c>
      <c r="D626" s="276"/>
      <c r="E626" s="436"/>
      <c r="F626" s="690">
        <f t="shared" si="539"/>
        <v>0</v>
      </c>
      <c r="G626" s="276"/>
      <c r="H626" s="278"/>
      <c r="I626" s="352" t="str">
        <f t="shared" si="540"/>
        <v>-</v>
      </c>
      <c r="J626" s="874">
        <f t="shared" si="541"/>
        <v>0</v>
      </c>
      <c r="K626" s="278">
        <f t="shared" si="535"/>
        <v>0</v>
      </c>
      <c r="L626" s="436">
        <f t="shared" si="536"/>
        <v>0</v>
      </c>
      <c r="M626" s="337" t="str">
        <f t="shared" si="542"/>
        <v>-</v>
      </c>
      <c r="N626" s="263" t="str">
        <f t="shared" si="544"/>
        <v>-</v>
      </c>
      <c r="O626" s="508">
        <v>4.9344999999999999</v>
      </c>
      <c r="P626" s="404">
        <f t="shared" si="537"/>
        <v>0</v>
      </c>
      <c r="Q626" s="449">
        <f t="shared" si="538"/>
        <v>0</v>
      </c>
    </row>
    <row r="627" spans="1:17" ht="23.4" x14ac:dyDescent="0.4">
      <c r="A627" s="248"/>
      <c r="B627" s="1107"/>
      <c r="C627" s="543" t="s">
        <v>129</v>
      </c>
      <c r="D627" s="276"/>
      <c r="E627" s="436"/>
      <c r="F627" s="690">
        <f t="shared" si="539"/>
        <v>0</v>
      </c>
      <c r="G627" s="276"/>
      <c r="H627" s="278"/>
      <c r="I627" s="352" t="str">
        <f t="shared" si="540"/>
        <v>-</v>
      </c>
      <c r="J627" s="874">
        <f t="shared" si="541"/>
        <v>0</v>
      </c>
      <c r="K627" s="278">
        <f t="shared" si="535"/>
        <v>0</v>
      </c>
      <c r="L627" s="436">
        <f t="shared" si="536"/>
        <v>0</v>
      </c>
      <c r="M627" s="337" t="str">
        <f t="shared" si="542"/>
        <v>-</v>
      </c>
      <c r="N627" s="263" t="str">
        <f t="shared" si="544"/>
        <v>-</v>
      </c>
      <c r="O627" s="508">
        <v>4.9344999999999999</v>
      </c>
      <c r="P627" s="404">
        <f t="shared" si="537"/>
        <v>0</v>
      </c>
      <c r="Q627" s="449">
        <f t="shared" si="538"/>
        <v>0</v>
      </c>
    </row>
    <row r="628" spans="1:17" ht="24" thickBot="1" x14ac:dyDescent="0.45">
      <c r="A628" s="248"/>
      <c r="B628" s="1108"/>
      <c r="C628" s="543" t="s">
        <v>255</v>
      </c>
      <c r="D628" s="276"/>
      <c r="E628" s="436"/>
      <c r="F628" s="690">
        <f t="shared" si="539"/>
        <v>0</v>
      </c>
      <c r="G628" s="276"/>
      <c r="H628" s="278"/>
      <c r="I628" s="352" t="str">
        <f t="shared" si="540"/>
        <v>-</v>
      </c>
      <c r="J628" s="874">
        <f t="shared" si="541"/>
        <v>0</v>
      </c>
      <c r="K628" s="278">
        <f t="shared" si="535"/>
        <v>0</v>
      </c>
      <c r="L628" s="436">
        <f t="shared" si="536"/>
        <v>0</v>
      </c>
      <c r="M628" s="337" t="str">
        <f t="shared" si="542"/>
        <v>-</v>
      </c>
      <c r="N628" s="263" t="str">
        <f t="shared" si="544"/>
        <v>-</v>
      </c>
      <c r="O628" s="508">
        <v>5.5069999999999997</v>
      </c>
      <c r="P628" s="404">
        <f t="shared" si="537"/>
        <v>0</v>
      </c>
      <c r="Q628" s="449">
        <f t="shared" si="538"/>
        <v>0</v>
      </c>
    </row>
    <row r="629" spans="1:17" ht="23.4" x14ac:dyDescent="0.4">
      <c r="A629" s="248"/>
      <c r="B629" s="1106" t="s">
        <v>261</v>
      </c>
      <c r="C629" s="543" t="s">
        <v>257</v>
      </c>
      <c r="D629" s="276"/>
      <c r="E629" s="436"/>
      <c r="F629" s="690">
        <f t="shared" si="539"/>
        <v>35460</v>
      </c>
      <c r="G629" s="276">
        <v>35350</v>
      </c>
      <c r="H629" s="278">
        <v>110</v>
      </c>
      <c r="I629" s="352" t="str">
        <f t="shared" si="540"/>
        <v>-</v>
      </c>
      <c r="J629" s="874">
        <f t="shared" si="541"/>
        <v>370514</v>
      </c>
      <c r="K629" s="278">
        <f t="shared" si="535"/>
        <v>367500</v>
      </c>
      <c r="L629" s="687">
        <f t="shared" si="536"/>
        <v>3014</v>
      </c>
      <c r="M629" s="337" t="str">
        <f t="shared" si="542"/>
        <v>-</v>
      </c>
      <c r="N629" s="263">
        <f t="shared" si="544"/>
        <v>8.1346453845198823E-3</v>
      </c>
      <c r="O629" s="710">
        <v>5.5069999999999997</v>
      </c>
      <c r="P629" s="404">
        <f t="shared" si="537"/>
        <v>194672.44999999998</v>
      </c>
      <c r="Q629" s="449">
        <f t="shared" si="538"/>
        <v>2023822.4999999998</v>
      </c>
    </row>
    <row r="630" spans="1:17" ht="23.4" x14ac:dyDescent="0.4">
      <c r="A630" s="248"/>
      <c r="B630" s="1107"/>
      <c r="C630" s="543" t="s">
        <v>258</v>
      </c>
      <c r="D630" s="276"/>
      <c r="E630" s="436"/>
      <c r="F630" s="690">
        <f t="shared" si="539"/>
        <v>0</v>
      </c>
      <c r="G630" s="276"/>
      <c r="H630" s="278"/>
      <c r="I630" s="352" t="str">
        <f t="shared" si="540"/>
        <v>-</v>
      </c>
      <c r="J630" s="874">
        <f t="shared" si="541"/>
        <v>0</v>
      </c>
      <c r="K630" s="278">
        <f t="shared" si="535"/>
        <v>0</v>
      </c>
      <c r="L630" s="436">
        <f t="shared" si="536"/>
        <v>0</v>
      </c>
      <c r="M630" s="337" t="str">
        <f t="shared" si="542"/>
        <v>-</v>
      </c>
      <c r="N630" s="263" t="str">
        <f t="shared" si="544"/>
        <v>-</v>
      </c>
      <c r="O630" s="508">
        <v>5.6550000000000002</v>
      </c>
      <c r="P630" s="404">
        <f t="shared" si="537"/>
        <v>0</v>
      </c>
      <c r="Q630" s="449">
        <f t="shared" si="538"/>
        <v>0</v>
      </c>
    </row>
    <row r="631" spans="1:17" ht="23.4" x14ac:dyDescent="0.4">
      <c r="A631" s="248"/>
      <c r="B631" s="1107"/>
      <c r="C631" s="543" t="s">
        <v>321</v>
      </c>
      <c r="D631" s="276"/>
      <c r="E631" s="436"/>
      <c r="F631" s="690">
        <f t="shared" si="539"/>
        <v>0</v>
      </c>
      <c r="G631" s="276"/>
      <c r="H631" s="278"/>
      <c r="I631" s="352" t="str">
        <f t="shared" si="540"/>
        <v>-</v>
      </c>
      <c r="J631" s="874">
        <f t="shared" si="541"/>
        <v>0</v>
      </c>
      <c r="K631" s="686">
        <f t="shared" si="535"/>
        <v>0</v>
      </c>
      <c r="L631" s="687">
        <f t="shared" si="536"/>
        <v>0</v>
      </c>
      <c r="M631" s="337" t="str">
        <f t="shared" si="542"/>
        <v>-</v>
      </c>
      <c r="N631" s="263" t="str">
        <f t="shared" si="544"/>
        <v>-</v>
      </c>
      <c r="O631" s="508">
        <v>5.6550000000000002</v>
      </c>
      <c r="P631" s="404">
        <f t="shared" si="537"/>
        <v>0</v>
      </c>
      <c r="Q631" s="449">
        <f t="shared" si="538"/>
        <v>0</v>
      </c>
    </row>
    <row r="632" spans="1:17" ht="23.4" x14ac:dyDescent="0.4">
      <c r="A632" s="248"/>
      <c r="B632" s="1107"/>
      <c r="C632" s="543" t="s">
        <v>259</v>
      </c>
      <c r="D632" s="276"/>
      <c r="E632" s="436"/>
      <c r="F632" s="690">
        <f t="shared" si="539"/>
        <v>0</v>
      </c>
      <c r="G632" s="276"/>
      <c r="H632" s="278"/>
      <c r="I632" s="352" t="str">
        <f t="shared" si="540"/>
        <v>-</v>
      </c>
      <c r="J632" s="874">
        <f t="shared" si="541"/>
        <v>0</v>
      </c>
      <c r="K632" s="278">
        <f t="shared" si="535"/>
        <v>0</v>
      </c>
      <c r="L632" s="436">
        <f t="shared" si="536"/>
        <v>0</v>
      </c>
      <c r="M632" s="337" t="str">
        <f t="shared" si="542"/>
        <v>-</v>
      </c>
      <c r="N632" s="263" t="str">
        <f t="shared" si="544"/>
        <v>-</v>
      </c>
      <c r="O632" s="508">
        <v>5.6550000000000002</v>
      </c>
      <c r="P632" s="404">
        <f t="shared" si="537"/>
        <v>0</v>
      </c>
      <c r="Q632" s="449">
        <f t="shared" si="538"/>
        <v>0</v>
      </c>
    </row>
    <row r="633" spans="1:17" ht="23.4" x14ac:dyDescent="0.4">
      <c r="A633" s="248" t="s">
        <v>101</v>
      </c>
      <c r="B633" s="1107"/>
      <c r="C633" s="543" t="s">
        <v>260</v>
      </c>
      <c r="D633" s="276"/>
      <c r="E633" s="436"/>
      <c r="F633" s="690">
        <f t="shared" si="539"/>
        <v>0</v>
      </c>
      <c r="G633" s="276"/>
      <c r="H633" s="278"/>
      <c r="I633" s="352" t="str">
        <f t="shared" si="540"/>
        <v>-</v>
      </c>
      <c r="J633" s="874">
        <f t="shared" si="541"/>
        <v>0</v>
      </c>
      <c r="K633" s="278">
        <f t="shared" si="535"/>
        <v>0</v>
      </c>
      <c r="L633" s="436">
        <f t="shared" si="536"/>
        <v>0</v>
      </c>
      <c r="M633" s="337" t="str">
        <f t="shared" si="542"/>
        <v>-</v>
      </c>
      <c r="N633" s="263" t="str">
        <f t="shared" si="544"/>
        <v>-</v>
      </c>
      <c r="O633" s="508">
        <v>3.2963</v>
      </c>
      <c r="P633" s="404">
        <f t="shared" si="537"/>
        <v>0</v>
      </c>
      <c r="Q633" s="449">
        <f t="shared" si="538"/>
        <v>0</v>
      </c>
    </row>
    <row r="634" spans="1:17" ht="24" thickBot="1" x14ac:dyDescent="0.45">
      <c r="A634" s="248" t="s">
        <v>101</v>
      </c>
      <c r="B634" s="1108"/>
      <c r="C634" s="543" t="s">
        <v>255</v>
      </c>
      <c r="D634" s="276"/>
      <c r="E634" s="436"/>
      <c r="F634" s="690">
        <f t="shared" si="539"/>
        <v>0</v>
      </c>
      <c r="G634" s="276"/>
      <c r="H634" s="278"/>
      <c r="I634" s="352" t="str">
        <f t="shared" si="540"/>
        <v>-</v>
      </c>
      <c r="J634" s="874">
        <f t="shared" si="541"/>
        <v>0</v>
      </c>
      <c r="K634" s="278">
        <f t="shared" si="535"/>
        <v>0</v>
      </c>
      <c r="L634" s="436">
        <f t="shared" si="536"/>
        <v>0</v>
      </c>
      <c r="M634" s="337" t="str">
        <f t="shared" si="542"/>
        <v>-</v>
      </c>
      <c r="N634" s="263" t="str">
        <f t="shared" si="544"/>
        <v>-</v>
      </c>
      <c r="O634" s="508">
        <v>3.2963</v>
      </c>
      <c r="P634" s="404">
        <f t="shared" si="537"/>
        <v>0</v>
      </c>
      <c r="Q634" s="449">
        <f t="shared" si="538"/>
        <v>0</v>
      </c>
    </row>
    <row r="635" spans="1:17" ht="23.4" x14ac:dyDescent="0.4">
      <c r="A635" s="248" t="s">
        <v>101</v>
      </c>
      <c r="B635" s="546"/>
      <c r="C635" s="544" t="s">
        <v>89</v>
      </c>
      <c r="D635" s="511"/>
      <c r="E635" s="436"/>
      <c r="F635" s="690">
        <f t="shared" si="539"/>
        <v>0</v>
      </c>
      <c r="G635" s="276"/>
      <c r="H635" s="278"/>
      <c r="I635" s="352" t="str">
        <f t="shared" si="540"/>
        <v>-</v>
      </c>
      <c r="J635" s="874">
        <f t="shared" si="541"/>
        <v>83715</v>
      </c>
      <c r="K635" s="278">
        <f t="shared" si="535"/>
        <v>83400</v>
      </c>
      <c r="L635" s="436">
        <f t="shared" si="536"/>
        <v>315</v>
      </c>
      <c r="M635" s="337" t="str">
        <f t="shared" si="542"/>
        <v>-</v>
      </c>
      <c r="N635" s="263">
        <f t="shared" si="544"/>
        <v>3.7627665292958249E-3</v>
      </c>
      <c r="O635" s="508">
        <v>2.3201000000000001</v>
      </c>
      <c r="P635" s="404">
        <f t="shared" si="537"/>
        <v>0</v>
      </c>
      <c r="Q635" s="449">
        <f t="shared" si="538"/>
        <v>193496.34</v>
      </c>
    </row>
    <row r="636" spans="1:17" ht="24" thickBot="1" x14ac:dyDescent="0.35">
      <c r="A636" s="248" t="s">
        <v>101</v>
      </c>
      <c r="B636" s="524"/>
      <c r="C636" s="541"/>
      <c r="D636" s="530"/>
      <c r="E636" s="462"/>
      <c r="F636" s="691">
        <f t="shared" si="539"/>
        <v>0</v>
      </c>
      <c r="G636" s="530"/>
      <c r="H636" s="461"/>
      <c r="I636" s="532" t="str">
        <f t="shared" si="540"/>
        <v>-</v>
      </c>
      <c r="J636" s="875">
        <f t="shared" si="541"/>
        <v>0</v>
      </c>
      <c r="K636" s="461">
        <f t="shared" si="535"/>
        <v>0</v>
      </c>
      <c r="L636" s="462">
        <f t="shared" si="536"/>
        <v>0</v>
      </c>
      <c r="M636" s="683" t="str">
        <f t="shared" si="542"/>
        <v>-</v>
      </c>
      <c r="N636" s="264" t="str">
        <f t="shared" si="544"/>
        <v>-</v>
      </c>
      <c r="O636" s="539"/>
      <c r="P636" s="536">
        <f t="shared" si="537"/>
        <v>0</v>
      </c>
      <c r="Q636" s="537">
        <f t="shared" si="538"/>
        <v>0</v>
      </c>
    </row>
    <row r="637" spans="1:17" ht="23.25" customHeight="1" thickBot="1" x14ac:dyDescent="0.35">
      <c r="A637" s="274" t="s">
        <v>101</v>
      </c>
      <c r="B637" s="1109" t="s">
        <v>25</v>
      </c>
      <c r="C637" s="1046"/>
      <c r="D637" s="513">
        <f>SUM(D610:D636)</f>
        <v>0</v>
      </c>
      <c r="E637" s="526">
        <v>100000</v>
      </c>
      <c r="F637" s="519">
        <f>SUM(F605:F636)</f>
        <v>154051</v>
      </c>
      <c r="G637" s="519">
        <f>SUM(G605:G636)</f>
        <v>152370</v>
      </c>
      <c r="H637" s="519">
        <f>SUM(H605:H636)</f>
        <v>1681</v>
      </c>
      <c r="I637" s="520">
        <f>IFERROR(F637/E637,"-")</f>
        <v>1.54051</v>
      </c>
      <c r="J637" s="513">
        <f>SUM(J605:J636)</f>
        <v>1399136</v>
      </c>
      <c r="K637" s="513">
        <f t="shared" ref="K637:L637" si="545">SUM(K605:K636)</f>
        <v>1383468</v>
      </c>
      <c r="L637" s="513">
        <f t="shared" si="545"/>
        <v>15668</v>
      </c>
      <c r="M637" s="521" t="str">
        <f t="shared" si="542"/>
        <v>-</v>
      </c>
      <c r="N637" s="520">
        <f t="shared" si="544"/>
        <v>1.1198339546691673E-2</v>
      </c>
      <c r="O637" s="522"/>
      <c r="P637" s="523">
        <f>SUM(P605:P636)</f>
        <v>1130534.1400000001</v>
      </c>
      <c r="Q637" s="523">
        <f>SUM(Q605:Q636)</f>
        <v>9911853.4128999989</v>
      </c>
    </row>
    <row r="638" spans="1:17" ht="23.25" customHeight="1" thickBot="1" x14ac:dyDescent="0.35">
      <c r="A638" s="318" t="s">
        <v>101</v>
      </c>
      <c r="B638" s="1111" t="s">
        <v>249</v>
      </c>
      <c r="C638" s="1112"/>
      <c r="D638" s="326">
        <f>+D609+D637</f>
        <v>0</v>
      </c>
      <c r="E638" s="327">
        <f>+E609+E637</f>
        <v>100000</v>
      </c>
      <c r="F638" s="326">
        <f>+F637</f>
        <v>154051</v>
      </c>
      <c r="G638" s="326">
        <f t="shared" ref="G638:H638" si="546">+G637</f>
        <v>152370</v>
      </c>
      <c r="H638" s="326">
        <f t="shared" si="546"/>
        <v>1681</v>
      </c>
      <c r="I638" s="349">
        <f>IFERROR(F638/E638,"-")</f>
        <v>1.54051</v>
      </c>
      <c r="J638" s="326">
        <f>+J637</f>
        <v>1399136</v>
      </c>
      <c r="K638" s="326">
        <f t="shared" ref="K638:L638" si="547">+K637</f>
        <v>1383468</v>
      </c>
      <c r="L638" s="326">
        <f t="shared" si="547"/>
        <v>15668</v>
      </c>
      <c r="M638" s="341" t="str">
        <f t="shared" si="542"/>
        <v>-</v>
      </c>
      <c r="N638" s="349">
        <f t="shared" si="544"/>
        <v>1.1198339546691673E-2</v>
      </c>
      <c r="O638" s="394"/>
      <c r="P638" s="410">
        <f>+P637</f>
        <v>1130534.1400000001</v>
      </c>
      <c r="Q638" s="428">
        <f>Q637</f>
        <v>9911853.4128999989</v>
      </c>
    </row>
    <row r="639" spans="1:17" ht="24.6" thickBot="1" x14ac:dyDescent="0.35">
      <c r="A639" s="319"/>
      <c r="B639" s="1113" t="s">
        <v>174</v>
      </c>
      <c r="C639" s="1114"/>
      <c r="D639" s="374">
        <f>+D638+D604+D595</f>
        <v>0</v>
      </c>
      <c r="E639" s="374">
        <f>+E638+E604+E595</f>
        <v>230000</v>
      </c>
      <c r="F639" s="374">
        <f>+F638+F604+F595</f>
        <v>397824</v>
      </c>
      <c r="G639" s="374">
        <f>+G638+G604+G595</f>
        <v>393620</v>
      </c>
      <c r="H639" s="374">
        <f>+H638+H604+H595</f>
        <v>4204</v>
      </c>
      <c r="I639" s="375">
        <f>IFERROR(F639/E639,"-")</f>
        <v>1.7296695652173912</v>
      </c>
      <c r="J639" s="374">
        <f>+J638+J604+J595</f>
        <v>3512076</v>
      </c>
      <c r="K639" s="374">
        <f>+K638+K604+K595</f>
        <v>3475168</v>
      </c>
      <c r="L639" s="374">
        <f>+L638+L604+L595</f>
        <v>36908</v>
      </c>
      <c r="M639" s="375" t="str">
        <f t="shared" si="542"/>
        <v>-</v>
      </c>
      <c r="N639" s="375">
        <f>IFERROR(L639/J639,"-")</f>
        <v>1.0508884204100366E-2</v>
      </c>
      <c r="O639" s="401"/>
      <c r="P639" s="418">
        <f>+P638+P604+P595</f>
        <v>2400459.665</v>
      </c>
      <c r="Q639" s="418">
        <f>+Q638+Q604+Q595</f>
        <v>19980992.497900002</v>
      </c>
    </row>
    <row r="640" spans="1:17" ht="24.6" customHeight="1" thickBot="1" x14ac:dyDescent="0.35">
      <c r="A640" s="230"/>
      <c r="B640" s="230"/>
      <c r="C640" s="230"/>
      <c r="D640" s="232"/>
      <c r="E640" s="232"/>
      <c r="F640" s="232"/>
      <c r="G640" s="267"/>
      <c r="H640" s="267"/>
      <c r="I640" s="234"/>
      <c r="J640" s="232"/>
      <c r="K640" s="232"/>
      <c r="L640" s="232"/>
      <c r="M640" s="234"/>
      <c r="N640" s="234"/>
    </row>
    <row r="641" spans="1:17" ht="22.5" customHeight="1" x14ac:dyDescent="0.3">
      <c r="A641" s="1115" t="s">
        <v>1</v>
      </c>
      <c r="B641" s="1118" t="s">
        <v>2</v>
      </c>
      <c r="C641" s="1121" t="s">
        <v>396</v>
      </c>
      <c r="D641" s="1066" t="s">
        <v>4</v>
      </c>
      <c r="E641" s="1067"/>
      <c r="F641" s="1067"/>
      <c r="G641" s="1067"/>
      <c r="H641" s="1067"/>
      <c r="I641" s="1067"/>
      <c r="J641" s="1067"/>
      <c r="K641" s="1067"/>
      <c r="L641" s="1067"/>
      <c r="M641" s="1067"/>
      <c r="N641" s="1068"/>
      <c r="O641" s="1092" t="s">
        <v>167</v>
      </c>
      <c r="P641" s="1093"/>
      <c r="Q641" s="1124"/>
    </row>
    <row r="642" spans="1:17" ht="22.5" customHeight="1" x14ac:dyDescent="0.3">
      <c r="A642" s="1116"/>
      <c r="B642" s="1119"/>
      <c r="C642" s="1122"/>
      <c r="D642" s="1069" t="s">
        <v>7</v>
      </c>
      <c r="E642" s="1071" t="s">
        <v>108</v>
      </c>
      <c r="F642" s="1125" t="s">
        <v>553</v>
      </c>
      <c r="G642" s="1074"/>
      <c r="H642" s="1074"/>
      <c r="I642" s="1075"/>
      <c r="J642" s="1076" t="s">
        <v>8</v>
      </c>
      <c r="K642" s="1077"/>
      <c r="L642" s="1078"/>
      <c r="M642" s="1079" t="s">
        <v>165</v>
      </c>
      <c r="N642" s="1081" t="s">
        <v>164</v>
      </c>
      <c r="O642" s="1126" t="s">
        <v>169</v>
      </c>
      <c r="P642" s="1127"/>
      <c r="Q642" s="1128"/>
    </row>
    <row r="643" spans="1:17" ht="47.4" thickBot="1" x14ac:dyDescent="0.35">
      <c r="A643" s="1117"/>
      <c r="B643" s="1120"/>
      <c r="C643" s="1123"/>
      <c r="D643" s="1070"/>
      <c r="E643" s="1072"/>
      <c r="F643" s="452" t="s">
        <v>13</v>
      </c>
      <c r="G643" s="453" t="s">
        <v>14</v>
      </c>
      <c r="H643" s="453" t="s">
        <v>15</v>
      </c>
      <c r="I643" s="454" t="s">
        <v>166</v>
      </c>
      <c r="J643" s="680" t="s">
        <v>13</v>
      </c>
      <c r="K643" s="678" t="s">
        <v>14</v>
      </c>
      <c r="L643" s="679" t="s">
        <v>15</v>
      </c>
      <c r="M643" s="1080"/>
      <c r="N643" s="1082"/>
      <c r="O643" s="444" t="s">
        <v>170</v>
      </c>
      <c r="P643" s="445" t="s">
        <v>11</v>
      </c>
      <c r="Q643" s="446" t="s">
        <v>12</v>
      </c>
    </row>
    <row r="644" spans="1:17" ht="23.4" x14ac:dyDescent="0.3">
      <c r="A644" s="268" t="s">
        <v>103</v>
      </c>
      <c r="B644" s="439"/>
      <c r="C644" s="269" t="s">
        <v>502</v>
      </c>
      <c r="D644" s="270"/>
      <c r="E644" s="271"/>
      <c r="F644" s="332">
        <f>+G644+H644</f>
        <v>0</v>
      </c>
      <c r="G644" s="272"/>
      <c r="H644" s="272"/>
      <c r="I644" s="351" t="str">
        <f>IFERROR(F644/E644,"-")</f>
        <v>-</v>
      </c>
      <c r="J644" s="457">
        <f>+K644+L644</f>
        <v>128000</v>
      </c>
      <c r="K644" s="458">
        <f>+G644+K581</f>
        <v>128000</v>
      </c>
      <c r="L644" s="458">
        <f>+H644+L581</f>
        <v>0</v>
      </c>
      <c r="M644" s="336" t="str">
        <f>IFERROR(J644/D644,"-")</f>
        <v>-</v>
      </c>
      <c r="N644" s="343">
        <f t="shared" ref="N644:N645" si="548">IFERROR(L644/J644,"-")</f>
        <v>0</v>
      </c>
      <c r="O644" s="786">
        <v>0</v>
      </c>
      <c r="P644" s="402">
        <f>+O644*G644</f>
        <v>0</v>
      </c>
      <c r="Q644" s="447">
        <f>+O644*K644</f>
        <v>0</v>
      </c>
    </row>
    <row r="645" spans="1:17" ht="23.4" x14ac:dyDescent="0.3">
      <c r="A645" s="274" t="s">
        <v>103</v>
      </c>
      <c r="B645" s="438"/>
      <c r="C645" s="275" t="s">
        <v>245</v>
      </c>
      <c r="D645" s="276"/>
      <c r="E645" s="277"/>
      <c r="F645" s="333">
        <f t="shared" ref="F645:F648" si="549">+G645+H645</f>
        <v>0</v>
      </c>
      <c r="G645" s="719"/>
      <c r="H645" s="719"/>
      <c r="I645" s="351" t="str">
        <f t="shared" ref="I645:I648" si="550">IFERROR(F645/E645,"-")</f>
        <v>-</v>
      </c>
      <c r="J645" s="333">
        <f t="shared" ref="J645:J648" si="551">+K645+L645</f>
        <v>115874</v>
      </c>
      <c r="K645" s="278">
        <f t="shared" ref="K645:K648" si="552">+G645+K582</f>
        <v>115000</v>
      </c>
      <c r="L645" s="436">
        <f t="shared" ref="L645:L648" si="553">+H645+L582</f>
        <v>874</v>
      </c>
      <c r="M645" s="337" t="str">
        <f t="shared" ref="M645:M648" si="554">IFERROR(J645/D645,"-")</f>
        <v>-</v>
      </c>
      <c r="N645" s="265">
        <f t="shared" si="548"/>
        <v>7.5426756649464074E-3</v>
      </c>
      <c r="O645" s="508">
        <v>2.3978999999999999</v>
      </c>
      <c r="P645" s="404">
        <f>+O645*G645</f>
        <v>0</v>
      </c>
      <c r="Q645" s="449">
        <f>+O645*K645</f>
        <v>275758.5</v>
      </c>
    </row>
    <row r="646" spans="1:17" ht="23.4" x14ac:dyDescent="0.3">
      <c r="A646" s="274" t="s">
        <v>103</v>
      </c>
      <c r="B646" s="438"/>
      <c r="C646" s="275" t="s">
        <v>395</v>
      </c>
      <c r="D646" s="276"/>
      <c r="E646" s="277"/>
      <c r="F646" s="333">
        <f t="shared" si="549"/>
        <v>0</v>
      </c>
      <c r="G646" s="278"/>
      <c r="H646" s="719"/>
      <c r="I646" s="351" t="str">
        <f t="shared" si="550"/>
        <v>-</v>
      </c>
      <c r="J646" s="333">
        <f t="shared" si="551"/>
        <v>794005</v>
      </c>
      <c r="K646" s="278">
        <f t="shared" si="552"/>
        <v>787000</v>
      </c>
      <c r="L646" s="436">
        <f t="shared" si="553"/>
        <v>7005</v>
      </c>
      <c r="M646" s="337" t="str">
        <f t="shared" si="554"/>
        <v>-</v>
      </c>
      <c r="N646" s="716">
        <f>IFERROR(L646/J646,"-")</f>
        <v>8.8223625795807326E-3</v>
      </c>
      <c r="O646" s="718">
        <v>3.6777000000000002</v>
      </c>
      <c r="P646" s="404">
        <f t="shared" ref="P646:P648" si="555">+O646*G646</f>
        <v>0</v>
      </c>
      <c r="Q646" s="449">
        <f t="shared" ref="Q646:Q648" si="556">+O646*K646</f>
        <v>2894349.9000000004</v>
      </c>
    </row>
    <row r="647" spans="1:17" ht="23.4" x14ac:dyDescent="0.3">
      <c r="A647" s="274"/>
      <c r="B647" s="451"/>
      <c r="C647" s="275" t="s">
        <v>319</v>
      </c>
      <c r="D647" s="280"/>
      <c r="E647" s="281"/>
      <c r="F647" s="333">
        <f t="shared" si="549"/>
        <v>44559</v>
      </c>
      <c r="G647" s="282">
        <v>44000</v>
      </c>
      <c r="H647" s="282">
        <v>559</v>
      </c>
      <c r="I647" s="351" t="str">
        <f t="shared" si="550"/>
        <v>-</v>
      </c>
      <c r="J647" s="333">
        <f t="shared" si="551"/>
        <v>414347</v>
      </c>
      <c r="K647" s="278">
        <f t="shared" si="552"/>
        <v>408800</v>
      </c>
      <c r="L647" s="436">
        <f t="shared" si="553"/>
        <v>5547</v>
      </c>
      <c r="M647" s="337" t="str">
        <f t="shared" si="554"/>
        <v>-</v>
      </c>
      <c r="N647" s="265">
        <f>IFERROR(L647/J647,"-")</f>
        <v>1.3387329943260117E-2</v>
      </c>
      <c r="O647" s="509">
        <v>12.284700000000001</v>
      </c>
      <c r="P647" s="404">
        <f t="shared" si="555"/>
        <v>540526.80000000005</v>
      </c>
      <c r="Q647" s="449">
        <f t="shared" si="556"/>
        <v>5021985.3600000003</v>
      </c>
    </row>
    <row r="648" spans="1:17" ht="24" thickBot="1" x14ac:dyDescent="0.35">
      <c r="A648" s="274" t="s">
        <v>103</v>
      </c>
      <c r="B648" s="451"/>
      <c r="C648" s="275" t="s">
        <v>365</v>
      </c>
      <c r="D648" s="280"/>
      <c r="E648" s="281"/>
      <c r="F648" s="334">
        <f t="shared" si="549"/>
        <v>0</v>
      </c>
      <c r="G648" s="282"/>
      <c r="H648" s="282"/>
      <c r="I648" s="351" t="str">
        <f t="shared" si="550"/>
        <v>-</v>
      </c>
      <c r="J648" s="460">
        <f t="shared" si="551"/>
        <v>45034</v>
      </c>
      <c r="K648" s="461">
        <f t="shared" si="552"/>
        <v>44250</v>
      </c>
      <c r="L648" s="462">
        <f t="shared" si="553"/>
        <v>784</v>
      </c>
      <c r="M648" s="338" t="str">
        <f t="shared" si="554"/>
        <v>-</v>
      </c>
      <c r="N648" s="344">
        <f t="shared" ref="N648:N660" si="557">IFERROR(L648/J648,"-")</f>
        <v>1.7409068703646134E-2</v>
      </c>
      <c r="O648" s="718">
        <v>7.0612000000000004</v>
      </c>
      <c r="P648" s="405">
        <f t="shared" si="555"/>
        <v>0</v>
      </c>
      <c r="Q648" s="450">
        <f t="shared" si="556"/>
        <v>312458.10000000003</v>
      </c>
    </row>
    <row r="649" spans="1:17" ht="23.25" customHeight="1" thickBot="1" x14ac:dyDescent="0.35">
      <c r="A649" s="274" t="s">
        <v>103</v>
      </c>
      <c r="B649" s="1109" t="s">
        <v>21</v>
      </c>
      <c r="C649" s="1046"/>
      <c r="D649" s="320">
        <f>SUM(D644:D648)</f>
        <v>0</v>
      </c>
      <c r="E649" s="285">
        <v>15000</v>
      </c>
      <c r="F649" s="320">
        <f>SUM(F644:F648)</f>
        <v>44559</v>
      </c>
      <c r="G649" s="321">
        <f>SUM(G644:G648)</f>
        <v>44000</v>
      </c>
      <c r="H649" s="321">
        <f>SUM(H644:H648)</f>
        <v>559</v>
      </c>
      <c r="I649" s="345">
        <f>IFERROR(F649/E649,"-")</f>
        <v>2.9706000000000001</v>
      </c>
      <c r="J649" s="320">
        <f>SUM(J644:J648)</f>
        <v>1497260</v>
      </c>
      <c r="K649" s="321">
        <f>SUM(K644:K648)</f>
        <v>1483050</v>
      </c>
      <c r="L649" s="322">
        <f>SUM(L644:L648)</f>
        <v>14210</v>
      </c>
      <c r="M649" s="339" t="str">
        <f>IFERROR(J649/D649,"-")</f>
        <v>-</v>
      </c>
      <c r="N649" s="345">
        <f t="shared" si="557"/>
        <v>9.490669623178339E-3</v>
      </c>
      <c r="O649" s="391"/>
      <c r="P649" s="406">
        <f>SUM(P644:P648)</f>
        <v>540526.80000000005</v>
      </c>
      <c r="Q649" s="425">
        <f>SUM(Q644:Q648)</f>
        <v>8504551.8600000013</v>
      </c>
    </row>
    <row r="650" spans="1:17" ht="23.4" x14ac:dyDescent="0.3">
      <c r="A650" s="274" t="s">
        <v>103</v>
      </c>
      <c r="B650" s="439"/>
      <c r="C650" s="269" t="s">
        <v>244</v>
      </c>
      <c r="D650" s="270"/>
      <c r="E650" s="271"/>
      <c r="F650" s="332">
        <f t="shared" ref="F650:F656" si="558">+G650+H650</f>
        <v>0</v>
      </c>
      <c r="G650" s="272"/>
      <c r="H650" s="272"/>
      <c r="I650" s="351" t="str">
        <f>IFERROR(F650/E650,"-")</f>
        <v>-</v>
      </c>
      <c r="J650" s="457">
        <f t="shared" ref="J650:J656" si="559">+K650+L650</f>
        <v>0</v>
      </c>
      <c r="K650" s="458">
        <f t="shared" ref="K650:K656" si="560">+G650+K587</f>
        <v>0</v>
      </c>
      <c r="L650" s="459">
        <f t="shared" ref="L650:L656" si="561">+H650+L587</f>
        <v>0</v>
      </c>
      <c r="M650" s="336" t="str">
        <f t="shared" ref="M650:M658" si="562">IFERROR(J650/D650,"-")</f>
        <v>-</v>
      </c>
      <c r="N650" s="346" t="str">
        <f t="shared" si="557"/>
        <v>-</v>
      </c>
      <c r="O650" s="507">
        <v>18.2316</v>
      </c>
      <c r="P650" s="402">
        <f t="shared" ref="P650:P656" si="563">+O650*G650</f>
        <v>0</v>
      </c>
      <c r="Q650" s="447">
        <f t="shared" ref="Q650:Q656" si="564">+O650*K650</f>
        <v>0</v>
      </c>
    </row>
    <row r="651" spans="1:17" ht="23.4" x14ac:dyDescent="0.3">
      <c r="A651" s="274" t="s">
        <v>103</v>
      </c>
      <c r="B651" s="438"/>
      <c r="C651" s="275" t="s">
        <v>89</v>
      </c>
      <c r="D651" s="276"/>
      <c r="E651" s="277"/>
      <c r="F651" s="333">
        <f t="shared" si="558"/>
        <v>0</v>
      </c>
      <c r="G651" s="278"/>
      <c r="H651" s="278"/>
      <c r="I651" s="351" t="str">
        <f t="shared" ref="I651:I656" si="565">IFERROR(F651/E651,"-")</f>
        <v>-</v>
      </c>
      <c r="J651" s="333">
        <f t="shared" si="559"/>
        <v>120000</v>
      </c>
      <c r="K651" s="278">
        <f t="shared" si="560"/>
        <v>120000</v>
      </c>
      <c r="L651" s="436">
        <f t="shared" si="561"/>
        <v>0</v>
      </c>
      <c r="M651" s="337" t="str">
        <f t="shared" si="562"/>
        <v>-</v>
      </c>
      <c r="N651" s="263">
        <f t="shared" si="557"/>
        <v>0</v>
      </c>
      <c r="O651" s="508">
        <v>1.2824</v>
      </c>
      <c r="P651" s="404">
        <f t="shared" si="563"/>
        <v>0</v>
      </c>
      <c r="Q651" s="449">
        <f t="shared" si="564"/>
        <v>153888</v>
      </c>
    </row>
    <row r="652" spans="1:17" ht="23.4" x14ac:dyDescent="0.3">
      <c r="A652" s="274" t="s">
        <v>103</v>
      </c>
      <c r="B652" s="438"/>
      <c r="C652" s="275" t="s">
        <v>300</v>
      </c>
      <c r="D652" s="276"/>
      <c r="E652" s="277"/>
      <c r="F652" s="333">
        <f t="shared" si="558"/>
        <v>0</v>
      </c>
      <c r="G652" s="278"/>
      <c r="H652" s="278"/>
      <c r="I652" s="351" t="str">
        <f t="shared" si="565"/>
        <v>-</v>
      </c>
      <c r="J652" s="333">
        <f t="shared" si="559"/>
        <v>0</v>
      </c>
      <c r="K652" s="278">
        <f t="shared" si="560"/>
        <v>0</v>
      </c>
      <c r="L652" s="436">
        <f t="shared" si="561"/>
        <v>0</v>
      </c>
      <c r="M652" s="337" t="str">
        <f t="shared" si="562"/>
        <v>-</v>
      </c>
      <c r="N652" s="263" t="str">
        <f t="shared" si="557"/>
        <v>-</v>
      </c>
      <c r="O652" s="710">
        <v>5.7342000000000004</v>
      </c>
      <c r="P652" s="404">
        <f t="shared" si="563"/>
        <v>0</v>
      </c>
      <c r="Q652" s="449">
        <f t="shared" si="564"/>
        <v>0</v>
      </c>
    </row>
    <row r="653" spans="1:17" ht="23.4" x14ac:dyDescent="0.3">
      <c r="A653" s="274" t="s">
        <v>103</v>
      </c>
      <c r="B653" s="438"/>
      <c r="C653" s="275" t="s">
        <v>314</v>
      </c>
      <c r="D653" s="276"/>
      <c r="E653" s="277"/>
      <c r="F653" s="333">
        <f t="shared" si="558"/>
        <v>0</v>
      </c>
      <c r="G653" s="278"/>
      <c r="H653" s="278"/>
      <c r="I653" s="351" t="str">
        <f t="shared" si="565"/>
        <v>-</v>
      </c>
      <c r="J653" s="333">
        <f t="shared" si="559"/>
        <v>0</v>
      </c>
      <c r="K653" s="278">
        <f t="shared" si="560"/>
        <v>0</v>
      </c>
      <c r="L653" s="436">
        <f t="shared" si="561"/>
        <v>0</v>
      </c>
      <c r="M653" s="337" t="str">
        <f t="shared" si="562"/>
        <v>-</v>
      </c>
      <c r="N653" s="263" t="str">
        <f t="shared" si="557"/>
        <v>-</v>
      </c>
      <c r="O653" s="508"/>
      <c r="P653" s="404">
        <f t="shared" si="563"/>
        <v>0</v>
      </c>
      <c r="Q653" s="449">
        <f t="shared" si="564"/>
        <v>0</v>
      </c>
    </row>
    <row r="654" spans="1:17" ht="23.4" x14ac:dyDescent="0.3">
      <c r="A654" s="274" t="s">
        <v>103</v>
      </c>
      <c r="B654" s="438"/>
      <c r="C654" s="275" t="s">
        <v>320</v>
      </c>
      <c r="D654" s="276"/>
      <c r="E654" s="277"/>
      <c r="F654" s="333">
        <f t="shared" si="558"/>
        <v>18050</v>
      </c>
      <c r="G654" s="278">
        <v>18000</v>
      </c>
      <c r="H654" s="278">
        <v>50</v>
      </c>
      <c r="I654" s="351" t="str">
        <f t="shared" si="565"/>
        <v>-</v>
      </c>
      <c r="J654" s="333">
        <f t="shared" si="559"/>
        <v>93719</v>
      </c>
      <c r="K654" s="278">
        <f t="shared" si="560"/>
        <v>93400</v>
      </c>
      <c r="L654" s="436">
        <f t="shared" si="561"/>
        <v>319</v>
      </c>
      <c r="M654" s="337" t="str">
        <f t="shared" si="562"/>
        <v>-</v>
      </c>
      <c r="N654" s="263">
        <f t="shared" si="557"/>
        <v>3.4037921872832615E-3</v>
      </c>
      <c r="O654" s="508">
        <v>12.029500000000001</v>
      </c>
      <c r="P654" s="404">
        <f t="shared" si="563"/>
        <v>216531</v>
      </c>
      <c r="Q654" s="449">
        <f t="shared" si="564"/>
        <v>1123555.3</v>
      </c>
    </row>
    <row r="655" spans="1:17" ht="23.4" x14ac:dyDescent="0.3">
      <c r="A655" s="274" t="s">
        <v>103</v>
      </c>
      <c r="B655" s="438"/>
      <c r="C655" s="275"/>
      <c r="D655" s="276"/>
      <c r="E655" s="277"/>
      <c r="F655" s="333">
        <f t="shared" si="558"/>
        <v>0</v>
      </c>
      <c r="G655" s="278"/>
      <c r="H655" s="278"/>
      <c r="I655" s="351" t="str">
        <f t="shared" si="565"/>
        <v>-</v>
      </c>
      <c r="J655" s="333">
        <f t="shared" si="559"/>
        <v>0</v>
      </c>
      <c r="K655" s="278">
        <f t="shared" si="560"/>
        <v>0</v>
      </c>
      <c r="L655" s="436">
        <f t="shared" si="561"/>
        <v>0</v>
      </c>
      <c r="M655" s="337" t="str">
        <f t="shared" si="562"/>
        <v>-</v>
      </c>
      <c r="N655" s="263" t="str">
        <f t="shared" si="557"/>
        <v>-</v>
      </c>
      <c r="O655" s="508"/>
      <c r="P655" s="404">
        <f t="shared" si="563"/>
        <v>0</v>
      </c>
      <c r="Q655" s="449">
        <f t="shared" si="564"/>
        <v>0</v>
      </c>
    </row>
    <row r="656" spans="1:17" ht="24" thickBot="1" x14ac:dyDescent="0.35">
      <c r="A656" s="274" t="s">
        <v>103</v>
      </c>
      <c r="B656" s="451"/>
      <c r="C656" s="279"/>
      <c r="D656" s="280">
        <v>0</v>
      </c>
      <c r="E656" s="281"/>
      <c r="F656" s="334">
        <f t="shared" si="558"/>
        <v>0</v>
      </c>
      <c r="G656" s="282"/>
      <c r="H656" s="282"/>
      <c r="I656" s="351" t="str">
        <f t="shared" si="565"/>
        <v>-</v>
      </c>
      <c r="J656" s="460">
        <f t="shared" si="559"/>
        <v>0</v>
      </c>
      <c r="K656" s="461">
        <f t="shared" si="560"/>
        <v>0</v>
      </c>
      <c r="L656" s="462">
        <f t="shared" si="561"/>
        <v>0</v>
      </c>
      <c r="M656" s="338" t="str">
        <f t="shared" si="562"/>
        <v>-</v>
      </c>
      <c r="N656" s="347" t="str">
        <f t="shared" si="557"/>
        <v>-</v>
      </c>
      <c r="O656" s="509"/>
      <c r="P656" s="405">
        <f t="shared" si="563"/>
        <v>0</v>
      </c>
      <c r="Q656" s="450">
        <f t="shared" si="564"/>
        <v>0</v>
      </c>
    </row>
    <row r="657" spans="1:17" ht="23.25" customHeight="1" thickBot="1" x14ac:dyDescent="0.35">
      <c r="A657" s="274" t="s">
        <v>103</v>
      </c>
      <c r="B657" s="1109" t="s">
        <v>25</v>
      </c>
      <c r="C657" s="1046"/>
      <c r="D657" s="320">
        <f t="shared" ref="D657" si="566">SUM(D650:D656)</f>
        <v>0</v>
      </c>
      <c r="E657" s="285">
        <v>100000</v>
      </c>
      <c r="F657" s="320">
        <f>SUM(F650:F656)</f>
        <v>18050</v>
      </c>
      <c r="G657" s="321">
        <f t="shared" ref="G657:H657" si="567">SUM(G650:G656)</f>
        <v>18000</v>
      </c>
      <c r="H657" s="321">
        <f t="shared" si="567"/>
        <v>50</v>
      </c>
      <c r="I657" s="345">
        <f>IFERROR(F657/E657,"-")</f>
        <v>0.18049999999999999</v>
      </c>
      <c r="J657" s="320">
        <f t="shared" ref="J657:L657" si="568">SUM(J650:J656)</f>
        <v>213719</v>
      </c>
      <c r="K657" s="321">
        <f t="shared" si="568"/>
        <v>213400</v>
      </c>
      <c r="L657" s="322">
        <f t="shared" si="568"/>
        <v>319</v>
      </c>
      <c r="M657" s="339" t="str">
        <f t="shared" si="562"/>
        <v>-</v>
      </c>
      <c r="N657" s="345">
        <f t="shared" si="557"/>
        <v>1.4926141335117609E-3</v>
      </c>
      <c r="O657" s="391"/>
      <c r="P657" s="406">
        <f t="shared" ref="P657:Q657" si="569">SUM(P650:P656)</f>
        <v>216531</v>
      </c>
      <c r="Q657" s="425">
        <f t="shared" si="569"/>
        <v>1277443.3</v>
      </c>
    </row>
    <row r="658" spans="1:17" ht="23.25" customHeight="1" thickBot="1" x14ac:dyDescent="0.35">
      <c r="A658" s="274" t="s">
        <v>103</v>
      </c>
      <c r="B658" s="1111" t="s">
        <v>172</v>
      </c>
      <c r="C658" s="1112"/>
      <c r="D658" s="326">
        <f>+D649+D657</f>
        <v>0</v>
      </c>
      <c r="E658" s="327">
        <f t="shared" ref="E658:H658" si="570">+E649+E657</f>
        <v>115000</v>
      </c>
      <c r="F658" s="512">
        <f t="shared" si="570"/>
        <v>62609</v>
      </c>
      <c r="G658" s="514">
        <f t="shared" si="570"/>
        <v>62000</v>
      </c>
      <c r="H658" s="514">
        <f t="shared" si="570"/>
        <v>609</v>
      </c>
      <c r="I658" s="515">
        <f>IFERROR(F658/E658,"-")</f>
        <v>0.54442608695652173</v>
      </c>
      <c r="J658" s="326">
        <f t="shared" ref="J658:L658" si="571">+J649+J657</f>
        <v>1710979</v>
      </c>
      <c r="K658" s="324">
        <f t="shared" si="571"/>
        <v>1696450</v>
      </c>
      <c r="L658" s="325">
        <f t="shared" si="571"/>
        <v>14529</v>
      </c>
      <c r="M658" s="341" t="str">
        <f t="shared" si="562"/>
        <v>-</v>
      </c>
      <c r="N658" s="349">
        <f t="shared" si="557"/>
        <v>8.4916296459512357E-3</v>
      </c>
      <c r="O658" s="394"/>
      <c r="P658" s="410">
        <f t="shared" ref="P658:Q658" si="572">+P649+P657</f>
        <v>757057.8</v>
      </c>
      <c r="Q658" s="428">
        <f t="shared" si="572"/>
        <v>9781995.160000002</v>
      </c>
    </row>
    <row r="659" spans="1:17" ht="23.4" x14ac:dyDescent="0.3">
      <c r="A659" s="244" t="s">
        <v>101</v>
      </c>
      <c r="B659" s="581"/>
      <c r="C659" s="582" t="s">
        <v>283</v>
      </c>
      <c r="D659" s="527"/>
      <c r="E659" s="459"/>
      <c r="F659" s="457">
        <f>+G659+H659</f>
        <v>0</v>
      </c>
      <c r="G659" s="458"/>
      <c r="H659" s="838"/>
      <c r="I659" s="531" t="str">
        <f>IFERROR(F659/E659,"-")</f>
        <v>-</v>
      </c>
      <c r="J659" s="644">
        <f>+K659+L659</f>
        <v>0</v>
      </c>
      <c r="K659" s="458">
        <f t="shared" ref="K659:K665" si="573">+G659+K596</f>
        <v>0</v>
      </c>
      <c r="L659" s="459">
        <f t="shared" ref="L659:L665" si="574">+H659+L596</f>
        <v>0</v>
      </c>
      <c r="M659" s="586" t="str">
        <f>IFERROR(J659/D659,"-")</f>
        <v>-</v>
      </c>
      <c r="N659" s="533" t="str">
        <f t="shared" si="557"/>
        <v>-</v>
      </c>
      <c r="O659" s="628">
        <v>4.8285999999999998</v>
      </c>
      <c r="P659" s="534">
        <f t="shared" ref="P659:P665" si="575">+O659*G659</f>
        <v>0</v>
      </c>
      <c r="Q659" s="535">
        <f t="shared" ref="Q659:Q665" si="576">+O659*K659</f>
        <v>0</v>
      </c>
    </row>
    <row r="660" spans="1:17" ht="23.4" x14ac:dyDescent="0.3">
      <c r="A660" s="248" t="s">
        <v>101</v>
      </c>
      <c r="B660" s="583"/>
      <c r="C660" s="275" t="s">
        <v>284</v>
      </c>
      <c r="D660" s="276"/>
      <c r="E660" s="436"/>
      <c r="F660" s="333">
        <f t="shared" ref="F660:F665" si="577">+G660+H660</f>
        <v>0</v>
      </c>
      <c r="G660" s="278"/>
      <c r="H660" s="277"/>
      <c r="I660" s="352" t="str">
        <f t="shared" ref="I660:I665" si="578">IFERROR(F660/E660,"-")</f>
        <v>-</v>
      </c>
      <c r="J660" s="874">
        <f t="shared" ref="J660:J665" si="579">+K660+L660</f>
        <v>0</v>
      </c>
      <c r="K660" s="278">
        <f t="shared" si="573"/>
        <v>0</v>
      </c>
      <c r="L660" s="436">
        <f t="shared" si="574"/>
        <v>0</v>
      </c>
      <c r="M660" s="337" t="str">
        <f t="shared" ref="M660:M665" si="580">IFERROR(J660/D660,"-")</f>
        <v>-</v>
      </c>
      <c r="N660" s="265" t="str">
        <f t="shared" si="557"/>
        <v>-</v>
      </c>
      <c r="O660" s="629">
        <v>1.4086000000000001</v>
      </c>
      <c r="P660" s="404">
        <f t="shared" si="575"/>
        <v>0</v>
      </c>
      <c r="Q660" s="449">
        <f t="shared" si="576"/>
        <v>0</v>
      </c>
    </row>
    <row r="661" spans="1:17" ht="23.4" x14ac:dyDescent="0.3">
      <c r="A661" s="248" t="s">
        <v>101</v>
      </c>
      <c r="B661" s="583"/>
      <c r="C661" s="275" t="s">
        <v>315</v>
      </c>
      <c r="D661" s="276"/>
      <c r="E661" s="436"/>
      <c r="F661" s="333">
        <f t="shared" si="577"/>
        <v>0</v>
      </c>
      <c r="G661" s="278"/>
      <c r="H661" s="277"/>
      <c r="I661" s="352" t="str">
        <f t="shared" si="578"/>
        <v>-</v>
      </c>
      <c r="J661" s="874">
        <f t="shared" si="579"/>
        <v>0</v>
      </c>
      <c r="K661" s="278">
        <f t="shared" si="573"/>
        <v>0</v>
      </c>
      <c r="L661" s="436">
        <f t="shared" si="574"/>
        <v>0</v>
      </c>
      <c r="M661" s="337" t="str">
        <f t="shared" si="580"/>
        <v>-</v>
      </c>
      <c r="N661" s="265" t="str">
        <f>IFERROR(L661/J661,"-")</f>
        <v>-</v>
      </c>
      <c r="O661" s="629">
        <v>2.2141000000000002</v>
      </c>
      <c r="P661" s="404">
        <f t="shared" si="575"/>
        <v>0</v>
      </c>
      <c r="Q661" s="449">
        <f t="shared" si="576"/>
        <v>0</v>
      </c>
    </row>
    <row r="662" spans="1:17" ht="23.4" x14ac:dyDescent="0.3">
      <c r="A662" s="248" t="s">
        <v>101</v>
      </c>
      <c r="B662" s="584"/>
      <c r="C662" s="275" t="s">
        <v>447</v>
      </c>
      <c r="D662" s="280"/>
      <c r="E662" s="528"/>
      <c r="F662" s="334">
        <f t="shared" si="577"/>
        <v>97955</v>
      </c>
      <c r="G662" s="282">
        <v>97000</v>
      </c>
      <c r="H662" s="281">
        <v>955</v>
      </c>
      <c r="I662" s="352" t="str">
        <f t="shared" si="578"/>
        <v>-</v>
      </c>
      <c r="J662" s="874">
        <f t="shared" si="579"/>
        <v>545368</v>
      </c>
      <c r="K662" s="278">
        <f t="shared" si="573"/>
        <v>538000</v>
      </c>
      <c r="L662" s="436">
        <f t="shared" si="574"/>
        <v>7368</v>
      </c>
      <c r="M662" s="338" t="str">
        <f t="shared" si="580"/>
        <v>-</v>
      </c>
      <c r="N662" s="344">
        <f t="shared" ref="N662:N669" si="581">IFERROR(L662/J662,"-")</f>
        <v>1.3510143609452701E-2</v>
      </c>
      <c r="O662" s="629">
        <v>2.2141000000000002</v>
      </c>
      <c r="P662" s="405">
        <f t="shared" si="575"/>
        <v>214767.7</v>
      </c>
      <c r="Q662" s="450">
        <f t="shared" si="576"/>
        <v>1191185.8</v>
      </c>
    </row>
    <row r="663" spans="1:17" ht="23.4" x14ac:dyDescent="0.3">
      <c r="A663" s="248" t="s">
        <v>101</v>
      </c>
      <c r="B663" s="440"/>
      <c r="C663" s="627" t="s">
        <v>353</v>
      </c>
      <c r="D663" s="510"/>
      <c r="E663" s="529"/>
      <c r="F663" s="333">
        <f t="shared" si="577"/>
        <v>0</v>
      </c>
      <c r="G663" s="547"/>
      <c r="H663" s="873"/>
      <c r="I663" s="352" t="str">
        <f t="shared" si="578"/>
        <v>-</v>
      </c>
      <c r="J663" s="874">
        <f t="shared" si="579"/>
        <v>0</v>
      </c>
      <c r="K663" s="278">
        <f t="shared" si="573"/>
        <v>0</v>
      </c>
      <c r="L663" s="436">
        <f t="shared" si="574"/>
        <v>0</v>
      </c>
      <c r="M663" s="338" t="str">
        <f t="shared" si="580"/>
        <v>-</v>
      </c>
      <c r="N663" s="265" t="str">
        <f t="shared" si="581"/>
        <v>-</v>
      </c>
      <c r="O663" s="540">
        <v>4.8285999999999998</v>
      </c>
      <c r="P663" s="404">
        <f t="shared" si="575"/>
        <v>0</v>
      </c>
      <c r="Q663" s="449">
        <f t="shared" si="576"/>
        <v>0</v>
      </c>
    </row>
    <row r="664" spans="1:17" ht="23.4" x14ac:dyDescent="0.3">
      <c r="A664" s="248" t="s">
        <v>101</v>
      </c>
      <c r="B664" s="585"/>
      <c r="C664" s="627" t="s">
        <v>349</v>
      </c>
      <c r="D664" s="270"/>
      <c r="E664" s="435"/>
      <c r="F664" s="332">
        <f t="shared" si="577"/>
        <v>0</v>
      </c>
      <c r="G664" s="272"/>
      <c r="H664" s="271"/>
      <c r="I664" s="352" t="str">
        <f t="shared" si="578"/>
        <v>-</v>
      </c>
      <c r="J664" s="874">
        <f t="shared" si="579"/>
        <v>17157</v>
      </c>
      <c r="K664" s="278">
        <f t="shared" si="573"/>
        <v>16250</v>
      </c>
      <c r="L664" s="436">
        <f t="shared" si="574"/>
        <v>907</v>
      </c>
      <c r="M664" s="336" t="str">
        <f t="shared" si="580"/>
        <v>-</v>
      </c>
      <c r="N664" s="346">
        <f t="shared" si="581"/>
        <v>5.2864719939383339E-2</v>
      </c>
      <c r="O664" s="507">
        <v>4.1712999999999996</v>
      </c>
      <c r="P664" s="402">
        <f t="shared" si="575"/>
        <v>0</v>
      </c>
      <c r="Q664" s="447">
        <f t="shared" si="576"/>
        <v>67783.625</v>
      </c>
    </row>
    <row r="665" spans="1:17" ht="24" thickBot="1" x14ac:dyDescent="0.35">
      <c r="A665" s="248" t="s">
        <v>101</v>
      </c>
      <c r="B665" s="583"/>
      <c r="C665" s="275"/>
      <c r="D665" s="276"/>
      <c r="E665" s="436"/>
      <c r="F665" s="460">
        <f t="shared" si="577"/>
        <v>0</v>
      </c>
      <c r="G665" s="461"/>
      <c r="H665" s="839"/>
      <c r="I665" s="532" t="str">
        <f t="shared" si="578"/>
        <v>-</v>
      </c>
      <c r="J665" s="875">
        <f t="shared" si="579"/>
        <v>0</v>
      </c>
      <c r="K665" s="461">
        <f t="shared" si="573"/>
        <v>0</v>
      </c>
      <c r="L665" s="462">
        <f t="shared" si="574"/>
        <v>0</v>
      </c>
      <c r="M665" s="337" t="str">
        <f t="shared" si="580"/>
        <v>-</v>
      </c>
      <c r="N665" s="263" t="str">
        <f t="shared" si="581"/>
        <v>-</v>
      </c>
      <c r="O665" s="448"/>
      <c r="P665" s="404">
        <f t="shared" si="575"/>
        <v>0</v>
      </c>
      <c r="Q665" s="449">
        <f t="shared" si="576"/>
        <v>0</v>
      </c>
    </row>
    <row r="666" spans="1:17" ht="23.25" customHeight="1" thickBot="1" x14ac:dyDescent="0.35">
      <c r="A666" s="274" t="s">
        <v>101</v>
      </c>
      <c r="B666" s="1109" t="s">
        <v>21</v>
      </c>
      <c r="C666" s="1046"/>
      <c r="D666" s="320">
        <v>0</v>
      </c>
      <c r="E666" s="285">
        <v>15000</v>
      </c>
      <c r="F666" s="513">
        <f>SUM(F659:F665)</f>
        <v>97955</v>
      </c>
      <c r="G666" s="519">
        <f t="shared" ref="G666:H666" si="582">SUM(G659:G665)</f>
        <v>97000</v>
      </c>
      <c r="H666" s="519">
        <f t="shared" si="582"/>
        <v>955</v>
      </c>
      <c r="I666" s="520">
        <f>IFERROR(F666/E666,"-")</f>
        <v>6.5303333333333331</v>
      </c>
      <c r="J666" s="513">
        <f t="shared" ref="J666" si="583">SUM(J659:J665)</f>
        <v>562525</v>
      </c>
      <c r="K666" s="519">
        <f>SUM(K659:K665)</f>
        <v>554250</v>
      </c>
      <c r="L666" s="519">
        <f>SUM(L659:L665)</f>
        <v>8275</v>
      </c>
      <c r="M666" s="339" t="str">
        <f>IFERROR(J666/D666,"-")</f>
        <v>-</v>
      </c>
      <c r="N666" s="345">
        <f t="shared" si="581"/>
        <v>1.471045731300831E-2</v>
      </c>
      <c r="O666" s="391"/>
      <c r="P666" s="406">
        <f>SUM(P659:P665)</f>
        <v>214767.7</v>
      </c>
      <c r="Q666" s="425">
        <f>SUM(Q659:Q665)</f>
        <v>1258969.425</v>
      </c>
    </row>
    <row r="667" spans="1:17" ht="23.25" customHeight="1" thickBot="1" x14ac:dyDescent="0.35">
      <c r="A667" s="274" t="s">
        <v>101</v>
      </c>
      <c r="B667" s="1111" t="s">
        <v>248</v>
      </c>
      <c r="C667" s="1112"/>
      <c r="D667" s="512">
        <f>+D663+D666</f>
        <v>0</v>
      </c>
      <c r="E667" s="525">
        <f>+E663+E666</f>
        <v>15000</v>
      </c>
      <c r="F667" s="512">
        <f>+F663+F666</f>
        <v>97955</v>
      </c>
      <c r="G667" s="514">
        <f>+G663+G666</f>
        <v>97000</v>
      </c>
      <c r="H667" s="514">
        <f>+H663+H666</f>
        <v>955</v>
      </c>
      <c r="I667" s="515">
        <f>IFERROR(F667/E667,"-")</f>
        <v>6.5303333333333331</v>
      </c>
      <c r="J667" s="512">
        <f>+J663+J666</f>
        <v>562525</v>
      </c>
      <c r="K667" s="514">
        <f>+K666</f>
        <v>554250</v>
      </c>
      <c r="L667" s="514">
        <f>+L666</f>
        <v>8275</v>
      </c>
      <c r="M667" s="516" t="str">
        <f t="shared" ref="M667" si="584">IFERROR(J667/D667,"-")</f>
        <v>-</v>
      </c>
      <c r="N667" s="515">
        <f t="shared" si="581"/>
        <v>1.471045731300831E-2</v>
      </c>
      <c r="O667" s="517"/>
      <c r="P667" s="518">
        <f>+P666</f>
        <v>214767.7</v>
      </c>
      <c r="Q667" s="518">
        <f>+Q666</f>
        <v>1258969.425</v>
      </c>
    </row>
    <row r="668" spans="1:17" ht="23.4" x14ac:dyDescent="0.4">
      <c r="A668" s="244" t="s">
        <v>101</v>
      </c>
      <c r="B668" s="1106" t="s">
        <v>250</v>
      </c>
      <c r="C668" s="542" t="s">
        <v>71</v>
      </c>
      <c r="D668" s="527"/>
      <c r="E668" s="459"/>
      <c r="F668" s="694">
        <f>+G668+H668</f>
        <v>10008</v>
      </c>
      <c r="G668" s="527">
        <v>10000</v>
      </c>
      <c r="H668" s="458">
        <v>8</v>
      </c>
      <c r="I668" s="531" t="str">
        <f>IFERROR(F668/E668,"-")</f>
        <v>-</v>
      </c>
      <c r="J668" s="644">
        <f>+K668+L668</f>
        <v>21178</v>
      </c>
      <c r="K668" s="458">
        <f t="shared" ref="K668:K699" si="585">+G668+K605</f>
        <v>21000</v>
      </c>
      <c r="L668" s="459">
        <f t="shared" ref="L668:L699" si="586">+H668+L605</f>
        <v>178</v>
      </c>
      <c r="M668" s="586" t="str">
        <f>IFERROR(J668/D668,"-")</f>
        <v>-</v>
      </c>
      <c r="N668" s="533">
        <f t="shared" si="581"/>
        <v>8.4049485314949476E-3</v>
      </c>
      <c r="O668" s="538">
        <v>32.946300000000001</v>
      </c>
      <c r="P668" s="534">
        <f t="shared" ref="P668:P699" si="587">+O668*G668</f>
        <v>329463</v>
      </c>
      <c r="Q668" s="535">
        <f t="shared" ref="Q668:Q699" si="588">+O668*K668</f>
        <v>691872.3</v>
      </c>
    </row>
    <row r="669" spans="1:17" ht="23.4" x14ac:dyDescent="0.4">
      <c r="A669" s="248" t="s">
        <v>101</v>
      </c>
      <c r="B669" s="1107"/>
      <c r="C669" s="543" t="s">
        <v>72</v>
      </c>
      <c r="D669" s="511"/>
      <c r="E669" s="436"/>
      <c r="F669" s="690">
        <f t="shared" ref="F669:F699" si="589">+G669+H669</f>
        <v>0</v>
      </c>
      <c r="G669" s="276"/>
      <c r="H669" s="278"/>
      <c r="I669" s="352" t="str">
        <f t="shared" ref="I669:I699" si="590">IFERROR(F669/E669,"-")</f>
        <v>-</v>
      </c>
      <c r="J669" s="874">
        <f t="shared" ref="J669:J699" si="591">+K669+L669</f>
        <v>10595</v>
      </c>
      <c r="K669" s="278">
        <f t="shared" si="585"/>
        <v>10500</v>
      </c>
      <c r="L669" s="436">
        <f t="shared" si="586"/>
        <v>95</v>
      </c>
      <c r="M669" s="337" t="str">
        <f t="shared" ref="M669:M702" si="592">IFERROR(J669/D669,"-")</f>
        <v>-</v>
      </c>
      <c r="N669" s="265">
        <f t="shared" si="581"/>
        <v>8.9664936290703157E-3</v>
      </c>
      <c r="O669" s="508">
        <v>35.398400000000002</v>
      </c>
      <c r="P669" s="404">
        <f t="shared" si="587"/>
        <v>0</v>
      </c>
      <c r="Q669" s="449">
        <f t="shared" si="588"/>
        <v>371683.2</v>
      </c>
    </row>
    <row r="670" spans="1:17" ht="24" thickBot="1" x14ac:dyDescent="0.45">
      <c r="A670" s="248" t="s">
        <v>101</v>
      </c>
      <c r="B670" s="1108"/>
      <c r="C670" s="543" t="s">
        <v>455</v>
      </c>
      <c r="D670" s="276"/>
      <c r="E670" s="436"/>
      <c r="F670" s="690">
        <f t="shared" si="589"/>
        <v>0</v>
      </c>
      <c r="G670" s="276"/>
      <c r="H670" s="278"/>
      <c r="I670" s="352" t="str">
        <f t="shared" si="590"/>
        <v>-</v>
      </c>
      <c r="J670" s="874">
        <f t="shared" si="591"/>
        <v>10147</v>
      </c>
      <c r="K670" s="278">
        <f t="shared" si="585"/>
        <v>9900</v>
      </c>
      <c r="L670" s="436">
        <f t="shared" si="586"/>
        <v>247</v>
      </c>
      <c r="M670" s="337" t="str">
        <f t="shared" si="592"/>
        <v>-</v>
      </c>
      <c r="N670" s="265">
        <f>IFERROR(L670/J670,"-")</f>
        <v>2.4342170099536809E-2</v>
      </c>
      <c r="O670" s="508">
        <v>35.398400000000002</v>
      </c>
      <c r="P670" s="404">
        <f t="shared" si="587"/>
        <v>0</v>
      </c>
      <c r="Q670" s="449">
        <f t="shared" si="588"/>
        <v>350444.16000000003</v>
      </c>
    </row>
    <row r="671" spans="1:17" ht="23.4" x14ac:dyDescent="0.4">
      <c r="A671" s="248" t="s">
        <v>101</v>
      </c>
      <c r="B671" s="1106" t="s">
        <v>251</v>
      </c>
      <c r="C671" s="545" t="s">
        <v>75</v>
      </c>
      <c r="D671" s="276"/>
      <c r="E671" s="528"/>
      <c r="F671" s="696">
        <f t="shared" si="589"/>
        <v>5120</v>
      </c>
      <c r="G671" s="276">
        <v>5100</v>
      </c>
      <c r="H671" s="278">
        <v>20</v>
      </c>
      <c r="I671" s="352" t="str">
        <f t="shared" si="590"/>
        <v>-</v>
      </c>
      <c r="J671" s="874">
        <f t="shared" si="591"/>
        <v>29847</v>
      </c>
      <c r="K671" s="278">
        <f t="shared" si="585"/>
        <v>29183</v>
      </c>
      <c r="L671" s="436">
        <f t="shared" si="586"/>
        <v>664</v>
      </c>
      <c r="M671" s="337" t="str">
        <f t="shared" si="592"/>
        <v>-</v>
      </c>
      <c r="N671" s="265">
        <f t="shared" ref="N671:N673" si="593">IFERROR(L671/J671,"-")</f>
        <v>2.2246791972392536E-2</v>
      </c>
      <c r="O671" s="508">
        <v>55.4758</v>
      </c>
      <c r="P671" s="404">
        <f t="shared" si="587"/>
        <v>282926.58</v>
      </c>
      <c r="Q671" s="449">
        <f t="shared" si="588"/>
        <v>1618950.2714</v>
      </c>
    </row>
    <row r="672" spans="1:17" ht="23.4" x14ac:dyDescent="0.4">
      <c r="A672" s="248" t="s">
        <v>101</v>
      </c>
      <c r="B672" s="1107"/>
      <c r="C672" s="545" t="s">
        <v>72</v>
      </c>
      <c r="D672" s="276"/>
      <c r="E672" s="529"/>
      <c r="F672" s="696">
        <f t="shared" si="589"/>
        <v>0</v>
      </c>
      <c r="G672" s="276"/>
      <c r="H672" s="278"/>
      <c r="I672" s="352" t="str">
        <f t="shared" si="590"/>
        <v>-</v>
      </c>
      <c r="J672" s="874">
        <f t="shared" si="591"/>
        <v>0</v>
      </c>
      <c r="K672" s="278">
        <f t="shared" si="585"/>
        <v>0</v>
      </c>
      <c r="L672" s="436">
        <f t="shared" si="586"/>
        <v>0</v>
      </c>
      <c r="M672" s="337" t="str">
        <f t="shared" si="592"/>
        <v>-</v>
      </c>
      <c r="N672" s="265" t="str">
        <f t="shared" si="593"/>
        <v>-</v>
      </c>
      <c r="O672" s="540">
        <v>58.836300000000001</v>
      </c>
      <c r="P672" s="404">
        <f t="shared" si="587"/>
        <v>0</v>
      </c>
      <c r="Q672" s="449">
        <f t="shared" si="588"/>
        <v>0</v>
      </c>
    </row>
    <row r="673" spans="1:17" ht="23.4" x14ac:dyDescent="0.4">
      <c r="A673" s="248" t="s">
        <v>101</v>
      </c>
      <c r="B673" s="1107"/>
      <c r="C673" s="545" t="s">
        <v>347</v>
      </c>
      <c r="D673" s="276"/>
      <c r="E673" s="435"/>
      <c r="F673" s="696">
        <f t="shared" si="589"/>
        <v>0</v>
      </c>
      <c r="G673" s="276"/>
      <c r="H673" s="278"/>
      <c r="I673" s="352" t="str">
        <f t="shared" si="590"/>
        <v>-</v>
      </c>
      <c r="J673" s="874">
        <f t="shared" si="591"/>
        <v>2745</v>
      </c>
      <c r="K673" s="278">
        <f t="shared" si="585"/>
        <v>2305</v>
      </c>
      <c r="L673" s="436">
        <f t="shared" si="586"/>
        <v>440</v>
      </c>
      <c r="M673" s="337" t="str">
        <f t="shared" si="592"/>
        <v>-</v>
      </c>
      <c r="N673" s="263">
        <f t="shared" si="593"/>
        <v>0.16029143897996356</v>
      </c>
      <c r="O673" s="710">
        <v>58.836300000000001</v>
      </c>
      <c r="P673" s="404">
        <f t="shared" si="587"/>
        <v>0</v>
      </c>
      <c r="Q673" s="449">
        <f t="shared" si="588"/>
        <v>135617.6715</v>
      </c>
    </row>
    <row r="674" spans="1:17" ht="24" thickBot="1" x14ac:dyDescent="0.45">
      <c r="A674" s="248"/>
      <c r="B674" s="1108"/>
      <c r="C674" s="545" t="s">
        <v>361</v>
      </c>
      <c r="D674" s="276"/>
      <c r="E674" s="435"/>
      <c r="F674" s="696">
        <f t="shared" si="589"/>
        <v>0</v>
      </c>
      <c r="G674" s="276"/>
      <c r="H674" s="278"/>
      <c r="I674" s="352" t="str">
        <f t="shared" si="590"/>
        <v>-</v>
      </c>
      <c r="J674" s="874">
        <f t="shared" si="591"/>
        <v>0</v>
      </c>
      <c r="K674" s="278">
        <f t="shared" si="585"/>
        <v>0</v>
      </c>
      <c r="L674" s="436">
        <f t="shared" si="586"/>
        <v>0</v>
      </c>
      <c r="M674" s="337" t="str">
        <f t="shared" si="592"/>
        <v>-</v>
      </c>
      <c r="N674" s="263" t="str">
        <f>IFERROR(L674/J674,"-")</f>
        <v>-</v>
      </c>
      <c r="O674" s="508">
        <v>55.4758</v>
      </c>
      <c r="P674" s="404">
        <f t="shared" si="587"/>
        <v>0</v>
      </c>
      <c r="Q674" s="449">
        <f t="shared" si="588"/>
        <v>0</v>
      </c>
    </row>
    <row r="675" spans="1:17" ht="23.4" x14ac:dyDescent="0.4">
      <c r="A675" s="248" t="s">
        <v>101</v>
      </c>
      <c r="B675" s="1106" t="s">
        <v>409</v>
      </c>
      <c r="C675" s="543" t="s">
        <v>77</v>
      </c>
      <c r="D675" s="276"/>
      <c r="E675" s="436"/>
      <c r="F675" s="690">
        <f t="shared" si="589"/>
        <v>0</v>
      </c>
      <c r="G675" s="276"/>
      <c r="H675" s="278"/>
      <c r="I675" s="352" t="str">
        <f t="shared" si="590"/>
        <v>-</v>
      </c>
      <c r="J675" s="874">
        <f t="shared" si="591"/>
        <v>24300</v>
      </c>
      <c r="K675" s="719">
        <f t="shared" si="585"/>
        <v>23960</v>
      </c>
      <c r="L675" s="815">
        <f t="shared" si="586"/>
        <v>340</v>
      </c>
      <c r="M675" s="337" t="str">
        <f t="shared" si="592"/>
        <v>-</v>
      </c>
      <c r="N675" s="263">
        <f t="shared" ref="N675:N701" si="594">IFERROR(L675/J675,"-")</f>
        <v>1.3991769547325103E-2</v>
      </c>
      <c r="O675" s="508">
        <v>25.687200000000001</v>
      </c>
      <c r="P675" s="404">
        <f t="shared" si="587"/>
        <v>0</v>
      </c>
      <c r="Q675" s="449">
        <f t="shared" si="588"/>
        <v>615465.31200000003</v>
      </c>
    </row>
    <row r="676" spans="1:17" ht="24" thickBot="1" x14ac:dyDescent="0.45">
      <c r="A676" s="248" t="s">
        <v>101</v>
      </c>
      <c r="B676" s="1108"/>
      <c r="C676" s="543" t="s">
        <v>117</v>
      </c>
      <c r="D676" s="276"/>
      <c r="E676" s="436"/>
      <c r="F676" s="690">
        <f t="shared" si="589"/>
        <v>0</v>
      </c>
      <c r="G676" s="276"/>
      <c r="H676" s="278"/>
      <c r="I676" s="352" t="str">
        <f t="shared" si="590"/>
        <v>-</v>
      </c>
      <c r="J676" s="874">
        <f t="shared" si="591"/>
        <v>0</v>
      </c>
      <c r="K676" s="278">
        <f t="shared" si="585"/>
        <v>0</v>
      </c>
      <c r="L676" s="436">
        <f t="shared" si="586"/>
        <v>0</v>
      </c>
      <c r="M676" s="337" t="str">
        <f t="shared" si="592"/>
        <v>-</v>
      </c>
      <c r="N676" s="263" t="str">
        <f t="shared" si="594"/>
        <v>-</v>
      </c>
      <c r="O676" s="508">
        <v>25.033899999999999</v>
      </c>
      <c r="P676" s="404">
        <f t="shared" si="587"/>
        <v>0</v>
      </c>
      <c r="Q676" s="449">
        <f t="shared" si="588"/>
        <v>0</v>
      </c>
    </row>
    <row r="677" spans="1:17" ht="23.4" x14ac:dyDescent="0.4">
      <c r="A677" s="248"/>
      <c r="B677" s="1106" t="s">
        <v>410</v>
      </c>
      <c r="C677" s="543" t="s">
        <v>79</v>
      </c>
      <c r="D677" s="276"/>
      <c r="E677" s="436"/>
      <c r="F677" s="690">
        <f t="shared" si="589"/>
        <v>5835</v>
      </c>
      <c r="G677" s="276">
        <v>5800</v>
      </c>
      <c r="H677" s="278">
        <v>35</v>
      </c>
      <c r="I677" s="352" t="str">
        <f t="shared" si="590"/>
        <v>-</v>
      </c>
      <c r="J677" s="874">
        <f t="shared" si="591"/>
        <v>18699</v>
      </c>
      <c r="K677" s="278">
        <f t="shared" si="585"/>
        <v>18490</v>
      </c>
      <c r="L677" s="436">
        <f t="shared" si="586"/>
        <v>209</v>
      </c>
      <c r="M677" s="337" t="str">
        <f t="shared" si="592"/>
        <v>-</v>
      </c>
      <c r="N677" s="263">
        <f t="shared" si="594"/>
        <v>1.1177068292422055E-2</v>
      </c>
      <c r="O677" s="508">
        <v>41.992699999999999</v>
      </c>
      <c r="P677" s="404">
        <f t="shared" si="587"/>
        <v>243557.66</v>
      </c>
      <c r="Q677" s="449">
        <f t="shared" si="588"/>
        <v>776445.02299999993</v>
      </c>
    </row>
    <row r="678" spans="1:17" ht="23.4" x14ac:dyDescent="0.4">
      <c r="A678" s="248"/>
      <c r="B678" s="1107"/>
      <c r="C678" s="543" t="s">
        <v>72</v>
      </c>
      <c r="D678" s="276"/>
      <c r="E678" s="436"/>
      <c r="F678" s="690">
        <f t="shared" si="589"/>
        <v>0</v>
      </c>
      <c r="G678" s="276"/>
      <c r="H678" s="278"/>
      <c r="I678" s="352" t="str">
        <f t="shared" si="590"/>
        <v>-</v>
      </c>
      <c r="J678" s="874">
        <f t="shared" si="591"/>
        <v>0</v>
      </c>
      <c r="K678" s="278">
        <f t="shared" si="585"/>
        <v>0</v>
      </c>
      <c r="L678" s="436">
        <f t="shared" si="586"/>
        <v>0</v>
      </c>
      <c r="M678" s="337" t="str">
        <f t="shared" si="592"/>
        <v>-</v>
      </c>
      <c r="N678" s="263" t="str">
        <f t="shared" si="594"/>
        <v>-</v>
      </c>
      <c r="O678" s="508">
        <v>42.283799999999999</v>
      </c>
      <c r="P678" s="404">
        <f t="shared" si="587"/>
        <v>0</v>
      </c>
      <c r="Q678" s="449">
        <f t="shared" si="588"/>
        <v>0</v>
      </c>
    </row>
    <row r="679" spans="1:17" ht="23.4" x14ac:dyDescent="0.4">
      <c r="A679" s="248"/>
      <c r="B679" s="1107"/>
      <c r="C679" s="543" t="s">
        <v>380</v>
      </c>
      <c r="D679" s="276"/>
      <c r="E679" s="436"/>
      <c r="F679" s="690">
        <f t="shared" si="589"/>
        <v>0</v>
      </c>
      <c r="G679" s="276"/>
      <c r="H679" s="278"/>
      <c r="I679" s="352" t="str">
        <f t="shared" si="590"/>
        <v>-</v>
      </c>
      <c r="J679" s="874">
        <f t="shared" si="591"/>
        <v>0</v>
      </c>
      <c r="K679" s="278">
        <f t="shared" si="585"/>
        <v>0</v>
      </c>
      <c r="L679" s="436">
        <f t="shared" si="586"/>
        <v>0</v>
      </c>
      <c r="M679" s="337" t="str">
        <f t="shared" si="592"/>
        <v>-</v>
      </c>
      <c r="N679" s="263" t="str">
        <f t="shared" si="594"/>
        <v>-</v>
      </c>
      <c r="O679" s="710">
        <v>41.992699999999999</v>
      </c>
      <c r="P679" s="404">
        <f t="shared" si="587"/>
        <v>0</v>
      </c>
      <c r="Q679" s="449">
        <f t="shared" si="588"/>
        <v>0</v>
      </c>
    </row>
    <row r="680" spans="1:17" ht="24" thickBot="1" x14ac:dyDescent="0.45">
      <c r="A680" s="248"/>
      <c r="B680" s="1108"/>
      <c r="C680" s="543" t="s">
        <v>381</v>
      </c>
      <c r="D680" s="276"/>
      <c r="E680" s="436"/>
      <c r="F680" s="690">
        <f t="shared" si="589"/>
        <v>0</v>
      </c>
      <c r="G680" s="276"/>
      <c r="H680" s="278"/>
      <c r="I680" s="352" t="str">
        <f t="shared" si="590"/>
        <v>-</v>
      </c>
      <c r="J680" s="874">
        <f t="shared" si="591"/>
        <v>0</v>
      </c>
      <c r="K680" s="278">
        <f t="shared" si="585"/>
        <v>0</v>
      </c>
      <c r="L680" s="436">
        <f t="shared" si="586"/>
        <v>0</v>
      </c>
      <c r="M680" s="337" t="str">
        <f t="shared" si="592"/>
        <v>-</v>
      </c>
      <c r="N680" s="263" t="str">
        <f t="shared" si="594"/>
        <v>-</v>
      </c>
      <c r="O680" s="710">
        <v>42.283799999999999</v>
      </c>
      <c r="P680" s="404">
        <f t="shared" si="587"/>
        <v>0</v>
      </c>
      <c r="Q680" s="449">
        <f t="shared" si="588"/>
        <v>0</v>
      </c>
    </row>
    <row r="681" spans="1:17" ht="24" thickBot="1" x14ac:dyDescent="0.45">
      <c r="A681" s="248"/>
      <c r="B681" s="717" t="s">
        <v>80</v>
      </c>
      <c r="C681" s="543" t="s">
        <v>81</v>
      </c>
      <c r="D681" s="276"/>
      <c r="E681" s="436"/>
      <c r="F681" s="690">
        <f t="shared" si="589"/>
        <v>0</v>
      </c>
      <c r="G681" s="276"/>
      <c r="H681" s="278"/>
      <c r="I681" s="352" t="str">
        <f t="shared" si="590"/>
        <v>-</v>
      </c>
      <c r="J681" s="874">
        <f t="shared" si="591"/>
        <v>23163</v>
      </c>
      <c r="K681" s="278">
        <f t="shared" si="585"/>
        <v>22200</v>
      </c>
      <c r="L681" s="687">
        <f t="shared" si="586"/>
        <v>963</v>
      </c>
      <c r="M681" s="337" t="str">
        <f t="shared" si="592"/>
        <v>-</v>
      </c>
      <c r="N681" s="263">
        <f t="shared" si="594"/>
        <v>4.1574925527781373E-2</v>
      </c>
      <c r="O681" s="508">
        <v>4.3535000000000004</v>
      </c>
      <c r="P681" s="404">
        <f t="shared" si="587"/>
        <v>0</v>
      </c>
      <c r="Q681" s="449">
        <f t="shared" si="588"/>
        <v>96647.700000000012</v>
      </c>
    </row>
    <row r="682" spans="1:17" ht="23.4" x14ac:dyDescent="0.4">
      <c r="A682" s="248"/>
      <c r="B682" s="1106" t="s">
        <v>253</v>
      </c>
      <c r="C682" s="543" t="s">
        <v>77</v>
      </c>
      <c r="D682" s="276"/>
      <c r="E682" s="436"/>
      <c r="F682" s="690">
        <f t="shared" si="589"/>
        <v>46308</v>
      </c>
      <c r="G682" s="276">
        <v>46200</v>
      </c>
      <c r="H682" s="278">
        <v>108</v>
      </c>
      <c r="I682" s="352" t="str">
        <f t="shared" si="590"/>
        <v>-</v>
      </c>
      <c r="J682" s="874">
        <f t="shared" si="591"/>
        <v>465290</v>
      </c>
      <c r="K682" s="278">
        <f t="shared" si="585"/>
        <v>463100</v>
      </c>
      <c r="L682" s="436">
        <f t="shared" si="586"/>
        <v>2190</v>
      </c>
      <c r="M682" s="337" t="str">
        <f t="shared" si="592"/>
        <v>-</v>
      </c>
      <c r="N682" s="263">
        <f t="shared" si="594"/>
        <v>4.7067420318511032E-3</v>
      </c>
      <c r="O682" s="508">
        <v>4.6184000000000003</v>
      </c>
      <c r="P682" s="404">
        <f t="shared" si="587"/>
        <v>213370.08000000002</v>
      </c>
      <c r="Q682" s="449">
        <f t="shared" si="588"/>
        <v>2138781.04</v>
      </c>
    </row>
    <row r="683" spans="1:17" ht="23.4" x14ac:dyDescent="0.4">
      <c r="A683" s="248"/>
      <c r="B683" s="1107"/>
      <c r="C683" s="543" t="s">
        <v>340</v>
      </c>
      <c r="D683" s="276"/>
      <c r="E683" s="436"/>
      <c r="F683" s="690">
        <f t="shared" si="589"/>
        <v>0</v>
      </c>
      <c r="G683" s="276"/>
      <c r="H683" s="278"/>
      <c r="I683" s="352" t="str">
        <f t="shared" si="590"/>
        <v>-</v>
      </c>
      <c r="J683" s="874">
        <f t="shared" si="591"/>
        <v>0</v>
      </c>
      <c r="K683" s="278">
        <f t="shared" si="585"/>
        <v>0</v>
      </c>
      <c r="L683" s="436">
        <f t="shared" si="586"/>
        <v>0</v>
      </c>
      <c r="M683" s="337" t="str">
        <f t="shared" si="592"/>
        <v>-</v>
      </c>
      <c r="N683" s="263" t="str">
        <f t="shared" si="594"/>
        <v>-</v>
      </c>
      <c r="O683" s="508">
        <v>4.6184000000000003</v>
      </c>
      <c r="P683" s="404">
        <f t="shared" si="587"/>
        <v>0</v>
      </c>
      <c r="Q683" s="449">
        <f t="shared" si="588"/>
        <v>0</v>
      </c>
    </row>
    <row r="684" spans="1:17" ht="23.4" x14ac:dyDescent="0.4">
      <c r="A684" s="248"/>
      <c r="B684" s="1107"/>
      <c r="C684" s="543" t="s">
        <v>252</v>
      </c>
      <c r="D684" s="276"/>
      <c r="E684" s="436"/>
      <c r="F684" s="690">
        <f t="shared" si="589"/>
        <v>0</v>
      </c>
      <c r="G684" s="276"/>
      <c r="H684" s="278"/>
      <c r="I684" s="352" t="str">
        <f t="shared" si="590"/>
        <v>-</v>
      </c>
      <c r="J684" s="874">
        <f t="shared" si="591"/>
        <v>0</v>
      </c>
      <c r="K684" s="278">
        <f t="shared" si="585"/>
        <v>0</v>
      </c>
      <c r="L684" s="436">
        <f t="shared" si="586"/>
        <v>0</v>
      </c>
      <c r="M684" s="337" t="str">
        <f t="shared" si="592"/>
        <v>-</v>
      </c>
      <c r="N684" s="263" t="str">
        <f t="shared" si="594"/>
        <v>-</v>
      </c>
      <c r="O684" s="508">
        <v>4.6184000000000003</v>
      </c>
      <c r="P684" s="404">
        <f t="shared" si="587"/>
        <v>0</v>
      </c>
      <c r="Q684" s="449">
        <f t="shared" si="588"/>
        <v>0</v>
      </c>
    </row>
    <row r="685" spans="1:17" ht="23.4" x14ac:dyDescent="0.4">
      <c r="A685" s="248"/>
      <c r="B685" s="1107"/>
      <c r="C685" s="543" t="s">
        <v>350</v>
      </c>
      <c r="D685" s="276"/>
      <c r="E685" s="436"/>
      <c r="F685" s="690">
        <f t="shared" si="589"/>
        <v>0</v>
      </c>
      <c r="G685" s="276"/>
      <c r="H685" s="278"/>
      <c r="I685" s="352" t="str">
        <f t="shared" si="590"/>
        <v>-</v>
      </c>
      <c r="J685" s="874">
        <f t="shared" si="591"/>
        <v>0</v>
      </c>
      <c r="K685" s="686">
        <f t="shared" si="585"/>
        <v>0</v>
      </c>
      <c r="L685" s="687">
        <f t="shared" si="586"/>
        <v>0</v>
      </c>
      <c r="M685" s="337" t="str">
        <f t="shared" si="592"/>
        <v>-</v>
      </c>
      <c r="N685" s="263" t="str">
        <f t="shared" si="594"/>
        <v>-</v>
      </c>
      <c r="O685" s="508">
        <v>4.7636000000000003</v>
      </c>
      <c r="P685" s="404">
        <f t="shared" si="587"/>
        <v>0</v>
      </c>
      <c r="Q685" s="449">
        <f t="shared" si="588"/>
        <v>0</v>
      </c>
    </row>
    <row r="686" spans="1:17" ht="24" thickBot="1" x14ac:dyDescent="0.45">
      <c r="A686" s="248"/>
      <c r="B686" s="1108"/>
      <c r="C686" s="543" t="s">
        <v>346</v>
      </c>
      <c r="D686" s="276"/>
      <c r="E686" s="436"/>
      <c r="F686" s="690">
        <f t="shared" si="589"/>
        <v>0</v>
      </c>
      <c r="G686" s="276"/>
      <c r="H686" s="278"/>
      <c r="I686" s="352" t="str">
        <f t="shared" si="590"/>
        <v>-</v>
      </c>
      <c r="J686" s="874">
        <f t="shared" si="591"/>
        <v>0</v>
      </c>
      <c r="K686" s="278">
        <f t="shared" si="585"/>
        <v>0</v>
      </c>
      <c r="L686" s="436">
        <f t="shared" si="586"/>
        <v>0</v>
      </c>
      <c r="M686" s="337" t="str">
        <f t="shared" si="592"/>
        <v>-</v>
      </c>
      <c r="N686" s="263" t="str">
        <f t="shared" si="594"/>
        <v>-</v>
      </c>
      <c r="O686" s="508">
        <v>4.8738000000000001</v>
      </c>
      <c r="P686" s="404">
        <f t="shared" si="587"/>
        <v>0</v>
      </c>
      <c r="Q686" s="449">
        <f t="shared" si="588"/>
        <v>0</v>
      </c>
    </row>
    <row r="687" spans="1:17" ht="24" thickBot="1" x14ac:dyDescent="0.45">
      <c r="A687" s="248"/>
      <c r="B687" s="717" t="s">
        <v>254</v>
      </c>
      <c r="C687" s="543" t="s">
        <v>520</v>
      </c>
      <c r="D687" s="276"/>
      <c r="E687" s="436"/>
      <c r="F687" s="690">
        <f t="shared" si="589"/>
        <v>0</v>
      </c>
      <c r="G687" s="276"/>
      <c r="H687" s="278"/>
      <c r="I687" s="352" t="str">
        <f t="shared" si="590"/>
        <v>-</v>
      </c>
      <c r="J687" s="874">
        <f t="shared" si="591"/>
        <v>17752</v>
      </c>
      <c r="K687" s="278">
        <f t="shared" si="585"/>
        <v>17600</v>
      </c>
      <c r="L687" s="436">
        <f t="shared" si="586"/>
        <v>152</v>
      </c>
      <c r="M687" s="337" t="str">
        <f t="shared" si="592"/>
        <v>-</v>
      </c>
      <c r="N687" s="263">
        <f t="shared" si="594"/>
        <v>8.5624155024785938E-3</v>
      </c>
      <c r="O687" s="508">
        <v>4.8738000000000001</v>
      </c>
      <c r="P687" s="404">
        <f t="shared" si="587"/>
        <v>0</v>
      </c>
      <c r="Q687" s="449">
        <f t="shared" si="588"/>
        <v>85778.880000000005</v>
      </c>
    </row>
    <row r="688" spans="1:17" ht="23.4" x14ac:dyDescent="0.4">
      <c r="A688" s="248"/>
      <c r="B688" s="1106" t="s">
        <v>256</v>
      </c>
      <c r="C688" s="543" t="s">
        <v>77</v>
      </c>
      <c r="D688" s="276"/>
      <c r="E688" s="436"/>
      <c r="F688" s="690">
        <f t="shared" si="589"/>
        <v>49630</v>
      </c>
      <c r="G688" s="276">
        <v>48650</v>
      </c>
      <c r="H688" s="278">
        <v>980</v>
      </c>
      <c r="I688" s="352" t="str">
        <f t="shared" si="590"/>
        <v>-</v>
      </c>
      <c r="J688" s="874">
        <f t="shared" si="591"/>
        <v>438092</v>
      </c>
      <c r="K688" s="719">
        <f t="shared" si="585"/>
        <v>430080</v>
      </c>
      <c r="L688" s="815">
        <f t="shared" si="586"/>
        <v>8012</v>
      </c>
      <c r="M688" s="337" t="str">
        <f t="shared" si="592"/>
        <v>-</v>
      </c>
      <c r="N688" s="263">
        <f t="shared" si="594"/>
        <v>1.8288396044666418E-2</v>
      </c>
      <c r="O688" s="508">
        <v>4.9344999999999999</v>
      </c>
      <c r="P688" s="404">
        <f t="shared" si="587"/>
        <v>240063.42499999999</v>
      </c>
      <c r="Q688" s="449">
        <f t="shared" si="588"/>
        <v>2122229.7599999998</v>
      </c>
    </row>
    <row r="689" spans="1:17" ht="23.4" x14ac:dyDescent="0.4">
      <c r="A689" s="248"/>
      <c r="B689" s="1107"/>
      <c r="C689" s="543" t="s">
        <v>135</v>
      </c>
      <c r="D689" s="276"/>
      <c r="E689" s="436"/>
      <c r="F689" s="690">
        <f t="shared" si="589"/>
        <v>0</v>
      </c>
      <c r="G689" s="276"/>
      <c r="H689" s="278"/>
      <c r="I689" s="352" t="str">
        <f t="shared" si="590"/>
        <v>-</v>
      </c>
      <c r="J689" s="874">
        <f t="shared" si="591"/>
        <v>0</v>
      </c>
      <c r="K689" s="278">
        <f t="shared" si="585"/>
        <v>0</v>
      </c>
      <c r="L689" s="436">
        <f t="shared" si="586"/>
        <v>0</v>
      </c>
      <c r="M689" s="337" t="str">
        <f t="shared" si="592"/>
        <v>-</v>
      </c>
      <c r="N689" s="263" t="str">
        <f t="shared" si="594"/>
        <v>-</v>
      </c>
      <c r="O689" s="508">
        <v>4.9344999999999999</v>
      </c>
      <c r="P689" s="404">
        <f t="shared" si="587"/>
        <v>0</v>
      </c>
      <c r="Q689" s="449">
        <f t="shared" si="588"/>
        <v>0</v>
      </c>
    </row>
    <row r="690" spans="1:17" ht="23.4" x14ac:dyDescent="0.4">
      <c r="A690" s="248"/>
      <c r="B690" s="1107"/>
      <c r="C690" s="543" t="s">
        <v>129</v>
      </c>
      <c r="D690" s="276"/>
      <c r="E690" s="436"/>
      <c r="F690" s="690">
        <f t="shared" si="589"/>
        <v>0</v>
      </c>
      <c r="G690" s="276"/>
      <c r="H690" s="278"/>
      <c r="I690" s="352" t="str">
        <f t="shared" si="590"/>
        <v>-</v>
      </c>
      <c r="J690" s="874">
        <f t="shared" si="591"/>
        <v>0</v>
      </c>
      <c r="K690" s="278">
        <f t="shared" si="585"/>
        <v>0</v>
      </c>
      <c r="L690" s="436">
        <f t="shared" si="586"/>
        <v>0</v>
      </c>
      <c r="M690" s="337" t="str">
        <f t="shared" si="592"/>
        <v>-</v>
      </c>
      <c r="N690" s="263" t="str">
        <f t="shared" si="594"/>
        <v>-</v>
      </c>
      <c r="O690" s="508">
        <v>4.9344999999999999</v>
      </c>
      <c r="P690" s="404">
        <f t="shared" si="587"/>
        <v>0</v>
      </c>
      <c r="Q690" s="449">
        <f t="shared" si="588"/>
        <v>0</v>
      </c>
    </row>
    <row r="691" spans="1:17" ht="24" thickBot="1" x14ac:dyDescent="0.45">
      <c r="A691" s="248"/>
      <c r="B691" s="1108"/>
      <c r="C691" s="543" t="s">
        <v>255</v>
      </c>
      <c r="D691" s="276"/>
      <c r="E691" s="436"/>
      <c r="F691" s="690">
        <f t="shared" si="589"/>
        <v>0</v>
      </c>
      <c r="G691" s="276"/>
      <c r="H691" s="278"/>
      <c r="I691" s="352" t="str">
        <f t="shared" si="590"/>
        <v>-</v>
      </c>
      <c r="J691" s="874">
        <f t="shared" si="591"/>
        <v>0</v>
      </c>
      <c r="K691" s="278">
        <f t="shared" si="585"/>
        <v>0</v>
      </c>
      <c r="L691" s="436">
        <f t="shared" si="586"/>
        <v>0</v>
      </c>
      <c r="M691" s="337" t="str">
        <f t="shared" si="592"/>
        <v>-</v>
      </c>
      <c r="N691" s="263" t="str">
        <f t="shared" si="594"/>
        <v>-</v>
      </c>
      <c r="O691" s="508">
        <v>5.5069999999999997</v>
      </c>
      <c r="P691" s="404">
        <f t="shared" si="587"/>
        <v>0</v>
      </c>
      <c r="Q691" s="449">
        <f t="shared" si="588"/>
        <v>0</v>
      </c>
    </row>
    <row r="692" spans="1:17" ht="23.4" x14ac:dyDescent="0.4">
      <c r="A692" s="248"/>
      <c r="B692" s="1106" t="s">
        <v>261</v>
      </c>
      <c r="C692" s="543" t="s">
        <v>257</v>
      </c>
      <c r="D692" s="276"/>
      <c r="E692" s="436"/>
      <c r="F692" s="690">
        <f t="shared" si="589"/>
        <v>41368</v>
      </c>
      <c r="G692" s="276">
        <v>41300</v>
      </c>
      <c r="H692" s="278">
        <v>68</v>
      </c>
      <c r="I692" s="352" t="str">
        <f t="shared" si="590"/>
        <v>-</v>
      </c>
      <c r="J692" s="874">
        <f t="shared" si="591"/>
        <v>411882</v>
      </c>
      <c r="K692" s="278">
        <f t="shared" si="585"/>
        <v>408800</v>
      </c>
      <c r="L692" s="687">
        <f t="shared" si="586"/>
        <v>3082</v>
      </c>
      <c r="M692" s="337" t="str">
        <f t="shared" si="592"/>
        <v>-</v>
      </c>
      <c r="N692" s="263">
        <f t="shared" si="594"/>
        <v>7.4827256350119692E-3</v>
      </c>
      <c r="O692" s="710">
        <v>5.5069999999999997</v>
      </c>
      <c r="P692" s="404">
        <f t="shared" si="587"/>
        <v>227439.09999999998</v>
      </c>
      <c r="Q692" s="449">
        <f t="shared" si="588"/>
        <v>2251261.6</v>
      </c>
    </row>
    <row r="693" spans="1:17" ht="23.4" x14ac:dyDescent="0.4">
      <c r="A693" s="248"/>
      <c r="B693" s="1107"/>
      <c r="C693" s="543" t="s">
        <v>258</v>
      </c>
      <c r="D693" s="276"/>
      <c r="E693" s="436"/>
      <c r="F693" s="690">
        <f t="shared" si="589"/>
        <v>0</v>
      </c>
      <c r="G693" s="276"/>
      <c r="H693" s="278"/>
      <c r="I693" s="352" t="str">
        <f t="shared" si="590"/>
        <v>-</v>
      </c>
      <c r="J693" s="874">
        <f t="shared" si="591"/>
        <v>0</v>
      </c>
      <c r="K693" s="278">
        <f t="shared" si="585"/>
        <v>0</v>
      </c>
      <c r="L693" s="436">
        <f t="shared" si="586"/>
        <v>0</v>
      </c>
      <c r="M693" s="337" t="str">
        <f t="shared" si="592"/>
        <v>-</v>
      </c>
      <c r="N693" s="263" t="str">
        <f t="shared" si="594"/>
        <v>-</v>
      </c>
      <c r="O693" s="508">
        <v>5.6550000000000002</v>
      </c>
      <c r="P693" s="404">
        <f t="shared" si="587"/>
        <v>0</v>
      </c>
      <c r="Q693" s="449">
        <f t="shared" si="588"/>
        <v>0</v>
      </c>
    </row>
    <row r="694" spans="1:17" ht="23.4" x14ac:dyDescent="0.4">
      <c r="A694" s="248"/>
      <c r="B694" s="1107"/>
      <c r="C694" s="543" t="s">
        <v>321</v>
      </c>
      <c r="D694" s="276"/>
      <c r="E694" s="436"/>
      <c r="F694" s="690">
        <f t="shared" si="589"/>
        <v>0</v>
      </c>
      <c r="G694" s="276"/>
      <c r="H694" s="278"/>
      <c r="I694" s="352" t="str">
        <f t="shared" si="590"/>
        <v>-</v>
      </c>
      <c r="J694" s="874">
        <f t="shared" si="591"/>
        <v>0</v>
      </c>
      <c r="K694" s="686">
        <f t="shared" si="585"/>
        <v>0</v>
      </c>
      <c r="L694" s="687">
        <f t="shared" si="586"/>
        <v>0</v>
      </c>
      <c r="M694" s="337" t="str">
        <f t="shared" si="592"/>
        <v>-</v>
      </c>
      <c r="N694" s="263" t="str">
        <f t="shared" si="594"/>
        <v>-</v>
      </c>
      <c r="O694" s="508">
        <v>5.6550000000000002</v>
      </c>
      <c r="P694" s="404">
        <f t="shared" si="587"/>
        <v>0</v>
      </c>
      <c r="Q694" s="449">
        <f t="shared" si="588"/>
        <v>0</v>
      </c>
    </row>
    <row r="695" spans="1:17" ht="23.4" x14ac:dyDescent="0.4">
      <c r="A695" s="248"/>
      <c r="B695" s="1107"/>
      <c r="C695" s="543" t="s">
        <v>259</v>
      </c>
      <c r="D695" s="276"/>
      <c r="E695" s="436"/>
      <c r="F695" s="690">
        <f t="shared" si="589"/>
        <v>0</v>
      </c>
      <c r="G695" s="276"/>
      <c r="H695" s="278"/>
      <c r="I695" s="352" t="str">
        <f t="shared" si="590"/>
        <v>-</v>
      </c>
      <c r="J695" s="874">
        <f t="shared" si="591"/>
        <v>0</v>
      </c>
      <c r="K695" s="278">
        <f t="shared" si="585"/>
        <v>0</v>
      </c>
      <c r="L695" s="436">
        <f t="shared" si="586"/>
        <v>0</v>
      </c>
      <c r="M695" s="337" t="str">
        <f t="shared" si="592"/>
        <v>-</v>
      </c>
      <c r="N695" s="263" t="str">
        <f t="shared" si="594"/>
        <v>-</v>
      </c>
      <c r="O695" s="508">
        <v>5.6550000000000002</v>
      </c>
      <c r="P695" s="404">
        <f t="shared" si="587"/>
        <v>0</v>
      </c>
      <c r="Q695" s="449">
        <f t="shared" si="588"/>
        <v>0</v>
      </c>
    </row>
    <row r="696" spans="1:17" ht="23.4" x14ac:dyDescent="0.4">
      <c r="A696" s="248" t="s">
        <v>101</v>
      </c>
      <c r="B696" s="1107"/>
      <c r="C696" s="543" t="s">
        <v>260</v>
      </c>
      <c r="D696" s="276"/>
      <c r="E696" s="436"/>
      <c r="F696" s="690">
        <f t="shared" si="589"/>
        <v>0</v>
      </c>
      <c r="G696" s="276"/>
      <c r="H696" s="278"/>
      <c r="I696" s="352" t="str">
        <f t="shared" si="590"/>
        <v>-</v>
      </c>
      <c r="J696" s="874">
        <f t="shared" si="591"/>
        <v>0</v>
      </c>
      <c r="K696" s="278">
        <f t="shared" si="585"/>
        <v>0</v>
      </c>
      <c r="L696" s="436">
        <f t="shared" si="586"/>
        <v>0</v>
      </c>
      <c r="M696" s="337" t="str">
        <f t="shared" si="592"/>
        <v>-</v>
      </c>
      <c r="N696" s="263" t="str">
        <f t="shared" si="594"/>
        <v>-</v>
      </c>
      <c r="O696" s="508">
        <v>3.2963</v>
      </c>
      <c r="P696" s="404">
        <f t="shared" si="587"/>
        <v>0</v>
      </c>
      <c r="Q696" s="449">
        <f t="shared" si="588"/>
        <v>0</v>
      </c>
    </row>
    <row r="697" spans="1:17" ht="24" thickBot="1" x14ac:dyDescent="0.45">
      <c r="A697" s="248" t="s">
        <v>101</v>
      </c>
      <c r="B697" s="1108"/>
      <c r="C697" s="543" t="s">
        <v>255</v>
      </c>
      <c r="D697" s="276"/>
      <c r="E697" s="436"/>
      <c r="F697" s="690">
        <f t="shared" si="589"/>
        <v>0</v>
      </c>
      <c r="G697" s="276"/>
      <c r="H697" s="278"/>
      <c r="I697" s="352" t="str">
        <f t="shared" si="590"/>
        <v>-</v>
      </c>
      <c r="J697" s="874">
        <f t="shared" si="591"/>
        <v>0</v>
      </c>
      <c r="K697" s="278">
        <f t="shared" si="585"/>
        <v>0</v>
      </c>
      <c r="L697" s="436">
        <f t="shared" si="586"/>
        <v>0</v>
      </c>
      <c r="M697" s="337" t="str">
        <f t="shared" si="592"/>
        <v>-</v>
      </c>
      <c r="N697" s="263" t="str">
        <f t="shared" si="594"/>
        <v>-</v>
      </c>
      <c r="O697" s="508">
        <v>3.2963</v>
      </c>
      <c r="P697" s="404">
        <f t="shared" si="587"/>
        <v>0</v>
      </c>
      <c r="Q697" s="449">
        <f t="shared" si="588"/>
        <v>0</v>
      </c>
    </row>
    <row r="698" spans="1:17" ht="23.4" x14ac:dyDescent="0.4">
      <c r="A698" s="248" t="s">
        <v>101</v>
      </c>
      <c r="B698" s="546"/>
      <c r="C698" s="544" t="s">
        <v>89</v>
      </c>
      <c r="D698" s="511"/>
      <c r="E698" s="436"/>
      <c r="F698" s="690">
        <f t="shared" si="589"/>
        <v>0</v>
      </c>
      <c r="G698" s="276"/>
      <c r="H698" s="278"/>
      <c r="I698" s="352" t="str">
        <f t="shared" si="590"/>
        <v>-</v>
      </c>
      <c r="J698" s="874">
        <f t="shared" si="591"/>
        <v>83715</v>
      </c>
      <c r="K698" s="278">
        <f t="shared" si="585"/>
        <v>83400</v>
      </c>
      <c r="L698" s="436">
        <f t="shared" si="586"/>
        <v>315</v>
      </c>
      <c r="M698" s="337" t="str">
        <f t="shared" si="592"/>
        <v>-</v>
      </c>
      <c r="N698" s="263">
        <f t="shared" si="594"/>
        <v>3.7627665292958249E-3</v>
      </c>
      <c r="O698" s="508">
        <v>2.3201000000000001</v>
      </c>
      <c r="P698" s="404">
        <f t="shared" si="587"/>
        <v>0</v>
      </c>
      <c r="Q698" s="449">
        <f t="shared" si="588"/>
        <v>193496.34</v>
      </c>
    </row>
    <row r="699" spans="1:17" ht="24" thickBot="1" x14ac:dyDescent="0.35">
      <c r="A699" s="248" t="s">
        <v>101</v>
      </c>
      <c r="B699" s="524"/>
      <c r="C699" s="541"/>
      <c r="D699" s="530"/>
      <c r="E699" s="462"/>
      <c r="F699" s="691">
        <f t="shared" si="589"/>
        <v>0</v>
      </c>
      <c r="G699" s="530"/>
      <c r="H699" s="461"/>
      <c r="I699" s="532" t="str">
        <f t="shared" si="590"/>
        <v>-</v>
      </c>
      <c r="J699" s="875">
        <f t="shared" si="591"/>
        <v>0</v>
      </c>
      <c r="K699" s="461">
        <f t="shared" si="585"/>
        <v>0</v>
      </c>
      <c r="L699" s="462">
        <f t="shared" si="586"/>
        <v>0</v>
      </c>
      <c r="M699" s="683" t="str">
        <f t="shared" si="592"/>
        <v>-</v>
      </c>
      <c r="N699" s="264" t="str">
        <f t="shared" si="594"/>
        <v>-</v>
      </c>
      <c r="O699" s="539"/>
      <c r="P699" s="536">
        <f t="shared" si="587"/>
        <v>0</v>
      </c>
      <c r="Q699" s="537">
        <f t="shared" si="588"/>
        <v>0</v>
      </c>
    </row>
    <row r="700" spans="1:17" ht="23.25" customHeight="1" thickBot="1" x14ac:dyDescent="0.35">
      <c r="A700" s="274" t="s">
        <v>101</v>
      </c>
      <c r="B700" s="1109" t="s">
        <v>25</v>
      </c>
      <c r="C700" s="1046"/>
      <c r="D700" s="513">
        <f>SUM(D673:D699)</f>
        <v>0</v>
      </c>
      <c r="E700" s="526">
        <v>100000</v>
      </c>
      <c r="F700" s="519">
        <f>SUM(F668:F699)</f>
        <v>158269</v>
      </c>
      <c r="G700" s="519">
        <f>SUM(G668:G699)</f>
        <v>157050</v>
      </c>
      <c r="H700" s="519">
        <f>SUM(H668:H699)</f>
        <v>1219</v>
      </c>
      <c r="I700" s="520">
        <f>IFERROR(F700/E700,"-")</f>
        <v>1.5826899999999999</v>
      </c>
      <c r="J700" s="513">
        <f>SUM(J668:J699)</f>
        <v>1557405</v>
      </c>
      <c r="K700" s="513">
        <f t="shared" ref="K700:L700" si="595">SUM(K668:K699)</f>
        <v>1540518</v>
      </c>
      <c r="L700" s="513">
        <f t="shared" si="595"/>
        <v>16887</v>
      </c>
      <c r="M700" s="521" t="str">
        <f t="shared" si="592"/>
        <v>-</v>
      </c>
      <c r="N700" s="520">
        <f t="shared" si="594"/>
        <v>1.0843036974967975E-2</v>
      </c>
      <c r="O700" s="522"/>
      <c r="P700" s="523">
        <f>SUM(P668:P699)</f>
        <v>1536819.8450000002</v>
      </c>
      <c r="Q700" s="523">
        <f>SUM(Q668:Q699)</f>
        <v>11448673.2579</v>
      </c>
    </row>
    <row r="701" spans="1:17" ht="23.25" customHeight="1" thickBot="1" x14ac:dyDescent="0.35">
      <c r="A701" s="318" t="s">
        <v>101</v>
      </c>
      <c r="B701" s="1111" t="s">
        <v>249</v>
      </c>
      <c r="C701" s="1112"/>
      <c r="D701" s="326">
        <f>+D672+D700</f>
        <v>0</v>
      </c>
      <c r="E701" s="327">
        <f>+E672+E700</f>
        <v>100000</v>
      </c>
      <c r="F701" s="326">
        <f>+F700</f>
        <v>158269</v>
      </c>
      <c r="G701" s="326">
        <f t="shared" ref="G701:H701" si="596">+G700</f>
        <v>157050</v>
      </c>
      <c r="H701" s="326">
        <f t="shared" si="596"/>
        <v>1219</v>
      </c>
      <c r="I701" s="349">
        <f>IFERROR(F701/E701,"-")</f>
        <v>1.5826899999999999</v>
      </c>
      <c r="J701" s="326">
        <f>+J700</f>
        <v>1557405</v>
      </c>
      <c r="K701" s="326">
        <f t="shared" ref="K701:L701" si="597">+K700</f>
        <v>1540518</v>
      </c>
      <c r="L701" s="326">
        <f t="shared" si="597"/>
        <v>16887</v>
      </c>
      <c r="M701" s="341" t="str">
        <f t="shared" si="592"/>
        <v>-</v>
      </c>
      <c r="N701" s="349">
        <f t="shared" si="594"/>
        <v>1.0843036974967975E-2</v>
      </c>
      <c r="O701" s="394"/>
      <c r="P701" s="410">
        <f>+P700</f>
        <v>1536819.8450000002</v>
      </c>
      <c r="Q701" s="428">
        <f>Q700</f>
        <v>11448673.2579</v>
      </c>
    </row>
    <row r="702" spans="1:17" ht="24.6" thickBot="1" x14ac:dyDescent="0.35">
      <c r="A702" s="319"/>
      <c r="B702" s="1113" t="s">
        <v>174</v>
      </c>
      <c r="C702" s="1114"/>
      <c r="D702" s="374">
        <f>+D701+D667+D658</f>
        <v>0</v>
      </c>
      <c r="E702" s="374">
        <f>+E701+E667+E658</f>
        <v>230000</v>
      </c>
      <c r="F702" s="374">
        <f>+F701+F667+F658</f>
        <v>318833</v>
      </c>
      <c r="G702" s="374">
        <f>+G701+G667+G658</f>
        <v>316050</v>
      </c>
      <c r="H702" s="374">
        <f>+H701+H667+H658</f>
        <v>2783</v>
      </c>
      <c r="I702" s="375">
        <f>IFERROR(F702/E702,"-")</f>
        <v>1.3862304347826087</v>
      </c>
      <c r="J702" s="374">
        <f>+J701+J667+J658</f>
        <v>3830909</v>
      </c>
      <c r="K702" s="374">
        <f>+K701+K667+K658</f>
        <v>3791218</v>
      </c>
      <c r="L702" s="374">
        <f>+L701+L667+L658</f>
        <v>39691</v>
      </c>
      <c r="M702" s="375" t="str">
        <f t="shared" si="592"/>
        <v>-</v>
      </c>
      <c r="N702" s="375">
        <f>IFERROR(L702/J702,"-")</f>
        <v>1.03607263967899E-2</v>
      </c>
      <c r="O702" s="401"/>
      <c r="P702" s="418">
        <f>+P701+P667+P658</f>
        <v>2508645.3450000002</v>
      </c>
      <c r="Q702" s="418">
        <f>+Q701+Q667+Q658</f>
        <v>22489637.842900001</v>
      </c>
    </row>
    <row r="703" spans="1:17" ht="14.4" thickBot="1" x14ac:dyDescent="0.35"/>
    <row r="704" spans="1:17" ht="23.4" x14ac:dyDescent="0.3">
      <c r="A704" s="1115" t="s">
        <v>1</v>
      </c>
      <c r="B704" s="1118" t="s">
        <v>2</v>
      </c>
      <c r="C704" s="1121" t="s">
        <v>396</v>
      </c>
      <c r="D704" s="1066" t="s">
        <v>4</v>
      </c>
      <c r="E704" s="1067"/>
      <c r="F704" s="1067"/>
      <c r="G704" s="1067"/>
      <c r="H704" s="1067"/>
      <c r="I704" s="1067"/>
      <c r="J704" s="1067"/>
      <c r="K704" s="1067"/>
      <c r="L704" s="1067"/>
      <c r="M704" s="1067"/>
      <c r="N704" s="1068"/>
      <c r="O704" s="1092" t="s">
        <v>167</v>
      </c>
      <c r="P704" s="1093"/>
      <c r="Q704" s="1124"/>
    </row>
    <row r="705" spans="1:17" ht="23.4" x14ac:dyDescent="0.3">
      <c r="A705" s="1116"/>
      <c r="B705" s="1119"/>
      <c r="C705" s="1122"/>
      <c r="D705" s="1069" t="s">
        <v>7</v>
      </c>
      <c r="E705" s="1071" t="s">
        <v>108</v>
      </c>
      <c r="F705" s="1125" t="s">
        <v>557</v>
      </c>
      <c r="G705" s="1074"/>
      <c r="H705" s="1074"/>
      <c r="I705" s="1075"/>
      <c r="J705" s="1076" t="s">
        <v>8</v>
      </c>
      <c r="K705" s="1077"/>
      <c r="L705" s="1078"/>
      <c r="M705" s="1079" t="s">
        <v>165</v>
      </c>
      <c r="N705" s="1081" t="s">
        <v>164</v>
      </c>
      <c r="O705" s="1126" t="s">
        <v>169</v>
      </c>
      <c r="P705" s="1127"/>
      <c r="Q705" s="1128"/>
    </row>
    <row r="706" spans="1:17" ht="47.4" thickBot="1" x14ac:dyDescent="0.35">
      <c r="A706" s="1117"/>
      <c r="B706" s="1120"/>
      <c r="C706" s="1123"/>
      <c r="D706" s="1070"/>
      <c r="E706" s="1072"/>
      <c r="F706" s="452" t="s">
        <v>13</v>
      </c>
      <c r="G706" s="453" t="s">
        <v>14</v>
      </c>
      <c r="H706" s="453" t="s">
        <v>15</v>
      </c>
      <c r="I706" s="454" t="s">
        <v>166</v>
      </c>
      <c r="J706" s="680" t="s">
        <v>13</v>
      </c>
      <c r="K706" s="678" t="s">
        <v>14</v>
      </c>
      <c r="L706" s="679" t="s">
        <v>15</v>
      </c>
      <c r="M706" s="1080"/>
      <c r="N706" s="1082"/>
      <c r="O706" s="444" t="s">
        <v>170</v>
      </c>
      <c r="P706" s="445" t="s">
        <v>11</v>
      </c>
      <c r="Q706" s="446" t="s">
        <v>12</v>
      </c>
    </row>
    <row r="707" spans="1:17" ht="24" thickBot="1" x14ac:dyDescent="0.35">
      <c r="A707" s="268" t="s">
        <v>103</v>
      </c>
      <c r="B707" s="439"/>
      <c r="C707" s="269" t="s">
        <v>502</v>
      </c>
      <c r="D707" s="270"/>
      <c r="E707" s="271"/>
      <c r="F707" s="332">
        <f>+G707+H707</f>
        <v>0</v>
      </c>
      <c r="G707" s="272">
        <v>0</v>
      </c>
      <c r="H707" s="272">
        <v>0</v>
      </c>
      <c r="I707" s="351" t="str">
        <f>IFERROR(F707/E707,"-")</f>
        <v>-</v>
      </c>
      <c r="J707" s="457">
        <f>+K707+L707</f>
        <v>128000</v>
      </c>
      <c r="K707" s="458">
        <f>+G707+K644</f>
        <v>128000</v>
      </c>
      <c r="L707" s="458">
        <f>+H707+L644</f>
        <v>0</v>
      </c>
      <c r="M707" s="336" t="str">
        <f>IFERROR(J707/D707,"-")</f>
        <v>-</v>
      </c>
      <c r="N707" s="343">
        <f t="shared" ref="N707:N709" si="598">IFERROR(L707/J707,"-")</f>
        <v>0</v>
      </c>
      <c r="O707" s="786">
        <v>0</v>
      </c>
      <c r="P707" s="402">
        <f>+O707*G707</f>
        <v>0</v>
      </c>
      <c r="Q707" s="447">
        <f>+O707*K707</f>
        <v>0</v>
      </c>
    </row>
    <row r="708" spans="1:17" ht="23.4" x14ac:dyDescent="0.3">
      <c r="A708" s="274"/>
      <c r="B708" s="439"/>
      <c r="C708" s="269" t="s">
        <v>586</v>
      </c>
      <c r="D708" s="270"/>
      <c r="E708" s="271"/>
      <c r="F708" s="332"/>
      <c r="G708" s="272">
        <v>34720</v>
      </c>
      <c r="H708" s="272">
        <v>14000</v>
      </c>
      <c r="I708" s="351"/>
      <c r="J708" s="457">
        <f>+K708+L708</f>
        <v>48720</v>
      </c>
      <c r="K708" s="458">
        <f>+G708</f>
        <v>34720</v>
      </c>
      <c r="L708" s="458">
        <f>+H708</f>
        <v>14000</v>
      </c>
      <c r="M708" s="336"/>
      <c r="N708" s="343">
        <f t="shared" si="598"/>
        <v>0.28735632183908044</v>
      </c>
      <c r="O708" s="786">
        <v>0</v>
      </c>
      <c r="P708" s="402">
        <f>+O708*G708</f>
        <v>0</v>
      </c>
      <c r="Q708" s="447">
        <f>+O708*K708</f>
        <v>0</v>
      </c>
    </row>
    <row r="709" spans="1:17" ht="23.4" x14ac:dyDescent="0.3">
      <c r="A709" s="274" t="s">
        <v>103</v>
      </c>
      <c r="B709" s="438"/>
      <c r="C709" s="275" t="s">
        <v>245</v>
      </c>
      <c r="D709" s="276"/>
      <c r="E709" s="277"/>
      <c r="F709" s="333">
        <f t="shared" ref="F709:F712" si="599">+G709+H709</f>
        <v>0</v>
      </c>
      <c r="G709" s="719"/>
      <c r="H709" s="719"/>
      <c r="I709" s="351" t="str">
        <f t="shared" ref="I709:I712" si="600">IFERROR(F709/E709,"-")</f>
        <v>-</v>
      </c>
      <c r="J709" s="333">
        <f t="shared" ref="J709:J712" si="601">+K709+L709</f>
        <v>115874</v>
      </c>
      <c r="K709" s="278">
        <f t="shared" ref="K709:L712" si="602">+G709+K645</f>
        <v>115000</v>
      </c>
      <c r="L709" s="436">
        <f t="shared" si="602"/>
        <v>874</v>
      </c>
      <c r="M709" s="337" t="str">
        <f t="shared" ref="M709:M712" si="603">IFERROR(J709/D709,"-")</f>
        <v>-</v>
      </c>
      <c r="N709" s="265">
        <f t="shared" si="598"/>
        <v>7.5426756649464074E-3</v>
      </c>
      <c r="O709" s="508">
        <v>2.3978999999999999</v>
      </c>
      <c r="P709" s="404">
        <f>+O709*G709</f>
        <v>0</v>
      </c>
      <c r="Q709" s="449">
        <f>+O709*K709</f>
        <v>275758.5</v>
      </c>
    </row>
    <row r="710" spans="1:17" ht="23.4" x14ac:dyDescent="0.3">
      <c r="A710" s="274" t="s">
        <v>103</v>
      </c>
      <c r="B710" s="438"/>
      <c r="C710" s="275" t="s">
        <v>395</v>
      </c>
      <c r="D710" s="276"/>
      <c r="E710" s="277"/>
      <c r="F710" s="333">
        <f t="shared" si="599"/>
        <v>34762</v>
      </c>
      <c r="G710" s="278">
        <v>34000</v>
      </c>
      <c r="H710" s="719">
        <v>762</v>
      </c>
      <c r="I710" s="351" t="str">
        <f t="shared" si="600"/>
        <v>-</v>
      </c>
      <c r="J710" s="333">
        <f t="shared" si="601"/>
        <v>828767</v>
      </c>
      <c r="K710" s="278">
        <f t="shared" si="602"/>
        <v>821000</v>
      </c>
      <c r="L710" s="436">
        <f t="shared" si="602"/>
        <v>7767</v>
      </c>
      <c r="M710" s="337" t="str">
        <f t="shared" si="603"/>
        <v>-</v>
      </c>
      <c r="N710" s="716">
        <f>IFERROR(L710/J710,"-")</f>
        <v>9.3717534602608451E-3</v>
      </c>
      <c r="O710" s="718">
        <v>3.6777000000000002</v>
      </c>
      <c r="P710" s="404">
        <f t="shared" ref="P710:P712" si="604">+O710*G710</f>
        <v>125041.8</v>
      </c>
      <c r="Q710" s="449">
        <f t="shared" ref="Q710:Q712" si="605">+O710*K710</f>
        <v>3019391.7</v>
      </c>
    </row>
    <row r="711" spans="1:17" ht="23.4" x14ac:dyDescent="0.3">
      <c r="A711" s="274"/>
      <c r="B711" s="451"/>
      <c r="C711" s="275" t="s">
        <v>319</v>
      </c>
      <c r="D711" s="280"/>
      <c r="E711" s="281"/>
      <c r="F711" s="333">
        <f t="shared" si="599"/>
        <v>20215</v>
      </c>
      <c r="G711" s="282">
        <v>20000</v>
      </c>
      <c r="H711" s="282">
        <v>215</v>
      </c>
      <c r="I711" s="351" t="str">
        <f t="shared" si="600"/>
        <v>-</v>
      </c>
      <c r="J711" s="333">
        <f t="shared" si="601"/>
        <v>434562</v>
      </c>
      <c r="K711" s="278">
        <f t="shared" si="602"/>
        <v>428800</v>
      </c>
      <c r="L711" s="436">
        <f t="shared" si="602"/>
        <v>5762</v>
      </c>
      <c r="M711" s="337" t="str">
        <f t="shared" si="603"/>
        <v>-</v>
      </c>
      <c r="N711" s="265">
        <f>IFERROR(L711/J711,"-")</f>
        <v>1.3259327782917052E-2</v>
      </c>
      <c r="O711" s="509">
        <v>12.284700000000001</v>
      </c>
      <c r="P711" s="404">
        <f t="shared" si="604"/>
        <v>245694.00000000003</v>
      </c>
      <c r="Q711" s="449">
        <f t="shared" si="605"/>
        <v>5267679.3600000003</v>
      </c>
    </row>
    <row r="712" spans="1:17" ht="24" thickBot="1" x14ac:dyDescent="0.35">
      <c r="A712" s="274" t="s">
        <v>103</v>
      </c>
      <c r="B712" s="451"/>
      <c r="C712" s="275" t="s">
        <v>365</v>
      </c>
      <c r="D712" s="280"/>
      <c r="E712" s="281"/>
      <c r="F712" s="334">
        <f t="shared" si="599"/>
        <v>0</v>
      </c>
      <c r="G712" s="282"/>
      <c r="H712" s="282"/>
      <c r="I712" s="351" t="str">
        <f t="shared" si="600"/>
        <v>-</v>
      </c>
      <c r="J712" s="460">
        <f t="shared" si="601"/>
        <v>45034</v>
      </c>
      <c r="K712" s="461">
        <f t="shared" si="602"/>
        <v>44250</v>
      </c>
      <c r="L712" s="462">
        <f t="shared" si="602"/>
        <v>784</v>
      </c>
      <c r="M712" s="338" t="str">
        <f t="shared" si="603"/>
        <v>-</v>
      </c>
      <c r="N712" s="344">
        <f t="shared" ref="N712:N724" si="606">IFERROR(L712/J712,"-")</f>
        <v>1.7409068703646134E-2</v>
      </c>
      <c r="O712" s="718">
        <v>7.0612000000000004</v>
      </c>
      <c r="P712" s="405">
        <f t="shared" si="604"/>
        <v>0</v>
      </c>
      <c r="Q712" s="450">
        <f t="shared" si="605"/>
        <v>312458.10000000003</v>
      </c>
    </row>
    <row r="713" spans="1:17" ht="24" thickBot="1" x14ac:dyDescent="0.35">
      <c r="A713" s="274" t="s">
        <v>103</v>
      </c>
      <c r="B713" s="1109" t="s">
        <v>21</v>
      </c>
      <c r="C713" s="1046"/>
      <c r="D713" s="320">
        <f>SUM(D707:D712)</f>
        <v>0</v>
      </c>
      <c r="E713" s="285">
        <v>15000</v>
      </c>
      <c r="F713" s="320">
        <f>SUM(F707:F712)</f>
        <v>54977</v>
      </c>
      <c r="G713" s="321">
        <f>SUM(G707:G712)</f>
        <v>88720</v>
      </c>
      <c r="H713" s="321">
        <f>SUM(H707:H712)</f>
        <v>14977</v>
      </c>
      <c r="I713" s="345">
        <f>IFERROR(F713/E713,"-")</f>
        <v>3.6651333333333334</v>
      </c>
      <c r="J713" s="320">
        <f>SUM(J707:J712)</f>
        <v>1600957</v>
      </c>
      <c r="K713" s="321">
        <f>SUM(K707:K712)</f>
        <v>1571770</v>
      </c>
      <c r="L713" s="322">
        <f>SUM(L707:L712)</f>
        <v>29187</v>
      </c>
      <c r="M713" s="339" t="str">
        <f>IFERROR(J713/D713,"-")</f>
        <v>-</v>
      </c>
      <c r="N713" s="345">
        <f t="shared" si="606"/>
        <v>1.823097060070945E-2</v>
      </c>
      <c r="O713" s="391"/>
      <c r="P713" s="406">
        <f>SUM(P707:P712)</f>
        <v>370735.80000000005</v>
      </c>
      <c r="Q713" s="425">
        <f>SUM(Q707:Q712)</f>
        <v>8875287.6600000001</v>
      </c>
    </row>
    <row r="714" spans="1:17" ht="23.4" x14ac:dyDescent="0.3">
      <c r="A714" s="274" t="s">
        <v>103</v>
      </c>
      <c r="B714" s="439"/>
      <c r="C714" s="269" t="s">
        <v>244</v>
      </c>
      <c r="D714" s="270"/>
      <c r="E714" s="271"/>
      <c r="F714" s="332">
        <f t="shared" ref="F714:F720" si="607">+G714+H714</f>
        <v>0</v>
      </c>
      <c r="G714" s="272"/>
      <c r="H714" s="272"/>
      <c r="I714" s="351" t="str">
        <f>IFERROR(F714/E714,"-")</f>
        <v>-</v>
      </c>
      <c r="J714" s="457">
        <f t="shared" ref="J714:J720" si="608">+K714+L714</f>
        <v>0</v>
      </c>
      <c r="K714" s="458">
        <f t="shared" ref="K714:L720" si="609">+G714+K650</f>
        <v>0</v>
      </c>
      <c r="L714" s="459">
        <f t="shared" si="609"/>
        <v>0</v>
      </c>
      <c r="M714" s="336" t="str">
        <f t="shared" ref="M714:M722" si="610">IFERROR(J714/D714,"-")</f>
        <v>-</v>
      </c>
      <c r="N714" s="346" t="str">
        <f t="shared" si="606"/>
        <v>-</v>
      </c>
      <c r="O714" s="507">
        <v>18.2316</v>
      </c>
      <c r="P714" s="402">
        <f t="shared" ref="P714:P720" si="611">+O714*G714</f>
        <v>0</v>
      </c>
      <c r="Q714" s="447">
        <f t="shared" ref="Q714:Q720" si="612">+O714*K714</f>
        <v>0</v>
      </c>
    </row>
    <row r="715" spans="1:17" ht="23.4" x14ac:dyDescent="0.3">
      <c r="A715" s="274" t="s">
        <v>103</v>
      </c>
      <c r="B715" s="438"/>
      <c r="C715" s="275" t="s">
        <v>89</v>
      </c>
      <c r="D715" s="276"/>
      <c r="E715" s="277"/>
      <c r="F715" s="333">
        <f t="shared" si="607"/>
        <v>0</v>
      </c>
      <c r="G715" s="278"/>
      <c r="H715" s="278"/>
      <c r="I715" s="351" t="str">
        <f t="shared" ref="I715:I720" si="613">IFERROR(F715/E715,"-")</f>
        <v>-</v>
      </c>
      <c r="J715" s="333">
        <f t="shared" si="608"/>
        <v>120000</v>
      </c>
      <c r="K715" s="278">
        <f t="shared" si="609"/>
        <v>120000</v>
      </c>
      <c r="L715" s="436">
        <f t="shared" si="609"/>
        <v>0</v>
      </c>
      <c r="M715" s="337" t="str">
        <f t="shared" si="610"/>
        <v>-</v>
      </c>
      <c r="N715" s="263">
        <f t="shared" si="606"/>
        <v>0</v>
      </c>
      <c r="O715" s="508">
        <v>1.2824</v>
      </c>
      <c r="P715" s="404">
        <f t="shared" si="611"/>
        <v>0</v>
      </c>
      <c r="Q715" s="449">
        <f t="shared" si="612"/>
        <v>153888</v>
      </c>
    </row>
    <row r="716" spans="1:17" ht="23.4" x14ac:dyDescent="0.3">
      <c r="A716" s="274" t="s">
        <v>103</v>
      </c>
      <c r="B716" s="438"/>
      <c r="C716" s="275" t="s">
        <v>300</v>
      </c>
      <c r="D716" s="276"/>
      <c r="E716" s="277"/>
      <c r="F716" s="333">
        <f t="shared" si="607"/>
        <v>0</v>
      </c>
      <c r="G716" s="278"/>
      <c r="H716" s="278"/>
      <c r="I716" s="351" t="str">
        <f t="shared" si="613"/>
        <v>-</v>
      </c>
      <c r="J716" s="333">
        <f t="shared" si="608"/>
        <v>0</v>
      </c>
      <c r="K716" s="278">
        <f t="shared" si="609"/>
        <v>0</v>
      </c>
      <c r="L716" s="436">
        <f t="shared" si="609"/>
        <v>0</v>
      </c>
      <c r="M716" s="337" t="str">
        <f t="shared" si="610"/>
        <v>-</v>
      </c>
      <c r="N716" s="263" t="str">
        <f t="shared" si="606"/>
        <v>-</v>
      </c>
      <c r="O716" s="710">
        <v>5.7342000000000004</v>
      </c>
      <c r="P716" s="404">
        <f t="shared" si="611"/>
        <v>0</v>
      </c>
      <c r="Q716" s="449">
        <f t="shared" si="612"/>
        <v>0</v>
      </c>
    </row>
    <row r="717" spans="1:17" ht="23.4" x14ac:dyDescent="0.3">
      <c r="A717" s="274" t="s">
        <v>103</v>
      </c>
      <c r="B717" s="438"/>
      <c r="C717" s="275" t="s">
        <v>314</v>
      </c>
      <c r="D717" s="276"/>
      <c r="E717" s="277"/>
      <c r="F717" s="333">
        <f t="shared" si="607"/>
        <v>0</v>
      </c>
      <c r="G717" s="278"/>
      <c r="H717" s="278"/>
      <c r="I717" s="351" t="str">
        <f t="shared" si="613"/>
        <v>-</v>
      </c>
      <c r="J717" s="333">
        <f t="shared" si="608"/>
        <v>0</v>
      </c>
      <c r="K717" s="278">
        <f t="shared" si="609"/>
        <v>0</v>
      </c>
      <c r="L717" s="436">
        <f t="shared" si="609"/>
        <v>0</v>
      </c>
      <c r="M717" s="337" t="str">
        <f t="shared" si="610"/>
        <v>-</v>
      </c>
      <c r="N717" s="263" t="str">
        <f t="shared" si="606"/>
        <v>-</v>
      </c>
      <c r="O717" s="508"/>
      <c r="P717" s="404">
        <f t="shared" si="611"/>
        <v>0</v>
      </c>
      <c r="Q717" s="449">
        <f t="shared" si="612"/>
        <v>0</v>
      </c>
    </row>
    <row r="718" spans="1:17" ht="23.4" x14ac:dyDescent="0.3">
      <c r="A718" s="274" t="s">
        <v>103</v>
      </c>
      <c r="B718" s="438"/>
      <c r="C718" s="275" t="s">
        <v>320</v>
      </c>
      <c r="D718" s="276"/>
      <c r="E718" s="277"/>
      <c r="F718" s="333">
        <f t="shared" si="607"/>
        <v>9095</v>
      </c>
      <c r="G718" s="278">
        <v>9000</v>
      </c>
      <c r="H718" s="278">
        <v>95</v>
      </c>
      <c r="I718" s="351" t="str">
        <f t="shared" si="613"/>
        <v>-</v>
      </c>
      <c r="J718" s="333">
        <f t="shared" si="608"/>
        <v>102814</v>
      </c>
      <c r="K718" s="278">
        <f t="shared" si="609"/>
        <v>102400</v>
      </c>
      <c r="L718" s="436">
        <f t="shared" si="609"/>
        <v>414</v>
      </c>
      <c r="M718" s="337" t="str">
        <f t="shared" si="610"/>
        <v>-</v>
      </c>
      <c r="N718" s="263">
        <f t="shared" si="606"/>
        <v>4.0266889723189446E-3</v>
      </c>
      <c r="O718" s="508">
        <v>12.029500000000001</v>
      </c>
      <c r="P718" s="404">
        <f t="shared" si="611"/>
        <v>108265.5</v>
      </c>
      <c r="Q718" s="449">
        <f t="shared" si="612"/>
        <v>1231820.8</v>
      </c>
    </row>
    <row r="719" spans="1:17" ht="23.4" x14ac:dyDescent="0.3">
      <c r="A719" s="274" t="s">
        <v>103</v>
      </c>
      <c r="B719" s="438"/>
      <c r="C719" s="275"/>
      <c r="D719" s="276"/>
      <c r="E719" s="277"/>
      <c r="F719" s="333">
        <f t="shared" si="607"/>
        <v>0</v>
      </c>
      <c r="G719" s="278"/>
      <c r="H719" s="278"/>
      <c r="I719" s="351" t="str">
        <f t="shared" si="613"/>
        <v>-</v>
      </c>
      <c r="J719" s="333">
        <f t="shared" si="608"/>
        <v>0</v>
      </c>
      <c r="K719" s="278">
        <f t="shared" si="609"/>
        <v>0</v>
      </c>
      <c r="L719" s="436">
        <f t="shared" si="609"/>
        <v>0</v>
      </c>
      <c r="M719" s="337" t="str">
        <f t="shared" si="610"/>
        <v>-</v>
      </c>
      <c r="N719" s="263" t="str">
        <f t="shared" si="606"/>
        <v>-</v>
      </c>
      <c r="O719" s="508"/>
      <c r="P719" s="404">
        <f t="shared" si="611"/>
        <v>0</v>
      </c>
      <c r="Q719" s="449">
        <f t="shared" si="612"/>
        <v>0</v>
      </c>
    </row>
    <row r="720" spans="1:17" ht="24" thickBot="1" x14ac:dyDescent="0.35">
      <c r="A720" s="274" t="s">
        <v>103</v>
      </c>
      <c r="B720" s="451"/>
      <c r="C720" s="279"/>
      <c r="D720" s="280">
        <v>0</v>
      </c>
      <c r="E720" s="281"/>
      <c r="F720" s="334">
        <f t="shared" si="607"/>
        <v>0</v>
      </c>
      <c r="G720" s="282"/>
      <c r="H720" s="282"/>
      <c r="I720" s="351" t="str">
        <f t="shared" si="613"/>
        <v>-</v>
      </c>
      <c r="J720" s="460">
        <f t="shared" si="608"/>
        <v>0</v>
      </c>
      <c r="K720" s="461">
        <f t="shared" si="609"/>
        <v>0</v>
      </c>
      <c r="L720" s="462">
        <f t="shared" si="609"/>
        <v>0</v>
      </c>
      <c r="M720" s="338" t="str">
        <f t="shared" si="610"/>
        <v>-</v>
      </c>
      <c r="N720" s="347" t="str">
        <f t="shared" si="606"/>
        <v>-</v>
      </c>
      <c r="O720" s="509"/>
      <c r="P720" s="405">
        <f t="shared" si="611"/>
        <v>0</v>
      </c>
      <c r="Q720" s="450">
        <f t="shared" si="612"/>
        <v>0</v>
      </c>
    </row>
    <row r="721" spans="1:17" ht="24" thickBot="1" x14ac:dyDescent="0.35">
      <c r="A721" s="274" t="s">
        <v>103</v>
      </c>
      <c r="B721" s="1109" t="s">
        <v>25</v>
      </c>
      <c r="C721" s="1046"/>
      <c r="D721" s="320">
        <f t="shared" ref="D721" si="614">SUM(D714:D720)</f>
        <v>0</v>
      </c>
      <c r="E721" s="285">
        <v>100000</v>
      </c>
      <c r="F721" s="320">
        <f>SUM(F714:F720)</f>
        <v>9095</v>
      </c>
      <c r="G721" s="321">
        <f t="shared" ref="G721:H721" si="615">SUM(G714:G720)</f>
        <v>9000</v>
      </c>
      <c r="H721" s="321">
        <f t="shared" si="615"/>
        <v>95</v>
      </c>
      <c r="I721" s="345">
        <f>IFERROR(F721/E721,"-")</f>
        <v>9.0950000000000003E-2</v>
      </c>
      <c r="J721" s="320">
        <f t="shared" ref="J721:L721" si="616">SUM(J714:J720)</f>
        <v>222814</v>
      </c>
      <c r="K721" s="321">
        <f t="shared" si="616"/>
        <v>222400</v>
      </c>
      <c r="L721" s="322">
        <f t="shared" si="616"/>
        <v>414</v>
      </c>
      <c r="M721" s="339" t="str">
        <f t="shared" si="610"/>
        <v>-</v>
      </c>
      <c r="N721" s="345">
        <f t="shared" si="606"/>
        <v>1.8580520075040167E-3</v>
      </c>
      <c r="O721" s="391"/>
      <c r="P721" s="406">
        <f t="shared" ref="P721:Q721" si="617">SUM(P714:P720)</f>
        <v>108265.5</v>
      </c>
      <c r="Q721" s="425">
        <f t="shared" si="617"/>
        <v>1385708.8</v>
      </c>
    </row>
    <row r="722" spans="1:17" ht="24" thickBot="1" x14ac:dyDescent="0.35">
      <c r="A722" s="274" t="s">
        <v>103</v>
      </c>
      <c r="B722" s="1111" t="s">
        <v>172</v>
      </c>
      <c r="C722" s="1112"/>
      <c r="D722" s="326">
        <f>+D713+D721</f>
        <v>0</v>
      </c>
      <c r="E722" s="327">
        <f t="shared" ref="E722:H722" si="618">+E713+E721</f>
        <v>115000</v>
      </c>
      <c r="F722" s="512">
        <f t="shared" si="618"/>
        <v>64072</v>
      </c>
      <c r="G722" s="514">
        <f t="shared" si="618"/>
        <v>97720</v>
      </c>
      <c r="H722" s="514">
        <f t="shared" si="618"/>
        <v>15072</v>
      </c>
      <c r="I722" s="515">
        <f>IFERROR(F722/E722,"-")</f>
        <v>0.55714782608695657</v>
      </c>
      <c r="J722" s="326">
        <f t="shared" ref="J722:L722" si="619">+J713+J721</f>
        <v>1823771</v>
      </c>
      <c r="K722" s="324">
        <f t="shared" si="619"/>
        <v>1794170</v>
      </c>
      <c r="L722" s="325">
        <f t="shared" si="619"/>
        <v>29601</v>
      </c>
      <c r="M722" s="341" t="str">
        <f t="shared" si="610"/>
        <v>-</v>
      </c>
      <c r="N722" s="349">
        <f t="shared" si="606"/>
        <v>1.6230656151457613E-2</v>
      </c>
      <c r="O722" s="394"/>
      <c r="P722" s="410">
        <f t="shared" ref="P722:Q722" si="620">+P713+P721</f>
        <v>479001.30000000005</v>
      </c>
      <c r="Q722" s="428">
        <f t="shared" si="620"/>
        <v>10260996.460000001</v>
      </c>
    </row>
    <row r="723" spans="1:17" ht="23.4" x14ac:dyDescent="0.3">
      <c r="A723" s="244" t="s">
        <v>101</v>
      </c>
      <c r="B723" s="581"/>
      <c r="C723" s="582" t="s">
        <v>283</v>
      </c>
      <c r="D723" s="527"/>
      <c r="E723" s="459"/>
      <c r="F723" s="457">
        <f>+G723+H723</f>
        <v>0</v>
      </c>
      <c r="G723" s="458"/>
      <c r="H723" s="838"/>
      <c r="I723" s="531" t="str">
        <f>IFERROR(F723/E723,"-")</f>
        <v>-</v>
      </c>
      <c r="J723" s="644">
        <f>+K723+L723</f>
        <v>0</v>
      </c>
      <c r="K723" s="458">
        <f t="shared" ref="K723:L729" si="621">+G723+K659</f>
        <v>0</v>
      </c>
      <c r="L723" s="459">
        <f t="shared" si="621"/>
        <v>0</v>
      </c>
      <c r="M723" s="586" t="str">
        <f>IFERROR(J723/D723,"-")</f>
        <v>-</v>
      </c>
      <c r="N723" s="533" t="str">
        <f t="shared" si="606"/>
        <v>-</v>
      </c>
      <c r="O723" s="628">
        <v>4.8285999999999998</v>
      </c>
      <c r="P723" s="534">
        <f t="shared" ref="P723:P729" si="622">+O723*G723</f>
        <v>0</v>
      </c>
      <c r="Q723" s="535">
        <f t="shared" ref="Q723:Q729" si="623">+O723*K723</f>
        <v>0</v>
      </c>
    </row>
    <row r="724" spans="1:17" ht="23.4" x14ac:dyDescent="0.3">
      <c r="A724" s="248" t="s">
        <v>101</v>
      </c>
      <c r="B724" s="583"/>
      <c r="C724" s="275" t="s">
        <v>284</v>
      </c>
      <c r="D724" s="276"/>
      <c r="E724" s="436"/>
      <c r="F724" s="333">
        <f t="shared" ref="F724:F729" si="624">+G724+H724</f>
        <v>0</v>
      </c>
      <c r="G724" s="278"/>
      <c r="H724" s="277"/>
      <c r="I724" s="352" t="str">
        <f t="shared" ref="I724:I729" si="625">IFERROR(F724/E724,"-")</f>
        <v>-</v>
      </c>
      <c r="J724" s="874">
        <f t="shared" ref="J724:J729" si="626">+K724+L724</f>
        <v>0</v>
      </c>
      <c r="K724" s="278">
        <f t="shared" si="621"/>
        <v>0</v>
      </c>
      <c r="L724" s="436">
        <f t="shared" si="621"/>
        <v>0</v>
      </c>
      <c r="M724" s="337" t="str">
        <f t="shared" ref="M724:M729" si="627">IFERROR(J724/D724,"-")</f>
        <v>-</v>
      </c>
      <c r="N724" s="265" t="str">
        <f t="shared" si="606"/>
        <v>-</v>
      </c>
      <c r="O724" s="629">
        <v>1.4086000000000001</v>
      </c>
      <c r="P724" s="404">
        <f t="shared" si="622"/>
        <v>0</v>
      </c>
      <c r="Q724" s="449">
        <f t="shared" si="623"/>
        <v>0</v>
      </c>
    </row>
    <row r="725" spans="1:17" ht="23.4" x14ac:dyDescent="0.3">
      <c r="A725" s="248" t="s">
        <v>101</v>
      </c>
      <c r="B725" s="583"/>
      <c r="C725" s="275" t="s">
        <v>315</v>
      </c>
      <c r="D725" s="276"/>
      <c r="E725" s="436"/>
      <c r="F725" s="333">
        <f t="shared" si="624"/>
        <v>0</v>
      </c>
      <c r="G725" s="278"/>
      <c r="H725" s="277"/>
      <c r="I725" s="352" t="str">
        <f t="shared" si="625"/>
        <v>-</v>
      </c>
      <c r="J725" s="874">
        <f t="shared" si="626"/>
        <v>0</v>
      </c>
      <c r="K725" s="278">
        <f t="shared" si="621"/>
        <v>0</v>
      </c>
      <c r="L725" s="436">
        <f t="shared" si="621"/>
        <v>0</v>
      </c>
      <c r="M725" s="337" t="str">
        <f t="shared" si="627"/>
        <v>-</v>
      </c>
      <c r="N725" s="265" t="str">
        <f>IFERROR(L725/J725,"-")</f>
        <v>-</v>
      </c>
      <c r="O725" s="629">
        <v>2.2141000000000002</v>
      </c>
      <c r="P725" s="404">
        <f t="shared" si="622"/>
        <v>0</v>
      </c>
      <c r="Q725" s="449">
        <f t="shared" si="623"/>
        <v>0</v>
      </c>
    </row>
    <row r="726" spans="1:17" ht="23.4" x14ac:dyDescent="0.3">
      <c r="A726" s="248" t="s">
        <v>101</v>
      </c>
      <c r="B726" s="584"/>
      <c r="C726" s="275" t="s">
        <v>447</v>
      </c>
      <c r="D726" s="280"/>
      <c r="E726" s="528"/>
      <c r="F726" s="334">
        <f t="shared" si="624"/>
        <v>101048</v>
      </c>
      <c r="G726" s="282">
        <v>100000</v>
      </c>
      <c r="H726" s="281">
        <v>1048</v>
      </c>
      <c r="I726" s="352" t="str">
        <f t="shared" si="625"/>
        <v>-</v>
      </c>
      <c r="J726" s="874">
        <f t="shared" si="626"/>
        <v>646416</v>
      </c>
      <c r="K726" s="278">
        <f t="shared" si="621"/>
        <v>638000</v>
      </c>
      <c r="L726" s="436">
        <f t="shared" si="621"/>
        <v>8416</v>
      </c>
      <c r="M726" s="338" t="str">
        <f t="shared" si="627"/>
        <v>-</v>
      </c>
      <c r="N726" s="344">
        <f t="shared" ref="N726:N733" si="628">IFERROR(L726/J726,"-")</f>
        <v>1.3019479715848617E-2</v>
      </c>
      <c r="O726" s="629">
        <v>2.2141000000000002</v>
      </c>
      <c r="P726" s="405">
        <f t="shared" si="622"/>
        <v>221410.00000000003</v>
      </c>
      <c r="Q726" s="450">
        <f t="shared" si="623"/>
        <v>1412595.8</v>
      </c>
    </row>
    <row r="727" spans="1:17" ht="23.4" x14ac:dyDescent="0.3">
      <c r="A727" s="248" t="s">
        <v>101</v>
      </c>
      <c r="B727" s="440"/>
      <c r="C727" s="627" t="s">
        <v>353</v>
      </c>
      <c r="D727" s="510"/>
      <c r="E727" s="529"/>
      <c r="F727" s="333">
        <f t="shared" si="624"/>
        <v>0</v>
      </c>
      <c r="G727" s="547"/>
      <c r="H727" s="873"/>
      <c r="I727" s="352" t="str">
        <f t="shared" si="625"/>
        <v>-</v>
      </c>
      <c r="J727" s="874">
        <f t="shared" si="626"/>
        <v>0</v>
      </c>
      <c r="K727" s="278">
        <f t="shared" si="621"/>
        <v>0</v>
      </c>
      <c r="L727" s="436">
        <f t="shared" si="621"/>
        <v>0</v>
      </c>
      <c r="M727" s="338" t="str">
        <f t="shared" si="627"/>
        <v>-</v>
      </c>
      <c r="N727" s="265" t="str">
        <f t="shared" si="628"/>
        <v>-</v>
      </c>
      <c r="O727" s="540">
        <v>4.8285999999999998</v>
      </c>
      <c r="P727" s="404">
        <f t="shared" si="622"/>
        <v>0</v>
      </c>
      <c r="Q727" s="449">
        <f t="shared" si="623"/>
        <v>0</v>
      </c>
    </row>
    <row r="728" spans="1:17" ht="23.4" x14ac:dyDescent="0.3">
      <c r="A728" s="248" t="s">
        <v>101</v>
      </c>
      <c r="B728" s="585"/>
      <c r="C728" s="627" t="s">
        <v>349</v>
      </c>
      <c r="D728" s="270"/>
      <c r="E728" s="435"/>
      <c r="F728" s="332">
        <f t="shared" si="624"/>
        <v>0</v>
      </c>
      <c r="G728" s="272"/>
      <c r="H728" s="271"/>
      <c r="I728" s="352" t="str">
        <f t="shared" si="625"/>
        <v>-</v>
      </c>
      <c r="J728" s="874">
        <f t="shared" si="626"/>
        <v>17157</v>
      </c>
      <c r="K728" s="278">
        <f t="shared" si="621"/>
        <v>16250</v>
      </c>
      <c r="L728" s="436">
        <f t="shared" si="621"/>
        <v>907</v>
      </c>
      <c r="M728" s="336" t="str">
        <f t="shared" si="627"/>
        <v>-</v>
      </c>
      <c r="N728" s="346">
        <f t="shared" si="628"/>
        <v>5.2864719939383339E-2</v>
      </c>
      <c r="O728" s="507">
        <v>4.1712999999999996</v>
      </c>
      <c r="P728" s="402">
        <f t="shared" si="622"/>
        <v>0</v>
      </c>
      <c r="Q728" s="447">
        <f t="shared" si="623"/>
        <v>67783.625</v>
      </c>
    </row>
    <row r="729" spans="1:17" ht="24" thickBot="1" x14ac:dyDescent="0.35">
      <c r="A729" s="248" t="s">
        <v>101</v>
      </c>
      <c r="B729" s="583"/>
      <c r="C729" s="275"/>
      <c r="D729" s="276"/>
      <c r="E729" s="436"/>
      <c r="F729" s="460">
        <f t="shared" si="624"/>
        <v>0</v>
      </c>
      <c r="G729" s="461"/>
      <c r="H729" s="839"/>
      <c r="I729" s="532" t="str">
        <f t="shared" si="625"/>
        <v>-</v>
      </c>
      <c r="J729" s="875">
        <f t="shared" si="626"/>
        <v>0</v>
      </c>
      <c r="K729" s="461">
        <f t="shared" si="621"/>
        <v>0</v>
      </c>
      <c r="L729" s="462">
        <f t="shared" si="621"/>
        <v>0</v>
      </c>
      <c r="M729" s="337" t="str">
        <f t="shared" si="627"/>
        <v>-</v>
      </c>
      <c r="N729" s="263" t="str">
        <f t="shared" si="628"/>
        <v>-</v>
      </c>
      <c r="O729" s="448"/>
      <c r="P729" s="404">
        <f t="shared" si="622"/>
        <v>0</v>
      </c>
      <c r="Q729" s="449">
        <f t="shared" si="623"/>
        <v>0</v>
      </c>
    </row>
    <row r="730" spans="1:17" ht="24" thickBot="1" x14ac:dyDescent="0.35">
      <c r="A730" s="274" t="s">
        <v>101</v>
      </c>
      <c r="B730" s="1109" t="s">
        <v>21</v>
      </c>
      <c r="C730" s="1046"/>
      <c r="D730" s="320">
        <v>0</v>
      </c>
      <c r="E730" s="285">
        <v>15000</v>
      </c>
      <c r="F730" s="513">
        <f>SUM(F723:F729)</f>
        <v>101048</v>
      </c>
      <c r="G730" s="519">
        <f t="shared" ref="G730:H730" si="629">SUM(G723:G729)</f>
        <v>100000</v>
      </c>
      <c r="H730" s="519">
        <f t="shared" si="629"/>
        <v>1048</v>
      </c>
      <c r="I730" s="520">
        <f>IFERROR(F730/E730,"-")</f>
        <v>6.736533333333333</v>
      </c>
      <c r="J730" s="513">
        <f t="shared" ref="J730" si="630">SUM(J723:J729)</f>
        <v>663573</v>
      </c>
      <c r="K730" s="519">
        <f>SUM(K723:K729)</f>
        <v>654250</v>
      </c>
      <c r="L730" s="519">
        <f>SUM(L723:L729)</f>
        <v>9323</v>
      </c>
      <c r="M730" s="339" t="str">
        <f>IFERROR(J730/D730,"-")</f>
        <v>-</v>
      </c>
      <c r="N730" s="345">
        <f t="shared" si="628"/>
        <v>1.4049697621814027E-2</v>
      </c>
      <c r="O730" s="391"/>
      <c r="P730" s="406">
        <f>SUM(P723:P729)</f>
        <v>221410.00000000003</v>
      </c>
      <c r="Q730" s="425">
        <f>SUM(Q723:Q729)</f>
        <v>1480379.425</v>
      </c>
    </row>
    <row r="731" spans="1:17" ht="24" thickBot="1" x14ac:dyDescent="0.35">
      <c r="A731" s="274" t="s">
        <v>101</v>
      </c>
      <c r="B731" s="1111" t="s">
        <v>248</v>
      </c>
      <c r="C731" s="1112"/>
      <c r="D731" s="512">
        <f>+D727+D730</f>
        <v>0</v>
      </c>
      <c r="E731" s="525">
        <f>+E727+E730</f>
        <v>15000</v>
      </c>
      <c r="F731" s="512">
        <f>+F727+F730</f>
        <v>101048</v>
      </c>
      <c r="G731" s="514">
        <f>+G727+G730</f>
        <v>100000</v>
      </c>
      <c r="H731" s="514">
        <f>+H727+H730</f>
        <v>1048</v>
      </c>
      <c r="I731" s="515">
        <f>IFERROR(F731/E731,"-")</f>
        <v>6.736533333333333</v>
      </c>
      <c r="J731" s="512">
        <f>+J727+J730</f>
        <v>663573</v>
      </c>
      <c r="K731" s="514">
        <f>+K730</f>
        <v>654250</v>
      </c>
      <c r="L731" s="514">
        <f>+L730</f>
        <v>9323</v>
      </c>
      <c r="M731" s="516" t="str">
        <f t="shared" ref="M731" si="631">IFERROR(J731/D731,"-")</f>
        <v>-</v>
      </c>
      <c r="N731" s="515">
        <f t="shared" si="628"/>
        <v>1.4049697621814027E-2</v>
      </c>
      <c r="O731" s="517"/>
      <c r="P731" s="518">
        <f>+P730</f>
        <v>221410.00000000003</v>
      </c>
      <c r="Q731" s="518">
        <f>+Q730</f>
        <v>1480379.425</v>
      </c>
    </row>
    <row r="732" spans="1:17" ht="23.4" x14ac:dyDescent="0.4">
      <c r="A732" s="244" t="s">
        <v>101</v>
      </c>
      <c r="B732" s="1106" t="s">
        <v>250</v>
      </c>
      <c r="C732" s="542" t="s">
        <v>71</v>
      </c>
      <c r="D732" s="527"/>
      <c r="E732" s="459"/>
      <c r="F732" s="694">
        <f>+G732+H732</f>
        <v>0</v>
      </c>
      <c r="G732" s="527">
        <v>0</v>
      </c>
      <c r="H732" s="458">
        <v>0</v>
      </c>
      <c r="I732" s="531" t="str">
        <f>IFERROR(F732/E732,"-")</f>
        <v>-</v>
      </c>
      <c r="J732" s="644">
        <f>+K732+L732</f>
        <v>21178</v>
      </c>
      <c r="K732" s="458">
        <f t="shared" ref="K732:K763" si="632">+G732+K668</f>
        <v>21000</v>
      </c>
      <c r="L732" s="459">
        <f t="shared" ref="L732:L763" si="633">+H732+L668</f>
        <v>178</v>
      </c>
      <c r="M732" s="586" t="str">
        <f>IFERROR(J732/D732,"-")</f>
        <v>-</v>
      </c>
      <c r="N732" s="533">
        <f t="shared" si="628"/>
        <v>8.4049485314949476E-3</v>
      </c>
      <c r="O732" s="538">
        <v>32.946300000000001</v>
      </c>
      <c r="P732" s="534">
        <f t="shared" ref="P732:P763" si="634">+O732*G732</f>
        <v>0</v>
      </c>
      <c r="Q732" s="535">
        <f t="shared" ref="Q732:Q763" si="635">+O732*K732</f>
        <v>691872.3</v>
      </c>
    </row>
    <row r="733" spans="1:17" ht="23.4" x14ac:dyDescent="0.4">
      <c r="A733" s="248" t="s">
        <v>101</v>
      </c>
      <c r="B733" s="1107"/>
      <c r="C733" s="543" t="s">
        <v>72</v>
      </c>
      <c r="D733" s="511"/>
      <c r="E733" s="436"/>
      <c r="F733" s="690">
        <f t="shared" ref="F733:F763" si="636">+G733+H733</f>
        <v>0</v>
      </c>
      <c r="G733" s="276"/>
      <c r="H733" s="278"/>
      <c r="I733" s="352" t="str">
        <f t="shared" ref="I733:I763" si="637">IFERROR(F733/E733,"-")</f>
        <v>-</v>
      </c>
      <c r="J733" s="874">
        <f t="shared" ref="J733:J763" si="638">+K733+L733</f>
        <v>10595</v>
      </c>
      <c r="K733" s="278">
        <f t="shared" si="632"/>
        <v>10500</v>
      </c>
      <c r="L733" s="436">
        <f t="shared" si="633"/>
        <v>95</v>
      </c>
      <c r="M733" s="337" t="str">
        <f t="shared" ref="M733:M766" si="639">IFERROR(J733/D733,"-")</f>
        <v>-</v>
      </c>
      <c r="N733" s="265">
        <f t="shared" si="628"/>
        <v>8.9664936290703157E-3</v>
      </c>
      <c r="O733" s="508">
        <v>35.398400000000002</v>
      </c>
      <c r="P733" s="404">
        <f t="shared" si="634"/>
        <v>0</v>
      </c>
      <c r="Q733" s="449">
        <f t="shared" si="635"/>
        <v>371683.2</v>
      </c>
    </row>
    <row r="734" spans="1:17" ht="24" thickBot="1" x14ac:dyDescent="0.45">
      <c r="A734" s="248" t="s">
        <v>101</v>
      </c>
      <c r="B734" s="1108"/>
      <c r="C734" s="543" t="s">
        <v>455</v>
      </c>
      <c r="D734" s="276"/>
      <c r="E734" s="436"/>
      <c r="F734" s="690">
        <f t="shared" si="636"/>
        <v>0</v>
      </c>
      <c r="G734" s="276"/>
      <c r="H734" s="278"/>
      <c r="I734" s="352" t="str">
        <f t="shared" si="637"/>
        <v>-</v>
      </c>
      <c r="J734" s="874">
        <f t="shared" si="638"/>
        <v>10147</v>
      </c>
      <c r="K734" s="278">
        <f t="shared" si="632"/>
        <v>9900</v>
      </c>
      <c r="L734" s="436">
        <f t="shared" si="633"/>
        <v>247</v>
      </c>
      <c r="M734" s="337" t="str">
        <f t="shared" si="639"/>
        <v>-</v>
      </c>
      <c r="N734" s="265">
        <f>IFERROR(L734/J734,"-")</f>
        <v>2.4342170099536809E-2</v>
      </c>
      <c r="O734" s="508">
        <v>35.398400000000002</v>
      </c>
      <c r="P734" s="404">
        <f t="shared" si="634"/>
        <v>0</v>
      </c>
      <c r="Q734" s="449">
        <f t="shared" si="635"/>
        <v>350444.16000000003</v>
      </c>
    </row>
    <row r="735" spans="1:17" ht="23.4" x14ac:dyDescent="0.4">
      <c r="A735" s="248" t="s">
        <v>101</v>
      </c>
      <c r="B735" s="1106" t="s">
        <v>251</v>
      </c>
      <c r="C735" s="545" t="s">
        <v>75</v>
      </c>
      <c r="D735" s="276"/>
      <c r="E735" s="528"/>
      <c r="F735" s="696">
        <f t="shared" si="636"/>
        <v>4294</v>
      </c>
      <c r="G735" s="276">
        <v>4250</v>
      </c>
      <c r="H735" s="278">
        <v>44</v>
      </c>
      <c r="I735" s="352" t="str">
        <f t="shared" si="637"/>
        <v>-</v>
      </c>
      <c r="J735" s="874">
        <f t="shared" si="638"/>
        <v>34141</v>
      </c>
      <c r="K735" s="278">
        <f t="shared" si="632"/>
        <v>33433</v>
      </c>
      <c r="L735" s="436">
        <f t="shared" si="633"/>
        <v>708</v>
      </c>
      <c r="M735" s="337" t="str">
        <f t="shared" si="639"/>
        <v>-</v>
      </c>
      <c r="N735" s="265">
        <f t="shared" ref="N735:N737" si="640">IFERROR(L735/J735,"-")</f>
        <v>2.0737529656424825E-2</v>
      </c>
      <c r="O735" s="508">
        <v>55.4758</v>
      </c>
      <c r="P735" s="404">
        <f t="shared" si="634"/>
        <v>235772.15</v>
      </c>
      <c r="Q735" s="449">
        <f t="shared" si="635"/>
        <v>1854722.4213999999</v>
      </c>
    </row>
    <row r="736" spans="1:17" ht="23.4" x14ac:dyDescent="0.4">
      <c r="A736" s="248" t="s">
        <v>101</v>
      </c>
      <c r="B736" s="1107"/>
      <c r="C736" s="545" t="s">
        <v>72</v>
      </c>
      <c r="D736" s="276"/>
      <c r="E736" s="529"/>
      <c r="F736" s="696">
        <f t="shared" si="636"/>
        <v>0</v>
      </c>
      <c r="G736" s="276"/>
      <c r="H736" s="278"/>
      <c r="I736" s="352" t="str">
        <f t="shared" si="637"/>
        <v>-</v>
      </c>
      <c r="J736" s="874">
        <f t="shared" si="638"/>
        <v>0</v>
      </c>
      <c r="K736" s="278">
        <f t="shared" si="632"/>
        <v>0</v>
      </c>
      <c r="L736" s="436">
        <f t="shared" si="633"/>
        <v>0</v>
      </c>
      <c r="M736" s="337" t="str">
        <f t="shared" si="639"/>
        <v>-</v>
      </c>
      <c r="N736" s="265" t="str">
        <f t="shared" si="640"/>
        <v>-</v>
      </c>
      <c r="O736" s="540">
        <v>58.836300000000001</v>
      </c>
      <c r="P736" s="404">
        <f t="shared" si="634"/>
        <v>0</v>
      </c>
      <c r="Q736" s="449">
        <f t="shared" si="635"/>
        <v>0</v>
      </c>
    </row>
    <row r="737" spans="1:17" ht="23.4" x14ac:dyDescent="0.4">
      <c r="A737" s="248" t="s">
        <v>101</v>
      </c>
      <c r="B737" s="1107"/>
      <c r="C737" s="545" t="s">
        <v>347</v>
      </c>
      <c r="D737" s="276"/>
      <c r="E737" s="435"/>
      <c r="F737" s="696">
        <f t="shared" si="636"/>
        <v>0</v>
      </c>
      <c r="G737" s="276"/>
      <c r="H737" s="278"/>
      <c r="I737" s="352" t="str">
        <f t="shared" si="637"/>
        <v>-</v>
      </c>
      <c r="J737" s="874">
        <f t="shared" si="638"/>
        <v>2745</v>
      </c>
      <c r="K737" s="278">
        <f t="shared" si="632"/>
        <v>2305</v>
      </c>
      <c r="L737" s="436">
        <f t="shared" si="633"/>
        <v>440</v>
      </c>
      <c r="M737" s="337" t="str">
        <f t="shared" si="639"/>
        <v>-</v>
      </c>
      <c r="N737" s="263">
        <f t="shared" si="640"/>
        <v>0.16029143897996356</v>
      </c>
      <c r="O737" s="710">
        <v>58.836300000000001</v>
      </c>
      <c r="P737" s="404">
        <f t="shared" si="634"/>
        <v>0</v>
      </c>
      <c r="Q737" s="449">
        <f t="shared" si="635"/>
        <v>135617.6715</v>
      </c>
    </row>
    <row r="738" spans="1:17" ht="24" thickBot="1" x14ac:dyDescent="0.45">
      <c r="A738" s="248"/>
      <c r="B738" s="1108"/>
      <c r="C738" s="545" t="s">
        <v>361</v>
      </c>
      <c r="D738" s="276"/>
      <c r="E738" s="435"/>
      <c r="F738" s="696">
        <f t="shared" si="636"/>
        <v>0</v>
      </c>
      <c r="G738" s="276"/>
      <c r="H738" s="278"/>
      <c r="I738" s="352" t="str">
        <f t="shared" si="637"/>
        <v>-</v>
      </c>
      <c r="J738" s="874">
        <f t="shared" si="638"/>
        <v>0</v>
      </c>
      <c r="K738" s="278">
        <f t="shared" si="632"/>
        <v>0</v>
      </c>
      <c r="L738" s="436">
        <f t="shared" si="633"/>
        <v>0</v>
      </c>
      <c r="M738" s="337" t="str">
        <f t="shared" si="639"/>
        <v>-</v>
      </c>
      <c r="N738" s="263" t="str">
        <f>IFERROR(L738/J738,"-")</f>
        <v>-</v>
      </c>
      <c r="O738" s="508">
        <v>55.4758</v>
      </c>
      <c r="P738" s="404">
        <f t="shared" si="634"/>
        <v>0</v>
      </c>
      <c r="Q738" s="449">
        <f t="shared" si="635"/>
        <v>0</v>
      </c>
    </row>
    <row r="739" spans="1:17" ht="23.4" x14ac:dyDescent="0.4">
      <c r="A739" s="248" t="s">
        <v>101</v>
      </c>
      <c r="B739" s="1106" t="s">
        <v>409</v>
      </c>
      <c r="C739" s="543" t="s">
        <v>77</v>
      </c>
      <c r="D739" s="276"/>
      <c r="E739" s="436"/>
      <c r="F739" s="690">
        <f t="shared" si="636"/>
        <v>0</v>
      </c>
      <c r="G739" s="276"/>
      <c r="H739" s="278"/>
      <c r="I739" s="352" t="str">
        <f t="shared" si="637"/>
        <v>-</v>
      </c>
      <c r="J739" s="874">
        <f t="shared" si="638"/>
        <v>24300</v>
      </c>
      <c r="K739" s="719">
        <f t="shared" si="632"/>
        <v>23960</v>
      </c>
      <c r="L739" s="815">
        <f t="shared" si="633"/>
        <v>340</v>
      </c>
      <c r="M739" s="337" t="str">
        <f t="shared" si="639"/>
        <v>-</v>
      </c>
      <c r="N739" s="263">
        <f t="shared" ref="N739:N765" si="641">IFERROR(L739/J739,"-")</f>
        <v>1.3991769547325103E-2</v>
      </c>
      <c r="O739" s="508">
        <v>25.687200000000001</v>
      </c>
      <c r="P739" s="404">
        <f t="shared" si="634"/>
        <v>0</v>
      </c>
      <c r="Q739" s="449">
        <f t="shared" si="635"/>
        <v>615465.31200000003</v>
      </c>
    </row>
    <row r="740" spans="1:17" ht="24" thickBot="1" x14ac:dyDescent="0.45">
      <c r="A740" s="248" t="s">
        <v>101</v>
      </c>
      <c r="B740" s="1108"/>
      <c r="C740" s="543" t="s">
        <v>117</v>
      </c>
      <c r="D740" s="276"/>
      <c r="E740" s="436"/>
      <c r="F740" s="690">
        <f t="shared" si="636"/>
        <v>0</v>
      </c>
      <c r="G740" s="276"/>
      <c r="H740" s="278"/>
      <c r="I740" s="352" t="str">
        <f t="shared" si="637"/>
        <v>-</v>
      </c>
      <c r="J740" s="874">
        <f t="shared" si="638"/>
        <v>0</v>
      </c>
      <c r="K740" s="278">
        <f t="shared" si="632"/>
        <v>0</v>
      </c>
      <c r="L740" s="436">
        <f t="shared" si="633"/>
        <v>0</v>
      </c>
      <c r="M740" s="337" t="str">
        <f t="shared" si="639"/>
        <v>-</v>
      </c>
      <c r="N740" s="263" t="str">
        <f t="shared" si="641"/>
        <v>-</v>
      </c>
      <c r="O740" s="508">
        <v>25.033899999999999</v>
      </c>
      <c r="P740" s="404">
        <f t="shared" si="634"/>
        <v>0</v>
      </c>
      <c r="Q740" s="449">
        <f t="shared" si="635"/>
        <v>0</v>
      </c>
    </row>
    <row r="741" spans="1:17" ht="23.4" x14ac:dyDescent="0.4">
      <c r="A741" s="248"/>
      <c r="B741" s="1106" t="s">
        <v>410</v>
      </c>
      <c r="C741" s="543" t="s">
        <v>79</v>
      </c>
      <c r="D741" s="276"/>
      <c r="E741" s="436"/>
      <c r="F741" s="690">
        <f t="shared" si="636"/>
        <v>1472</v>
      </c>
      <c r="G741" s="276">
        <v>1460</v>
      </c>
      <c r="H741" s="278">
        <v>12</v>
      </c>
      <c r="I741" s="352" t="str">
        <f t="shared" si="637"/>
        <v>-</v>
      </c>
      <c r="J741" s="874">
        <f t="shared" si="638"/>
        <v>20171</v>
      </c>
      <c r="K741" s="278">
        <f t="shared" si="632"/>
        <v>19950</v>
      </c>
      <c r="L741" s="436">
        <f t="shared" si="633"/>
        <v>221</v>
      </c>
      <c r="M741" s="337" t="str">
        <f t="shared" si="639"/>
        <v>-</v>
      </c>
      <c r="N741" s="263">
        <f t="shared" si="641"/>
        <v>1.095632343463388E-2</v>
      </c>
      <c r="O741" s="508">
        <v>41.992699999999999</v>
      </c>
      <c r="P741" s="404">
        <f t="shared" si="634"/>
        <v>61309.341999999997</v>
      </c>
      <c r="Q741" s="449">
        <f t="shared" si="635"/>
        <v>837754.36499999999</v>
      </c>
    </row>
    <row r="742" spans="1:17" ht="23.4" x14ac:dyDescent="0.4">
      <c r="A742" s="248"/>
      <c r="B742" s="1107"/>
      <c r="C742" s="543" t="s">
        <v>72</v>
      </c>
      <c r="D742" s="276"/>
      <c r="E742" s="436"/>
      <c r="F742" s="690">
        <f t="shared" si="636"/>
        <v>0</v>
      </c>
      <c r="G742" s="276"/>
      <c r="H742" s="278"/>
      <c r="I742" s="352" t="str">
        <f t="shared" si="637"/>
        <v>-</v>
      </c>
      <c r="J742" s="874">
        <f t="shared" si="638"/>
        <v>0</v>
      </c>
      <c r="K742" s="278">
        <f t="shared" si="632"/>
        <v>0</v>
      </c>
      <c r="L742" s="436">
        <f t="shared" si="633"/>
        <v>0</v>
      </c>
      <c r="M742" s="337" t="str">
        <f t="shared" si="639"/>
        <v>-</v>
      </c>
      <c r="N742" s="263" t="str">
        <f t="shared" si="641"/>
        <v>-</v>
      </c>
      <c r="O742" s="508">
        <v>42.283799999999999</v>
      </c>
      <c r="P742" s="404">
        <f t="shared" si="634"/>
        <v>0</v>
      </c>
      <c r="Q742" s="449">
        <f t="shared" si="635"/>
        <v>0</v>
      </c>
    </row>
    <row r="743" spans="1:17" ht="23.4" x14ac:dyDescent="0.4">
      <c r="A743" s="248"/>
      <c r="B743" s="1107"/>
      <c r="C743" s="543" t="s">
        <v>380</v>
      </c>
      <c r="D743" s="276"/>
      <c r="E743" s="436"/>
      <c r="F743" s="690">
        <f t="shared" si="636"/>
        <v>0</v>
      </c>
      <c r="G743" s="276"/>
      <c r="H743" s="278"/>
      <c r="I743" s="352" t="str">
        <f t="shared" si="637"/>
        <v>-</v>
      </c>
      <c r="J743" s="874">
        <f t="shared" si="638"/>
        <v>0</v>
      </c>
      <c r="K743" s="278">
        <f t="shared" si="632"/>
        <v>0</v>
      </c>
      <c r="L743" s="436">
        <f t="shared" si="633"/>
        <v>0</v>
      </c>
      <c r="M743" s="337" t="str">
        <f t="shared" si="639"/>
        <v>-</v>
      </c>
      <c r="N743" s="263" t="str">
        <f t="shared" si="641"/>
        <v>-</v>
      </c>
      <c r="O743" s="710">
        <v>41.992699999999999</v>
      </c>
      <c r="P743" s="404">
        <f t="shared" si="634"/>
        <v>0</v>
      </c>
      <c r="Q743" s="449">
        <f t="shared" si="635"/>
        <v>0</v>
      </c>
    </row>
    <row r="744" spans="1:17" ht="24" thickBot="1" x14ac:dyDescent="0.45">
      <c r="A744" s="248"/>
      <c r="B744" s="1108"/>
      <c r="C744" s="543" t="s">
        <v>381</v>
      </c>
      <c r="D744" s="276"/>
      <c r="E744" s="436"/>
      <c r="F744" s="690">
        <f t="shared" si="636"/>
        <v>0</v>
      </c>
      <c r="G744" s="276"/>
      <c r="H744" s="278"/>
      <c r="I744" s="352" t="str">
        <f t="shared" si="637"/>
        <v>-</v>
      </c>
      <c r="J744" s="874">
        <f t="shared" si="638"/>
        <v>0</v>
      </c>
      <c r="K744" s="278">
        <f t="shared" si="632"/>
        <v>0</v>
      </c>
      <c r="L744" s="436">
        <f t="shared" si="633"/>
        <v>0</v>
      </c>
      <c r="M744" s="337" t="str">
        <f t="shared" si="639"/>
        <v>-</v>
      </c>
      <c r="N744" s="263" t="str">
        <f t="shared" si="641"/>
        <v>-</v>
      </c>
      <c r="O744" s="710">
        <v>42.283799999999999</v>
      </c>
      <c r="P744" s="404">
        <f t="shared" si="634"/>
        <v>0</v>
      </c>
      <c r="Q744" s="449">
        <f t="shared" si="635"/>
        <v>0</v>
      </c>
    </row>
    <row r="745" spans="1:17" ht="24" thickBot="1" x14ac:dyDescent="0.45">
      <c r="A745" s="248"/>
      <c r="B745" s="717" t="s">
        <v>80</v>
      </c>
      <c r="C745" s="543" t="s">
        <v>81</v>
      </c>
      <c r="D745" s="276"/>
      <c r="E745" s="436"/>
      <c r="F745" s="690">
        <f t="shared" si="636"/>
        <v>0</v>
      </c>
      <c r="G745" s="276"/>
      <c r="H745" s="278"/>
      <c r="I745" s="352" t="str">
        <f t="shared" si="637"/>
        <v>-</v>
      </c>
      <c r="J745" s="874">
        <f t="shared" si="638"/>
        <v>23163</v>
      </c>
      <c r="K745" s="278">
        <f t="shared" si="632"/>
        <v>22200</v>
      </c>
      <c r="L745" s="687">
        <f t="shared" si="633"/>
        <v>963</v>
      </c>
      <c r="M745" s="337" t="str">
        <f t="shared" si="639"/>
        <v>-</v>
      </c>
      <c r="N745" s="263">
        <f t="shared" si="641"/>
        <v>4.1574925527781373E-2</v>
      </c>
      <c r="O745" s="508">
        <v>4.3535000000000004</v>
      </c>
      <c r="P745" s="404">
        <f t="shared" si="634"/>
        <v>0</v>
      </c>
      <c r="Q745" s="449">
        <f t="shared" si="635"/>
        <v>96647.700000000012</v>
      </c>
    </row>
    <row r="746" spans="1:17" ht="23.4" x14ac:dyDescent="0.4">
      <c r="A746" s="248"/>
      <c r="B746" s="1106" t="s">
        <v>253</v>
      </c>
      <c r="C746" s="543" t="s">
        <v>77</v>
      </c>
      <c r="D746" s="276"/>
      <c r="E746" s="436"/>
      <c r="F746" s="690">
        <f t="shared" si="636"/>
        <v>30520</v>
      </c>
      <c r="G746" s="276">
        <v>29700</v>
      </c>
      <c r="H746" s="278">
        <v>820</v>
      </c>
      <c r="I746" s="352" t="str">
        <f t="shared" si="637"/>
        <v>-</v>
      </c>
      <c r="J746" s="874">
        <f t="shared" si="638"/>
        <v>495810</v>
      </c>
      <c r="K746" s="278">
        <f t="shared" si="632"/>
        <v>492800</v>
      </c>
      <c r="L746" s="436">
        <f t="shared" si="633"/>
        <v>3010</v>
      </c>
      <c r="M746" s="337" t="str">
        <f t="shared" si="639"/>
        <v>-</v>
      </c>
      <c r="N746" s="263">
        <f t="shared" si="641"/>
        <v>6.0708739234787519E-3</v>
      </c>
      <c r="O746" s="508">
        <v>4.6184000000000003</v>
      </c>
      <c r="P746" s="404">
        <f t="shared" si="634"/>
        <v>137166.48000000001</v>
      </c>
      <c r="Q746" s="449">
        <f t="shared" si="635"/>
        <v>2275947.52</v>
      </c>
    </row>
    <row r="747" spans="1:17" ht="23.4" x14ac:dyDescent="0.4">
      <c r="A747" s="248"/>
      <c r="B747" s="1107"/>
      <c r="C747" s="543" t="s">
        <v>340</v>
      </c>
      <c r="D747" s="276"/>
      <c r="E747" s="436"/>
      <c r="F747" s="690">
        <f t="shared" si="636"/>
        <v>0</v>
      </c>
      <c r="G747" s="276"/>
      <c r="H747" s="278"/>
      <c r="I747" s="352" t="str">
        <f t="shared" si="637"/>
        <v>-</v>
      </c>
      <c r="J747" s="874">
        <f t="shared" si="638"/>
        <v>0</v>
      </c>
      <c r="K747" s="278">
        <f t="shared" si="632"/>
        <v>0</v>
      </c>
      <c r="L747" s="436">
        <f t="shared" si="633"/>
        <v>0</v>
      </c>
      <c r="M747" s="337" t="str">
        <f t="shared" si="639"/>
        <v>-</v>
      </c>
      <c r="N747" s="263" t="str">
        <f t="shared" si="641"/>
        <v>-</v>
      </c>
      <c r="O747" s="508">
        <v>4.6184000000000003</v>
      </c>
      <c r="P747" s="404">
        <f t="shared" si="634"/>
        <v>0</v>
      </c>
      <c r="Q747" s="449">
        <f t="shared" si="635"/>
        <v>0</v>
      </c>
    </row>
    <row r="748" spans="1:17" ht="23.4" x14ac:dyDescent="0.4">
      <c r="A748" s="248"/>
      <c r="B748" s="1107"/>
      <c r="C748" s="543" t="s">
        <v>252</v>
      </c>
      <c r="D748" s="276"/>
      <c r="E748" s="436"/>
      <c r="F748" s="690">
        <f t="shared" si="636"/>
        <v>0</v>
      </c>
      <c r="G748" s="276"/>
      <c r="H748" s="278"/>
      <c r="I748" s="352" t="str">
        <f t="shared" si="637"/>
        <v>-</v>
      </c>
      <c r="J748" s="874">
        <f t="shared" si="638"/>
        <v>0</v>
      </c>
      <c r="K748" s="278">
        <f t="shared" si="632"/>
        <v>0</v>
      </c>
      <c r="L748" s="436">
        <f t="shared" si="633"/>
        <v>0</v>
      </c>
      <c r="M748" s="337" t="str">
        <f t="shared" si="639"/>
        <v>-</v>
      </c>
      <c r="N748" s="263" t="str">
        <f t="shared" si="641"/>
        <v>-</v>
      </c>
      <c r="O748" s="508">
        <v>4.6184000000000003</v>
      </c>
      <c r="P748" s="404">
        <f t="shared" si="634"/>
        <v>0</v>
      </c>
      <c r="Q748" s="449">
        <f t="shared" si="635"/>
        <v>0</v>
      </c>
    </row>
    <row r="749" spans="1:17" ht="23.4" x14ac:dyDescent="0.4">
      <c r="A749" s="248"/>
      <c r="B749" s="1107"/>
      <c r="C749" s="543" t="s">
        <v>350</v>
      </c>
      <c r="D749" s="276"/>
      <c r="E749" s="436"/>
      <c r="F749" s="690">
        <f t="shared" si="636"/>
        <v>0</v>
      </c>
      <c r="G749" s="276"/>
      <c r="H749" s="278"/>
      <c r="I749" s="352" t="str">
        <f t="shared" si="637"/>
        <v>-</v>
      </c>
      <c r="J749" s="874">
        <f t="shared" si="638"/>
        <v>0</v>
      </c>
      <c r="K749" s="686">
        <f t="shared" si="632"/>
        <v>0</v>
      </c>
      <c r="L749" s="687">
        <f t="shared" si="633"/>
        <v>0</v>
      </c>
      <c r="M749" s="337" t="str">
        <f t="shared" si="639"/>
        <v>-</v>
      </c>
      <c r="N749" s="263" t="str">
        <f t="shared" si="641"/>
        <v>-</v>
      </c>
      <c r="O749" s="508">
        <v>4.7636000000000003</v>
      </c>
      <c r="P749" s="404">
        <f t="shared" si="634"/>
        <v>0</v>
      </c>
      <c r="Q749" s="449">
        <f t="shared" si="635"/>
        <v>0</v>
      </c>
    </row>
    <row r="750" spans="1:17" ht="24" thickBot="1" x14ac:dyDescent="0.45">
      <c r="A750" s="248"/>
      <c r="B750" s="1108"/>
      <c r="C750" s="543" t="s">
        <v>346</v>
      </c>
      <c r="D750" s="276"/>
      <c r="E750" s="436"/>
      <c r="F750" s="690">
        <f t="shared" si="636"/>
        <v>0</v>
      </c>
      <c r="G750" s="276"/>
      <c r="H750" s="278"/>
      <c r="I750" s="352" t="str">
        <f t="shared" si="637"/>
        <v>-</v>
      </c>
      <c r="J750" s="874">
        <f t="shared" si="638"/>
        <v>0</v>
      </c>
      <c r="K750" s="278">
        <f t="shared" si="632"/>
        <v>0</v>
      </c>
      <c r="L750" s="436">
        <f t="shared" si="633"/>
        <v>0</v>
      </c>
      <c r="M750" s="337" t="str">
        <f t="shared" si="639"/>
        <v>-</v>
      </c>
      <c r="N750" s="263" t="str">
        <f t="shared" si="641"/>
        <v>-</v>
      </c>
      <c r="O750" s="508">
        <v>4.8738000000000001</v>
      </c>
      <c r="P750" s="404">
        <f t="shared" si="634"/>
        <v>0</v>
      </c>
      <c r="Q750" s="449">
        <f t="shared" si="635"/>
        <v>0</v>
      </c>
    </row>
    <row r="751" spans="1:17" ht="24" thickBot="1" x14ac:dyDescent="0.45">
      <c r="A751" s="248"/>
      <c r="B751" s="717" t="s">
        <v>254</v>
      </c>
      <c r="C751" s="543" t="s">
        <v>520</v>
      </c>
      <c r="D751" s="276"/>
      <c r="E751" s="436"/>
      <c r="F751" s="690">
        <f t="shared" si="636"/>
        <v>0</v>
      </c>
      <c r="G751" s="276"/>
      <c r="H751" s="278"/>
      <c r="I751" s="352" t="str">
        <f t="shared" si="637"/>
        <v>-</v>
      </c>
      <c r="J751" s="874">
        <f t="shared" si="638"/>
        <v>17752</v>
      </c>
      <c r="K751" s="278">
        <f t="shared" si="632"/>
        <v>17600</v>
      </c>
      <c r="L751" s="436">
        <f t="shared" si="633"/>
        <v>152</v>
      </c>
      <c r="M751" s="337" t="str">
        <f t="shared" si="639"/>
        <v>-</v>
      </c>
      <c r="N751" s="263">
        <f t="shared" si="641"/>
        <v>8.5624155024785938E-3</v>
      </c>
      <c r="O751" s="508">
        <v>4.8738000000000001</v>
      </c>
      <c r="P751" s="404">
        <f t="shared" si="634"/>
        <v>0</v>
      </c>
      <c r="Q751" s="449">
        <f t="shared" si="635"/>
        <v>85778.880000000005</v>
      </c>
    </row>
    <row r="752" spans="1:17" ht="23.4" x14ac:dyDescent="0.4">
      <c r="A752" s="248"/>
      <c r="B752" s="1106" t="s">
        <v>256</v>
      </c>
      <c r="C752" s="543" t="s">
        <v>77</v>
      </c>
      <c r="D752" s="276"/>
      <c r="E752" s="436"/>
      <c r="F752" s="690">
        <f t="shared" si="636"/>
        <v>29458</v>
      </c>
      <c r="G752" s="276">
        <v>28560</v>
      </c>
      <c r="H752" s="278">
        <v>898</v>
      </c>
      <c r="I752" s="352" t="str">
        <f t="shared" si="637"/>
        <v>-</v>
      </c>
      <c r="J752" s="874">
        <f t="shared" si="638"/>
        <v>467550</v>
      </c>
      <c r="K752" s="719">
        <f t="shared" si="632"/>
        <v>458640</v>
      </c>
      <c r="L752" s="815">
        <f t="shared" si="633"/>
        <v>8910</v>
      </c>
      <c r="M752" s="337" t="str">
        <f t="shared" si="639"/>
        <v>-</v>
      </c>
      <c r="N752" s="263">
        <f t="shared" si="641"/>
        <v>1.9056785370548605E-2</v>
      </c>
      <c r="O752" s="508">
        <v>4.9344999999999999</v>
      </c>
      <c r="P752" s="404">
        <f t="shared" si="634"/>
        <v>140929.32</v>
      </c>
      <c r="Q752" s="449">
        <f t="shared" si="635"/>
        <v>2263159.08</v>
      </c>
    </row>
    <row r="753" spans="1:17" ht="23.4" x14ac:dyDescent="0.4">
      <c r="A753" s="248"/>
      <c r="B753" s="1107"/>
      <c r="C753" s="543" t="s">
        <v>135</v>
      </c>
      <c r="D753" s="276"/>
      <c r="E753" s="436"/>
      <c r="F753" s="690">
        <f t="shared" si="636"/>
        <v>0</v>
      </c>
      <c r="G753" s="276"/>
      <c r="H753" s="278"/>
      <c r="I753" s="352" t="str">
        <f t="shared" si="637"/>
        <v>-</v>
      </c>
      <c r="J753" s="874">
        <f t="shared" si="638"/>
        <v>0</v>
      </c>
      <c r="K753" s="278">
        <f t="shared" si="632"/>
        <v>0</v>
      </c>
      <c r="L753" s="436">
        <f t="shared" si="633"/>
        <v>0</v>
      </c>
      <c r="M753" s="337" t="str">
        <f t="shared" si="639"/>
        <v>-</v>
      </c>
      <c r="N753" s="263" t="str">
        <f t="shared" si="641"/>
        <v>-</v>
      </c>
      <c r="O753" s="508">
        <v>4.9344999999999999</v>
      </c>
      <c r="P753" s="404">
        <f t="shared" si="634"/>
        <v>0</v>
      </c>
      <c r="Q753" s="449">
        <f t="shared" si="635"/>
        <v>0</v>
      </c>
    </row>
    <row r="754" spans="1:17" ht="23.4" x14ac:dyDescent="0.4">
      <c r="A754" s="248"/>
      <c r="B754" s="1107"/>
      <c r="C754" s="543" t="s">
        <v>129</v>
      </c>
      <c r="D754" s="276"/>
      <c r="E754" s="436"/>
      <c r="F754" s="690">
        <f t="shared" si="636"/>
        <v>0</v>
      </c>
      <c r="G754" s="276"/>
      <c r="H754" s="278"/>
      <c r="I754" s="352" t="str">
        <f t="shared" si="637"/>
        <v>-</v>
      </c>
      <c r="J754" s="874">
        <f t="shared" si="638"/>
        <v>0</v>
      </c>
      <c r="K754" s="278">
        <f t="shared" si="632"/>
        <v>0</v>
      </c>
      <c r="L754" s="436">
        <f t="shared" si="633"/>
        <v>0</v>
      </c>
      <c r="M754" s="337" t="str">
        <f t="shared" si="639"/>
        <v>-</v>
      </c>
      <c r="N754" s="263" t="str">
        <f t="shared" si="641"/>
        <v>-</v>
      </c>
      <c r="O754" s="508">
        <v>4.9344999999999999</v>
      </c>
      <c r="P754" s="404">
        <f t="shared" si="634"/>
        <v>0</v>
      </c>
      <c r="Q754" s="449">
        <f t="shared" si="635"/>
        <v>0</v>
      </c>
    </row>
    <row r="755" spans="1:17" ht="24" thickBot="1" x14ac:dyDescent="0.45">
      <c r="A755" s="248"/>
      <c r="B755" s="1108"/>
      <c r="C755" s="543" t="s">
        <v>255</v>
      </c>
      <c r="D755" s="276"/>
      <c r="E755" s="436"/>
      <c r="F755" s="690">
        <f t="shared" si="636"/>
        <v>0</v>
      </c>
      <c r="G755" s="276"/>
      <c r="H755" s="278"/>
      <c r="I755" s="352" t="str">
        <f t="shared" si="637"/>
        <v>-</v>
      </c>
      <c r="J755" s="874">
        <f t="shared" si="638"/>
        <v>0</v>
      </c>
      <c r="K755" s="278">
        <f t="shared" si="632"/>
        <v>0</v>
      </c>
      <c r="L755" s="436">
        <f t="shared" si="633"/>
        <v>0</v>
      </c>
      <c r="M755" s="337" t="str">
        <f t="shared" si="639"/>
        <v>-</v>
      </c>
      <c r="N755" s="263" t="str">
        <f t="shared" si="641"/>
        <v>-</v>
      </c>
      <c r="O755" s="508">
        <v>5.5069999999999997</v>
      </c>
      <c r="P755" s="404">
        <f t="shared" si="634"/>
        <v>0</v>
      </c>
      <c r="Q755" s="449">
        <f t="shared" si="635"/>
        <v>0</v>
      </c>
    </row>
    <row r="756" spans="1:17" ht="23.4" x14ac:dyDescent="0.4">
      <c r="A756" s="248"/>
      <c r="B756" s="1106" t="s">
        <v>261</v>
      </c>
      <c r="C756" s="543" t="s">
        <v>257</v>
      </c>
      <c r="D756" s="276"/>
      <c r="E756" s="436"/>
      <c r="F756" s="690">
        <f t="shared" si="636"/>
        <v>33130</v>
      </c>
      <c r="G756" s="276">
        <v>32900</v>
      </c>
      <c r="H756" s="278">
        <v>230</v>
      </c>
      <c r="I756" s="352" t="str">
        <f t="shared" si="637"/>
        <v>-</v>
      </c>
      <c r="J756" s="874">
        <f t="shared" si="638"/>
        <v>445012</v>
      </c>
      <c r="K756" s="278">
        <f t="shared" si="632"/>
        <v>441700</v>
      </c>
      <c r="L756" s="687">
        <f t="shared" si="633"/>
        <v>3312</v>
      </c>
      <c r="M756" s="337" t="str">
        <f t="shared" si="639"/>
        <v>-</v>
      </c>
      <c r="N756" s="263">
        <f t="shared" si="641"/>
        <v>7.4424959326939502E-3</v>
      </c>
      <c r="O756" s="710">
        <v>5.5069999999999997</v>
      </c>
      <c r="P756" s="404">
        <f t="shared" si="634"/>
        <v>181180.3</v>
      </c>
      <c r="Q756" s="449">
        <f t="shared" si="635"/>
        <v>2432441.9</v>
      </c>
    </row>
    <row r="757" spans="1:17" ht="23.4" x14ac:dyDescent="0.4">
      <c r="A757" s="248"/>
      <c r="B757" s="1107"/>
      <c r="C757" s="543" t="s">
        <v>258</v>
      </c>
      <c r="D757" s="276"/>
      <c r="E757" s="436"/>
      <c r="F757" s="690">
        <f t="shared" si="636"/>
        <v>0</v>
      </c>
      <c r="G757" s="276"/>
      <c r="H757" s="278"/>
      <c r="I757" s="352" t="str">
        <f t="shared" si="637"/>
        <v>-</v>
      </c>
      <c r="J757" s="874">
        <f t="shared" si="638"/>
        <v>0</v>
      </c>
      <c r="K757" s="278">
        <f t="shared" si="632"/>
        <v>0</v>
      </c>
      <c r="L757" s="436">
        <f t="shared" si="633"/>
        <v>0</v>
      </c>
      <c r="M757" s="337" t="str">
        <f t="shared" si="639"/>
        <v>-</v>
      </c>
      <c r="N757" s="263" t="str">
        <f t="shared" si="641"/>
        <v>-</v>
      </c>
      <c r="O757" s="508">
        <v>5.6550000000000002</v>
      </c>
      <c r="P757" s="404">
        <f t="shared" si="634"/>
        <v>0</v>
      </c>
      <c r="Q757" s="449">
        <f t="shared" si="635"/>
        <v>0</v>
      </c>
    </row>
    <row r="758" spans="1:17" ht="23.4" x14ac:dyDescent="0.4">
      <c r="A758" s="248"/>
      <c r="B758" s="1107"/>
      <c r="C758" s="543" t="s">
        <v>321</v>
      </c>
      <c r="D758" s="276"/>
      <c r="E758" s="436"/>
      <c r="F758" s="690">
        <f t="shared" si="636"/>
        <v>0</v>
      </c>
      <c r="G758" s="276"/>
      <c r="H758" s="278"/>
      <c r="I758" s="352" t="str">
        <f t="shared" si="637"/>
        <v>-</v>
      </c>
      <c r="J758" s="874">
        <f t="shared" si="638"/>
        <v>0</v>
      </c>
      <c r="K758" s="686">
        <f t="shared" si="632"/>
        <v>0</v>
      </c>
      <c r="L758" s="687">
        <f t="shared" si="633"/>
        <v>0</v>
      </c>
      <c r="M758" s="337" t="str">
        <f t="shared" si="639"/>
        <v>-</v>
      </c>
      <c r="N758" s="263" t="str">
        <f t="shared" si="641"/>
        <v>-</v>
      </c>
      <c r="O758" s="508">
        <v>5.6550000000000002</v>
      </c>
      <c r="P758" s="404">
        <f t="shared" si="634"/>
        <v>0</v>
      </c>
      <c r="Q758" s="449">
        <f t="shared" si="635"/>
        <v>0</v>
      </c>
    </row>
    <row r="759" spans="1:17" ht="23.4" x14ac:dyDescent="0.4">
      <c r="A759" s="248"/>
      <c r="B759" s="1107"/>
      <c r="C759" s="543" t="s">
        <v>259</v>
      </c>
      <c r="D759" s="276"/>
      <c r="E759" s="436"/>
      <c r="F759" s="690">
        <f t="shared" si="636"/>
        <v>0</v>
      </c>
      <c r="G759" s="276"/>
      <c r="H759" s="278"/>
      <c r="I759" s="352" t="str">
        <f t="shared" si="637"/>
        <v>-</v>
      </c>
      <c r="J759" s="874">
        <f t="shared" si="638"/>
        <v>0</v>
      </c>
      <c r="K759" s="278">
        <f t="shared" si="632"/>
        <v>0</v>
      </c>
      <c r="L759" s="436">
        <f t="shared" si="633"/>
        <v>0</v>
      </c>
      <c r="M759" s="337" t="str">
        <f t="shared" si="639"/>
        <v>-</v>
      </c>
      <c r="N759" s="263" t="str">
        <f t="shared" si="641"/>
        <v>-</v>
      </c>
      <c r="O759" s="508">
        <v>5.6550000000000002</v>
      </c>
      <c r="P759" s="404">
        <f t="shared" si="634"/>
        <v>0</v>
      </c>
      <c r="Q759" s="449">
        <f t="shared" si="635"/>
        <v>0</v>
      </c>
    </row>
    <row r="760" spans="1:17" ht="23.4" x14ac:dyDescent="0.4">
      <c r="A760" s="248" t="s">
        <v>101</v>
      </c>
      <c r="B760" s="1107"/>
      <c r="C760" s="543" t="s">
        <v>260</v>
      </c>
      <c r="D760" s="276"/>
      <c r="E760" s="436"/>
      <c r="F760" s="690">
        <f t="shared" si="636"/>
        <v>0</v>
      </c>
      <c r="G760" s="276"/>
      <c r="H760" s="278"/>
      <c r="I760" s="352" t="str">
        <f t="shared" si="637"/>
        <v>-</v>
      </c>
      <c r="J760" s="874">
        <f t="shared" si="638"/>
        <v>0</v>
      </c>
      <c r="K760" s="278">
        <f t="shared" si="632"/>
        <v>0</v>
      </c>
      <c r="L760" s="436">
        <f t="shared" si="633"/>
        <v>0</v>
      </c>
      <c r="M760" s="337" t="str">
        <f t="shared" si="639"/>
        <v>-</v>
      </c>
      <c r="N760" s="263" t="str">
        <f t="shared" si="641"/>
        <v>-</v>
      </c>
      <c r="O760" s="508">
        <v>3.2963</v>
      </c>
      <c r="P760" s="404">
        <f t="shared" si="634"/>
        <v>0</v>
      </c>
      <c r="Q760" s="449">
        <f t="shared" si="635"/>
        <v>0</v>
      </c>
    </row>
    <row r="761" spans="1:17" ht="24" thickBot="1" x14ac:dyDescent="0.45">
      <c r="A761" s="248" t="s">
        <v>101</v>
      </c>
      <c r="B761" s="1108"/>
      <c r="C761" s="543" t="s">
        <v>255</v>
      </c>
      <c r="D761" s="276"/>
      <c r="E761" s="436"/>
      <c r="F761" s="690">
        <f t="shared" si="636"/>
        <v>0</v>
      </c>
      <c r="G761" s="276"/>
      <c r="H761" s="278"/>
      <c r="I761" s="352" t="str">
        <f t="shared" si="637"/>
        <v>-</v>
      </c>
      <c r="J761" s="874">
        <f t="shared" si="638"/>
        <v>0</v>
      </c>
      <c r="K761" s="278">
        <f t="shared" si="632"/>
        <v>0</v>
      </c>
      <c r="L761" s="436">
        <f t="shared" si="633"/>
        <v>0</v>
      </c>
      <c r="M761" s="337" t="str">
        <f t="shared" si="639"/>
        <v>-</v>
      </c>
      <c r="N761" s="263" t="str">
        <f t="shared" si="641"/>
        <v>-</v>
      </c>
      <c r="O761" s="508">
        <v>3.2963</v>
      </c>
      <c r="P761" s="404">
        <f t="shared" si="634"/>
        <v>0</v>
      </c>
      <c r="Q761" s="449">
        <f t="shared" si="635"/>
        <v>0</v>
      </c>
    </row>
    <row r="762" spans="1:17" ht="23.4" x14ac:dyDescent="0.4">
      <c r="A762" s="248" t="s">
        <v>101</v>
      </c>
      <c r="B762" s="546"/>
      <c r="C762" s="544" t="s">
        <v>89</v>
      </c>
      <c r="D762" s="511"/>
      <c r="E762" s="436"/>
      <c r="F762" s="690">
        <f t="shared" si="636"/>
        <v>0</v>
      </c>
      <c r="G762" s="276"/>
      <c r="H762" s="278"/>
      <c r="I762" s="352" t="str">
        <f t="shared" si="637"/>
        <v>-</v>
      </c>
      <c r="J762" s="874">
        <f t="shared" si="638"/>
        <v>83715</v>
      </c>
      <c r="K762" s="278">
        <f t="shared" si="632"/>
        <v>83400</v>
      </c>
      <c r="L762" s="436">
        <f t="shared" si="633"/>
        <v>315</v>
      </c>
      <c r="M762" s="337" t="str">
        <f t="shared" si="639"/>
        <v>-</v>
      </c>
      <c r="N762" s="263">
        <f t="shared" si="641"/>
        <v>3.7627665292958249E-3</v>
      </c>
      <c r="O762" s="508">
        <v>2.3201000000000001</v>
      </c>
      <c r="P762" s="404">
        <f t="shared" si="634"/>
        <v>0</v>
      </c>
      <c r="Q762" s="449">
        <f t="shared" si="635"/>
        <v>193496.34</v>
      </c>
    </row>
    <row r="763" spans="1:17" ht="24" thickBot="1" x14ac:dyDescent="0.35">
      <c r="A763" s="248" t="s">
        <v>101</v>
      </c>
      <c r="B763" s="524"/>
      <c r="C763" s="541"/>
      <c r="D763" s="530"/>
      <c r="E763" s="462"/>
      <c r="F763" s="691">
        <f t="shared" si="636"/>
        <v>0</v>
      </c>
      <c r="G763" s="530"/>
      <c r="H763" s="461"/>
      <c r="I763" s="532" t="str">
        <f t="shared" si="637"/>
        <v>-</v>
      </c>
      <c r="J763" s="875">
        <f t="shared" si="638"/>
        <v>0</v>
      </c>
      <c r="K763" s="461">
        <f t="shared" si="632"/>
        <v>0</v>
      </c>
      <c r="L763" s="462">
        <f t="shared" si="633"/>
        <v>0</v>
      </c>
      <c r="M763" s="683" t="str">
        <f t="shared" si="639"/>
        <v>-</v>
      </c>
      <c r="N763" s="264" t="str">
        <f t="shared" si="641"/>
        <v>-</v>
      </c>
      <c r="O763" s="539"/>
      <c r="P763" s="536">
        <f t="shared" si="634"/>
        <v>0</v>
      </c>
      <c r="Q763" s="537">
        <f t="shared" si="635"/>
        <v>0</v>
      </c>
    </row>
    <row r="764" spans="1:17" ht="24" thickBot="1" x14ac:dyDescent="0.35">
      <c r="A764" s="274" t="s">
        <v>101</v>
      </c>
      <c r="B764" s="1109" t="s">
        <v>25</v>
      </c>
      <c r="C764" s="1046"/>
      <c r="D764" s="513">
        <f>SUM(D737:D763)</f>
        <v>0</v>
      </c>
      <c r="E764" s="526">
        <v>100000</v>
      </c>
      <c r="F764" s="519">
        <f>SUM(F732:F763)</f>
        <v>98874</v>
      </c>
      <c r="G764" s="519">
        <f>SUM(G732:G763)</f>
        <v>96870</v>
      </c>
      <c r="H764" s="519">
        <f>SUM(H732:H763)</f>
        <v>2004</v>
      </c>
      <c r="I764" s="520">
        <f>IFERROR(F764/E764,"-")</f>
        <v>0.98873999999999995</v>
      </c>
      <c r="J764" s="513">
        <f>SUM(J732:J763)</f>
        <v>1656279</v>
      </c>
      <c r="K764" s="513">
        <f t="shared" ref="K764:L764" si="642">SUM(K732:K763)</f>
        <v>1637388</v>
      </c>
      <c r="L764" s="513">
        <f t="shared" si="642"/>
        <v>18891</v>
      </c>
      <c r="M764" s="521" t="str">
        <f t="shared" si="639"/>
        <v>-</v>
      </c>
      <c r="N764" s="520">
        <f t="shared" si="641"/>
        <v>1.1405687085328015E-2</v>
      </c>
      <c r="O764" s="522"/>
      <c r="P764" s="523">
        <f>SUM(P732:P763)</f>
        <v>756357.59199999995</v>
      </c>
      <c r="Q764" s="523">
        <f>SUM(Q732:Q763)</f>
        <v>12205030.849900002</v>
      </c>
    </row>
    <row r="765" spans="1:17" ht="24" thickBot="1" x14ac:dyDescent="0.35">
      <c r="A765" s="318" t="s">
        <v>101</v>
      </c>
      <c r="B765" s="1111" t="s">
        <v>249</v>
      </c>
      <c r="C765" s="1112"/>
      <c r="D765" s="326">
        <f>+D736+D764</f>
        <v>0</v>
      </c>
      <c r="E765" s="327">
        <f>+E736+E764</f>
        <v>100000</v>
      </c>
      <c r="F765" s="326">
        <f>+F764</f>
        <v>98874</v>
      </c>
      <c r="G765" s="326">
        <f t="shared" ref="G765:H765" si="643">+G764</f>
        <v>96870</v>
      </c>
      <c r="H765" s="326">
        <f t="shared" si="643"/>
        <v>2004</v>
      </c>
      <c r="I765" s="349">
        <f>IFERROR(F765/E765,"-")</f>
        <v>0.98873999999999995</v>
      </c>
      <c r="J765" s="326">
        <f>+J764</f>
        <v>1656279</v>
      </c>
      <c r="K765" s="326">
        <f t="shared" ref="K765:L765" si="644">+K764</f>
        <v>1637388</v>
      </c>
      <c r="L765" s="326">
        <f t="shared" si="644"/>
        <v>18891</v>
      </c>
      <c r="M765" s="341" t="str">
        <f t="shared" si="639"/>
        <v>-</v>
      </c>
      <c r="N765" s="349">
        <f t="shared" si="641"/>
        <v>1.1405687085328015E-2</v>
      </c>
      <c r="O765" s="394"/>
      <c r="P765" s="410">
        <f>+P764</f>
        <v>756357.59199999995</v>
      </c>
      <c r="Q765" s="428">
        <f>Q764</f>
        <v>12205030.849900002</v>
      </c>
    </row>
    <row r="766" spans="1:17" ht="24.6" thickBot="1" x14ac:dyDescent="0.35">
      <c r="A766" s="319"/>
      <c r="B766" s="1113" t="s">
        <v>174</v>
      </c>
      <c r="C766" s="1114"/>
      <c r="D766" s="374">
        <f>+D765+D731+D722</f>
        <v>0</v>
      </c>
      <c r="E766" s="374">
        <f>+E765+E731+E722</f>
        <v>230000</v>
      </c>
      <c r="F766" s="374">
        <f>+F765+F731+F722</f>
        <v>263994</v>
      </c>
      <c r="G766" s="374">
        <f>+G765+G731+G722</f>
        <v>294590</v>
      </c>
      <c r="H766" s="374">
        <f>+H765+H731+H722</f>
        <v>18124</v>
      </c>
      <c r="I766" s="375">
        <f>IFERROR(F766/E766,"-")</f>
        <v>1.1477999999999999</v>
      </c>
      <c r="J766" s="374">
        <f>+J765+J731+J722</f>
        <v>4143623</v>
      </c>
      <c r="K766" s="374">
        <f>+K765+K731+K722</f>
        <v>4085808</v>
      </c>
      <c r="L766" s="374">
        <f>+L765+L731+L722</f>
        <v>57815</v>
      </c>
      <c r="M766" s="375" t="str">
        <f t="shared" si="639"/>
        <v>-</v>
      </c>
      <c r="N766" s="375">
        <f>IFERROR(L766/J766,"-")</f>
        <v>1.3952765490489844E-2</v>
      </c>
      <c r="O766" s="401"/>
      <c r="P766" s="418">
        <f>+P765+P731+P722</f>
        <v>1456768.892</v>
      </c>
      <c r="Q766" s="418">
        <f>+Q765+Q731+Q722</f>
        <v>23946406.734900005</v>
      </c>
    </row>
    <row r="767" spans="1:17" ht="14.4" thickBot="1" x14ac:dyDescent="0.35"/>
    <row r="768" spans="1:17" ht="23.4" x14ac:dyDescent="0.3">
      <c r="A768" s="1115" t="s">
        <v>1</v>
      </c>
      <c r="B768" s="1118" t="s">
        <v>2</v>
      </c>
      <c r="C768" s="1121" t="s">
        <v>396</v>
      </c>
      <c r="D768" s="1066" t="s">
        <v>4</v>
      </c>
      <c r="E768" s="1067"/>
      <c r="F768" s="1067"/>
      <c r="G768" s="1067"/>
      <c r="H768" s="1067"/>
      <c r="I768" s="1067"/>
      <c r="J768" s="1067"/>
      <c r="K768" s="1067"/>
      <c r="L768" s="1067"/>
      <c r="M768" s="1067"/>
      <c r="N768" s="1068"/>
      <c r="O768" s="1092" t="s">
        <v>167</v>
      </c>
      <c r="P768" s="1093"/>
      <c r="Q768" s="1124"/>
    </row>
    <row r="769" spans="1:17" ht="23.4" x14ac:dyDescent="0.3">
      <c r="A769" s="1116"/>
      <c r="B769" s="1119"/>
      <c r="C769" s="1122"/>
      <c r="D769" s="1069" t="s">
        <v>7</v>
      </c>
      <c r="E769" s="1071" t="s">
        <v>108</v>
      </c>
      <c r="F769" s="1125" t="s">
        <v>562</v>
      </c>
      <c r="G769" s="1074"/>
      <c r="H769" s="1074"/>
      <c r="I769" s="1075"/>
      <c r="J769" s="1076" t="s">
        <v>8</v>
      </c>
      <c r="K769" s="1077"/>
      <c r="L769" s="1078"/>
      <c r="M769" s="1079" t="s">
        <v>165</v>
      </c>
      <c r="N769" s="1081" t="s">
        <v>164</v>
      </c>
      <c r="O769" s="1126" t="s">
        <v>169</v>
      </c>
      <c r="P769" s="1127"/>
      <c r="Q769" s="1128"/>
    </row>
    <row r="770" spans="1:17" ht="47.4" thickBot="1" x14ac:dyDescent="0.35">
      <c r="A770" s="1117"/>
      <c r="B770" s="1120"/>
      <c r="C770" s="1123"/>
      <c r="D770" s="1070"/>
      <c r="E770" s="1072"/>
      <c r="F770" s="452" t="s">
        <v>13</v>
      </c>
      <c r="G770" s="453" t="s">
        <v>14</v>
      </c>
      <c r="H770" s="453" t="s">
        <v>15</v>
      </c>
      <c r="I770" s="454" t="s">
        <v>166</v>
      </c>
      <c r="J770" s="680" t="s">
        <v>13</v>
      </c>
      <c r="K770" s="678" t="s">
        <v>14</v>
      </c>
      <c r="L770" s="679" t="s">
        <v>15</v>
      </c>
      <c r="M770" s="1080"/>
      <c r="N770" s="1082"/>
      <c r="O770" s="444" t="s">
        <v>170</v>
      </c>
      <c r="P770" s="445" t="s">
        <v>11</v>
      </c>
      <c r="Q770" s="446" t="s">
        <v>12</v>
      </c>
    </row>
    <row r="771" spans="1:17" ht="24" thickBot="1" x14ac:dyDescent="0.35">
      <c r="A771" s="268" t="s">
        <v>103</v>
      </c>
      <c r="B771" s="439"/>
      <c r="C771" s="269" t="s">
        <v>502</v>
      </c>
      <c r="D771" s="270"/>
      <c r="E771" s="271"/>
      <c r="F771" s="332">
        <f>+G771+H771</f>
        <v>0</v>
      </c>
      <c r="G771" s="272">
        <v>0</v>
      </c>
      <c r="H771" s="272">
        <v>0</v>
      </c>
      <c r="I771" s="351" t="str">
        <f>IFERROR(F771/E771,"-")</f>
        <v>-</v>
      </c>
      <c r="J771" s="457">
        <f>+K771+L771</f>
        <v>128000</v>
      </c>
      <c r="K771" s="458">
        <f>+G771+K707</f>
        <v>128000</v>
      </c>
      <c r="L771" s="458">
        <f>+H771+L707</f>
        <v>0</v>
      </c>
      <c r="M771" s="336" t="str">
        <f>IFERROR(J771/D771,"-")</f>
        <v>-</v>
      </c>
      <c r="N771" s="343">
        <f t="shared" ref="N771:N773" si="645">IFERROR(L771/J771,"-")</f>
        <v>0</v>
      </c>
      <c r="O771" s="786">
        <v>0</v>
      </c>
      <c r="P771" s="402">
        <f>+O771*G771</f>
        <v>0</v>
      </c>
      <c r="Q771" s="447">
        <f>+O771*K771</f>
        <v>0</v>
      </c>
    </row>
    <row r="772" spans="1:17" ht="23.4" x14ac:dyDescent="0.3">
      <c r="A772" s="274"/>
      <c r="B772" s="439"/>
      <c r="C772" s="269" t="s">
        <v>563</v>
      </c>
      <c r="D772" s="270"/>
      <c r="E772" s="271"/>
      <c r="F772" s="332"/>
      <c r="G772" s="272">
        <f>16000+57920</f>
        <v>73920</v>
      </c>
      <c r="H772" s="272">
        <v>12930</v>
      </c>
      <c r="I772" s="351" t="str">
        <f>IFERROR(F772/E772,"-")</f>
        <v>-</v>
      </c>
      <c r="J772" s="457">
        <f>+K772+L772</f>
        <v>135570</v>
      </c>
      <c r="K772" s="458">
        <f>+G772+K708</f>
        <v>108640</v>
      </c>
      <c r="L772" s="458">
        <f>+H772+L708</f>
        <v>26930</v>
      </c>
      <c r="M772" s="336"/>
      <c r="N772" s="343"/>
      <c r="O772" s="786">
        <v>1.5669</v>
      </c>
      <c r="P772" s="402">
        <f t="shared" ref="P772:P776" si="646">+O772*G772</f>
        <v>115825.24799999999</v>
      </c>
      <c r="Q772" s="447">
        <f t="shared" ref="Q772:Q776" si="647">+O772*K772</f>
        <v>170228.016</v>
      </c>
    </row>
    <row r="773" spans="1:17" ht="23.4" x14ac:dyDescent="0.3">
      <c r="A773" s="274" t="s">
        <v>103</v>
      </c>
      <c r="B773" s="438"/>
      <c r="C773" s="275" t="s">
        <v>245</v>
      </c>
      <c r="D773" s="276"/>
      <c r="E773" s="277"/>
      <c r="F773" s="333">
        <f t="shared" ref="F773:F776" si="648">+G773+H773</f>
        <v>0</v>
      </c>
      <c r="G773" s="719"/>
      <c r="H773" s="719"/>
      <c r="I773" s="351" t="str">
        <f t="shared" ref="I773:I776" si="649">IFERROR(F773/E773,"-")</f>
        <v>-</v>
      </c>
      <c r="J773" s="333">
        <f t="shared" ref="J773:J776" si="650">+K773+L773</f>
        <v>115874</v>
      </c>
      <c r="K773" s="278">
        <f t="shared" ref="K773:L776" si="651">+G773+K709</f>
        <v>115000</v>
      </c>
      <c r="L773" s="436">
        <f t="shared" si="651"/>
        <v>874</v>
      </c>
      <c r="M773" s="337" t="str">
        <f t="shared" ref="M773:M776" si="652">IFERROR(J773/D773,"-")</f>
        <v>-</v>
      </c>
      <c r="N773" s="265">
        <f t="shared" si="645"/>
        <v>7.5426756649464074E-3</v>
      </c>
      <c r="O773" s="508">
        <v>2.3978999999999999</v>
      </c>
      <c r="P773" s="404">
        <f t="shared" si="646"/>
        <v>0</v>
      </c>
      <c r="Q773" s="449">
        <f t="shared" si="647"/>
        <v>275758.5</v>
      </c>
    </row>
    <row r="774" spans="1:17" ht="23.4" x14ac:dyDescent="0.3">
      <c r="A774" s="274" t="s">
        <v>103</v>
      </c>
      <c r="B774" s="438"/>
      <c r="C774" s="275" t="s">
        <v>395</v>
      </c>
      <c r="D774" s="276"/>
      <c r="E774" s="277"/>
      <c r="F774" s="333">
        <f t="shared" si="648"/>
        <v>74128</v>
      </c>
      <c r="G774" s="278">
        <f>57500+15750</f>
        <v>73250</v>
      </c>
      <c r="H774" s="719">
        <f>878+0</f>
        <v>878</v>
      </c>
      <c r="I774" s="351" t="str">
        <f t="shared" si="649"/>
        <v>-</v>
      </c>
      <c r="J774" s="333">
        <f t="shared" si="650"/>
        <v>902895</v>
      </c>
      <c r="K774" s="278">
        <f t="shared" si="651"/>
        <v>894250</v>
      </c>
      <c r="L774" s="436">
        <f t="shared" si="651"/>
        <v>8645</v>
      </c>
      <c r="M774" s="337" t="str">
        <f t="shared" si="652"/>
        <v>-</v>
      </c>
      <c r="N774" s="716">
        <f>IFERROR(L774/J774,"-")</f>
        <v>9.5747567546613944E-3</v>
      </c>
      <c r="O774" s="718">
        <v>3.6777000000000002</v>
      </c>
      <c r="P774" s="404">
        <f t="shared" si="646"/>
        <v>269391.52500000002</v>
      </c>
      <c r="Q774" s="449">
        <f t="shared" si="647"/>
        <v>3288783.2250000001</v>
      </c>
    </row>
    <row r="775" spans="1:17" ht="23.4" x14ac:dyDescent="0.3">
      <c r="A775" s="274"/>
      <c r="B775" s="451"/>
      <c r="C775" s="275" t="s">
        <v>319</v>
      </c>
      <c r="D775" s="280"/>
      <c r="E775" s="281"/>
      <c r="F775" s="333">
        <f t="shared" si="648"/>
        <v>0</v>
      </c>
      <c r="G775" s="282">
        <v>0</v>
      </c>
      <c r="H775" s="282">
        <v>0</v>
      </c>
      <c r="I775" s="351" t="str">
        <f t="shared" si="649"/>
        <v>-</v>
      </c>
      <c r="J775" s="333">
        <f t="shared" si="650"/>
        <v>434562</v>
      </c>
      <c r="K775" s="278">
        <f t="shared" si="651"/>
        <v>428800</v>
      </c>
      <c r="L775" s="436">
        <f t="shared" si="651"/>
        <v>5762</v>
      </c>
      <c r="M775" s="337" t="str">
        <f t="shared" si="652"/>
        <v>-</v>
      </c>
      <c r="N775" s="265">
        <f>IFERROR(L775/J775,"-")</f>
        <v>1.3259327782917052E-2</v>
      </c>
      <c r="O775" s="509">
        <v>12.284700000000001</v>
      </c>
      <c r="P775" s="404">
        <f t="shared" si="646"/>
        <v>0</v>
      </c>
      <c r="Q775" s="449">
        <f t="shared" si="647"/>
        <v>5267679.3600000003</v>
      </c>
    </row>
    <row r="776" spans="1:17" ht="24" thickBot="1" x14ac:dyDescent="0.35">
      <c r="A776" s="274" t="s">
        <v>103</v>
      </c>
      <c r="B776" s="451"/>
      <c r="C776" s="275" t="s">
        <v>365</v>
      </c>
      <c r="D776" s="280"/>
      <c r="E776" s="281"/>
      <c r="F776" s="334">
        <f t="shared" si="648"/>
        <v>0</v>
      </c>
      <c r="G776" s="282"/>
      <c r="H776" s="282"/>
      <c r="I776" s="351" t="str">
        <f t="shared" si="649"/>
        <v>-</v>
      </c>
      <c r="J776" s="460">
        <f t="shared" si="650"/>
        <v>45034</v>
      </c>
      <c r="K776" s="461">
        <f t="shared" si="651"/>
        <v>44250</v>
      </c>
      <c r="L776" s="462">
        <f t="shared" si="651"/>
        <v>784</v>
      </c>
      <c r="M776" s="338" t="str">
        <f t="shared" si="652"/>
        <v>-</v>
      </c>
      <c r="N776" s="344">
        <f t="shared" ref="N776:N788" si="653">IFERROR(L776/J776,"-")</f>
        <v>1.7409068703646134E-2</v>
      </c>
      <c r="O776" s="718">
        <v>7.0612000000000004</v>
      </c>
      <c r="P776" s="405">
        <f t="shared" si="646"/>
        <v>0</v>
      </c>
      <c r="Q776" s="450">
        <f t="shared" si="647"/>
        <v>312458.10000000003</v>
      </c>
    </row>
    <row r="777" spans="1:17" ht="24" thickBot="1" x14ac:dyDescent="0.35">
      <c r="A777" s="274" t="s">
        <v>103</v>
      </c>
      <c r="B777" s="1109" t="s">
        <v>21</v>
      </c>
      <c r="C777" s="1046"/>
      <c r="D777" s="320">
        <f>SUM(D771:D776)</f>
        <v>0</v>
      </c>
      <c r="E777" s="285">
        <v>15000</v>
      </c>
      <c r="F777" s="320">
        <f>SUM(F771:F776)</f>
        <v>74128</v>
      </c>
      <c r="G777" s="321">
        <f>SUM(G771:G776)</f>
        <v>147170</v>
      </c>
      <c r="H777" s="321">
        <f>SUM(H771:H776)</f>
        <v>13808</v>
      </c>
      <c r="I777" s="345">
        <f>IFERROR(F777/E777,"-")</f>
        <v>4.9418666666666669</v>
      </c>
      <c r="J777" s="320">
        <f>SUM(J771:J776)</f>
        <v>1761935</v>
      </c>
      <c r="K777" s="321">
        <f>SUM(K771:K776)</f>
        <v>1718940</v>
      </c>
      <c r="L777" s="322">
        <f>SUM(L771:L776)</f>
        <v>42995</v>
      </c>
      <c r="M777" s="339" t="str">
        <f>IFERROR(J777/D777,"-")</f>
        <v>-</v>
      </c>
      <c r="N777" s="345">
        <f t="shared" si="653"/>
        <v>2.4402148773933204E-2</v>
      </c>
      <c r="O777" s="391"/>
      <c r="P777" s="406">
        <f>SUM(P771:P776)</f>
        <v>385216.77300000004</v>
      </c>
      <c r="Q777" s="425">
        <f>SUM(Q771:Q776)</f>
        <v>9314907.2009999994</v>
      </c>
    </row>
    <row r="778" spans="1:17" ht="23.4" x14ac:dyDescent="0.3">
      <c r="A778" s="274" t="s">
        <v>103</v>
      </c>
      <c r="B778" s="439"/>
      <c r="C778" s="269" t="s">
        <v>244</v>
      </c>
      <c r="D778" s="270"/>
      <c r="E778" s="271"/>
      <c r="F778" s="332">
        <f t="shared" ref="F778:F784" si="654">+G778+H778</f>
        <v>8853</v>
      </c>
      <c r="G778" s="272">
        <v>8640</v>
      </c>
      <c r="H778" s="272">
        <v>213</v>
      </c>
      <c r="I778" s="351" t="str">
        <f>IFERROR(F778/E778,"-")</f>
        <v>-</v>
      </c>
      <c r="J778" s="457">
        <f t="shared" ref="J778:J784" si="655">+K778+L778</f>
        <v>8853</v>
      </c>
      <c r="K778" s="458">
        <f t="shared" ref="K778:L784" si="656">+G778+K714</f>
        <v>8640</v>
      </c>
      <c r="L778" s="459">
        <f t="shared" si="656"/>
        <v>213</v>
      </c>
      <c r="M778" s="336" t="str">
        <f t="shared" ref="M778:M786" si="657">IFERROR(J778/D778,"-")</f>
        <v>-</v>
      </c>
      <c r="N778" s="346">
        <f t="shared" si="653"/>
        <v>2.4059640799728905E-2</v>
      </c>
      <c r="O778" s="507">
        <v>18.2316</v>
      </c>
      <c r="P778" s="402">
        <f t="shared" ref="P778:P784" si="658">+O778*G778</f>
        <v>157521.024</v>
      </c>
      <c r="Q778" s="447">
        <f t="shared" ref="Q778:Q784" si="659">+O778*K778</f>
        <v>157521.024</v>
      </c>
    </row>
    <row r="779" spans="1:17" ht="23.4" x14ac:dyDescent="0.3">
      <c r="A779" s="274" t="s">
        <v>103</v>
      </c>
      <c r="B779" s="438"/>
      <c r="C779" s="275" t="s">
        <v>89</v>
      </c>
      <c r="D779" s="276"/>
      <c r="E779" s="277"/>
      <c r="F779" s="333">
        <f t="shared" si="654"/>
        <v>0</v>
      </c>
      <c r="G779" s="278"/>
      <c r="H779" s="278"/>
      <c r="I779" s="351" t="str">
        <f t="shared" ref="I779:I784" si="660">IFERROR(F779/E779,"-")</f>
        <v>-</v>
      </c>
      <c r="J779" s="333">
        <f t="shared" si="655"/>
        <v>120000</v>
      </c>
      <c r="K779" s="278">
        <f t="shared" si="656"/>
        <v>120000</v>
      </c>
      <c r="L779" s="436">
        <f t="shared" si="656"/>
        <v>0</v>
      </c>
      <c r="M779" s="337" t="str">
        <f t="shared" si="657"/>
        <v>-</v>
      </c>
      <c r="N779" s="263">
        <f t="shared" si="653"/>
        <v>0</v>
      </c>
      <c r="O779" s="508">
        <v>1.2824</v>
      </c>
      <c r="P779" s="404">
        <f t="shared" si="658"/>
        <v>0</v>
      </c>
      <c r="Q779" s="449">
        <f t="shared" si="659"/>
        <v>153888</v>
      </c>
    </row>
    <row r="780" spans="1:17" ht="23.4" x14ac:dyDescent="0.3">
      <c r="A780" s="274" t="s">
        <v>103</v>
      </c>
      <c r="B780" s="438"/>
      <c r="C780" s="275" t="s">
        <v>300</v>
      </c>
      <c r="D780" s="276"/>
      <c r="E780" s="277"/>
      <c r="F780" s="333">
        <f t="shared" si="654"/>
        <v>0</v>
      </c>
      <c r="G780" s="278"/>
      <c r="H780" s="278"/>
      <c r="I780" s="351" t="str">
        <f t="shared" si="660"/>
        <v>-</v>
      </c>
      <c r="J780" s="333">
        <f t="shared" si="655"/>
        <v>0</v>
      </c>
      <c r="K780" s="278">
        <f t="shared" si="656"/>
        <v>0</v>
      </c>
      <c r="L780" s="436">
        <f t="shared" si="656"/>
        <v>0</v>
      </c>
      <c r="M780" s="337" t="str">
        <f t="shared" si="657"/>
        <v>-</v>
      </c>
      <c r="N780" s="263" t="str">
        <f t="shared" si="653"/>
        <v>-</v>
      </c>
      <c r="O780" s="710">
        <v>5.7342000000000004</v>
      </c>
      <c r="P780" s="404">
        <f t="shared" si="658"/>
        <v>0</v>
      </c>
      <c r="Q780" s="449">
        <f t="shared" si="659"/>
        <v>0</v>
      </c>
    </row>
    <row r="781" spans="1:17" ht="23.4" x14ac:dyDescent="0.3">
      <c r="A781" s="274" t="s">
        <v>103</v>
      </c>
      <c r="B781" s="438"/>
      <c r="C781" s="275" t="s">
        <v>314</v>
      </c>
      <c r="D781" s="276"/>
      <c r="E781" s="277"/>
      <c r="F781" s="333">
        <f t="shared" si="654"/>
        <v>0</v>
      </c>
      <c r="G781" s="278"/>
      <c r="H781" s="278"/>
      <c r="I781" s="351" t="str">
        <f t="shared" si="660"/>
        <v>-</v>
      </c>
      <c r="J781" s="333">
        <f t="shared" si="655"/>
        <v>0</v>
      </c>
      <c r="K781" s="278">
        <f t="shared" si="656"/>
        <v>0</v>
      </c>
      <c r="L781" s="436">
        <f t="shared" si="656"/>
        <v>0</v>
      </c>
      <c r="M781" s="337" t="str">
        <f t="shared" si="657"/>
        <v>-</v>
      </c>
      <c r="N781" s="263" t="str">
        <f t="shared" si="653"/>
        <v>-</v>
      </c>
      <c r="O781" s="508"/>
      <c r="P781" s="404">
        <f t="shared" si="658"/>
        <v>0</v>
      </c>
      <c r="Q781" s="449">
        <f t="shared" si="659"/>
        <v>0</v>
      </c>
    </row>
    <row r="782" spans="1:17" ht="23.4" x14ac:dyDescent="0.3">
      <c r="A782" s="274" t="s">
        <v>103</v>
      </c>
      <c r="B782" s="438"/>
      <c r="C782" s="275" t="s">
        <v>320</v>
      </c>
      <c r="D782" s="276"/>
      <c r="E782" s="277"/>
      <c r="F782" s="333">
        <f t="shared" si="654"/>
        <v>0</v>
      </c>
      <c r="G782" s="278">
        <v>0</v>
      </c>
      <c r="H782" s="278">
        <v>0</v>
      </c>
      <c r="I782" s="351" t="str">
        <f t="shared" si="660"/>
        <v>-</v>
      </c>
      <c r="J782" s="333">
        <f t="shared" si="655"/>
        <v>102814</v>
      </c>
      <c r="K782" s="278">
        <f t="shared" si="656"/>
        <v>102400</v>
      </c>
      <c r="L782" s="436">
        <f t="shared" si="656"/>
        <v>414</v>
      </c>
      <c r="M782" s="337" t="str">
        <f t="shared" si="657"/>
        <v>-</v>
      </c>
      <c r="N782" s="263">
        <f t="shared" si="653"/>
        <v>4.0266889723189446E-3</v>
      </c>
      <c r="O782" s="508">
        <v>12.029500000000001</v>
      </c>
      <c r="P782" s="404">
        <f t="shared" si="658"/>
        <v>0</v>
      </c>
      <c r="Q782" s="449">
        <f t="shared" si="659"/>
        <v>1231820.8</v>
      </c>
    </row>
    <row r="783" spans="1:17" ht="23.4" x14ac:dyDescent="0.3">
      <c r="A783" s="274" t="s">
        <v>103</v>
      </c>
      <c r="B783" s="438"/>
      <c r="C783" s="275"/>
      <c r="D783" s="276"/>
      <c r="E783" s="277"/>
      <c r="F783" s="333">
        <f t="shared" si="654"/>
        <v>0</v>
      </c>
      <c r="G783" s="278"/>
      <c r="H783" s="278"/>
      <c r="I783" s="351" t="str">
        <f t="shared" si="660"/>
        <v>-</v>
      </c>
      <c r="J783" s="333">
        <f t="shared" si="655"/>
        <v>0</v>
      </c>
      <c r="K783" s="278">
        <f t="shared" si="656"/>
        <v>0</v>
      </c>
      <c r="L783" s="436">
        <f t="shared" si="656"/>
        <v>0</v>
      </c>
      <c r="M783" s="337" t="str">
        <f t="shared" si="657"/>
        <v>-</v>
      </c>
      <c r="N783" s="263" t="str">
        <f t="shared" si="653"/>
        <v>-</v>
      </c>
      <c r="O783" s="508"/>
      <c r="P783" s="404">
        <f t="shared" si="658"/>
        <v>0</v>
      </c>
      <c r="Q783" s="449">
        <f t="shared" si="659"/>
        <v>0</v>
      </c>
    </row>
    <row r="784" spans="1:17" ht="24" thickBot="1" x14ac:dyDescent="0.35">
      <c r="A784" s="274" t="s">
        <v>103</v>
      </c>
      <c r="B784" s="451"/>
      <c r="C784" s="279"/>
      <c r="D784" s="280">
        <v>0</v>
      </c>
      <c r="E784" s="281"/>
      <c r="F784" s="334">
        <f t="shared" si="654"/>
        <v>0</v>
      </c>
      <c r="G784" s="282"/>
      <c r="H784" s="282"/>
      <c r="I784" s="351" t="str">
        <f t="shared" si="660"/>
        <v>-</v>
      </c>
      <c r="J784" s="460">
        <f t="shared" si="655"/>
        <v>0</v>
      </c>
      <c r="K784" s="461">
        <f t="shared" si="656"/>
        <v>0</v>
      </c>
      <c r="L784" s="462">
        <f t="shared" si="656"/>
        <v>0</v>
      </c>
      <c r="M784" s="338" t="str">
        <f t="shared" si="657"/>
        <v>-</v>
      </c>
      <c r="N784" s="347" t="str">
        <f t="shared" si="653"/>
        <v>-</v>
      </c>
      <c r="O784" s="509"/>
      <c r="P784" s="405">
        <f t="shared" si="658"/>
        <v>0</v>
      </c>
      <c r="Q784" s="450">
        <f t="shared" si="659"/>
        <v>0</v>
      </c>
    </row>
    <row r="785" spans="1:17" ht="24" thickBot="1" x14ac:dyDescent="0.35">
      <c r="A785" s="274" t="s">
        <v>103</v>
      </c>
      <c r="B785" s="1109" t="s">
        <v>25</v>
      </c>
      <c r="C785" s="1046"/>
      <c r="D785" s="320">
        <f t="shared" ref="D785" si="661">SUM(D778:D784)</f>
        <v>0</v>
      </c>
      <c r="E785" s="285">
        <v>100000</v>
      </c>
      <c r="F785" s="320">
        <f>SUM(F778:F784)</f>
        <v>8853</v>
      </c>
      <c r="G785" s="321">
        <f t="shared" ref="G785:H785" si="662">SUM(G778:G784)</f>
        <v>8640</v>
      </c>
      <c r="H785" s="321">
        <f t="shared" si="662"/>
        <v>213</v>
      </c>
      <c r="I785" s="345">
        <f>IFERROR(F785/E785,"-")</f>
        <v>8.8529999999999998E-2</v>
      </c>
      <c r="J785" s="320">
        <f t="shared" ref="J785:L785" si="663">SUM(J778:J784)</f>
        <v>231667</v>
      </c>
      <c r="K785" s="321">
        <f t="shared" si="663"/>
        <v>231040</v>
      </c>
      <c r="L785" s="322">
        <f t="shared" si="663"/>
        <v>627</v>
      </c>
      <c r="M785" s="339" t="str">
        <f t="shared" si="657"/>
        <v>-</v>
      </c>
      <c r="N785" s="345">
        <f t="shared" si="653"/>
        <v>2.7064709259411136E-3</v>
      </c>
      <c r="O785" s="391"/>
      <c r="P785" s="406">
        <f t="shared" ref="P785:Q785" si="664">SUM(P778:P784)</f>
        <v>157521.024</v>
      </c>
      <c r="Q785" s="425">
        <f t="shared" si="664"/>
        <v>1543229.824</v>
      </c>
    </row>
    <row r="786" spans="1:17" ht="24" thickBot="1" x14ac:dyDescent="0.35">
      <c r="A786" s="274" t="s">
        <v>103</v>
      </c>
      <c r="B786" s="1111" t="s">
        <v>172</v>
      </c>
      <c r="C786" s="1112"/>
      <c r="D786" s="326">
        <f>+D777+D785</f>
        <v>0</v>
      </c>
      <c r="E786" s="327">
        <f t="shared" ref="E786:H786" si="665">+E777+E785</f>
        <v>115000</v>
      </c>
      <c r="F786" s="512">
        <f t="shared" si="665"/>
        <v>82981</v>
      </c>
      <c r="G786" s="514">
        <f t="shared" si="665"/>
        <v>155810</v>
      </c>
      <c r="H786" s="514">
        <f t="shared" si="665"/>
        <v>14021</v>
      </c>
      <c r="I786" s="515">
        <f>IFERROR(F786/E786,"-")</f>
        <v>0.72157391304347829</v>
      </c>
      <c r="J786" s="326">
        <f t="shared" ref="J786:L786" si="666">+J777+J785</f>
        <v>1993602</v>
      </c>
      <c r="K786" s="324">
        <f t="shared" si="666"/>
        <v>1949980</v>
      </c>
      <c r="L786" s="325">
        <f t="shared" si="666"/>
        <v>43622</v>
      </c>
      <c r="M786" s="341" t="str">
        <f t="shared" si="657"/>
        <v>-</v>
      </c>
      <c r="N786" s="349">
        <f t="shared" si="653"/>
        <v>2.1880997310395958E-2</v>
      </c>
      <c r="O786" s="394"/>
      <c r="P786" s="410">
        <f t="shared" ref="P786:Q786" si="667">+P777+P785</f>
        <v>542737.79700000002</v>
      </c>
      <c r="Q786" s="428">
        <f t="shared" si="667"/>
        <v>10858137.024999999</v>
      </c>
    </row>
    <row r="787" spans="1:17" ht="23.4" x14ac:dyDescent="0.3">
      <c r="A787" s="244" t="s">
        <v>101</v>
      </c>
      <c r="B787" s="581"/>
      <c r="C787" s="582" t="s">
        <v>283</v>
      </c>
      <c r="D787" s="527"/>
      <c r="E787" s="459"/>
      <c r="F787" s="457">
        <f>+G787+H787</f>
        <v>0</v>
      </c>
      <c r="G787" s="458"/>
      <c r="H787" s="838"/>
      <c r="I787" s="531" t="str">
        <f>IFERROR(F787/E787,"-")</f>
        <v>-</v>
      </c>
      <c r="J787" s="644">
        <f>+K787+L787</f>
        <v>0</v>
      </c>
      <c r="K787" s="458">
        <f t="shared" ref="K787:L793" si="668">+G787+K723</f>
        <v>0</v>
      </c>
      <c r="L787" s="459">
        <f t="shared" si="668"/>
        <v>0</v>
      </c>
      <c r="M787" s="586" t="str">
        <f>IFERROR(J787/D787,"-")</f>
        <v>-</v>
      </c>
      <c r="N787" s="533" t="str">
        <f t="shared" si="653"/>
        <v>-</v>
      </c>
      <c r="O787" s="628">
        <v>4.8285999999999998</v>
      </c>
      <c r="P787" s="534">
        <f t="shared" ref="P787:P793" si="669">+O787*G787</f>
        <v>0</v>
      </c>
      <c r="Q787" s="535">
        <f t="shared" ref="Q787:Q793" si="670">+O787*K787</f>
        <v>0</v>
      </c>
    </row>
    <row r="788" spans="1:17" ht="23.4" x14ac:dyDescent="0.3">
      <c r="A788" s="248" t="s">
        <v>101</v>
      </c>
      <c r="B788" s="583"/>
      <c r="C788" s="275" t="s">
        <v>284</v>
      </c>
      <c r="D788" s="276"/>
      <c r="E788" s="436"/>
      <c r="F788" s="333">
        <f t="shared" ref="F788:F793" si="671">+G788+H788</f>
        <v>0</v>
      </c>
      <c r="G788" s="278"/>
      <c r="H788" s="277"/>
      <c r="I788" s="352" t="str">
        <f t="shared" ref="I788:I793" si="672">IFERROR(F788/E788,"-")</f>
        <v>-</v>
      </c>
      <c r="J788" s="874">
        <f t="shared" ref="J788:J793" si="673">+K788+L788</f>
        <v>0</v>
      </c>
      <c r="K788" s="278">
        <f t="shared" si="668"/>
        <v>0</v>
      </c>
      <c r="L788" s="436">
        <f t="shared" si="668"/>
        <v>0</v>
      </c>
      <c r="M788" s="337" t="str">
        <f t="shared" ref="M788:M793" si="674">IFERROR(J788/D788,"-")</f>
        <v>-</v>
      </c>
      <c r="N788" s="265" t="str">
        <f t="shared" si="653"/>
        <v>-</v>
      </c>
      <c r="O788" s="629">
        <v>1.4086000000000001</v>
      </c>
      <c r="P788" s="404">
        <f t="shared" si="669"/>
        <v>0</v>
      </c>
      <c r="Q788" s="449">
        <f t="shared" si="670"/>
        <v>0</v>
      </c>
    </row>
    <row r="789" spans="1:17" ht="23.4" x14ac:dyDescent="0.3">
      <c r="A789" s="248" t="s">
        <v>101</v>
      </c>
      <c r="B789" s="583"/>
      <c r="C789" s="275" t="s">
        <v>315</v>
      </c>
      <c r="D789" s="276"/>
      <c r="E789" s="436"/>
      <c r="F789" s="333">
        <f t="shared" si="671"/>
        <v>0</v>
      </c>
      <c r="G789" s="278"/>
      <c r="H789" s="277"/>
      <c r="I789" s="352" t="str">
        <f t="shared" si="672"/>
        <v>-</v>
      </c>
      <c r="J789" s="874">
        <f t="shared" si="673"/>
        <v>0</v>
      </c>
      <c r="K789" s="278">
        <f t="shared" si="668"/>
        <v>0</v>
      </c>
      <c r="L789" s="436">
        <f t="shared" si="668"/>
        <v>0</v>
      </c>
      <c r="M789" s="337" t="str">
        <f t="shared" si="674"/>
        <v>-</v>
      </c>
      <c r="N789" s="265" t="str">
        <f>IFERROR(L789/J789,"-")</f>
        <v>-</v>
      </c>
      <c r="O789" s="629">
        <v>2.2141000000000002</v>
      </c>
      <c r="P789" s="404">
        <f t="shared" si="669"/>
        <v>0</v>
      </c>
      <c r="Q789" s="449">
        <f t="shared" si="670"/>
        <v>0</v>
      </c>
    </row>
    <row r="790" spans="1:17" ht="23.4" x14ac:dyDescent="0.3">
      <c r="A790" s="248" t="s">
        <v>101</v>
      </c>
      <c r="B790" s="584"/>
      <c r="C790" s="275" t="s">
        <v>447</v>
      </c>
      <c r="D790" s="280"/>
      <c r="E790" s="528"/>
      <c r="F790" s="334">
        <f t="shared" si="671"/>
        <v>98753</v>
      </c>
      <c r="G790" s="282">
        <v>97250</v>
      </c>
      <c r="H790" s="281">
        <v>1503</v>
      </c>
      <c r="I790" s="352" t="str">
        <f t="shared" si="672"/>
        <v>-</v>
      </c>
      <c r="J790" s="874">
        <f t="shared" si="673"/>
        <v>745169</v>
      </c>
      <c r="K790" s="278">
        <f t="shared" si="668"/>
        <v>735250</v>
      </c>
      <c r="L790" s="436">
        <f t="shared" si="668"/>
        <v>9919</v>
      </c>
      <c r="M790" s="338" t="str">
        <f t="shared" si="674"/>
        <v>-</v>
      </c>
      <c r="N790" s="344">
        <f t="shared" ref="N790:N797" si="675">IFERROR(L790/J790,"-")</f>
        <v>1.3311074400572219E-2</v>
      </c>
      <c r="O790" s="629">
        <v>2.2141000000000002</v>
      </c>
      <c r="P790" s="405">
        <f t="shared" si="669"/>
        <v>215321.22500000001</v>
      </c>
      <c r="Q790" s="450">
        <f t="shared" si="670"/>
        <v>1627917.0250000001</v>
      </c>
    </row>
    <row r="791" spans="1:17" ht="23.4" x14ac:dyDescent="0.3">
      <c r="A791" s="248" t="s">
        <v>101</v>
      </c>
      <c r="B791" s="440"/>
      <c r="C791" s="627" t="s">
        <v>353</v>
      </c>
      <c r="D791" s="510"/>
      <c r="E791" s="529"/>
      <c r="F791" s="333">
        <f t="shared" si="671"/>
        <v>0</v>
      </c>
      <c r="G791" s="547"/>
      <c r="H791" s="873"/>
      <c r="I791" s="352" t="str">
        <f t="shared" si="672"/>
        <v>-</v>
      </c>
      <c r="J791" s="874">
        <f t="shared" si="673"/>
        <v>0</v>
      </c>
      <c r="K791" s="278">
        <f t="shared" si="668"/>
        <v>0</v>
      </c>
      <c r="L791" s="436">
        <f t="shared" si="668"/>
        <v>0</v>
      </c>
      <c r="M791" s="338" t="str">
        <f t="shared" si="674"/>
        <v>-</v>
      </c>
      <c r="N791" s="265" t="str">
        <f t="shared" si="675"/>
        <v>-</v>
      </c>
      <c r="O791" s="540">
        <v>4.8285999999999998</v>
      </c>
      <c r="P791" s="404">
        <f t="shared" si="669"/>
        <v>0</v>
      </c>
      <c r="Q791" s="449">
        <f t="shared" si="670"/>
        <v>0</v>
      </c>
    </row>
    <row r="792" spans="1:17" ht="23.4" x14ac:dyDescent="0.3">
      <c r="A792" s="248" t="s">
        <v>101</v>
      </c>
      <c r="B792" s="585"/>
      <c r="C792" s="627" t="s">
        <v>349</v>
      </c>
      <c r="D792" s="270"/>
      <c r="E792" s="435"/>
      <c r="F792" s="332">
        <f t="shared" si="671"/>
        <v>0</v>
      </c>
      <c r="G792" s="272"/>
      <c r="H792" s="271"/>
      <c r="I792" s="352" t="str">
        <f t="shared" si="672"/>
        <v>-</v>
      </c>
      <c r="J792" s="874">
        <f t="shared" si="673"/>
        <v>17157</v>
      </c>
      <c r="K792" s="278">
        <f t="shared" si="668"/>
        <v>16250</v>
      </c>
      <c r="L792" s="436">
        <f t="shared" si="668"/>
        <v>907</v>
      </c>
      <c r="M792" s="336" t="str">
        <f t="shared" si="674"/>
        <v>-</v>
      </c>
      <c r="N792" s="346">
        <f t="shared" si="675"/>
        <v>5.2864719939383339E-2</v>
      </c>
      <c r="O792" s="507">
        <v>4.1712999999999996</v>
      </c>
      <c r="P792" s="402">
        <f t="shared" si="669"/>
        <v>0</v>
      </c>
      <c r="Q792" s="447">
        <f t="shared" si="670"/>
        <v>67783.625</v>
      </c>
    </row>
    <row r="793" spans="1:17" ht="24" thickBot="1" x14ac:dyDescent="0.35">
      <c r="A793" s="248" t="s">
        <v>101</v>
      </c>
      <c r="B793" s="583"/>
      <c r="C793" s="275"/>
      <c r="D793" s="276"/>
      <c r="E793" s="436"/>
      <c r="F793" s="460">
        <f t="shared" si="671"/>
        <v>0</v>
      </c>
      <c r="G793" s="461"/>
      <c r="H793" s="839"/>
      <c r="I793" s="532" t="str">
        <f t="shared" si="672"/>
        <v>-</v>
      </c>
      <c r="J793" s="875">
        <f t="shared" si="673"/>
        <v>0</v>
      </c>
      <c r="K793" s="461">
        <f t="shared" si="668"/>
        <v>0</v>
      </c>
      <c r="L793" s="462">
        <f t="shared" si="668"/>
        <v>0</v>
      </c>
      <c r="M793" s="337" t="str">
        <f t="shared" si="674"/>
        <v>-</v>
      </c>
      <c r="N793" s="263" t="str">
        <f t="shared" si="675"/>
        <v>-</v>
      </c>
      <c r="O793" s="448"/>
      <c r="P793" s="404">
        <f t="shared" si="669"/>
        <v>0</v>
      </c>
      <c r="Q793" s="449">
        <f t="shared" si="670"/>
        <v>0</v>
      </c>
    </row>
    <row r="794" spans="1:17" ht="24" thickBot="1" x14ac:dyDescent="0.35">
      <c r="A794" s="274" t="s">
        <v>101</v>
      </c>
      <c r="B794" s="1109" t="s">
        <v>21</v>
      </c>
      <c r="C794" s="1046"/>
      <c r="D794" s="320">
        <v>0</v>
      </c>
      <c r="E794" s="285">
        <v>15000</v>
      </c>
      <c r="F794" s="513">
        <f>SUM(F787:F793)</f>
        <v>98753</v>
      </c>
      <c r="G794" s="519">
        <f t="shared" ref="G794:H794" si="676">SUM(G787:G793)</f>
        <v>97250</v>
      </c>
      <c r="H794" s="519">
        <f t="shared" si="676"/>
        <v>1503</v>
      </c>
      <c r="I794" s="520">
        <f>IFERROR(F794/E794,"-")</f>
        <v>6.5835333333333335</v>
      </c>
      <c r="J794" s="513">
        <f t="shared" ref="J794" si="677">SUM(J787:J793)</f>
        <v>762326</v>
      </c>
      <c r="K794" s="519">
        <f>SUM(K787:K793)</f>
        <v>751500</v>
      </c>
      <c r="L794" s="519">
        <f>SUM(L787:L793)</f>
        <v>10826</v>
      </c>
      <c r="M794" s="339" t="str">
        <f>IFERROR(J794/D794,"-")</f>
        <v>-</v>
      </c>
      <c r="N794" s="345">
        <f t="shared" si="675"/>
        <v>1.4201273470929759E-2</v>
      </c>
      <c r="O794" s="391"/>
      <c r="P794" s="406">
        <f>SUM(P787:P793)</f>
        <v>215321.22500000001</v>
      </c>
      <c r="Q794" s="425">
        <f>SUM(Q787:Q793)</f>
        <v>1695700.6500000001</v>
      </c>
    </row>
    <row r="795" spans="1:17" ht="24" thickBot="1" x14ac:dyDescent="0.35">
      <c r="A795" s="274" t="s">
        <v>101</v>
      </c>
      <c r="B795" s="1111" t="s">
        <v>248</v>
      </c>
      <c r="C795" s="1112"/>
      <c r="D795" s="512">
        <f>+D791+D794</f>
        <v>0</v>
      </c>
      <c r="E795" s="525">
        <f>+E791+E794</f>
        <v>15000</v>
      </c>
      <c r="F795" s="512">
        <f>+F791+F794</f>
        <v>98753</v>
      </c>
      <c r="G795" s="514">
        <f>+G791+G794</f>
        <v>97250</v>
      </c>
      <c r="H795" s="514">
        <f>+H791+H794</f>
        <v>1503</v>
      </c>
      <c r="I795" s="515">
        <f>IFERROR(F795/E795,"-")</f>
        <v>6.5835333333333335</v>
      </c>
      <c r="J795" s="512">
        <f>+J791+J794</f>
        <v>762326</v>
      </c>
      <c r="K795" s="514">
        <f>+K794</f>
        <v>751500</v>
      </c>
      <c r="L795" s="514">
        <f>+L794</f>
        <v>10826</v>
      </c>
      <c r="M795" s="516" t="str">
        <f t="shared" ref="M795" si="678">IFERROR(J795/D795,"-")</f>
        <v>-</v>
      </c>
      <c r="N795" s="515">
        <f t="shared" si="675"/>
        <v>1.4201273470929759E-2</v>
      </c>
      <c r="O795" s="517"/>
      <c r="P795" s="518">
        <f>+P794</f>
        <v>215321.22500000001</v>
      </c>
      <c r="Q795" s="518">
        <f>+Q794</f>
        <v>1695700.6500000001</v>
      </c>
    </row>
    <row r="796" spans="1:17" ht="23.4" x14ac:dyDescent="0.4">
      <c r="A796" s="244" t="s">
        <v>101</v>
      </c>
      <c r="B796" s="1106" t="s">
        <v>250</v>
      </c>
      <c r="C796" s="542" t="s">
        <v>71</v>
      </c>
      <c r="D796" s="527"/>
      <c r="E796" s="459"/>
      <c r="F796" s="694">
        <f>+G796+H796</f>
        <v>5085</v>
      </c>
      <c r="G796" s="527">
        <v>5000</v>
      </c>
      <c r="H796" s="458">
        <v>85</v>
      </c>
      <c r="I796" s="531" t="str">
        <f>IFERROR(F796/E796,"-")</f>
        <v>-</v>
      </c>
      <c r="J796" s="644">
        <f>+K796+L796</f>
        <v>26263</v>
      </c>
      <c r="K796" s="458">
        <f t="shared" ref="K796:K827" si="679">+G796+K732</f>
        <v>26000</v>
      </c>
      <c r="L796" s="459">
        <f t="shared" ref="L796:L827" si="680">+H796+L732</f>
        <v>263</v>
      </c>
      <c r="M796" s="586" t="str">
        <f>IFERROR(J796/D796,"-")</f>
        <v>-</v>
      </c>
      <c r="N796" s="533">
        <f t="shared" si="675"/>
        <v>1.0014088261051669E-2</v>
      </c>
      <c r="O796" s="538">
        <v>32.946300000000001</v>
      </c>
      <c r="P796" s="534">
        <f t="shared" ref="P796:P827" si="681">+O796*G796</f>
        <v>164731.5</v>
      </c>
      <c r="Q796" s="535">
        <f t="shared" ref="Q796:Q827" si="682">+O796*K796</f>
        <v>856603.8</v>
      </c>
    </row>
    <row r="797" spans="1:17" ht="23.4" x14ac:dyDescent="0.4">
      <c r="A797" s="248" t="s">
        <v>101</v>
      </c>
      <c r="B797" s="1107"/>
      <c r="C797" s="543" t="s">
        <v>72</v>
      </c>
      <c r="D797" s="511"/>
      <c r="E797" s="436"/>
      <c r="F797" s="690">
        <f t="shared" ref="F797:F827" si="683">+G797+H797</f>
        <v>0</v>
      </c>
      <c r="G797" s="276"/>
      <c r="H797" s="278"/>
      <c r="I797" s="352" t="str">
        <f t="shared" ref="I797:I827" si="684">IFERROR(F797/E797,"-")</f>
        <v>-</v>
      </c>
      <c r="J797" s="874">
        <f t="shared" ref="J797:J827" si="685">+K797+L797</f>
        <v>10595</v>
      </c>
      <c r="K797" s="278">
        <f t="shared" si="679"/>
        <v>10500</v>
      </c>
      <c r="L797" s="436">
        <f t="shared" si="680"/>
        <v>95</v>
      </c>
      <c r="M797" s="337" t="str">
        <f t="shared" ref="M797:M830" si="686">IFERROR(J797/D797,"-")</f>
        <v>-</v>
      </c>
      <c r="N797" s="265">
        <f t="shared" si="675"/>
        <v>8.9664936290703157E-3</v>
      </c>
      <c r="O797" s="508">
        <v>35.398400000000002</v>
      </c>
      <c r="P797" s="404">
        <f t="shared" si="681"/>
        <v>0</v>
      </c>
      <c r="Q797" s="449">
        <f t="shared" si="682"/>
        <v>371683.2</v>
      </c>
    </row>
    <row r="798" spans="1:17" ht="24" thickBot="1" x14ac:dyDescent="0.45">
      <c r="A798" s="248" t="s">
        <v>101</v>
      </c>
      <c r="B798" s="1108"/>
      <c r="C798" s="543" t="s">
        <v>455</v>
      </c>
      <c r="D798" s="276"/>
      <c r="E798" s="436"/>
      <c r="F798" s="690">
        <f t="shared" si="683"/>
        <v>0</v>
      </c>
      <c r="G798" s="276"/>
      <c r="H798" s="278"/>
      <c r="I798" s="352" t="str">
        <f t="shared" si="684"/>
        <v>-</v>
      </c>
      <c r="J798" s="874">
        <f t="shared" si="685"/>
        <v>10147</v>
      </c>
      <c r="K798" s="278">
        <f t="shared" si="679"/>
        <v>9900</v>
      </c>
      <c r="L798" s="436">
        <f t="shared" si="680"/>
        <v>247</v>
      </c>
      <c r="M798" s="337" t="str">
        <f t="shared" si="686"/>
        <v>-</v>
      </c>
      <c r="N798" s="265">
        <f>IFERROR(L798/J798,"-")</f>
        <v>2.4342170099536809E-2</v>
      </c>
      <c r="O798" s="508">
        <v>35.398400000000002</v>
      </c>
      <c r="P798" s="404">
        <f t="shared" si="681"/>
        <v>0</v>
      </c>
      <c r="Q798" s="449">
        <f t="shared" si="682"/>
        <v>350444.16000000003</v>
      </c>
    </row>
    <row r="799" spans="1:17" ht="23.4" x14ac:dyDescent="0.4">
      <c r="A799" s="248" t="s">
        <v>101</v>
      </c>
      <c r="B799" s="1106" t="s">
        <v>251</v>
      </c>
      <c r="C799" s="545" t="s">
        <v>75</v>
      </c>
      <c r="D799" s="276"/>
      <c r="E799" s="528"/>
      <c r="F799" s="696">
        <f t="shared" si="683"/>
        <v>7338</v>
      </c>
      <c r="G799" s="276">
        <f>2400+4800</f>
        <v>7200</v>
      </c>
      <c r="H799" s="278">
        <f>82+56</f>
        <v>138</v>
      </c>
      <c r="I799" s="352" t="str">
        <f t="shared" si="684"/>
        <v>-</v>
      </c>
      <c r="J799" s="874">
        <f t="shared" si="685"/>
        <v>41479</v>
      </c>
      <c r="K799" s="278">
        <f t="shared" si="679"/>
        <v>40633</v>
      </c>
      <c r="L799" s="436">
        <f t="shared" si="680"/>
        <v>846</v>
      </c>
      <c r="M799" s="337" t="str">
        <f t="shared" si="686"/>
        <v>-</v>
      </c>
      <c r="N799" s="265">
        <f t="shared" ref="N799:N801" si="687">IFERROR(L799/J799,"-")</f>
        <v>2.0395862966802479E-2</v>
      </c>
      <c r="O799" s="508">
        <v>55.4758</v>
      </c>
      <c r="P799" s="404">
        <f t="shared" si="681"/>
        <v>399425.76</v>
      </c>
      <c r="Q799" s="449">
        <f t="shared" si="682"/>
        <v>2254148.1814000001</v>
      </c>
    </row>
    <row r="800" spans="1:17" ht="23.4" x14ac:dyDescent="0.4">
      <c r="A800" s="248" t="s">
        <v>101</v>
      </c>
      <c r="B800" s="1107"/>
      <c r="C800" s="545" t="s">
        <v>72</v>
      </c>
      <c r="D800" s="276"/>
      <c r="E800" s="529"/>
      <c r="F800" s="696">
        <f t="shared" si="683"/>
        <v>0</v>
      </c>
      <c r="G800" s="276"/>
      <c r="H800" s="278"/>
      <c r="I800" s="352" t="str">
        <f t="shared" si="684"/>
        <v>-</v>
      </c>
      <c r="J800" s="874">
        <f t="shared" si="685"/>
        <v>0</v>
      </c>
      <c r="K800" s="278">
        <f t="shared" si="679"/>
        <v>0</v>
      </c>
      <c r="L800" s="436">
        <f t="shared" si="680"/>
        <v>0</v>
      </c>
      <c r="M800" s="337" t="str">
        <f t="shared" si="686"/>
        <v>-</v>
      </c>
      <c r="N800" s="265" t="str">
        <f t="shared" si="687"/>
        <v>-</v>
      </c>
      <c r="O800" s="540">
        <v>58.836300000000001</v>
      </c>
      <c r="P800" s="404">
        <f t="shared" si="681"/>
        <v>0</v>
      </c>
      <c r="Q800" s="449">
        <f t="shared" si="682"/>
        <v>0</v>
      </c>
    </row>
    <row r="801" spans="1:17" ht="23.4" x14ac:dyDescent="0.4">
      <c r="A801" s="248" t="s">
        <v>101</v>
      </c>
      <c r="B801" s="1107"/>
      <c r="C801" s="545" t="s">
        <v>347</v>
      </c>
      <c r="D801" s="276"/>
      <c r="E801" s="435"/>
      <c r="F801" s="696">
        <f t="shared" si="683"/>
        <v>0</v>
      </c>
      <c r="G801" s="276"/>
      <c r="H801" s="278"/>
      <c r="I801" s="352" t="str">
        <f t="shared" si="684"/>
        <v>-</v>
      </c>
      <c r="J801" s="874">
        <f t="shared" si="685"/>
        <v>2745</v>
      </c>
      <c r="K801" s="278">
        <f t="shared" si="679"/>
        <v>2305</v>
      </c>
      <c r="L801" s="436">
        <f t="shared" si="680"/>
        <v>440</v>
      </c>
      <c r="M801" s="337" t="str">
        <f t="shared" si="686"/>
        <v>-</v>
      </c>
      <c r="N801" s="263">
        <f t="shared" si="687"/>
        <v>0.16029143897996356</v>
      </c>
      <c r="O801" s="710">
        <v>58.836300000000001</v>
      </c>
      <c r="P801" s="404">
        <f t="shared" si="681"/>
        <v>0</v>
      </c>
      <c r="Q801" s="449">
        <f t="shared" si="682"/>
        <v>135617.6715</v>
      </c>
    </row>
    <row r="802" spans="1:17" ht="24" thickBot="1" x14ac:dyDescent="0.45">
      <c r="A802" s="248"/>
      <c r="B802" s="1108"/>
      <c r="C802" s="545" t="s">
        <v>361</v>
      </c>
      <c r="D802" s="276"/>
      <c r="E802" s="435"/>
      <c r="F802" s="696">
        <f t="shared" si="683"/>
        <v>0</v>
      </c>
      <c r="G802" s="276"/>
      <c r="H802" s="278"/>
      <c r="I802" s="352" t="str">
        <f t="shared" si="684"/>
        <v>-</v>
      </c>
      <c r="J802" s="874">
        <f t="shared" si="685"/>
        <v>0</v>
      </c>
      <c r="K802" s="278">
        <f t="shared" si="679"/>
        <v>0</v>
      </c>
      <c r="L802" s="436">
        <f t="shared" si="680"/>
        <v>0</v>
      </c>
      <c r="M802" s="337" t="str">
        <f t="shared" si="686"/>
        <v>-</v>
      </c>
      <c r="N802" s="263" t="str">
        <f>IFERROR(L802/J802,"-")</f>
        <v>-</v>
      </c>
      <c r="O802" s="508">
        <v>55.4758</v>
      </c>
      <c r="P802" s="404">
        <f t="shared" si="681"/>
        <v>0</v>
      </c>
      <c r="Q802" s="449">
        <f t="shared" si="682"/>
        <v>0</v>
      </c>
    </row>
    <row r="803" spans="1:17" ht="23.4" x14ac:dyDescent="0.4">
      <c r="A803" s="248" t="s">
        <v>101</v>
      </c>
      <c r="B803" s="1106" t="s">
        <v>409</v>
      </c>
      <c r="C803" s="543" t="s">
        <v>77</v>
      </c>
      <c r="D803" s="276"/>
      <c r="E803" s="436"/>
      <c r="F803" s="690">
        <f t="shared" si="683"/>
        <v>0</v>
      </c>
      <c r="G803" s="276"/>
      <c r="H803" s="278"/>
      <c r="I803" s="352" t="str">
        <f t="shared" si="684"/>
        <v>-</v>
      </c>
      <c r="J803" s="874">
        <f t="shared" si="685"/>
        <v>24300</v>
      </c>
      <c r="K803" s="719">
        <f t="shared" si="679"/>
        <v>23960</v>
      </c>
      <c r="L803" s="815">
        <f t="shared" si="680"/>
        <v>340</v>
      </c>
      <c r="M803" s="337" t="str">
        <f t="shared" si="686"/>
        <v>-</v>
      </c>
      <c r="N803" s="263">
        <f t="shared" ref="N803:N829" si="688">IFERROR(L803/J803,"-")</f>
        <v>1.3991769547325103E-2</v>
      </c>
      <c r="O803" s="508">
        <v>25.687200000000001</v>
      </c>
      <c r="P803" s="404">
        <f t="shared" si="681"/>
        <v>0</v>
      </c>
      <c r="Q803" s="449">
        <f t="shared" si="682"/>
        <v>615465.31200000003</v>
      </c>
    </row>
    <row r="804" spans="1:17" ht="24" thickBot="1" x14ac:dyDescent="0.45">
      <c r="A804" s="248" t="s">
        <v>101</v>
      </c>
      <c r="B804" s="1108"/>
      <c r="C804" s="543" t="s">
        <v>117</v>
      </c>
      <c r="D804" s="276"/>
      <c r="E804" s="436"/>
      <c r="F804" s="690">
        <f t="shared" si="683"/>
        <v>0</v>
      </c>
      <c r="G804" s="276"/>
      <c r="H804" s="278"/>
      <c r="I804" s="352" t="str">
        <f t="shared" si="684"/>
        <v>-</v>
      </c>
      <c r="J804" s="874">
        <f t="shared" si="685"/>
        <v>0</v>
      </c>
      <c r="K804" s="278">
        <f t="shared" si="679"/>
        <v>0</v>
      </c>
      <c r="L804" s="436">
        <f t="shared" si="680"/>
        <v>0</v>
      </c>
      <c r="M804" s="337" t="str">
        <f t="shared" si="686"/>
        <v>-</v>
      </c>
      <c r="N804" s="263" t="str">
        <f t="shared" si="688"/>
        <v>-</v>
      </c>
      <c r="O804" s="508">
        <v>25.033899999999999</v>
      </c>
      <c r="P804" s="404">
        <f t="shared" si="681"/>
        <v>0</v>
      </c>
      <c r="Q804" s="449">
        <f t="shared" si="682"/>
        <v>0</v>
      </c>
    </row>
    <row r="805" spans="1:17" ht="23.4" x14ac:dyDescent="0.4">
      <c r="A805" s="248"/>
      <c r="B805" s="1106" t="s">
        <v>410</v>
      </c>
      <c r="C805" s="543" t="s">
        <v>79</v>
      </c>
      <c r="D805" s="276"/>
      <c r="E805" s="436"/>
      <c r="F805" s="690">
        <f t="shared" si="683"/>
        <v>0</v>
      </c>
      <c r="G805" s="276">
        <v>0</v>
      </c>
      <c r="H805" s="278">
        <v>0</v>
      </c>
      <c r="I805" s="352" t="str">
        <f t="shared" si="684"/>
        <v>-</v>
      </c>
      <c r="J805" s="874">
        <f t="shared" si="685"/>
        <v>20171</v>
      </c>
      <c r="K805" s="278">
        <f t="shared" si="679"/>
        <v>19950</v>
      </c>
      <c r="L805" s="436">
        <f t="shared" si="680"/>
        <v>221</v>
      </c>
      <c r="M805" s="337" t="str">
        <f t="shared" si="686"/>
        <v>-</v>
      </c>
      <c r="N805" s="263">
        <f t="shared" si="688"/>
        <v>1.095632343463388E-2</v>
      </c>
      <c r="O805" s="508">
        <v>41.992699999999999</v>
      </c>
      <c r="P805" s="404">
        <f t="shared" si="681"/>
        <v>0</v>
      </c>
      <c r="Q805" s="449">
        <f t="shared" si="682"/>
        <v>837754.36499999999</v>
      </c>
    </row>
    <row r="806" spans="1:17" ht="23.4" x14ac:dyDescent="0.4">
      <c r="A806" s="248"/>
      <c r="B806" s="1107"/>
      <c r="C806" s="543" t="s">
        <v>72</v>
      </c>
      <c r="D806" s="276"/>
      <c r="E806" s="436"/>
      <c r="F806" s="690">
        <f t="shared" si="683"/>
        <v>0</v>
      </c>
      <c r="G806" s="276"/>
      <c r="H806" s="278"/>
      <c r="I806" s="352" t="str">
        <f t="shared" si="684"/>
        <v>-</v>
      </c>
      <c r="J806" s="874">
        <f t="shared" si="685"/>
        <v>0</v>
      </c>
      <c r="K806" s="278">
        <f t="shared" si="679"/>
        <v>0</v>
      </c>
      <c r="L806" s="436">
        <f t="shared" si="680"/>
        <v>0</v>
      </c>
      <c r="M806" s="337" t="str">
        <f t="shared" si="686"/>
        <v>-</v>
      </c>
      <c r="N806" s="263" t="str">
        <f t="shared" si="688"/>
        <v>-</v>
      </c>
      <c r="O806" s="508">
        <v>42.283799999999999</v>
      </c>
      <c r="P806" s="404">
        <f t="shared" si="681"/>
        <v>0</v>
      </c>
      <c r="Q806" s="449">
        <f t="shared" si="682"/>
        <v>0</v>
      </c>
    </row>
    <row r="807" spans="1:17" ht="23.4" x14ac:dyDescent="0.4">
      <c r="A807" s="248"/>
      <c r="B807" s="1107"/>
      <c r="C807" s="543" t="s">
        <v>380</v>
      </c>
      <c r="D807" s="276"/>
      <c r="E807" s="436"/>
      <c r="F807" s="690">
        <f t="shared" si="683"/>
        <v>0</v>
      </c>
      <c r="G807" s="276"/>
      <c r="H807" s="278"/>
      <c r="I807" s="352" t="str">
        <f t="shared" si="684"/>
        <v>-</v>
      </c>
      <c r="J807" s="874">
        <f t="shared" si="685"/>
        <v>0</v>
      </c>
      <c r="K807" s="278">
        <f t="shared" si="679"/>
        <v>0</v>
      </c>
      <c r="L807" s="436">
        <f t="shared" si="680"/>
        <v>0</v>
      </c>
      <c r="M807" s="337" t="str">
        <f t="shared" si="686"/>
        <v>-</v>
      </c>
      <c r="N807" s="263" t="str">
        <f t="shared" si="688"/>
        <v>-</v>
      </c>
      <c r="O807" s="710">
        <v>41.992699999999999</v>
      </c>
      <c r="P807" s="404">
        <f t="shared" si="681"/>
        <v>0</v>
      </c>
      <c r="Q807" s="449">
        <f t="shared" si="682"/>
        <v>0</v>
      </c>
    </row>
    <row r="808" spans="1:17" ht="24" thickBot="1" x14ac:dyDescent="0.45">
      <c r="A808" s="248"/>
      <c r="B808" s="1108"/>
      <c r="C808" s="543" t="s">
        <v>381</v>
      </c>
      <c r="D808" s="276"/>
      <c r="E808" s="436"/>
      <c r="F808" s="690">
        <f t="shared" si="683"/>
        <v>0</v>
      </c>
      <c r="G808" s="276"/>
      <c r="H808" s="278"/>
      <c r="I808" s="352" t="str">
        <f t="shared" si="684"/>
        <v>-</v>
      </c>
      <c r="J808" s="874">
        <f t="shared" si="685"/>
        <v>0</v>
      </c>
      <c r="K808" s="278">
        <f t="shared" si="679"/>
        <v>0</v>
      </c>
      <c r="L808" s="436">
        <f t="shared" si="680"/>
        <v>0</v>
      </c>
      <c r="M808" s="337" t="str">
        <f t="shared" si="686"/>
        <v>-</v>
      </c>
      <c r="N808" s="263" t="str">
        <f t="shared" si="688"/>
        <v>-</v>
      </c>
      <c r="O808" s="710">
        <v>42.283799999999999</v>
      </c>
      <c r="P808" s="404">
        <f t="shared" si="681"/>
        <v>0</v>
      </c>
      <c r="Q808" s="449">
        <f t="shared" si="682"/>
        <v>0</v>
      </c>
    </row>
    <row r="809" spans="1:17" ht="24" thickBot="1" x14ac:dyDescent="0.45">
      <c r="A809" s="248"/>
      <c r="B809" s="717" t="s">
        <v>80</v>
      </c>
      <c r="C809" s="543" t="s">
        <v>81</v>
      </c>
      <c r="D809" s="276"/>
      <c r="E809" s="436"/>
      <c r="F809" s="690">
        <f t="shared" si="683"/>
        <v>0</v>
      </c>
      <c r="G809" s="276"/>
      <c r="H809" s="278"/>
      <c r="I809" s="352" t="str">
        <f t="shared" si="684"/>
        <v>-</v>
      </c>
      <c r="J809" s="874">
        <f t="shared" si="685"/>
        <v>23163</v>
      </c>
      <c r="K809" s="278">
        <f t="shared" si="679"/>
        <v>22200</v>
      </c>
      <c r="L809" s="687">
        <f t="shared" si="680"/>
        <v>963</v>
      </c>
      <c r="M809" s="337" t="str">
        <f t="shared" si="686"/>
        <v>-</v>
      </c>
      <c r="N809" s="263">
        <f t="shared" si="688"/>
        <v>4.1574925527781373E-2</v>
      </c>
      <c r="O809" s="508">
        <v>4.3535000000000004</v>
      </c>
      <c r="P809" s="404">
        <f t="shared" si="681"/>
        <v>0</v>
      </c>
      <c r="Q809" s="449">
        <f t="shared" si="682"/>
        <v>96647.700000000012</v>
      </c>
    </row>
    <row r="810" spans="1:17" ht="23.4" x14ac:dyDescent="0.4">
      <c r="A810" s="248"/>
      <c r="B810" s="1106" t="s">
        <v>253</v>
      </c>
      <c r="C810" s="543" t="s">
        <v>77</v>
      </c>
      <c r="D810" s="276"/>
      <c r="E810" s="436"/>
      <c r="F810" s="690">
        <f t="shared" si="683"/>
        <v>30037</v>
      </c>
      <c r="G810" s="276">
        <f>5500+6600+16500</f>
        <v>28600</v>
      </c>
      <c r="H810" s="278">
        <f>782+358+297</f>
        <v>1437</v>
      </c>
      <c r="I810" s="352" t="str">
        <f t="shared" si="684"/>
        <v>-</v>
      </c>
      <c r="J810" s="874">
        <f t="shared" si="685"/>
        <v>525847</v>
      </c>
      <c r="K810" s="278">
        <f t="shared" si="679"/>
        <v>521400</v>
      </c>
      <c r="L810" s="436">
        <f t="shared" si="680"/>
        <v>4447</v>
      </c>
      <c r="M810" s="337" t="str">
        <f t="shared" si="686"/>
        <v>-</v>
      </c>
      <c r="N810" s="263">
        <f t="shared" si="688"/>
        <v>8.4568325007083802E-3</v>
      </c>
      <c r="O810" s="508">
        <v>4.6184000000000003</v>
      </c>
      <c r="P810" s="404">
        <f t="shared" si="681"/>
        <v>132086.24000000002</v>
      </c>
      <c r="Q810" s="449">
        <f t="shared" si="682"/>
        <v>2408033.7600000002</v>
      </c>
    </row>
    <row r="811" spans="1:17" ht="23.4" x14ac:dyDescent="0.4">
      <c r="A811" s="248"/>
      <c r="B811" s="1107"/>
      <c r="C811" s="543" t="s">
        <v>340</v>
      </c>
      <c r="D811" s="276"/>
      <c r="E811" s="436"/>
      <c r="F811" s="690">
        <f t="shared" si="683"/>
        <v>0</v>
      </c>
      <c r="G811" s="276"/>
      <c r="H811" s="278"/>
      <c r="I811" s="352" t="str">
        <f t="shared" si="684"/>
        <v>-</v>
      </c>
      <c r="J811" s="874">
        <f t="shared" si="685"/>
        <v>0</v>
      </c>
      <c r="K811" s="278">
        <f t="shared" si="679"/>
        <v>0</v>
      </c>
      <c r="L811" s="436">
        <f t="shared" si="680"/>
        <v>0</v>
      </c>
      <c r="M811" s="337" t="str">
        <f t="shared" si="686"/>
        <v>-</v>
      </c>
      <c r="N811" s="263" t="str">
        <f t="shared" si="688"/>
        <v>-</v>
      </c>
      <c r="O811" s="508">
        <v>4.6184000000000003</v>
      </c>
      <c r="P811" s="404">
        <f t="shared" si="681"/>
        <v>0</v>
      </c>
      <c r="Q811" s="449">
        <f t="shared" si="682"/>
        <v>0</v>
      </c>
    </row>
    <row r="812" spans="1:17" ht="23.4" x14ac:dyDescent="0.4">
      <c r="A812" s="248"/>
      <c r="B812" s="1107"/>
      <c r="C812" s="543" t="s">
        <v>252</v>
      </c>
      <c r="D812" s="276"/>
      <c r="E812" s="436"/>
      <c r="F812" s="690">
        <f t="shared" si="683"/>
        <v>0</v>
      </c>
      <c r="G812" s="276"/>
      <c r="H812" s="278"/>
      <c r="I812" s="352" t="str">
        <f t="shared" si="684"/>
        <v>-</v>
      </c>
      <c r="J812" s="874">
        <f t="shared" si="685"/>
        <v>0</v>
      </c>
      <c r="K812" s="278">
        <f t="shared" si="679"/>
        <v>0</v>
      </c>
      <c r="L812" s="436">
        <f t="shared" si="680"/>
        <v>0</v>
      </c>
      <c r="M812" s="337" t="str">
        <f t="shared" si="686"/>
        <v>-</v>
      </c>
      <c r="N812" s="263" t="str">
        <f t="shared" si="688"/>
        <v>-</v>
      </c>
      <c r="O812" s="508">
        <v>4.6184000000000003</v>
      </c>
      <c r="P812" s="404">
        <f t="shared" si="681"/>
        <v>0</v>
      </c>
      <c r="Q812" s="449">
        <f t="shared" si="682"/>
        <v>0</v>
      </c>
    </row>
    <row r="813" spans="1:17" ht="23.4" x14ac:dyDescent="0.4">
      <c r="A813" s="248"/>
      <c r="B813" s="1107"/>
      <c r="C813" s="543" t="s">
        <v>350</v>
      </c>
      <c r="D813" s="276"/>
      <c r="E813" s="436"/>
      <c r="F813" s="690">
        <f t="shared" si="683"/>
        <v>0</v>
      </c>
      <c r="G813" s="276"/>
      <c r="H813" s="278"/>
      <c r="I813" s="352" t="str">
        <f t="shared" si="684"/>
        <v>-</v>
      </c>
      <c r="J813" s="874">
        <f t="shared" si="685"/>
        <v>0</v>
      </c>
      <c r="K813" s="686">
        <f t="shared" si="679"/>
        <v>0</v>
      </c>
      <c r="L813" s="687">
        <f t="shared" si="680"/>
        <v>0</v>
      </c>
      <c r="M813" s="337" t="str">
        <f t="shared" si="686"/>
        <v>-</v>
      </c>
      <c r="N813" s="263" t="str">
        <f t="shared" si="688"/>
        <v>-</v>
      </c>
      <c r="O813" s="508">
        <v>4.7636000000000003</v>
      </c>
      <c r="P813" s="404">
        <f t="shared" si="681"/>
        <v>0</v>
      </c>
      <c r="Q813" s="449">
        <f t="shared" si="682"/>
        <v>0</v>
      </c>
    </row>
    <row r="814" spans="1:17" ht="24" thickBot="1" x14ac:dyDescent="0.45">
      <c r="A814" s="248"/>
      <c r="B814" s="1108"/>
      <c r="C814" s="543" t="s">
        <v>346</v>
      </c>
      <c r="D814" s="276"/>
      <c r="E814" s="436"/>
      <c r="F814" s="690">
        <f t="shared" si="683"/>
        <v>0</v>
      </c>
      <c r="G814" s="276"/>
      <c r="H814" s="278"/>
      <c r="I814" s="352" t="str">
        <f t="shared" si="684"/>
        <v>-</v>
      </c>
      <c r="J814" s="874">
        <f t="shared" si="685"/>
        <v>0</v>
      </c>
      <c r="K814" s="278">
        <f t="shared" si="679"/>
        <v>0</v>
      </c>
      <c r="L814" s="436">
        <f t="shared" si="680"/>
        <v>0</v>
      </c>
      <c r="M814" s="337" t="str">
        <f t="shared" si="686"/>
        <v>-</v>
      </c>
      <c r="N814" s="263" t="str">
        <f t="shared" si="688"/>
        <v>-</v>
      </c>
      <c r="O814" s="508">
        <v>4.8738000000000001</v>
      </c>
      <c r="P814" s="404">
        <f t="shared" si="681"/>
        <v>0</v>
      </c>
      <c r="Q814" s="449">
        <f t="shared" si="682"/>
        <v>0</v>
      </c>
    </row>
    <row r="815" spans="1:17" ht="24" thickBot="1" x14ac:dyDescent="0.45">
      <c r="A815" s="248"/>
      <c r="B815" s="717" t="s">
        <v>254</v>
      </c>
      <c r="C815" s="543" t="s">
        <v>520</v>
      </c>
      <c r="D815" s="276"/>
      <c r="E815" s="436"/>
      <c r="F815" s="690">
        <f t="shared" si="683"/>
        <v>0</v>
      </c>
      <c r="G815" s="276"/>
      <c r="H815" s="278"/>
      <c r="I815" s="352" t="str">
        <f t="shared" si="684"/>
        <v>-</v>
      </c>
      <c r="J815" s="874">
        <f t="shared" si="685"/>
        <v>17752</v>
      </c>
      <c r="K815" s="278">
        <f t="shared" si="679"/>
        <v>17600</v>
      </c>
      <c r="L815" s="436">
        <f t="shared" si="680"/>
        <v>152</v>
      </c>
      <c r="M815" s="337" t="str">
        <f t="shared" si="686"/>
        <v>-</v>
      </c>
      <c r="N815" s="263">
        <f t="shared" si="688"/>
        <v>8.5624155024785938E-3</v>
      </c>
      <c r="O815" s="508">
        <v>4.8738000000000001</v>
      </c>
      <c r="P815" s="404">
        <f t="shared" si="681"/>
        <v>0</v>
      </c>
      <c r="Q815" s="449">
        <f t="shared" si="682"/>
        <v>85778.880000000005</v>
      </c>
    </row>
    <row r="816" spans="1:17" ht="23.4" x14ac:dyDescent="0.4">
      <c r="A816" s="248"/>
      <c r="B816" s="1106" t="s">
        <v>256</v>
      </c>
      <c r="C816" s="543" t="s">
        <v>77</v>
      </c>
      <c r="D816" s="276"/>
      <c r="E816" s="436"/>
      <c r="F816" s="690">
        <f t="shared" si="683"/>
        <v>45001</v>
      </c>
      <c r="G816" s="276">
        <f>14910+13650+14910</f>
        <v>43470</v>
      </c>
      <c r="H816" s="278">
        <f>322+409+800</f>
        <v>1531</v>
      </c>
      <c r="I816" s="352" t="str">
        <f t="shared" si="684"/>
        <v>-</v>
      </c>
      <c r="J816" s="874">
        <f t="shared" si="685"/>
        <v>512551</v>
      </c>
      <c r="K816" s="719">
        <f t="shared" si="679"/>
        <v>502110</v>
      </c>
      <c r="L816" s="815">
        <f t="shared" si="680"/>
        <v>10441</v>
      </c>
      <c r="M816" s="337" t="str">
        <f t="shared" si="686"/>
        <v>-</v>
      </c>
      <c r="N816" s="263">
        <f t="shared" si="688"/>
        <v>2.0370655798154721E-2</v>
      </c>
      <c r="O816" s="508">
        <v>4.9344999999999999</v>
      </c>
      <c r="P816" s="404">
        <f t="shared" si="681"/>
        <v>214502.715</v>
      </c>
      <c r="Q816" s="449">
        <f t="shared" si="682"/>
        <v>2477661.7949999999</v>
      </c>
    </row>
    <row r="817" spans="1:17" ht="23.4" x14ac:dyDescent="0.4">
      <c r="A817" s="248"/>
      <c r="B817" s="1107"/>
      <c r="C817" s="543" t="s">
        <v>135</v>
      </c>
      <c r="D817" s="276"/>
      <c r="E817" s="436"/>
      <c r="F817" s="690">
        <f t="shared" si="683"/>
        <v>0</v>
      </c>
      <c r="G817" s="276"/>
      <c r="H817" s="278"/>
      <c r="I817" s="352" t="str">
        <f t="shared" si="684"/>
        <v>-</v>
      </c>
      <c r="J817" s="874">
        <f t="shared" si="685"/>
        <v>0</v>
      </c>
      <c r="K817" s="278">
        <f t="shared" si="679"/>
        <v>0</v>
      </c>
      <c r="L817" s="436">
        <f t="shared" si="680"/>
        <v>0</v>
      </c>
      <c r="M817" s="337" t="str">
        <f t="shared" si="686"/>
        <v>-</v>
      </c>
      <c r="N817" s="263" t="str">
        <f t="shared" si="688"/>
        <v>-</v>
      </c>
      <c r="O817" s="508">
        <v>4.9344999999999999</v>
      </c>
      <c r="P817" s="404">
        <f t="shared" si="681"/>
        <v>0</v>
      </c>
      <c r="Q817" s="449">
        <f t="shared" si="682"/>
        <v>0</v>
      </c>
    </row>
    <row r="818" spans="1:17" ht="23.4" x14ac:dyDescent="0.4">
      <c r="A818" s="248"/>
      <c r="B818" s="1107"/>
      <c r="C818" s="543" t="s">
        <v>129</v>
      </c>
      <c r="D818" s="276"/>
      <c r="E818" s="436"/>
      <c r="F818" s="690">
        <f t="shared" si="683"/>
        <v>0</v>
      </c>
      <c r="G818" s="276"/>
      <c r="H818" s="278"/>
      <c r="I818" s="352" t="str">
        <f t="shared" si="684"/>
        <v>-</v>
      </c>
      <c r="J818" s="874">
        <f t="shared" si="685"/>
        <v>0</v>
      </c>
      <c r="K818" s="278">
        <f t="shared" si="679"/>
        <v>0</v>
      </c>
      <c r="L818" s="436">
        <f t="shared" si="680"/>
        <v>0</v>
      </c>
      <c r="M818" s="337" t="str">
        <f t="shared" si="686"/>
        <v>-</v>
      </c>
      <c r="N818" s="263" t="str">
        <f t="shared" si="688"/>
        <v>-</v>
      </c>
      <c r="O818" s="508">
        <v>4.9344999999999999</v>
      </c>
      <c r="P818" s="404">
        <f t="shared" si="681"/>
        <v>0</v>
      </c>
      <c r="Q818" s="449">
        <f t="shared" si="682"/>
        <v>0</v>
      </c>
    </row>
    <row r="819" spans="1:17" ht="24" thickBot="1" x14ac:dyDescent="0.45">
      <c r="A819" s="248"/>
      <c r="B819" s="1108"/>
      <c r="C819" s="543" t="s">
        <v>255</v>
      </c>
      <c r="D819" s="276"/>
      <c r="E819" s="436"/>
      <c r="F819" s="690">
        <f t="shared" si="683"/>
        <v>0</v>
      </c>
      <c r="G819" s="276"/>
      <c r="H819" s="278"/>
      <c r="I819" s="352" t="str">
        <f t="shared" si="684"/>
        <v>-</v>
      </c>
      <c r="J819" s="874">
        <f t="shared" si="685"/>
        <v>0</v>
      </c>
      <c r="K819" s="278">
        <f t="shared" si="679"/>
        <v>0</v>
      </c>
      <c r="L819" s="436">
        <f t="shared" si="680"/>
        <v>0</v>
      </c>
      <c r="M819" s="337" t="str">
        <f t="shared" si="686"/>
        <v>-</v>
      </c>
      <c r="N819" s="263" t="str">
        <f t="shared" si="688"/>
        <v>-</v>
      </c>
      <c r="O819" s="508">
        <v>5.5069999999999997</v>
      </c>
      <c r="P819" s="404">
        <f t="shared" si="681"/>
        <v>0</v>
      </c>
      <c r="Q819" s="449">
        <f t="shared" si="682"/>
        <v>0</v>
      </c>
    </row>
    <row r="820" spans="1:17" ht="23.4" x14ac:dyDescent="0.4">
      <c r="A820" s="248"/>
      <c r="B820" s="1106" t="s">
        <v>261</v>
      </c>
      <c r="C820" s="543" t="s">
        <v>257</v>
      </c>
      <c r="D820" s="276"/>
      <c r="E820" s="436"/>
      <c r="F820" s="690">
        <f t="shared" si="683"/>
        <v>40046</v>
      </c>
      <c r="G820" s="276">
        <f>6650+10150+22050</f>
        <v>38850</v>
      </c>
      <c r="H820" s="278">
        <f>129+479+588</f>
        <v>1196</v>
      </c>
      <c r="I820" s="352" t="str">
        <f t="shared" si="684"/>
        <v>-</v>
      </c>
      <c r="J820" s="874">
        <f t="shared" si="685"/>
        <v>485058</v>
      </c>
      <c r="K820" s="278">
        <f t="shared" si="679"/>
        <v>480550</v>
      </c>
      <c r="L820" s="687">
        <f t="shared" si="680"/>
        <v>4508</v>
      </c>
      <c r="M820" s="337" t="str">
        <f t="shared" si="686"/>
        <v>-</v>
      </c>
      <c r="N820" s="263">
        <f t="shared" si="688"/>
        <v>9.2937339452189224E-3</v>
      </c>
      <c r="O820" s="710">
        <v>5.5069999999999997</v>
      </c>
      <c r="P820" s="404">
        <f t="shared" si="681"/>
        <v>213946.94999999998</v>
      </c>
      <c r="Q820" s="449">
        <f t="shared" si="682"/>
        <v>2646388.8499999996</v>
      </c>
    </row>
    <row r="821" spans="1:17" ht="23.4" x14ac:dyDescent="0.4">
      <c r="A821" s="248"/>
      <c r="B821" s="1107"/>
      <c r="C821" s="543" t="s">
        <v>258</v>
      </c>
      <c r="D821" s="276"/>
      <c r="E821" s="436"/>
      <c r="F821" s="690">
        <f t="shared" si="683"/>
        <v>0</v>
      </c>
      <c r="G821" s="276"/>
      <c r="H821" s="278"/>
      <c r="I821" s="352" t="str">
        <f t="shared" si="684"/>
        <v>-</v>
      </c>
      <c r="J821" s="874">
        <f t="shared" si="685"/>
        <v>0</v>
      </c>
      <c r="K821" s="278">
        <f t="shared" si="679"/>
        <v>0</v>
      </c>
      <c r="L821" s="436">
        <f t="shared" si="680"/>
        <v>0</v>
      </c>
      <c r="M821" s="337" t="str">
        <f t="shared" si="686"/>
        <v>-</v>
      </c>
      <c r="N821" s="263" t="str">
        <f t="shared" si="688"/>
        <v>-</v>
      </c>
      <c r="O821" s="508">
        <v>5.6550000000000002</v>
      </c>
      <c r="P821" s="404">
        <f t="shared" si="681"/>
        <v>0</v>
      </c>
      <c r="Q821" s="449">
        <f t="shared" si="682"/>
        <v>0</v>
      </c>
    </row>
    <row r="822" spans="1:17" ht="23.4" x14ac:dyDescent="0.4">
      <c r="A822" s="248"/>
      <c r="B822" s="1107"/>
      <c r="C822" s="543" t="s">
        <v>321</v>
      </c>
      <c r="D822" s="276"/>
      <c r="E822" s="436"/>
      <c r="F822" s="690">
        <f t="shared" si="683"/>
        <v>0</v>
      </c>
      <c r="G822" s="276"/>
      <c r="H822" s="278"/>
      <c r="I822" s="352" t="str">
        <f t="shared" si="684"/>
        <v>-</v>
      </c>
      <c r="J822" s="874">
        <f t="shared" si="685"/>
        <v>0</v>
      </c>
      <c r="K822" s="686">
        <f t="shared" si="679"/>
        <v>0</v>
      </c>
      <c r="L822" s="687">
        <f t="shared" si="680"/>
        <v>0</v>
      </c>
      <c r="M822" s="337" t="str">
        <f t="shared" si="686"/>
        <v>-</v>
      </c>
      <c r="N822" s="263" t="str">
        <f t="shared" si="688"/>
        <v>-</v>
      </c>
      <c r="O822" s="508">
        <v>5.6550000000000002</v>
      </c>
      <c r="P822" s="404">
        <f t="shared" si="681"/>
        <v>0</v>
      </c>
      <c r="Q822" s="449">
        <f t="shared" si="682"/>
        <v>0</v>
      </c>
    </row>
    <row r="823" spans="1:17" ht="23.4" x14ac:dyDescent="0.4">
      <c r="A823" s="248"/>
      <c r="B823" s="1107"/>
      <c r="C823" s="543" t="s">
        <v>259</v>
      </c>
      <c r="D823" s="276"/>
      <c r="E823" s="436"/>
      <c r="F823" s="690">
        <f t="shared" si="683"/>
        <v>0</v>
      </c>
      <c r="G823" s="276"/>
      <c r="H823" s="278"/>
      <c r="I823" s="352" t="str">
        <f t="shared" si="684"/>
        <v>-</v>
      </c>
      <c r="J823" s="874">
        <f t="shared" si="685"/>
        <v>0</v>
      </c>
      <c r="K823" s="278">
        <f t="shared" si="679"/>
        <v>0</v>
      </c>
      <c r="L823" s="436">
        <f t="shared" si="680"/>
        <v>0</v>
      </c>
      <c r="M823" s="337" t="str">
        <f t="shared" si="686"/>
        <v>-</v>
      </c>
      <c r="N823" s="263" t="str">
        <f t="shared" si="688"/>
        <v>-</v>
      </c>
      <c r="O823" s="508">
        <v>5.6550000000000002</v>
      </c>
      <c r="P823" s="404">
        <f t="shared" si="681"/>
        <v>0</v>
      </c>
      <c r="Q823" s="449">
        <f t="shared" si="682"/>
        <v>0</v>
      </c>
    </row>
    <row r="824" spans="1:17" ht="23.4" x14ac:dyDescent="0.4">
      <c r="A824" s="248" t="s">
        <v>101</v>
      </c>
      <c r="B824" s="1107"/>
      <c r="C824" s="543" t="s">
        <v>260</v>
      </c>
      <c r="D824" s="276"/>
      <c r="E824" s="436"/>
      <c r="F824" s="690">
        <f t="shared" si="683"/>
        <v>0</v>
      </c>
      <c r="G824" s="276"/>
      <c r="H824" s="278"/>
      <c r="I824" s="352" t="str">
        <f t="shared" si="684"/>
        <v>-</v>
      </c>
      <c r="J824" s="874">
        <f t="shared" si="685"/>
        <v>0</v>
      </c>
      <c r="K824" s="278">
        <f t="shared" si="679"/>
        <v>0</v>
      </c>
      <c r="L824" s="436">
        <f t="shared" si="680"/>
        <v>0</v>
      </c>
      <c r="M824" s="337" t="str">
        <f t="shared" si="686"/>
        <v>-</v>
      </c>
      <c r="N824" s="263" t="str">
        <f t="shared" si="688"/>
        <v>-</v>
      </c>
      <c r="O824" s="508">
        <v>3.2963</v>
      </c>
      <c r="P824" s="404">
        <f t="shared" si="681"/>
        <v>0</v>
      </c>
      <c r="Q824" s="449">
        <f t="shared" si="682"/>
        <v>0</v>
      </c>
    </row>
    <row r="825" spans="1:17" ht="24" thickBot="1" x14ac:dyDescent="0.45">
      <c r="A825" s="248" t="s">
        <v>101</v>
      </c>
      <c r="B825" s="1108"/>
      <c r="C825" s="543" t="s">
        <v>255</v>
      </c>
      <c r="D825" s="276"/>
      <c r="E825" s="436"/>
      <c r="F825" s="690">
        <f t="shared" si="683"/>
        <v>0</v>
      </c>
      <c r="G825" s="276"/>
      <c r="H825" s="278"/>
      <c r="I825" s="352" t="str">
        <f t="shared" si="684"/>
        <v>-</v>
      </c>
      <c r="J825" s="874">
        <f t="shared" si="685"/>
        <v>0</v>
      </c>
      <c r="K825" s="278">
        <f t="shared" si="679"/>
        <v>0</v>
      </c>
      <c r="L825" s="436">
        <f t="shared" si="680"/>
        <v>0</v>
      </c>
      <c r="M825" s="337" t="str">
        <f t="shared" si="686"/>
        <v>-</v>
      </c>
      <c r="N825" s="263" t="str">
        <f t="shared" si="688"/>
        <v>-</v>
      </c>
      <c r="O825" s="508">
        <v>3.2963</v>
      </c>
      <c r="P825" s="404">
        <f t="shared" si="681"/>
        <v>0</v>
      </c>
      <c r="Q825" s="449">
        <f t="shared" si="682"/>
        <v>0</v>
      </c>
    </row>
    <row r="826" spans="1:17" ht="23.4" x14ac:dyDescent="0.4">
      <c r="A826" s="248" t="s">
        <v>101</v>
      </c>
      <c r="B826" s="546"/>
      <c r="C826" s="544" t="s">
        <v>89</v>
      </c>
      <c r="D826" s="511"/>
      <c r="E826" s="436"/>
      <c r="F826" s="690">
        <f t="shared" si="683"/>
        <v>0</v>
      </c>
      <c r="G826" s="276"/>
      <c r="H826" s="278"/>
      <c r="I826" s="352" t="str">
        <f t="shared" si="684"/>
        <v>-</v>
      </c>
      <c r="J826" s="874">
        <f t="shared" si="685"/>
        <v>83715</v>
      </c>
      <c r="K826" s="278">
        <f t="shared" si="679"/>
        <v>83400</v>
      </c>
      <c r="L826" s="436">
        <f t="shared" si="680"/>
        <v>315</v>
      </c>
      <c r="M826" s="337" t="str">
        <f t="shared" si="686"/>
        <v>-</v>
      </c>
      <c r="N826" s="263">
        <f t="shared" si="688"/>
        <v>3.7627665292958249E-3</v>
      </c>
      <c r="O826" s="508">
        <v>2.3201000000000001</v>
      </c>
      <c r="P826" s="404">
        <f t="shared" si="681"/>
        <v>0</v>
      </c>
      <c r="Q826" s="449">
        <f t="shared" si="682"/>
        <v>193496.34</v>
      </c>
    </row>
    <row r="827" spans="1:17" ht="24" thickBot="1" x14ac:dyDescent="0.35">
      <c r="A827" s="248" t="s">
        <v>101</v>
      </c>
      <c r="B827" s="524"/>
      <c r="C827" s="541"/>
      <c r="D827" s="530"/>
      <c r="E827" s="462"/>
      <c r="F827" s="691">
        <f t="shared" si="683"/>
        <v>0</v>
      </c>
      <c r="G827" s="530"/>
      <c r="H827" s="461"/>
      <c r="I827" s="532" t="str">
        <f t="shared" si="684"/>
        <v>-</v>
      </c>
      <c r="J827" s="875">
        <f t="shared" si="685"/>
        <v>0</v>
      </c>
      <c r="K827" s="461">
        <f t="shared" si="679"/>
        <v>0</v>
      </c>
      <c r="L827" s="462">
        <f t="shared" si="680"/>
        <v>0</v>
      </c>
      <c r="M827" s="683" t="str">
        <f t="shared" si="686"/>
        <v>-</v>
      </c>
      <c r="N827" s="264" t="str">
        <f t="shared" si="688"/>
        <v>-</v>
      </c>
      <c r="O827" s="539"/>
      <c r="P827" s="536">
        <f t="shared" si="681"/>
        <v>0</v>
      </c>
      <c r="Q827" s="537">
        <f t="shared" si="682"/>
        <v>0</v>
      </c>
    </row>
    <row r="828" spans="1:17" ht="24" thickBot="1" x14ac:dyDescent="0.35">
      <c r="A828" s="274" t="s">
        <v>101</v>
      </c>
      <c r="B828" s="1109" t="s">
        <v>25</v>
      </c>
      <c r="C828" s="1046"/>
      <c r="D828" s="513">
        <f>SUM(D801:D827)</f>
        <v>0</v>
      </c>
      <c r="E828" s="526">
        <v>100000</v>
      </c>
      <c r="F828" s="519">
        <f>SUM(F796:F827)</f>
        <v>127507</v>
      </c>
      <c r="G828" s="519">
        <f>SUM(G796:G827)</f>
        <v>123120</v>
      </c>
      <c r="H828" s="519">
        <f>SUM(H796:H827)</f>
        <v>4387</v>
      </c>
      <c r="I828" s="520">
        <f>IFERROR(F828/E828,"-")</f>
        <v>1.2750699999999999</v>
      </c>
      <c r="J828" s="513">
        <f>SUM(J796:J827)</f>
        <v>1783786</v>
      </c>
      <c r="K828" s="513">
        <f t="shared" ref="K828:L828" si="689">SUM(K796:K827)</f>
        <v>1760508</v>
      </c>
      <c r="L828" s="513">
        <f t="shared" si="689"/>
        <v>23278</v>
      </c>
      <c r="M828" s="521" t="str">
        <f t="shared" si="686"/>
        <v>-</v>
      </c>
      <c r="N828" s="520">
        <f t="shared" si="688"/>
        <v>1.3049771665435203E-2</v>
      </c>
      <c r="O828" s="522"/>
      <c r="P828" s="523">
        <f>SUM(P796:P827)</f>
        <v>1124693.165</v>
      </c>
      <c r="Q828" s="523">
        <f>SUM(Q796:Q827)</f>
        <v>13329724.014900001</v>
      </c>
    </row>
    <row r="829" spans="1:17" ht="24" thickBot="1" x14ac:dyDescent="0.35">
      <c r="A829" s="318" t="s">
        <v>101</v>
      </c>
      <c r="B829" s="1111" t="s">
        <v>249</v>
      </c>
      <c r="C829" s="1112"/>
      <c r="D829" s="326">
        <f>+D800+D828</f>
        <v>0</v>
      </c>
      <c r="E829" s="327">
        <f>+E800+E828</f>
        <v>100000</v>
      </c>
      <c r="F829" s="326">
        <f>+F828</f>
        <v>127507</v>
      </c>
      <c r="G829" s="326">
        <f t="shared" ref="G829:H829" si="690">+G828</f>
        <v>123120</v>
      </c>
      <c r="H829" s="326">
        <f t="shared" si="690"/>
        <v>4387</v>
      </c>
      <c r="I829" s="349">
        <f>IFERROR(F829/E829,"-")</f>
        <v>1.2750699999999999</v>
      </c>
      <c r="J829" s="326">
        <f>+J828</f>
        <v>1783786</v>
      </c>
      <c r="K829" s="326">
        <f t="shared" ref="K829:L829" si="691">+K828</f>
        <v>1760508</v>
      </c>
      <c r="L829" s="326">
        <f t="shared" si="691"/>
        <v>23278</v>
      </c>
      <c r="M829" s="341" t="str">
        <f t="shared" si="686"/>
        <v>-</v>
      </c>
      <c r="N829" s="349">
        <f t="shared" si="688"/>
        <v>1.3049771665435203E-2</v>
      </c>
      <c r="O829" s="394"/>
      <c r="P829" s="410">
        <f>+P828</f>
        <v>1124693.165</v>
      </c>
      <c r="Q829" s="428">
        <f>Q828</f>
        <v>13329724.014900001</v>
      </c>
    </row>
    <row r="830" spans="1:17" ht="24.6" thickBot="1" x14ac:dyDescent="0.35">
      <c r="A830" s="319"/>
      <c r="B830" s="1113" t="s">
        <v>174</v>
      </c>
      <c r="C830" s="1114"/>
      <c r="D830" s="374">
        <f>+D829+D795+D786</f>
        <v>0</v>
      </c>
      <c r="E830" s="374">
        <f>+E829+E795+E786</f>
        <v>230000</v>
      </c>
      <c r="F830" s="374">
        <f>+F829+F795+F786</f>
        <v>309241</v>
      </c>
      <c r="G830" s="374">
        <f>+G829+G795+G786</f>
        <v>376180</v>
      </c>
      <c r="H830" s="374">
        <f>+H829+H795+H786</f>
        <v>19911</v>
      </c>
      <c r="I830" s="375">
        <f>IFERROR(F830/E830,"-")</f>
        <v>1.3445260869565216</v>
      </c>
      <c r="J830" s="374">
        <f>+J829+J795+J786</f>
        <v>4539714</v>
      </c>
      <c r="K830" s="374">
        <f>+K829+K795+K786</f>
        <v>4461988</v>
      </c>
      <c r="L830" s="374">
        <f>+L829+L795+L786</f>
        <v>77726</v>
      </c>
      <c r="M830" s="375" t="str">
        <f t="shared" si="686"/>
        <v>-</v>
      </c>
      <c r="N830" s="375">
        <f>IFERROR(L830/J830,"-")</f>
        <v>1.712134288635804E-2</v>
      </c>
      <c r="O830" s="401"/>
      <c r="P830" s="418">
        <f>+P829+P795+P786</f>
        <v>1882752.1870000002</v>
      </c>
      <c r="Q830" s="418">
        <f>+Q829+Q795+Q786</f>
        <v>25883561.6899</v>
      </c>
    </row>
    <row r="831" spans="1:17" ht="14.4" thickBot="1" x14ac:dyDescent="0.35"/>
    <row r="832" spans="1:17" ht="23.4" x14ac:dyDescent="0.3">
      <c r="A832" s="1115" t="s">
        <v>1</v>
      </c>
      <c r="B832" s="1118" t="s">
        <v>2</v>
      </c>
      <c r="C832" s="1121" t="s">
        <v>396</v>
      </c>
      <c r="D832" s="1066" t="s">
        <v>4</v>
      </c>
      <c r="E832" s="1067"/>
      <c r="F832" s="1067"/>
      <c r="G832" s="1067"/>
      <c r="H832" s="1067"/>
      <c r="I832" s="1067"/>
      <c r="J832" s="1067"/>
      <c r="K832" s="1067"/>
      <c r="L832" s="1067"/>
      <c r="M832" s="1067"/>
      <c r="N832" s="1068"/>
      <c r="O832" s="1092" t="s">
        <v>167</v>
      </c>
      <c r="P832" s="1093"/>
      <c r="Q832" s="1124"/>
    </row>
    <row r="833" spans="1:17" ht="23.4" x14ac:dyDescent="0.3">
      <c r="A833" s="1116"/>
      <c r="B833" s="1119"/>
      <c r="C833" s="1122"/>
      <c r="D833" s="1069" t="s">
        <v>7</v>
      </c>
      <c r="E833" s="1071" t="s">
        <v>108</v>
      </c>
      <c r="F833" s="1125" t="s">
        <v>566</v>
      </c>
      <c r="G833" s="1074"/>
      <c r="H833" s="1074"/>
      <c r="I833" s="1075"/>
      <c r="J833" s="1076" t="s">
        <v>8</v>
      </c>
      <c r="K833" s="1077"/>
      <c r="L833" s="1078"/>
      <c r="M833" s="1079" t="s">
        <v>165</v>
      </c>
      <c r="N833" s="1081" t="s">
        <v>164</v>
      </c>
      <c r="O833" s="1126" t="s">
        <v>169</v>
      </c>
      <c r="P833" s="1127"/>
      <c r="Q833" s="1128"/>
    </row>
    <row r="834" spans="1:17" ht="47.4" thickBot="1" x14ac:dyDescent="0.35">
      <c r="A834" s="1117"/>
      <c r="B834" s="1120"/>
      <c r="C834" s="1123"/>
      <c r="D834" s="1070"/>
      <c r="E834" s="1072"/>
      <c r="F834" s="452" t="s">
        <v>13</v>
      </c>
      <c r="G834" s="453" t="s">
        <v>14</v>
      </c>
      <c r="H834" s="453" t="s">
        <v>15</v>
      </c>
      <c r="I834" s="454" t="s">
        <v>166</v>
      </c>
      <c r="J834" s="680" t="s">
        <v>13</v>
      </c>
      <c r="K834" s="678" t="s">
        <v>14</v>
      </c>
      <c r="L834" s="679" t="s">
        <v>15</v>
      </c>
      <c r="M834" s="1080"/>
      <c r="N834" s="1082"/>
      <c r="O834" s="444" t="s">
        <v>170</v>
      </c>
      <c r="P834" s="445" t="s">
        <v>11</v>
      </c>
      <c r="Q834" s="446" t="s">
        <v>12</v>
      </c>
    </row>
    <row r="835" spans="1:17" ht="23.4" x14ac:dyDescent="0.3">
      <c r="A835" s="268" t="s">
        <v>103</v>
      </c>
      <c r="B835" s="439"/>
      <c r="C835" s="269" t="s">
        <v>502</v>
      </c>
      <c r="D835" s="270"/>
      <c r="E835" s="271"/>
      <c r="F835" s="332">
        <f>+G835+H835</f>
        <v>0</v>
      </c>
      <c r="G835" s="272">
        <v>0</v>
      </c>
      <c r="H835" s="272">
        <v>0</v>
      </c>
      <c r="I835" s="351" t="str">
        <f>IFERROR(F835/E835,"-")</f>
        <v>-</v>
      </c>
      <c r="J835" s="457">
        <f>+K835+L835</f>
        <v>128000</v>
      </c>
      <c r="K835" s="458">
        <f>+G835+K771</f>
        <v>128000</v>
      </c>
      <c r="L835" s="458">
        <f>+H835+L771</f>
        <v>0</v>
      </c>
      <c r="M835" s="336" t="str">
        <f>IFERROR(J835/D835,"-")</f>
        <v>-</v>
      </c>
      <c r="N835" s="343">
        <f t="shared" ref="N835" si="692">IFERROR(L835/J835,"-")</f>
        <v>0</v>
      </c>
      <c r="O835" s="786">
        <v>0</v>
      </c>
      <c r="P835" s="402">
        <f>+O835*G835</f>
        <v>0</v>
      </c>
      <c r="Q835" s="447">
        <f>+O835*K835</f>
        <v>0</v>
      </c>
    </row>
    <row r="836" spans="1:17" ht="23.4" x14ac:dyDescent="0.3">
      <c r="A836" s="274"/>
      <c r="B836" s="439"/>
      <c r="C836" s="269" t="s">
        <v>563</v>
      </c>
      <c r="D836" s="270"/>
      <c r="E836" s="271"/>
      <c r="F836" s="332"/>
      <c r="G836" s="272">
        <v>46480</v>
      </c>
      <c r="H836" s="272">
        <v>8950</v>
      </c>
      <c r="I836" s="351"/>
      <c r="J836" s="332">
        <f>+K836+L836</f>
        <v>191000</v>
      </c>
      <c r="K836" s="272">
        <f t="shared" ref="K836:L836" si="693">+G836+K772</f>
        <v>155120</v>
      </c>
      <c r="L836" s="271">
        <f t="shared" si="693"/>
        <v>35880</v>
      </c>
      <c r="M836" s="336"/>
      <c r="N836" s="343"/>
      <c r="O836" s="786">
        <v>1.5669</v>
      </c>
      <c r="P836" s="402">
        <f t="shared" ref="P836:P840" si="694">+O836*G836</f>
        <v>72829.512000000002</v>
      </c>
      <c r="Q836" s="447">
        <f t="shared" ref="Q836:Q840" si="695">+O836*K836</f>
        <v>243057.52799999999</v>
      </c>
    </row>
    <row r="837" spans="1:17" ht="23.4" x14ac:dyDescent="0.3">
      <c r="A837" s="274" t="s">
        <v>103</v>
      </c>
      <c r="B837" s="438"/>
      <c r="C837" s="275" t="s">
        <v>245</v>
      </c>
      <c r="D837" s="276"/>
      <c r="E837" s="277"/>
      <c r="F837" s="333">
        <f t="shared" ref="F837:F840" si="696">+G837+H837</f>
        <v>0</v>
      </c>
      <c r="G837" s="719"/>
      <c r="H837" s="719"/>
      <c r="I837" s="351" t="str">
        <f t="shared" ref="I837:I840" si="697">IFERROR(F837/E837,"-")</f>
        <v>-</v>
      </c>
      <c r="J837" s="333">
        <f t="shared" ref="J837:J840" si="698">+K837+L837</f>
        <v>115874</v>
      </c>
      <c r="K837" s="278">
        <f t="shared" ref="K837:L837" si="699">+G837+K773</f>
        <v>115000</v>
      </c>
      <c r="L837" s="436">
        <f t="shared" si="699"/>
        <v>874</v>
      </c>
      <c r="M837" s="337" t="str">
        <f t="shared" ref="M837:M840" si="700">IFERROR(J837/D837,"-")</f>
        <v>-</v>
      </c>
      <c r="N837" s="265">
        <f t="shared" ref="N837" si="701">IFERROR(L837/J837,"-")</f>
        <v>7.5426756649464074E-3</v>
      </c>
      <c r="O837" s="508">
        <v>2.3978999999999999</v>
      </c>
      <c r="P837" s="404">
        <f t="shared" si="694"/>
        <v>0</v>
      </c>
      <c r="Q837" s="449">
        <f t="shared" si="695"/>
        <v>275758.5</v>
      </c>
    </row>
    <row r="838" spans="1:17" ht="23.4" x14ac:dyDescent="0.3">
      <c r="A838" s="274" t="s">
        <v>103</v>
      </c>
      <c r="B838" s="438"/>
      <c r="C838" s="275" t="s">
        <v>395</v>
      </c>
      <c r="D838" s="276"/>
      <c r="E838" s="277"/>
      <c r="F838" s="333">
        <f t="shared" si="696"/>
        <v>89622</v>
      </c>
      <c r="G838" s="278">
        <v>88750</v>
      </c>
      <c r="H838" s="719">
        <v>872</v>
      </c>
      <c r="I838" s="351" t="str">
        <f t="shared" si="697"/>
        <v>-</v>
      </c>
      <c r="J838" s="333">
        <f t="shared" si="698"/>
        <v>992517</v>
      </c>
      <c r="K838" s="278">
        <f t="shared" ref="K838:L838" si="702">+G838+K774</f>
        <v>983000</v>
      </c>
      <c r="L838" s="436">
        <f t="shared" si="702"/>
        <v>9517</v>
      </c>
      <c r="M838" s="337" t="str">
        <f t="shared" si="700"/>
        <v>-</v>
      </c>
      <c r="N838" s="716">
        <f>IFERROR(L838/J838,"-")</f>
        <v>9.5887526359750008E-3</v>
      </c>
      <c r="O838" s="718">
        <v>3.6777000000000002</v>
      </c>
      <c r="P838" s="404">
        <f t="shared" si="694"/>
        <v>326395.875</v>
      </c>
      <c r="Q838" s="449">
        <f t="shared" si="695"/>
        <v>3615179.1</v>
      </c>
    </row>
    <row r="839" spans="1:17" ht="23.4" x14ac:dyDescent="0.3">
      <c r="A839" s="274"/>
      <c r="B839" s="451"/>
      <c r="C839" s="275" t="s">
        <v>319</v>
      </c>
      <c r="D839" s="280"/>
      <c r="E839" s="281"/>
      <c r="F839" s="333">
        <f t="shared" si="696"/>
        <v>0</v>
      </c>
      <c r="G839" s="282">
        <v>0</v>
      </c>
      <c r="H839" s="282">
        <v>0</v>
      </c>
      <c r="I839" s="351" t="str">
        <f t="shared" si="697"/>
        <v>-</v>
      </c>
      <c r="J839" s="333">
        <f t="shared" si="698"/>
        <v>434562</v>
      </c>
      <c r="K839" s="278">
        <f t="shared" ref="K839:L839" si="703">+G839+K775</f>
        <v>428800</v>
      </c>
      <c r="L839" s="436">
        <f t="shared" si="703"/>
        <v>5762</v>
      </c>
      <c r="M839" s="337" t="str">
        <f t="shared" si="700"/>
        <v>-</v>
      </c>
      <c r="N839" s="265">
        <f>IFERROR(L839/J839,"-")</f>
        <v>1.3259327782917052E-2</v>
      </c>
      <c r="O839" s="509">
        <v>12.284700000000001</v>
      </c>
      <c r="P839" s="404">
        <f t="shared" si="694"/>
        <v>0</v>
      </c>
      <c r="Q839" s="449">
        <f t="shared" si="695"/>
        <v>5267679.3600000003</v>
      </c>
    </row>
    <row r="840" spans="1:17" ht="24" thickBot="1" x14ac:dyDescent="0.35">
      <c r="A840" s="274" t="s">
        <v>103</v>
      </c>
      <c r="B840" s="451"/>
      <c r="C840" s="275" t="s">
        <v>365</v>
      </c>
      <c r="D840" s="280"/>
      <c r="E840" s="281"/>
      <c r="F840" s="334">
        <f t="shared" si="696"/>
        <v>0</v>
      </c>
      <c r="G840" s="282"/>
      <c r="H840" s="282"/>
      <c r="I840" s="351" t="str">
        <f t="shared" si="697"/>
        <v>-</v>
      </c>
      <c r="J840" s="460">
        <f t="shared" si="698"/>
        <v>45034</v>
      </c>
      <c r="K840" s="461">
        <f t="shared" ref="K840:L840" si="704">+G840+K776</f>
        <v>44250</v>
      </c>
      <c r="L840" s="462">
        <f t="shared" si="704"/>
        <v>784</v>
      </c>
      <c r="M840" s="338" t="str">
        <f t="shared" si="700"/>
        <v>-</v>
      </c>
      <c r="N840" s="344">
        <f t="shared" ref="N840:N852" si="705">IFERROR(L840/J840,"-")</f>
        <v>1.7409068703646134E-2</v>
      </c>
      <c r="O840" s="718">
        <v>7.0612000000000004</v>
      </c>
      <c r="P840" s="405">
        <f t="shared" si="694"/>
        <v>0</v>
      </c>
      <c r="Q840" s="450">
        <f t="shared" si="695"/>
        <v>312458.10000000003</v>
      </c>
    </row>
    <row r="841" spans="1:17" ht="24" thickBot="1" x14ac:dyDescent="0.35">
      <c r="A841" s="274" t="s">
        <v>103</v>
      </c>
      <c r="B841" s="1109" t="s">
        <v>21</v>
      </c>
      <c r="C841" s="1046"/>
      <c r="D841" s="320">
        <f>SUM(D835:D840)</f>
        <v>0</v>
      </c>
      <c r="E841" s="285">
        <v>15000</v>
      </c>
      <c r="F841" s="320">
        <f>SUM(F835:F840)</f>
        <v>89622</v>
      </c>
      <c r="G841" s="321">
        <f>SUM(G835:G840)</f>
        <v>135230</v>
      </c>
      <c r="H841" s="321">
        <f>SUM(H835:H840)</f>
        <v>9822</v>
      </c>
      <c r="I841" s="345">
        <f>IFERROR(F841/E841,"-")</f>
        <v>5.9748000000000001</v>
      </c>
      <c r="J841" s="320">
        <f>SUM(J835:J840)</f>
        <v>1906987</v>
      </c>
      <c r="K841" s="321">
        <f>SUM(K835:K840)</f>
        <v>1854170</v>
      </c>
      <c r="L841" s="322">
        <f>SUM(L835:L840)</f>
        <v>52817</v>
      </c>
      <c r="M841" s="339" t="str">
        <f>IFERROR(J841/D841,"-")</f>
        <v>-</v>
      </c>
      <c r="N841" s="345">
        <f t="shared" si="705"/>
        <v>2.7696570558687607E-2</v>
      </c>
      <c r="O841" s="391"/>
      <c r="P841" s="406">
        <f>SUM(P835:P840)</f>
        <v>399225.38699999999</v>
      </c>
      <c r="Q841" s="425">
        <f>SUM(Q835:Q840)</f>
        <v>9714132.5879999995</v>
      </c>
    </row>
    <row r="842" spans="1:17" ht="23.4" x14ac:dyDescent="0.3">
      <c r="A842" s="274" t="s">
        <v>103</v>
      </c>
      <c r="B842" s="439"/>
      <c r="C842" s="269" t="s">
        <v>244</v>
      </c>
      <c r="D842" s="270"/>
      <c r="E842" s="271"/>
      <c r="F842" s="332">
        <f t="shared" ref="F842:F848" si="706">+G842+H842</f>
        <v>8860</v>
      </c>
      <c r="G842" s="272">
        <v>8640</v>
      </c>
      <c r="H842" s="272">
        <v>220</v>
      </c>
      <c r="I842" s="351" t="str">
        <f>IFERROR(F842/E842,"-")</f>
        <v>-</v>
      </c>
      <c r="J842" s="457">
        <f t="shared" ref="J842:J848" si="707">+K842+L842</f>
        <v>17713</v>
      </c>
      <c r="K842" s="458">
        <f t="shared" ref="K842:L842" si="708">+G842+K778</f>
        <v>17280</v>
      </c>
      <c r="L842" s="459">
        <f t="shared" si="708"/>
        <v>433</v>
      </c>
      <c r="M842" s="336" t="str">
        <f t="shared" ref="M842:M850" si="709">IFERROR(J842/D842,"-")</f>
        <v>-</v>
      </c>
      <c r="N842" s="346">
        <f t="shared" si="705"/>
        <v>2.4445322644385481E-2</v>
      </c>
      <c r="O842" s="507">
        <v>18.2316</v>
      </c>
      <c r="P842" s="402">
        <f t="shared" ref="P842:P848" si="710">+O842*G842</f>
        <v>157521.024</v>
      </c>
      <c r="Q842" s="447">
        <f t="shared" ref="Q842:Q848" si="711">+O842*K842</f>
        <v>315042.04800000001</v>
      </c>
    </row>
    <row r="843" spans="1:17" ht="23.4" x14ac:dyDescent="0.3">
      <c r="A843" s="274" t="s">
        <v>103</v>
      </c>
      <c r="B843" s="438"/>
      <c r="C843" s="275" t="s">
        <v>89</v>
      </c>
      <c r="D843" s="276"/>
      <c r="E843" s="277"/>
      <c r="F843" s="333">
        <f t="shared" si="706"/>
        <v>60000</v>
      </c>
      <c r="G843" s="278">
        <v>60000</v>
      </c>
      <c r="H843" s="278"/>
      <c r="I843" s="351" t="str">
        <f t="shared" ref="I843:I848" si="712">IFERROR(F843/E843,"-")</f>
        <v>-</v>
      </c>
      <c r="J843" s="333">
        <f t="shared" si="707"/>
        <v>180000</v>
      </c>
      <c r="K843" s="278">
        <f t="shared" ref="K843:L843" si="713">+G843+K779</f>
        <v>180000</v>
      </c>
      <c r="L843" s="436">
        <f t="shared" si="713"/>
        <v>0</v>
      </c>
      <c r="M843" s="337" t="str">
        <f t="shared" si="709"/>
        <v>-</v>
      </c>
      <c r="N843" s="263">
        <f t="shared" si="705"/>
        <v>0</v>
      </c>
      <c r="O843" s="508">
        <v>1.2824</v>
      </c>
      <c r="P843" s="404">
        <f t="shared" si="710"/>
        <v>76944</v>
      </c>
      <c r="Q843" s="449">
        <f t="shared" si="711"/>
        <v>230832</v>
      </c>
    </row>
    <row r="844" spans="1:17" ht="23.4" x14ac:dyDescent="0.3">
      <c r="A844" s="274" t="s">
        <v>103</v>
      </c>
      <c r="B844" s="438"/>
      <c r="C844" s="275" t="s">
        <v>300</v>
      </c>
      <c r="D844" s="276"/>
      <c r="E844" s="277"/>
      <c r="F844" s="333">
        <f t="shared" si="706"/>
        <v>0</v>
      </c>
      <c r="G844" s="278"/>
      <c r="H844" s="278"/>
      <c r="I844" s="351" t="str">
        <f t="shared" si="712"/>
        <v>-</v>
      </c>
      <c r="J844" s="333">
        <f t="shared" si="707"/>
        <v>0</v>
      </c>
      <c r="K844" s="278">
        <f t="shared" ref="K844:L844" si="714">+G844+K780</f>
        <v>0</v>
      </c>
      <c r="L844" s="436">
        <f t="shared" si="714"/>
        <v>0</v>
      </c>
      <c r="M844" s="337" t="str">
        <f t="shared" si="709"/>
        <v>-</v>
      </c>
      <c r="N844" s="263" t="str">
        <f t="shared" si="705"/>
        <v>-</v>
      </c>
      <c r="O844" s="710">
        <v>5.7342000000000004</v>
      </c>
      <c r="P844" s="404">
        <f t="shared" si="710"/>
        <v>0</v>
      </c>
      <c r="Q844" s="449">
        <f t="shared" si="711"/>
        <v>0</v>
      </c>
    </row>
    <row r="845" spans="1:17" ht="23.4" x14ac:dyDescent="0.3">
      <c r="A845" s="274" t="s">
        <v>103</v>
      </c>
      <c r="B845" s="438"/>
      <c r="C845" s="275" t="s">
        <v>314</v>
      </c>
      <c r="D845" s="276"/>
      <c r="E845" s="277"/>
      <c r="F845" s="333">
        <f t="shared" si="706"/>
        <v>0</v>
      </c>
      <c r="G845" s="278"/>
      <c r="H845" s="278"/>
      <c r="I845" s="351" t="str">
        <f t="shared" si="712"/>
        <v>-</v>
      </c>
      <c r="J845" s="333">
        <f t="shared" si="707"/>
        <v>0</v>
      </c>
      <c r="K845" s="278">
        <f t="shared" ref="K845:L845" si="715">+G845+K781</f>
        <v>0</v>
      </c>
      <c r="L845" s="436">
        <f t="shared" si="715"/>
        <v>0</v>
      </c>
      <c r="M845" s="337" t="str">
        <f t="shared" si="709"/>
        <v>-</v>
      </c>
      <c r="N845" s="263" t="str">
        <f t="shared" si="705"/>
        <v>-</v>
      </c>
      <c r="O845" s="508"/>
      <c r="P845" s="404">
        <f t="shared" si="710"/>
        <v>0</v>
      </c>
      <c r="Q845" s="449">
        <f t="shared" si="711"/>
        <v>0</v>
      </c>
    </row>
    <row r="846" spans="1:17" ht="23.4" x14ac:dyDescent="0.3">
      <c r="A846" s="274" t="s">
        <v>103</v>
      </c>
      <c r="B846" s="438"/>
      <c r="C846" s="275" t="s">
        <v>320</v>
      </c>
      <c r="D846" s="276"/>
      <c r="E846" s="277"/>
      <c r="F846" s="333">
        <f t="shared" si="706"/>
        <v>0</v>
      </c>
      <c r="G846" s="278">
        <v>0</v>
      </c>
      <c r="H846" s="278">
        <v>0</v>
      </c>
      <c r="I846" s="351" t="str">
        <f t="shared" si="712"/>
        <v>-</v>
      </c>
      <c r="J846" s="333">
        <f t="shared" si="707"/>
        <v>102814</v>
      </c>
      <c r="K846" s="278">
        <f t="shared" ref="K846:L846" si="716">+G846+K782</f>
        <v>102400</v>
      </c>
      <c r="L846" s="436">
        <f t="shared" si="716"/>
        <v>414</v>
      </c>
      <c r="M846" s="337" t="str">
        <f t="shared" si="709"/>
        <v>-</v>
      </c>
      <c r="N846" s="263">
        <f t="shared" si="705"/>
        <v>4.0266889723189446E-3</v>
      </c>
      <c r="O846" s="508">
        <v>12.029500000000001</v>
      </c>
      <c r="P846" s="404">
        <f t="shared" si="710"/>
        <v>0</v>
      </c>
      <c r="Q846" s="449">
        <f t="shared" si="711"/>
        <v>1231820.8</v>
      </c>
    </row>
    <row r="847" spans="1:17" ht="23.4" x14ac:dyDescent="0.3">
      <c r="A847" s="274" t="s">
        <v>103</v>
      </c>
      <c r="B847" s="438"/>
      <c r="C847" s="275"/>
      <c r="D847" s="276"/>
      <c r="E847" s="277"/>
      <c r="F847" s="333">
        <f t="shared" si="706"/>
        <v>0</v>
      </c>
      <c r="G847" s="278"/>
      <c r="H847" s="278"/>
      <c r="I847" s="351" t="str">
        <f t="shared" si="712"/>
        <v>-</v>
      </c>
      <c r="J847" s="333">
        <f t="shared" si="707"/>
        <v>0</v>
      </c>
      <c r="K847" s="278">
        <f t="shared" ref="K847:L847" si="717">+G847+K783</f>
        <v>0</v>
      </c>
      <c r="L847" s="436">
        <f t="shared" si="717"/>
        <v>0</v>
      </c>
      <c r="M847" s="337" t="str">
        <f t="shared" si="709"/>
        <v>-</v>
      </c>
      <c r="N847" s="263" t="str">
        <f t="shared" si="705"/>
        <v>-</v>
      </c>
      <c r="O847" s="508"/>
      <c r="P847" s="404">
        <f t="shared" si="710"/>
        <v>0</v>
      </c>
      <c r="Q847" s="449">
        <f t="shared" si="711"/>
        <v>0</v>
      </c>
    </row>
    <row r="848" spans="1:17" ht="24" thickBot="1" x14ac:dyDescent="0.35">
      <c r="A848" s="274" t="s">
        <v>103</v>
      </c>
      <c r="B848" s="451"/>
      <c r="C848" s="279"/>
      <c r="D848" s="280">
        <v>0</v>
      </c>
      <c r="E848" s="281"/>
      <c r="F848" s="334">
        <f t="shared" si="706"/>
        <v>0</v>
      </c>
      <c r="G848" s="282"/>
      <c r="H848" s="282"/>
      <c r="I848" s="351" t="str">
        <f t="shared" si="712"/>
        <v>-</v>
      </c>
      <c r="J848" s="460">
        <f t="shared" si="707"/>
        <v>0</v>
      </c>
      <c r="K848" s="461">
        <f t="shared" ref="K848:L848" si="718">+G848+K784</f>
        <v>0</v>
      </c>
      <c r="L848" s="462">
        <f t="shared" si="718"/>
        <v>0</v>
      </c>
      <c r="M848" s="338" t="str">
        <f t="shared" si="709"/>
        <v>-</v>
      </c>
      <c r="N848" s="347" t="str">
        <f t="shared" si="705"/>
        <v>-</v>
      </c>
      <c r="O848" s="509"/>
      <c r="P848" s="405">
        <f t="shared" si="710"/>
        <v>0</v>
      </c>
      <c r="Q848" s="450">
        <f t="shared" si="711"/>
        <v>0</v>
      </c>
    </row>
    <row r="849" spans="1:17" ht="24" thickBot="1" x14ac:dyDescent="0.35">
      <c r="A849" s="274" t="s">
        <v>103</v>
      </c>
      <c r="B849" s="1109" t="s">
        <v>25</v>
      </c>
      <c r="C849" s="1046"/>
      <c r="D849" s="320">
        <f t="shared" ref="D849" si="719">SUM(D842:D848)</f>
        <v>0</v>
      </c>
      <c r="E849" s="285">
        <v>100000</v>
      </c>
      <c r="F849" s="320">
        <f>SUM(F842:F848)</f>
        <v>68860</v>
      </c>
      <c r="G849" s="321">
        <f t="shared" ref="G849:H849" si="720">SUM(G842:G848)</f>
        <v>68640</v>
      </c>
      <c r="H849" s="321">
        <f t="shared" si="720"/>
        <v>220</v>
      </c>
      <c r="I849" s="345">
        <f>IFERROR(F849/E849,"-")</f>
        <v>0.68859999999999999</v>
      </c>
      <c r="J849" s="320">
        <f t="shared" ref="J849:L849" si="721">SUM(J842:J848)</f>
        <v>300527</v>
      </c>
      <c r="K849" s="321">
        <f t="shared" si="721"/>
        <v>299680</v>
      </c>
      <c r="L849" s="322">
        <f t="shared" si="721"/>
        <v>847</v>
      </c>
      <c r="M849" s="339" t="str">
        <f t="shared" si="709"/>
        <v>-</v>
      </c>
      <c r="N849" s="345">
        <f t="shared" si="705"/>
        <v>2.818382374961318E-3</v>
      </c>
      <c r="O849" s="391"/>
      <c r="P849" s="406">
        <f t="shared" ref="P849:Q849" si="722">SUM(P842:P848)</f>
        <v>234465.024</v>
      </c>
      <c r="Q849" s="425">
        <f t="shared" si="722"/>
        <v>1777694.848</v>
      </c>
    </row>
    <row r="850" spans="1:17" ht="24" thickBot="1" x14ac:dyDescent="0.35">
      <c r="A850" s="274" t="s">
        <v>103</v>
      </c>
      <c r="B850" s="1111" t="s">
        <v>172</v>
      </c>
      <c r="C850" s="1112"/>
      <c r="D850" s="326">
        <f>+D841+D849</f>
        <v>0</v>
      </c>
      <c r="E850" s="327">
        <f t="shared" ref="E850:H850" si="723">+E841+E849</f>
        <v>115000</v>
      </c>
      <c r="F850" s="512">
        <f t="shared" si="723"/>
        <v>158482</v>
      </c>
      <c r="G850" s="514">
        <f t="shared" si="723"/>
        <v>203870</v>
      </c>
      <c r="H850" s="514">
        <f t="shared" si="723"/>
        <v>10042</v>
      </c>
      <c r="I850" s="515">
        <f>IFERROR(F850/E850,"-")</f>
        <v>1.378104347826087</v>
      </c>
      <c r="J850" s="326">
        <f t="shared" ref="J850:L850" si="724">+J841+J849</f>
        <v>2207514</v>
      </c>
      <c r="K850" s="324">
        <f t="shared" si="724"/>
        <v>2153850</v>
      </c>
      <c r="L850" s="325">
        <f t="shared" si="724"/>
        <v>53664</v>
      </c>
      <c r="M850" s="341" t="str">
        <f t="shared" si="709"/>
        <v>-</v>
      </c>
      <c r="N850" s="349">
        <f t="shared" si="705"/>
        <v>2.4309698602137969E-2</v>
      </c>
      <c r="O850" s="394"/>
      <c r="P850" s="410">
        <f t="shared" ref="P850:Q850" si="725">+P841+P849</f>
        <v>633690.41099999996</v>
      </c>
      <c r="Q850" s="428">
        <f t="shared" si="725"/>
        <v>11491827.435999999</v>
      </c>
    </row>
    <row r="851" spans="1:17" ht="23.4" x14ac:dyDescent="0.3">
      <c r="A851" s="244" t="s">
        <v>101</v>
      </c>
      <c r="B851" s="581"/>
      <c r="C851" s="582" t="s">
        <v>283</v>
      </c>
      <c r="D851" s="527"/>
      <c r="E851" s="459"/>
      <c r="F851" s="457">
        <f>+G851+H851</f>
        <v>0</v>
      </c>
      <c r="G851" s="458"/>
      <c r="H851" s="838"/>
      <c r="I851" s="531" t="str">
        <f>IFERROR(F851/E851,"-")</f>
        <v>-</v>
      </c>
      <c r="J851" s="644">
        <f>+K851+L851</f>
        <v>0</v>
      </c>
      <c r="K851" s="458">
        <f t="shared" ref="K851:L851" si="726">+G851+K787</f>
        <v>0</v>
      </c>
      <c r="L851" s="459">
        <f t="shared" si="726"/>
        <v>0</v>
      </c>
      <c r="M851" s="586" t="str">
        <f>IFERROR(J851/D851,"-")</f>
        <v>-</v>
      </c>
      <c r="N851" s="533" t="str">
        <f t="shared" si="705"/>
        <v>-</v>
      </c>
      <c r="O851" s="628">
        <v>4.8285999999999998</v>
      </c>
      <c r="P851" s="534">
        <f t="shared" ref="P851:P857" si="727">+O851*G851</f>
        <v>0</v>
      </c>
      <c r="Q851" s="535">
        <f t="shared" ref="Q851:Q857" si="728">+O851*K851</f>
        <v>0</v>
      </c>
    </row>
    <row r="852" spans="1:17" ht="23.4" x14ac:dyDescent="0.3">
      <c r="A852" s="248" t="s">
        <v>101</v>
      </c>
      <c r="B852" s="583"/>
      <c r="C852" s="275" t="s">
        <v>284</v>
      </c>
      <c r="D852" s="276"/>
      <c r="E852" s="436"/>
      <c r="F852" s="333">
        <f t="shared" ref="F852:F857" si="729">+G852+H852</f>
        <v>0</v>
      </c>
      <c r="G852" s="278"/>
      <c r="H852" s="277"/>
      <c r="I852" s="352" t="str">
        <f t="shared" ref="I852:I857" si="730">IFERROR(F852/E852,"-")</f>
        <v>-</v>
      </c>
      <c r="J852" s="874">
        <f t="shared" ref="J852:J857" si="731">+K852+L852</f>
        <v>0</v>
      </c>
      <c r="K852" s="278">
        <f t="shared" ref="K852:L852" si="732">+G852+K788</f>
        <v>0</v>
      </c>
      <c r="L852" s="436">
        <f t="shared" si="732"/>
        <v>0</v>
      </c>
      <c r="M852" s="337" t="str">
        <f t="shared" ref="M852:M857" si="733">IFERROR(J852/D852,"-")</f>
        <v>-</v>
      </c>
      <c r="N852" s="265" t="str">
        <f t="shared" si="705"/>
        <v>-</v>
      </c>
      <c r="O852" s="629">
        <v>1.4086000000000001</v>
      </c>
      <c r="P852" s="404">
        <f t="shared" si="727"/>
        <v>0</v>
      </c>
      <c r="Q852" s="449">
        <f t="shared" si="728"/>
        <v>0</v>
      </c>
    </row>
    <row r="853" spans="1:17" ht="23.4" x14ac:dyDescent="0.3">
      <c r="A853" s="248" t="s">
        <v>101</v>
      </c>
      <c r="B853" s="583"/>
      <c r="C853" s="275" t="s">
        <v>315</v>
      </c>
      <c r="D853" s="276"/>
      <c r="E853" s="436"/>
      <c r="F853" s="333">
        <f t="shared" si="729"/>
        <v>0</v>
      </c>
      <c r="G853" s="278"/>
      <c r="H853" s="277"/>
      <c r="I853" s="352" t="str">
        <f t="shared" si="730"/>
        <v>-</v>
      </c>
      <c r="J853" s="874">
        <f t="shared" si="731"/>
        <v>0</v>
      </c>
      <c r="K853" s="278">
        <f t="shared" ref="K853:L853" si="734">+G853+K789</f>
        <v>0</v>
      </c>
      <c r="L853" s="436">
        <f t="shared" si="734"/>
        <v>0</v>
      </c>
      <c r="M853" s="337" t="str">
        <f t="shared" si="733"/>
        <v>-</v>
      </c>
      <c r="N853" s="265" t="str">
        <f>IFERROR(L853/J853,"-")</f>
        <v>-</v>
      </c>
      <c r="O853" s="629">
        <v>2.2141000000000002</v>
      </c>
      <c r="P853" s="404">
        <f t="shared" si="727"/>
        <v>0</v>
      </c>
      <c r="Q853" s="449">
        <f t="shared" si="728"/>
        <v>0</v>
      </c>
    </row>
    <row r="854" spans="1:17" ht="23.4" x14ac:dyDescent="0.3">
      <c r="A854" s="248" t="s">
        <v>101</v>
      </c>
      <c r="B854" s="584"/>
      <c r="C854" s="275" t="s">
        <v>447</v>
      </c>
      <c r="D854" s="280"/>
      <c r="E854" s="528"/>
      <c r="F854" s="334">
        <f t="shared" si="729"/>
        <v>0</v>
      </c>
      <c r="G854" s="282">
        <v>0</v>
      </c>
      <c r="H854" s="281">
        <v>0</v>
      </c>
      <c r="I854" s="352" t="str">
        <f t="shared" si="730"/>
        <v>-</v>
      </c>
      <c r="J854" s="874">
        <f t="shared" si="731"/>
        <v>745169</v>
      </c>
      <c r="K854" s="278">
        <f t="shared" ref="K854:L854" si="735">+G854+K790</f>
        <v>735250</v>
      </c>
      <c r="L854" s="436">
        <f t="shared" si="735"/>
        <v>9919</v>
      </c>
      <c r="M854" s="338" t="str">
        <f t="shared" si="733"/>
        <v>-</v>
      </c>
      <c r="N854" s="344">
        <f t="shared" ref="N854:N861" si="736">IFERROR(L854/J854,"-")</f>
        <v>1.3311074400572219E-2</v>
      </c>
      <c r="O854" s="629">
        <v>2.2141000000000002</v>
      </c>
      <c r="P854" s="405">
        <f t="shared" si="727"/>
        <v>0</v>
      </c>
      <c r="Q854" s="450">
        <f t="shared" si="728"/>
        <v>1627917.0250000001</v>
      </c>
    </row>
    <row r="855" spans="1:17" ht="23.4" x14ac:dyDescent="0.3">
      <c r="A855" s="248" t="s">
        <v>101</v>
      </c>
      <c r="B855" s="440"/>
      <c r="C855" s="627" t="s">
        <v>353</v>
      </c>
      <c r="D855" s="510"/>
      <c r="E855" s="529"/>
      <c r="F855" s="333">
        <f t="shared" si="729"/>
        <v>0</v>
      </c>
      <c r="G855" s="547"/>
      <c r="H855" s="873"/>
      <c r="I855" s="352" t="str">
        <f t="shared" si="730"/>
        <v>-</v>
      </c>
      <c r="J855" s="874">
        <f t="shared" si="731"/>
        <v>0</v>
      </c>
      <c r="K855" s="278">
        <f t="shared" ref="K855:L855" si="737">+G855+K791</f>
        <v>0</v>
      </c>
      <c r="L855" s="436">
        <f t="shared" si="737"/>
        <v>0</v>
      </c>
      <c r="M855" s="338" t="str">
        <f t="shared" si="733"/>
        <v>-</v>
      </c>
      <c r="N855" s="265" t="str">
        <f t="shared" si="736"/>
        <v>-</v>
      </c>
      <c r="O855" s="540">
        <v>4.8285999999999998</v>
      </c>
      <c r="P855" s="404">
        <f t="shared" si="727"/>
        <v>0</v>
      </c>
      <c r="Q855" s="449">
        <f t="shared" si="728"/>
        <v>0</v>
      </c>
    </row>
    <row r="856" spans="1:17" ht="23.4" x14ac:dyDescent="0.3">
      <c r="A856" s="248" t="s">
        <v>101</v>
      </c>
      <c r="B856" s="585"/>
      <c r="C856" s="627" t="s">
        <v>349</v>
      </c>
      <c r="D856" s="270"/>
      <c r="E856" s="435"/>
      <c r="F856" s="332">
        <f t="shared" si="729"/>
        <v>0</v>
      </c>
      <c r="G856" s="272"/>
      <c r="H856" s="271"/>
      <c r="I856" s="352" t="str">
        <f t="shared" si="730"/>
        <v>-</v>
      </c>
      <c r="J856" s="874">
        <f t="shared" si="731"/>
        <v>17157</v>
      </c>
      <c r="K856" s="278">
        <f t="shared" ref="K856:L856" si="738">+G856+K792</f>
        <v>16250</v>
      </c>
      <c r="L856" s="436">
        <f t="shared" si="738"/>
        <v>907</v>
      </c>
      <c r="M856" s="336" t="str">
        <f t="shared" si="733"/>
        <v>-</v>
      </c>
      <c r="N856" s="346">
        <f t="shared" si="736"/>
        <v>5.2864719939383339E-2</v>
      </c>
      <c r="O856" s="507">
        <v>4.1712999999999996</v>
      </c>
      <c r="P856" s="402">
        <f t="shared" si="727"/>
        <v>0</v>
      </c>
      <c r="Q856" s="447">
        <f t="shared" si="728"/>
        <v>67783.625</v>
      </c>
    </row>
    <row r="857" spans="1:17" ht="24" thickBot="1" x14ac:dyDescent="0.35">
      <c r="A857" s="248" t="s">
        <v>101</v>
      </c>
      <c r="B857" s="583"/>
      <c r="C857" s="275"/>
      <c r="D857" s="276"/>
      <c r="E857" s="436"/>
      <c r="F857" s="460">
        <f t="shared" si="729"/>
        <v>0</v>
      </c>
      <c r="G857" s="461"/>
      <c r="H857" s="839"/>
      <c r="I857" s="532" t="str">
        <f t="shared" si="730"/>
        <v>-</v>
      </c>
      <c r="J857" s="875">
        <f t="shared" si="731"/>
        <v>0</v>
      </c>
      <c r="K857" s="461">
        <f t="shared" ref="K857:L857" si="739">+G857+K793</f>
        <v>0</v>
      </c>
      <c r="L857" s="462">
        <f t="shared" si="739"/>
        <v>0</v>
      </c>
      <c r="M857" s="337" t="str">
        <f t="shared" si="733"/>
        <v>-</v>
      </c>
      <c r="N857" s="263" t="str">
        <f t="shared" si="736"/>
        <v>-</v>
      </c>
      <c r="O857" s="448"/>
      <c r="P857" s="404">
        <f t="shared" si="727"/>
        <v>0</v>
      </c>
      <c r="Q857" s="449">
        <f t="shared" si="728"/>
        <v>0</v>
      </c>
    </row>
    <row r="858" spans="1:17" ht="24" thickBot="1" x14ac:dyDescent="0.35">
      <c r="A858" s="274" t="s">
        <v>101</v>
      </c>
      <c r="B858" s="1109" t="s">
        <v>21</v>
      </c>
      <c r="C858" s="1046"/>
      <c r="D858" s="320">
        <v>0</v>
      </c>
      <c r="E858" s="285">
        <v>15000</v>
      </c>
      <c r="F858" s="513">
        <f>SUM(F851:F857)</f>
        <v>0</v>
      </c>
      <c r="G858" s="519">
        <f t="shared" ref="G858:H858" si="740">SUM(G851:G857)</f>
        <v>0</v>
      </c>
      <c r="H858" s="519">
        <f t="shared" si="740"/>
        <v>0</v>
      </c>
      <c r="I858" s="520">
        <f>IFERROR(F858/E858,"-")</f>
        <v>0</v>
      </c>
      <c r="J858" s="513">
        <f t="shared" ref="J858" si="741">SUM(J851:J857)</f>
        <v>762326</v>
      </c>
      <c r="K858" s="519">
        <f>SUM(K851:K857)</f>
        <v>751500</v>
      </c>
      <c r="L858" s="519">
        <f>SUM(L851:L857)</f>
        <v>10826</v>
      </c>
      <c r="M858" s="339" t="str">
        <f>IFERROR(J858/D858,"-")</f>
        <v>-</v>
      </c>
      <c r="N858" s="345">
        <f t="shared" si="736"/>
        <v>1.4201273470929759E-2</v>
      </c>
      <c r="O858" s="391"/>
      <c r="P858" s="406">
        <f>SUM(P851:P857)</f>
        <v>0</v>
      </c>
      <c r="Q858" s="425">
        <f>SUM(Q851:Q857)</f>
        <v>1695700.6500000001</v>
      </c>
    </row>
    <row r="859" spans="1:17" ht="24" thickBot="1" x14ac:dyDescent="0.35">
      <c r="A859" s="274" t="s">
        <v>101</v>
      </c>
      <c r="B859" s="1111" t="s">
        <v>248</v>
      </c>
      <c r="C859" s="1112"/>
      <c r="D859" s="512">
        <f>+D855+D858</f>
        <v>0</v>
      </c>
      <c r="E859" s="525">
        <f>+E855+E858</f>
        <v>15000</v>
      </c>
      <c r="F859" s="512">
        <f>+F855+F858</f>
        <v>0</v>
      </c>
      <c r="G859" s="514">
        <f>+G855+G858</f>
        <v>0</v>
      </c>
      <c r="H859" s="514">
        <f>+H855+H858</f>
        <v>0</v>
      </c>
      <c r="I859" s="515">
        <f>IFERROR(F859/E859,"-")</f>
        <v>0</v>
      </c>
      <c r="J859" s="512">
        <f>+J855+J858</f>
        <v>762326</v>
      </c>
      <c r="K859" s="514">
        <f>+K858</f>
        <v>751500</v>
      </c>
      <c r="L859" s="514">
        <f>+L858</f>
        <v>10826</v>
      </c>
      <c r="M859" s="516" t="str">
        <f t="shared" ref="M859" si="742">IFERROR(J859/D859,"-")</f>
        <v>-</v>
      </c>
      <c r="N859" s="515">
        <f t="shared" si="736"/>
        <v>1.4201273470929759E-2</v>
      </c>
      <c r="O859" s="517"/>
      <c r="P859" s="518">
        <f>+P858</f>
        <v>0</v>
      </c>
      <c r="Q859" s="518">
        <f>+Q858</f>
        <v>1695700.6500000001</v>
      </c>
    </row>
    <row r="860" spans="1:17" ht="23.4" x14ac:dyDescent="0.4">
      <c r="A860" s="244" t="s">
        <v>101</v>
      </c>
      <c r="B860" s="1106" t="s">
        <v>250</v>
      </c>
      <c r="C860" s="542" t="s">
        <v>71</v>
      </c>
      <c r="D860" s="527"/>
      <c r="E860" s="459"/>
      <c r="F860" s="694">
        <f>+G860+H860</f>
        <v>5080</v>
      </c>
      <c r="G860" s="527">
        <v>5000</v>
      </c>
      <c r="H860" s="458">
        <v>80</v>
      </c>
      <c r="I860" s="531" t="str">
        <f>IFERROR(F860/E860,"-")</f>
        <v>-</v>
      </c>
      <c r="J860" s="644">
        <f>+K860+L860</f>
        <v>31343</v>
      </c>
      <c r="K860" s="458">
        <f t="shared" ref="K860:K891" si="743">+G860+K796</f>
        <v>31000</v>
      </c>
      <c r="L860" s="459">
        <f t="shared" ref="L860:L891" si="744">+H860+L796</f>
        <v>343</v>
      </c>
      <c r="M860" s="586" t="str">
        <f>IFERROR(J860/D860,"-")</f>
        <v>-</v>
      </c>
      <c r="N860" s="533">
        <f t="shared" si="736"/>
        <v>1.0943432345340268E-2</v>
      </c>
      <c r="O860" s="538">
        <v>32.946300000000001</v>
      </c>
      <c r="P860" s="534">
        <f t="shared" ref="P860:P891" si="745">+O860*G860</f>
        <v>164731.5</v>
      </c>
      <c r="Q860" s="535">
        <f t="shared" ref="Q860:Q891" si="746">+O860*K860</f>
        <v>1021335.3</v>
      </c>
    </row>
    <row r="861" spans="1:17" ht="23.4" x14ac:dyDescent="0.4">
      <c r="A861" s="248" t="s">
        <v>101</v>
      </c>
      <c r="B861" s="1107"/>
      <c r="C861" s="543" t="s">
        <v>72</v>
      </c>
      <c r="D861" s="511"/>
      <c r="E861" s="436"/>
      <c r="F861" s="690">
        <f t="shared" ref="F861:F891" si="747">+G861+H861</f>
        <v>0</v>
      </c>
      <c r="G861" s="276"/>
      <c r="H861" s="278"/>
      <c r="I861" s="352" t="str">
        <f t="shared" ref="I861:I891" si="748">IFERROR(F861/E861,"-")</f>
        <v>-</v>
      </c>
      <c r="J861" s="874">
        <f t="shared" ref="J861:J891" si="749">+K861+L861</f>
        <v>10595</v>
      </c>
      <c r="K861" s="278">
        <f t="shared" si="743"/>
        <v>10500</v>
      </c>
      <c r="L861" s="436">
        <f t="shared" si="744"/>
        <v>95</v>
      </c>
      <c r="M861" s="337" t="str">
        <f t="shared" ref="M861:M894" si="750">IFERROR(J861/D861,"-")</f>
        <v>-</v>
      </c>
      <c r="N861" s="265">
        <f t="shared" si="736"/>
        <v>8.9664936290703157E-3</v>
      </c>
      <c r="O861" s="508">
        <v>35.398400000000002</v>
      </c>
      <c r="P861" s="404">
        <f t="shared" si="745"/>
        <v>0</v>
      </c>
      <c r="Q861" s="449">
        <f t="shared" si="746"/>
        <v>371683.2</v>
      </c>
    </row>
    <row r="862" spans="1:17" ht="24" thickBot="1" x14ac:dyDescent="0.45">
      <c r="A862" s="248" t="s">
        <v>101</v>
      </c>
      <c r="B862" s="1108"/>
      <c r="C862" s="543" t="s">
        <v>455</v>
      </c>
      <c r="D862" s="276"/>
      <c r="E862" s="436"/>
      <c r="F862" s="690">
        <f t="shared" si="747"/>
        <v>0</v>
      </c>
      <c r="G862" s="276"/>
      <c r="H862" s="278"/>
      <c r="I862" s="352" t="str">
        <f t="shared" si="748"/>
        <v>-</v>
      </c>
      <c r="J862" s="874">
        <f t="shared" si="749"/>
        <v>10147</v>
      </c>
      <c r="K862" s="278">
        <f t="shared" si="743"/>
        <v>9900</v>
      </c>
      <c r="L862" s="436">
        <f t="shared" si="744"/>
        <v>247</v>
      </c>
      <c r="M862" s="337" t="str">
        <f t="shared" si="750"/>
        <v>-</v>
      </c>
      <c r="N862" s="265">
        <f>IFERROR(L862/J862,"-")</f>
        <v>2.4342170099536809E-2</v>
      </c>
      <c r="O862" s="508">
        <v>35.398400000000002</v>
      </c>
      <c r="P862" s="404">
        <f t="shared" si="745"/>
        <v>0</v>
      </c>
      <c r="Q862" s="449">
        <f t="shared" si="746"/>
        <v>350444.16000000003</v>
      </c>
    </row>
    <row r="863" spans="1:17" ht="23.4" x14ac:dyDescent="0.4">
      <c r="A863" s="248" t="s">
        <v>101</v>
      </c>
      <c r="B863" s="1106" t="s">
        <v>251</v>
      </c>
      <c r="C863" s="545" t="s">
        <v>75</v>
      </c>
      <c r="D863" s="276"/>
      <c r="E863" s="528"/>
      <c r="F863" s="696">
        <f t="shared" si="747"/>
        <v>7887</v>
      </c>
      <c r="G863" s="276">
        <v>7824</v>
      </c>
      <c r="H863" s="278">
        <v>63</v>
      </c>
      <c r="I863" s="352" t="str">
        <f t="shared" si="748"/>
        <v>-</v>
      </c>
      <c r="J863" s="874">
        <f t="shared" si="749"/>
        <v>49366</v>
      </c>
      <c r="K863" s="278">
        <f t="shared" si="743"/>
        <v>48457</v>
      </c>
      <c r="L863" s="436">
        <f t="shared" si="744"/>
        <v>909</v>
      </c>
      <c r="M863" s="337" t="str">
        <f t="shared" si="750"/>
        <v>-</v>
      </c>
      <c r="N863" s="265">
        <f t="shared" ref="N863:N865" si="751">IFERROR(L863/J863,"-")</f>
        <v>1.8413482963983308E-2</v>
      </c>
      <c r="O863" s="508">
        <v>55.4758</v>
      </c>
      <c r="P863" s="404">
        <f t="shared" si="745"/>
        <v>434042.65919999999</v>
      </c>
      <c r="Q863" s="449">
        <f t="shared" si="746"/>
        <v>2688190.8405999998</v>
      </c>
    </row>
    <row r="864" spans="1:17" ht="23.4" x14ac:dyDescent="0.4">
      <c r="A864" s="248" t="s">
        <v>101</v>
      </c>
      <c r="B864" s="1107"/>
      <c r="C864" s="545" t="s">
        <v>72</v>
      </c>
      <c r="D864" s="276"/>
      <c r="E864" s="529"/>
      <c r="F864" s="696">
        <f t="shared" si="747"/>
        <v>0</v>
      </c>
      <c r="G864" s="276"/>
      <c r="H864" s="278"/>
      <c r="I864" s="352" t="str">
        <f t="shared" si="748"/>
        <v>-</v>
      </c>
      <c r="J864" s="874">
        <f t="shared" si="749"/>
        <v>0</v>
      </c>
      <c r="K864" s="278">
        <f t="shared" si="743"/>
        <v>0</v>
      </c>
      <c r="L864" s="436">
        <f t="shared" si="744"/>
        <v>0</v>
      </c>
      <c r="M864" s="337" t="str">
        <f t="shared" si="750"/>
        <v>-</v>
      </c>
      <c r="N864" s="265" t="str">
        <f t="shared" si="751"/>
        <v>-</v>
      </c>
      <c r="O864" s="540">
        <v>58.836300000000001</v>
      </c>
      <c r="P864" s="404">
        <f t="shared" si="745"/>
        <v>0</v>
      </c>
      <c r="Q864" s="449">
        <f t="shared" si="746"/>
        <v>0</v>
      </c>
    </row>
    <row r="865" spans="1:17" ht="23.4" x14ac:dyDescent="0.4">
      <c r="A865" s="248" t="s">
        <v>101</v>
      </c>
      <c r="B865" s="1107"/>
      <c r="C865" s="545" t="s">
        <v>347</v>
      </c>
      <c r="D865" s="276"/>
      <c r="E865" s="435"/>
      <c r="F865" s="696">
        <f t="shared" si="747"/>
        <v>0</v>
      </c>
      <c r="G865" s="276"/>
      <c r="H865" s="278"/>
      <c r="I865" s="352" t="str">
        <f t="shared" si="748"/>
        <v>-</v>
      </c>
      <c r="J865" s="874">
        <f t="shared" si="749"/>
        <v>2745</v>
      </c>
      <c r="K865" s="278">
        <f t="shared" si="743"/>
        <v>2305</v>
      </c>
      <c r="L865" s="436">
        <f t="shared" si="744"/>
        <v>440</v>
      </c>
      <c r="M865" s="337" t="str">
        <f t="shared" si="750"/>
        <v>-</v>
      </c>
      <c r="N865" s="263">
        <f t="shared" si="751"/>
        <v>0.16029143897996356</v>
      </c>
      <c r="O865" s="710">
        <v>58.836300000000001</v>
      </c>
      <c r="P865" s="404">
        <f t="shared" si="745"/>
        <v>0</v>
      </c>
      <c r="Q865" s="449">
        <f t="shared" si="746"/>
        <v>135617.6715</v>
      </c>
    </row>
    <row r="866" spans="1:17" ht="24" thickBot="1" x14ac:dyDescent="0.45">
      <c r="A866" s="248"/>
      <c r="B866" s="1108"/>
      <c r="C866" s="545" t="s">
        <v>361</v>
      </c>
      <c r="D866" s="276"/>
      <c r="E866" s="435"/>
      <c r="F866" s="696">
        <f t="shared" si="747"/>
        <v>0</v>
      </c>
      <c r="G866" s="276"/>
      <c r="H866" s="278"/>
      <c r="I866" s="352" t="str">
        <f t="shared" si="748"/>
        <v>-</v>
      </c>
      <c r="J866" s="874">
        <f t="shared" si="749"/>
        <v>0</v>
      </c>
      <c r="K866" s="278">
        <f t="shared" si="743"/>
        <v>0</v>
      </c>
      <c r="L866" s="436">
        <f t="shared" si="744"/>
        <v>0</v>
      </c>
      <c r="M866" s="337" t="str">
        <f t="shared" si="750"/>
        <v>-</v>
      </c>
      <c r="N866" s="263" t="str">
        <f>IFERROR(L866/J866,"-")</f>
        <v>-</v>
      </c>
      <c r="O866" s="508">
        <v>55.4758</v>
      </c>
      <c r="P866" s="404">
        <f t="shared" si="745"/>
        <v>0</v>
      </c>
      <c r="Q866" s="449">
        <f t="shared" si="746"/>
        <v>0</v>
      </c>
    </row>
    <row r="867" spans="1:17" ht="23.4" x14ac:dyDescent="0.4">
      <c r="A867" s="248" t="s">
        <v>101</v>
      </c>
      <c r="B867" s="1106" t="s">
        <v>409</v>
      </c>
      <c r="C867" s="543" t="s">
        <v>77</v>
      </c>
      <c r="D867" s="276"/>
      <c r="E867" s="436"/>
      <c r="F867" s="690">
        <f t="shared" si="747"/>
        <v>0</v>
      </c>
      <c r="G867" s="276"/>
      <c r="H867" s="278"/>
      <c r="I867" s="352" t="str">
        <f t="shared" si="748"/>
        <v>-</v>
      </c>
      <c r="J867" s="874">
        <f t="shared" si="749"/>
        <v>24300</v>
      </c>
      <c r="K867" s="719">
        <f t="shared" si="743"/>
        <v>23960</v>
      </c>
      <c r="L867" s="815">
        <f t="shared" si="744"/>
        <v>340</v>
      </c>
      <c r="M867" s="337" t="str">
        <f t="shared" si="750"/>
        <v>-</v>
      </c>
      <c r="N867" s="263">
        <f t="shared" ref="N867:N893" si="752">IFERROR(L867/J867,"-")</f>
        <v>1.3991769547325103E-2</v>
      </c>
      <c r="O867" s="508">
        <v>25.687200000000001</v>
      </c>
      <c r="P867" s="404">
        <f t="shared" si="745"/>
        <v>0</v>
      </c>
      <c r="Q867" s="449">
        <f t="shared" si="746"/>
        <v>615465.31200000003</v>
      </c>
    </row>
    <row r="868" spans="1:17" ht="24" thickBot="1" x14ac:dyDescent="0.45">
      <c r="A868" s="248" t="s">
        <v>101</v>
      </c>
      <c r="B868" s="1108"/>
      <c r="C868" s="543" t="s">
        <v>117</v>
      </c>
      <c r="D868" s="276"/>
      <c r="E868" s="436"/>
      <c r="F868" s="690">
        <f t="shared" si="747"/>
        <v>0</v>
      </c>
      <c r="G868" s="276"/>
      <c r="H868" s="278"/>
      <c r="I868" s="352" t="str">
        <f t="shared" si="748"/>
        <v>-</v>
      </c>
      <c r="J868" s="874">
        <f t="shared" si="749"/>
        <v>0</v>
      </c>
      <c r="K868" s="278">
        <f t="shared" si="743"/>
        <v>0</v>
      </c>
      <c r="L868" s="436">
        <f t="shared" si="744"/>
        <v>0</v>
      </c>
      <c r="M868" s="337" t="str">
        <f t="shared" si="750"/>
        <v>-</v>
      </c>
      <c r="N868" s="263" t="str">
        <f t="shared" si="752"/>
        <v>-</v>
      </c>
      <c r="O868" s="508">
        <v>25.033899999999999</v>
      </c>
      <c r="P868" s="404">
        <f t="shared" si="745"/>
        <v>0</v>
      </c>
      <c r="Q868" s="449">
        <f t="shared" si="746"/>
        <v>0</v>
      </c>
    </row>
    <row r="869" spans="1:17" ht="23.4" x14ac:dyDescent="0.4">
      <c r="A869" s="248"/>
      <c r="B869" s="1106" t="s">
        <v>410</v>
      </c>
      <c r="C869" s="543" t="s">
        <v>79</v>
      </c>
      <c r="D869" s="276"/>
      <c r="E869" s="436"/>
      <c r="F869" s="690">
        <f t="shared" si="747"/>
        <v>0</v>
      </c>
      <c r="G869" s="276">
        <v>0</v>
      </c>
      <c r="H869" s="278">
        <v>0</v>
      </c>
      <c r="I869" s="352" t="str">
        <f t="shared" si="748"/>
        <v>-</v>
      </c>
      <c r="J869" s="874">
        <f t="shared" si="749"/>
        <v>20171</v>
      </c>
      <c r="K869" s="278">
        <f t="shared" si="743"/>
        <v>19950</v>
      </c>
      <c r="L869" s="436">
        <f t="shared" si="744"/>
        <v>221</v>
      </c>
      <c r="M869" s="337" t="str">
        <f t="shared" si="750"/>
        <v>-</v>
      </c>
      <c r="N869" s="263">
        <f t="shared" si="752"/>
        <v>1.095632343463388E-2</v>
      </c>
      <c r="O869" s="508">
        <v>41.992699999999999</v>
      </c>
      <c r="P869" s="404">
        <f t="shared" si="745"/>
        <v>0</v>
      </c>
      <c r="Q869" s="449">
        <f t="shared" si="746"/>
        <v>837754.36499999999</v>
      </c>
    </row>
    <row r="870" spans="1:17" ht="23.4" x14ac:dyDescent="0.4">
      <c r="A870" s="248"/>
      <c r="B870" s="1107"/>
      <c r="C870" s="543" t="s">
        <v>72</v>
      </c>
      <c r="D870" s="276"/>
      <c r="E870" s="436"/>
      <c r="F870" s="690">
        <f t="shared" si="747"/>
        <v>0</v>
      </c>
      <c r="G870" s="276"/>
      <c r="H870" s="278"/>
      <c r="I870" s="352" t="str">
        <f t="shared" si="748"/>
        <v>-</v>
      </c>
      <c r="J870" s="874">
        <f t="shared" si="749"/>
        <v>0</v>
      </c>
      <c r="K870" s="278">
        <f t="shared" si="743"/>
        <v>0</v>
      </c>
      <c r="L870" s="436">
        <f t="shared" si="744"/>
        <v>0</v>
      </c>
      <c r="M870" s="337" t="str">
        <f t="shared" si="750"/>
        <v>-</v>
      </c>
      <c r="N870" s="263" t="str">
        <f t="shared" si="752"/>
        <v>-</v>
      </c>
      <c r="O870" s="508">
        <v>42.283799999999999</v>
      </c>
      <c r="P870" s="404">
        <f t="shared" si="745"/>
        <v>0</v>
      </c>
      <c r="Q870" s="449">
        <f t="shared" si="746"/>
        <v>0</v>
      </c>
    </row>
    <row r="871" spans="1:17" ht="23.4" x14ac:dyDescent="0.4">
      <c r="A871" s="248"/>
      <c r="B871" s="1107"/>
      <c r="C871" s="543" t="s">
        <v>380</v>
      </c>
      <c r="D871" s="276"/>
      <c r="E871" s="436"/>
      <c r="F871" s="690">
        <f t="shared" si="747"/>
        <v>0</v>
      </c>
      <c r="G871" s="276"/>
      <c r="H871" s="278"/>
      <c r="I871" s="352" t="str">
        <f t="shared" si="748"/>
        <v>-</v>
      </c>
      <c r="J871" s="874">
        <f t="shared" si="749"/>
        <v>0</v>
      </c>
      <c r="K871" s="278">
        <f t="shared" si="743"/>
        <v>0</v>
      </c>
      <c r="L871" s="436">
        <f t="shared" si="744"/>
        <v>0</v>
      </c>
      <c r="M871" s="337" t="str">
        <f t="shared" si="750"/>
        <v>-</v>
      </c>
      <c r="N871" s="263" t="str">
        <f t="shared" si="752"/>
        <v>-</v>
      </c>
      <c r="O871" s="710">
        <v>41.992699999999999</v>
      </c>
      <c r="P871" s="404">
        <f t="shared" si="745"/>
        <v>0</v>
      </c>
      <c r="Q871" s="449">
        <f t="shared" si="746"/>
        <v>0</v>
      </c>
    </row>
    <row r="872" spans="1:17" ht="24" thickBot="1" x14ac:dyDescent="0.45">
      <c r="A872" s="248"/>
      <c r="B872" s="1108"/>
      <c r="C872" s="543" t="s">
        <v>381</v>
      </c>
      <c r="D872" s="276"/>
      <c r="E872" s="436"/>
      <c r="F872" s="690">
        <f t="shared" si="747"/>
        <v>0</v>
      </c>
      <c r="G872" s="276"/>
      <c r="H872" s="278"/>
      <c r="I872" s="352" t="str">
        <f t="shared" si="748"/>
        <v>-</v>
      </c>
      <c r="J872" s="874">
        <f t="shared" si="749"/>
        <v>0</v>
      </c>
      <c r="K872" s="278">
        <f t="shared" si="743"/>
        <v>0</v>
      </c>
      <c r="L872" s="436">
        <f t="shared" si="744"/>
        <v>0</v>
      </c>
      <c r="M872" s="337" t="str">
        <f t="shared" si="750"/>
        <v>-</v>
      </c>
      <c r="N872" s="263" t="str">
        <f t="shared" si="752"/>
        <v>-</v>
      </c>
      <c r="O872" s="710">
        <v>42.283799999999999</v>
      </c>
      <c r="P872" s="404">
        <f t="shared" si="745"/>
        <v>0</v>
      </c>
      <c r="Q872" s="449">
        <f t="shared" si="746"/>
        <v>0</v>
      </c>
    </row>
    <row r="873" spans="1:17" ht="24" thickBot="1" x14ac:dyDescent="0.45">
      <c r="A873" s="248"/>
      <c r="B873" s="717" t="s">
        <v>80</v>
      </c>
      <c r="C873" s="543" t="s">
        <v>81</v>
      </c>
      <c r="D873" s="276"/>
      <c r="E873" s="436"/>
      <c r="F873" s="690">
        <f t="shared" si="747"/>
        <v>0</v>
      </c>
      <c r="G873" s="276"/>
      <c r="H873" s="278"/>
      <c r="I873" s="352" t="str">
        <f t="shared" si="748"/>
        <v>-</v>
      </c>
      <c r="J873" s="874">
        <f t="shared" si="749"/>
        <v>23163</v>
      </c>
      <c r="K873" s="278">
        <f t="shared" si="743"/>
        <v>22200</v>
      </c>
      <c r="L873" s="687">
        <f t="shared" si="744"/>
        <v>963</v>
      </c>
      <c r="M873" s="337" t="str">
        <f t="shared" si="750"/>
        <v>-</v>
      </c>
      <c r="N873" s="263">
        <f t="shared" si="752"/>
        <v>4.1574925527781373E-2</v>
      </c>
      <c r="O873" s="508">
        <v>4.3535000000000004</v>
      </c>
      <c r="P873" s="404">
        <f t="shared" si="745"/>
        <v>0</v>
      </c>
      <c r="Q873" s="449">
        <f t="shared" si="746"/>
        <v>96647.700000000012</v>
      </c>
    </row>
    <row r="874" spans="1:17" ht="23.4" x14ac:dyDescent="0.4">
      <c r="A874" s="248"/>
      <c r="B874" s="1106" t="s">
        <v>253</v>
      </c>
      <c r="C874" s="543" t="s">
        <v>77</v>
      </c>
      <c r="D874" s="276"/>
      <c r="E874" s="436"/>
      <c r="F874" s="690">
        <f t="shared" si="747"/>
        <v>39877</v>
      </c>
      <c r="G874" s="276">
        <v>39500</v>
      </c>
      <c r="H874" s="278">
        <v>377</v>
      </c>
      <c r="I874" s="352" t="str">
        <f t="shared" si="748"/>
        <v>-</v>
      </c>
      <c r="J874" s="874">
        <f t="shared" si="749"/>
        <v>565724</v>
      </c>
      <c r="K874" s="278">
        <f t="shared" si="743"/>
        <v>560900</v>
      </c>
      <c r="L874" s="436">
        <f t="shared" si="744"/>
        <v>4824</v>
      </c>
      <c r="M874" s="337" t="str">
        <f t="shared" si="750"/>
        <v>-</v>
      </c>
      <c r="N874" s="263">
        <f t="shared" si="752"/>
        <v>8.5271263018715845E-3</v>
      </c>
      <c r="O874" s="508">
        <v>4.6184000000000003</v>
      </c>
      <c r="P874" s="404">
        <f t="shared" si="745"/>
        <v>182426.80000000002</v>
      </c>
      <c r="Q874" s="449">
        <f t="shared" si="746"/>
        <v>2590460.56</v>
      </c>
    </row>
    <row r="875" spans="1:17" ht="23.4" x14ac:dyDescent="0.4">
      <c r="A875" s="248"/>
      <c r="B875" s="1107"/>
      <c r="C875" s="543" t="s">
        <v>340</v>
      </c>
      <c r="D875" s="276"/>
      <c r="E875" s="436"/>
      <c r="F875" s="690">
        <f t="shared" si="747"/>
        <v>0</v>
      </c>
      <c r="G875" s="276"/>
      <c r="H875" s="278"/>
      <c r="I875" s="352" t="str">
        <f t="shared" si="748"/>
        <v>-</v>
      </c>
      <c r="J875" s="874">
        <f t="shared" si="749"/>
        <v>0</v>
      </c>
      <c r="K875" s="278">
        <f t="shared" si="743"/>
        <v>0</v>
      </c>
      <c r="L875" s="436">
        <f t="shared" si="744"/>
        <v>0</v>
      </c>
      <c r="M875" s="337" t="str">
        <f t="shared" si="750"/>
        <v>-</v>
      </c>
      <c r="N875" s="263" t="str">
        <f t="shared" si="752"/>
        <v>-</v>
      </c>
      <c r="O875" s="508">
        <v>4.6184000000000003</v>
      </c>
      <c r="P875" s="404">
        <f t="shared" si="745"/>
        <v>0</v>
      </c>
      <c r="Q875" s="449">
        <f t="shared" si="746"/>
        <v>0</v>
      </c>
    </row>
    <row r="876" spans="1:17" ht="23.4" x14ac:dyDescent="0.4">
      <c r="A876" s="248"/>
      <c r="B876" s="1107"/>
      <c r="C876" s="543" t="s">
        <v>252</v>
      </c>
      <c r="D876" s="276"/>
      <c r="E876" s="436"/>
      <c r="F876" s="690">
        <f t="shared" si="747"/>
        <v>0</v>
      </c>
      <c r="G876" s="276"/>
      <c r="H876" s="278"/>
      <c r="I876" s="352" t="str">
        <f t="shared" si="748"/>
        <v>-</v>
      </c>
      <c r="J876" s="874">
        <f t="shared" si="749"/>
        <v>0</v>
      </c>
      <c r="K876" s="278">
        <f t="shared" si="743"/>
        <v>0</v>
      </c>
      <c r="L876" s="436">
        <f t="shared" si="744"/>
        <v>0</v>
      </c>
      <c r="M876" s="337" t="str">
        <f t="shared" si="750"/>
        <v>-</v>
      </c>
      <c r="N876" s="263" t="str">
        <f t="shared" si="752"/>
        <v>-</v>
      </c>
      <c r="O876" s="508">
        <v>4.6184000000000003</v>
      </c>
      <c r="P876" s="404">
        <f t="shared" si="745"/>
        <v>0</v>
      </c>
      <c r="Q876" s="449">
        <f t="shared" si="746"/>
        <v>0</v>
      </c>
    </row>
    <row r="877" spans="1:17" ht="23.4" x14ac:dyDescent="0.4">
      <c r="A877" s="248"/>
      <c r="B877" s="1107"/>
      <c r="C877" s="543" t="s">
        <v>350</v>
      </c>
      <c r="D877" s="276"/>
      <c r="E877" s="436"/>
      <c r="F877" s="690">
        <f t="shared" si="747"/>
        <v>0</v>
      </c>
      <c r="G877" s="276"/>
      <c r="H877" s="278"/>
      <c r="I877" s="352" t="str">
        <f t="shared" si="748"/>
        <v>-</v>
      </c>
      <c r="J877" s="874">
        <f t="shared" si="749"/>
        <v>0</v>
      </c>
      <c r="K877" s="686">
        <f t="shared" si="743"/>
        <v>0</v>
      </c>
      <c r="L877" s="687">
        <f t="shared" si="744"/>
        <v>0</v>
      </c>
      <c r="M877" s="337" t="str">
        <f t="shared" si="750"/>
        <v>-</v>
      </c>
      <c r="N877" s="263" t="str">
        <f t="shared" si="752"/>
        <v>-</v>
      </c>
      <c r="O877" s="508">
        <v>4.7636000000000003</v>
      </c>
      <c r="P877" s="404">
        <f t="shared" si="745"/>
        <v>0</v>
      </c>
      <c r="Q877" s="449">
        <f t="shared" si="746"/>
        <v>0</v>
      </c>
    </row>
    <row r="878" spans="1:17" ht="24" thickBot="1" x14ac:dyDescent="0.45">
      <c r="A878" s="248"/>
      <c r="B878" s="1108"/>
      <c r="C878" s="543" t="s">
        <v>346</v>
      </c>
      <c r="D878" s="276"/>
      <c r="E878" s="436"/>
      <c r="F878" s="690">
        <f t="shared" si="747"/>
        <v>0</v>
      </c>
      <c r="G878" s="276"/>
      <c r="H878" s="278"/>
      <c r="I878" s="352" t="str">
        <f t="shared" si="748"/>
        <v>-</v>
      </c>
      <c r="J878" s="874">
        <f t="shared" si="749"/>
        <v>0</v>
      </c>
      <c r="K878" s="278">
        <f t="shared" si="743"/>
        <v>0</v>
      </c>
      <c r="L878" s="436">
        <f t="shared" si="744"/>
        <v>0</v>
      </c>
      <c r="M878" s="337" t="str">
        <f t="shared" si="750"/>
        <v>-</v>
      </c>
      <c r="N878" s="263" t="str">
        <f t="shared" si="752"/>
        <v>-</v>
      </c>
      <c r="O878" s="508">
        <v>4.8738000000000001</v>
      </c>
      <c r="P878" s="404">
        <f t="shared" si="745"/>
        <v>0</v>
      </c>
      <c r="Q878" s="449">
        <f t="shared" si="746"/>
        <v>0</v>
      </c>
    </row>
    <row r="879" spans="1:17" ht="24" thickBot="1" x14ac:dyDescent="0.45">
      <c r="A879" s="248"/>
      <c r="B879" s="717" t="s">
        <v>254</v>
      </c>
      <c r="C879" s="543" t="s">
        <v>520</v>
      </c>
      <c r="D879" s="276"/>
      <c r="E879" s="436"/>
      <c r="F879" s="690">
        <f t="shared" si="747"/>
        <v>0</v>
      </c>
      <c r="G879" s="276"/>
      <c r="H879" s="278"/>
      <c r="I879" s="352" t="str">
        <f t="shared" si="748"/>
        <v>-</v>
      </c>
      <c r="J879" s="874">
        <f t="shared" si="749"/>
        <v>17752</v>
      </c>
      <c r="K879" s="278">
        <f t="shared" si="743"/>
        <v>17600</v>
      </c>
      <c r="L879" s="436">
        <f t="shared" si="744"/>
        <v>152</v>
      </c>
      <c r="M879" s="337" t="str">
        <f t="shared" si="750"/>
        <v>-</v>
      </c>
      <c r="N879" s="263">
        <f t="shared" si="752"/>
        <v>8.5624155024785938E-3</v>
      </c>
      <c r="O879" s="508">
        <v>4.8738000000000001</v>
      </c>
      <c r="P879" s="404">
        <f t="shared" si="745"/>
        <v>0</v>
      </c>
      <c r="Q879" s="449">
        <f t="shared" si="746"/>
        <v>85778.880000000005</v>
      </c>
    </row>
    <row r="880" spans="1:17" ht="23.4" x14ac:dyDescent="0.4">
      <c r="A880" s="248"/>
      <c r="B880" s="1106" t="s">
        <v>256</v>
      </c>
      <c r="C880" s="543" t="s">
        <v>77</v>
      </c>
      <c r="D880" s="276"/>
      <c r="E880" s="436"/>
      <c r="F880" s="690">
        <f t="shared" si="747"/>
        <v>43892</v>
      </c>
      <c r="G880" s="276">
        <v>43470</v>
      </c>
      <c r="H880" s="278">
        <v>422</v>
      </c>
      <c r="I880" s="352" t="str">
        <f t="shared" si="748"/>
        <v>-</v>
      </c>
      <c r="J880" s="874">
        <f t="shared" si="749"/>
        <v>556443</v>
      </c>
      <c r="K880" s="719">
        <f t="shared" si="743"/>
        <v>545580</v>
      </c>
      <c r="L880" s="815">
        <f t="shared" si="744"/>
        <v>10863</v>
      </c>
      <c r="M880" s="337" t="str">
        <f t="shared" si="750"/>
        <v>-</v>
      </c>
      <c r="N880" s="263">
        <f t="shared" si="752"/>
        <v>1.9522215213418084E-2</v>
      </c>
      <c r="O880" s="508">
        <v>4.9344999999999999</v>
      </c>
      <c r="P880" s="404">
        <f t="shared" si="745"/>
        <v>214502.715</v>
      </c>
      <c r="Q880" s="449">
        <f t="shared" si="746"/>
        <v>2692164.51</v>
      </c>
    </row>
    <row r="881" spans="1:17" ht="23.4" x14ac:dyDescent="0.4">
      <c r="A881" s="248"/>
      <c r="B881" s="1107"/>
      <c r="C881" s="543" t="s">
        <v>135</v>
      </c>
      <c r="D881" s="276"/>
      <c r="E881" s="436"/>
      <c r="F881" s="690">
        <f t="shared" si="747"/>
        <v>0</v>
      </c>
      <c r="G881" s="276"/>
      <c r="H881" s="278"/>
      <c r="I881" s="352" t="str">
        <f t="shared" si="748"/>
        <v>-</v>
      </c>
      <c r="J881" s="874">
        <f t="shared" si="749"/>
        <v>0</v>
      </c>
      <c r="K881" s="278">
        <f t="shared" si="743"/>
        <v>0</v>
      </c>
      <c r="L881" s="436">
        <f t="shared" si="744"/>
        <v>0</v>
      </c>
      <c r="M881" s="337" t="str">
        <f t="shared" si="750"/>
        <v>-</v>
      </c>
      <c r="N881" s="263" t="str">
        <f t="shared" si="752"/>
        <v>-</v>
      </c>
      <c r="O881" s="508">
        <v>4.9344999999999999</v>
      </c>
      <c r="P881" s="404">
        <f t="shared" si="745"/>
        <v>0</v>
      </c>
      <c r="Q881" s="449">
        <f t="shared" si="746"/>
        <v>0</v>
      </c>
    </row>
    <row r="882" spans="1:17" ht="23.4" x14ac:dyDescent="0.4">
      <c r="A882" s="248"/>
      <c r="B882" s="1107"/>
      <c r="C882" s="543" t="s">
        <v>129</v>
      </c>
      <c r="D882" s="276"/>
      <c r="E882" s="436"/>
      <c r="F882" s="690">
        <f t="shared" si="747"/>
        <v>0</v>
      </c>
      <c r="G882" s="276"/>
      <c r="H882" s="278"/>
      <c r="I882" s="352" t="str">
        <f t="shared" si="748"/>
        <v>-</v>
      </c>
      <c r="J882" s="874">
        <f t="shared" si="749"/>
        <v>0</v>
      </c>
      <c r="K882" s="278">
        <f t="shared" si="743"/>
        <v>0</v>
      </c>
      <c r="L882" s="436">
        <f t="shared" si="744"/>
        <v>0</v>
      </c>
      <c r="M882" s="337" t="str">
        <f t="shared" si="750"/>
        <v>-</v>
      </c>
      <c r="N882" s="263" t="str">
        <f t="shared" si="752"/>
        <v>-</v>
      </c>
      <c r="O882" s="508">
        <v>4.9344999999999999</v>
      </c>
      <c r="P882" s="404">
        <f t="shared" si="745"/>
        <v>0</v>
      </c>
      <c r="Q882" s="449">
        <f t="shared" si="746"/>
        <v>0</v>
      </c>
    </row>
    <row r="883" spans="1:17" ht="24" thickBot="1" x14ac:dyDescent="0.45">
      <c r="A883" s="248"/>
      <c r="B883" s="1108"/>
      <c r="C883" s="543" t="s">
        <v>255</v>
      </c>
      <c r="D883" s="276"/>
      <c r="E883" s="436"/>
      <c r="F883" s="690">
        <f t="shared" si="747"/>
        <v>0</v>
      </c>
      <c r="G883" s="276"/>
      <c r="H883" s="278"/>
      <c r="I883" s="352" t="str">
        <f t="shared" si="748"/>
        <v>-</v>
      </c>
      <c r="J883" s="874">
        <f t="shared" si="749"/>
        <v>0</v>
      </c>
      <c r="K883" s="278">
        <f t="shared" si="743"/>
        <v>0</v>
      </c>
      <c r="L883" s="436">
        <f t="shared" si="744"/>
        <v>0</v>
      </c>
      <c r="M883" s="337" t="str">
        <f t="shared" si="750"/>
        <v>-</v>
      </c>
      <c r="N883" s="263" t="str">
        <f t="shared" si="752"/>
        <v>-</v>
      </c>
      <c r="O883" s="508">
        <v>5.5069999999999997</v>
      </c>
      <c r="P883" s="404">
        <f t="shared" si="745"/>
        <v>0</v>
      </c>
      <c r="Q883" s="449">
        <f t="shared" si="746"/>
        <v>0</v>
      </c>
    </row>
    <row r="884" spans="1:17" ht="23.4" x14ac:dyDescent="0.4">
      <c r="A884" s="248"/>
      <c r="B884" s="1106" t="s">
        <v>261</v>
      </c>
      <c r="C884" s="543" t="s">
        <v>257</v>
      </c>
      <c r="D884" s="276"/>
      <c r="E884" s="436"/>
      <c r="F884" s="690">
        <f t="shared" si="747"/>
        <v>30724</v>
      </c>
      <c r="G884" s="276">
        <v>30100</v>
      </c>
      <c r="H884" s="278">
        <v>624</v>
      </c>
      <c r="I884" s="352" t="str">
        <f t="shared" si="748"/>
        <v>-</v>
      </c>
      <c r="J884" s="874">
        <f t="shared" si="749"/>
        <v>515782</v>
      </c>
      <c r="K884" s="278">
        <f t="shared" si="743"/>
        <v>510650</v>
      </c>
      <c r="L884" s="687">
        <f t="shared" si="744"/>
        <v>5132</v>
      </c>
      <c r="M884" s="337" t="str">
        <f t="shared" si="750"/>
        <v>-</v>
      </c>
      <c r="N884" s="263">
        <f t="shared" si="752"/>
        <v>9.9499400909686658E-3</v>
      </c>
      <c r="O884" s="710">
        <v>5.5069999999999997</v>
      </c>
      <c r="P884" s="404">
        <f t="shared" si="745"/>
        <v>165760.69999999998</v>
      </c>
      <c r="Q884" s="449">
        <f t="shared" si="746"/>
        <v>2812149.55</v>
      </c>
    </row>
    <row r="885" spans="1:17" ht="23.4" x14ac:dyDescent="0.4">
      <c r="A885" s="248"/>
      <c r="B885" s="1107"/>
      <c r="C885" s="543" t="s">
        <v>258</v>
      </c>
      <c r="D885" s="276"/>
      <c r="E885" s="436"/>
      <c r="F885" s="690">
        <f t="shared" si="747"/>
        <v>0</v>
      </c>
      <c r="G885" s="276"/>
      <c r="H885" s="278"/>
      <c r="I885" s="352" t="str">
        <f t="shared" si="748"/>
        <v>-</v>
      </c>
      <c r="J885" s="874">
        <f t="shared" si="749"/>
        <v>0</v>
      </c>
      <c r="K885" s="278">
        <f t="shared" si="743"/>
        <v>0</v>
      </c>
      <c r="L885" s="436">
        <f t="shared" si="744"/>
        <v>0</v>
      </c>
      <c r="M885" s="337" t="str">
        <f t="shared" si="750"/>
        <v>-</v>
      </c>
      <c r="N885" s="263" t="str">
        <f t="shared" si="752"/>
        <v>-</v>
      </c>
      <c r="O885" s="508">
        <v>5.6550000000000002</v>
      </c>
      <c r="P885" s="404">
        <f t="shared" si="745"/>
        <v>0</v>
      </c>
      <c r="Q885" s="449">
        <f t="shared" si="746"/>
        <v>0</v>
      </c>
    </row>
    <row r="886" spans="1:17" ht="23.4" x14ac:dyDescent="0.4">
      <c r="A886" s="248"/>
      <c r="B886" s="1107"/>
      <c r="C886" s="543" t="s">
        <v>321</v>
      </c>
      <c r="D886" s="276"/>
      <c r="E886" s="436"/>
      <c r="F886" s="690">
        <f t="shared" si="747"/>
        <v>0</v>
      </c>
      <c r="G886" s="276"/>
      <c r="H886" s="278"/>
      <c r="I886" s="352" t="str">
        <f t="shared" si="748"/>
        <v>-</v>
      </c>
      <c r="J886" s="874">
        <f t="shared" si="749"/>
        <v>0</v>
      </c>
      <c r="K886" s="686">
        <f t="shared" si="743"/>
        <v>0</v>
      </c>
      <c r="L886" s="687">
        <f t="shared" si="744"/>
        <v>0</v>
      </c>
      <c r="M886" s="337" t="str">
        <f t="shared" si="750"/>
        <v>-</v>
      </c>
      <c r="N886" s="263" t="str">
        <f t="shared" si="752"/>
        <v>-</v>
      </c>
      <c r="O886" s="508">
        <v>5.6550000000000002</v>
      </c>
      <c r="P886" s="404">
        <f t="shared" si="745"/>
        <v>0</v>
      </c>
      <c r="Q886" s="449">
        <f t="shared" si="746"/>
        <v>0</v>
      </c>
    </row>
    <row r="887" spans="1:17" ht="23.4" x14ac:dyDescent="0.4">
      <c r="A887" s="248"/>
      <c r="B887" s="1107"/>
      <c r="C887" s="543" t="s">
        <v>259</v>
      </c>
      <c r="D887" s="276"/>
      <c r="E887" s="436"/>
      <c r="F887" s="690">
        <f t="shared" si="747"/>
        <v>0</v>
      </c>
      <c r="G887" s="276"/>
      <c r="H887" s="278"/>
      <c r="I887" s="352" t="str">
        <f t="shared" si="748"/>
        <v>-</v>
      </c>
      <c r="J887" s="874">
        <f t="shared" si="749"/>
        <v>0</v>
      </c>
      <c r="K887" s="278">
        <f t="shared" si="743"/>
        <v>0</v>
      </c>
      <c r="L887" s="436">
        <f t="shared" si="744"/>
        <v>0</v>
      </c>
      <c r="M887" s="337" t="str">
        <f t="shared" si="750"/>
        <v>-</v>
      </c>
      <c r="N887" s="263" t="str">
        <f t="shared" si="752"/>
        <v>-</v>
      </c>
      <c r="O887" s="508">
        <v>5.6550000000000002</v>
      </c>
      <c r="P887" s="404">
        <f t="shared" si="745"/>
        <v>0</v>
      </c>
      <c r="Q887" s="449">
        <f t="shared" si="746"/>
        <v>0</v>
      </c>
    </row>
    <row r="888" spans="1:17" ht="23.4" x14ac:dyDescent="0.4">
      <c r="A888" s="248" t="s">
        <v>101</v>
      </c>
      <c r="B888" s="1107"/>
      <c r="C888" s="543" t="s">
        <v>260</v>
      </c>
      <c r="D888" s="276"/>
      <c r="E888" s="436"/>
      <c r="F888" s="690">
        <f t="shared" si="747"/>
        <v>0</v>
      </c>
      <c r="G888" s="276"/>
      <c r="H888" s="278"/>
      <c r="I888" s="352" t="str">
        <f t="shared" si="748"/>
        <v>-</v>
      </c>
      <c r="J888" s="874">
        <f t="shared" si="749"/>
        <v>0</v>
      </c>
      <c r="K888" s="278">
        <f t="shared" si="743"/>
        <v>0</v>
      </c>
      <c r="L888" s="436">
        <f t="shared" si="744"/>
        <v>0</v>
      </c>
      <c r="M888" s="337" t="str">
        <f t="shared" si="750"/>
        <v>-</v>
      </c>
      <c r="N888" s="263" t="str">
        <f t="shared" si="752"/>
        <v>-</v>
      </c>
      <c r="O888" s="508">
        <v>3.2963</v>
      </c>
      <c r="P888" s="404">
        <f t="shared" si="745"/>
        <v>0</v>
      </c>
      <c r="Q888" s="449">
        <f t="shared" si="746"/>
        <v>0</v>
      </c>
    </row>
    <row r="889" spans="1:17" ht="24" thickBot="1" x14ac:dyDescent="0.45">
      <c r="A889" s="248" t="s">
        <v>101</v>
      </c>
      <c r="B889" s="1108"/>
      <c r="C889" s="543" t="s">
        <v>255</v>
      </c>
      <c r="D889" s="276"/>
      <c r="E889" s="436"/>
      <c r="F889" s="690">
        <f t="shared" si="747"/>
        <v>0</v>
      </c>
      <c r="G889" s="276"/>
      <c r="H889" s="278"/>
      <c r="I889" s="352" t="str">
        <f t="shared" si="748"/>
        <v>-</v>
      </c>
      <c r="J889" s="874">
        <f t="shared" si="749"/>
        <v>0</v>
      </c>
      <c r="K889" s="278">
        <f t="shared" si="743"/>
        <v>0</v>
      </c>
      <c r="L889" s="436">
        <f t="shared" si="744"/>
        <v>0</v>
      </c>
      <c r="M889" s="337" t="str">
        <f t="shared" si="750"/>
        <v>-</v>
      </c>
      <c r="N889" s="263" t="str">
        <f t="shared" si="752"/>
        <v>-</v>
      </c>
      <c r="O889" s="508">
        <v>3.2963</v>
      </c>
      <c r="P889" s="404">
        <f t="shared" si="745"/>
        <v>0</v>
      </c>
      <c r="Q889" s="449">
        <f t="shared" si="746"/>
        <v>0</v>
      </c>
    </row>
    <row r="890" spans="1:17" ht="23.4" x14ac:dyDescent="0.4">
      <c r="A890" s="248" t="s">
        <v>101</v>
      </c>
      <c r="B890" s="546"/>
      <c r="C890" s="544" t="s">
        <v>89</v>
      </c>
      <c r="D890" s="511"/>
      <c r="E890" s="436"/>
      <c r="F890" s="690">
        <f t="shared" si="747"/>
        <v>0</v>
      </c>
      <c r="G890" s="276"/>
      <c r="H890" s="278"/>
      <c r="I890" s="352" t="str">
        <f t="shared" si="748"/>
        <v>-</v>
      </c>
      <c r="J890" s="874">
        <f t="shared" si="749"/>
        <v>83715</v>
      </c>
      <c r="K890" s="278">
        <f t="shared" si="743"/>
        <v>83400</v>
      </c>
      <c r="L890" s="436">
        <f t="shared" si="744"/>
        <v>315</v>
      </c>
      <c r="M890" s="337" t="str">
        <f t="shared" si="750"/>
        <v>-</v>
      </c>
      <c r="N890" s="263">
        <f t="shared" si="752"/>
        <v>3.7627665292958249E-3</v>
      </c>
      <c r="O890" s="508">
        <v>2.3201000000000001</v>
      </c>
      <c r="P890" s="404">
        <f t="shared" si="745"/>
        <v>0</v>
      </c>
      <c r="Q890" s="449">
        <f t="shared" si="746"/>
        <v>193496.34</v>
      </c>
    </row>
    <row r="891" spans="1:17" ht="24" thickBot="1" x14ac:dyDescent="0.35">
      <c r="A891" s="248" t="s">
        <v>101</v>
      </c>
      <c r="B891" s="524"/>
      <c r="C891" s="541"/>
      <c r="D891" s="530"/>
      <c r="E891" s="462"/>
      <c r="F891" s="691">
        <f t="shared" si="747"/>
        <v>0</v>
      </c>
      <c r="G891" s="530"/>
      <c r="H891" s="461"/>
      <c r="I891" s="532" t="str">
        <f t="shared" si="748"/>
        <v>-</v>
      </c>
      <c r="J891" s="875">
        <f t="shared" si="749"/>
        <v>0</v>
      </c>
      <c r="K891" s="461">
        <f t="shared" si="743"/>
        <v>0</v>
      </c>
      <c r="L891" s="462">
        <f t="shared" si="744"/>
        <v>0</v>
      </c>
      <c r="M891" s="683" t="str">
        <f t="shared" si="750"/>
        <v>-</v>
      </c>
      <c r="N891" s="264" t="str">
        <f t="shared" si="752"/>
        <v>-</v>
      </c>
      <c r="O891" s="539"/>
      <c r="P891" s="536">
        <f t="shared" si="745"/>
        <v>0</v>
      </c>
      <c r="Q891" s="537">
        <f t="shared" si="746"/>
        <v>0</v>
      </c>
    </row>
    <row r="892" spans="1:17" ht="24" thickBot="1" x14ac:dyDescent="0.35">
      <c r="A892" s="274" t="s">
        <v>101</v>
      </c>
      <c r="B892" s="1109" t="s">
        <v>25</v>
      </c>
      <c r="C892" s="1046"/>
      <c r="D892" s="513">
        <f>SUM(D865:D891)</f>
        <v>0</v>
      </c>
      <c r="E892" s="526">
        <v>100000</v>
      </c>
      <c r="F892" s="519">
        <f>SUM(F860:F891)</f>
        <v>127460</v>
      </c>
      <c r="G892" s="519">
        <f>SUM(G860:G891)</f>
        <v>125894</v>
      </c>
      <c r="H892" s="519">
        <f>SUM(H860:H891)</f>
        <v>1566</v>
      </c>
      <c r="I892" s="520">
        <f>IFERROR(F892/E892,"-")</f>
        <v>1.2746</v>
      </c>
      <c r="J892" s="513">
        <f>SUM(J860:J891)</f>
        <v>1911246</v>
      </c>
      <c r="K892" s="513">
        <f t="shared" ref="K892:L892" si="753">SUM(K860:K891)</f>
        <v>1886402</v>
      </c>
      <c r="L892" s="513">
        <f t="shared" si="753"/>
        <v>24844</v>
      </c>
      <c r="M892" s="521" t="str">
        <f t="shared" si="750"/>
        <v>-</v>
      </c>
      <c r="N892" s="520">
        <f t="shared" si="752"/>
        <v>1.2998849964892013E-2</v>
      </c>
      <c r="O892" s="522"/>
      <c r="P892" s="523">
        <f>SUM(P860:P891)</f>
        <v>1161464.3742</v>
      </c>
      <c r="Q892" s="523">
        <f>SUM(Q860:Q891)</f>
        <v>14491188.3891</v>
      </c>
    </row>
    <row r="893" spans="1:17" ht="24" thickBot="1" x14ac:dyDescent="0.35">
      <c r="A893" s="318" t="s">
        <v>101</v>
      </c>
      <c r="B893" s="1111" t="s">
        <v>249</v>
      </c>
      <c r="C893" s="1112"/>
      <c r="D893" s="326">
        <f>+D864+D892</f>
        <v>0</v>
      </c>
      <c r="E893" s="327">
        <f>+E864+E892</f>
        <v>100000</v>
      </c>
      <c r="F893" s="326">
        <f>+F892</f>
        <v>127460</v>
      </c>
      <c r="G893" s="326">
        <f t="shared" ref="G893:H893" si="754">+G892</f>
        <v>125894</v>
      </c>
      <c r="H893" s="326">
        <f t="shared" si="754"/>
        <v>1566</v>
      </c>
      <c r="I893" s="349">
        <f>IFERROR(F893/E893,"-")</f>
        <v>1.2746</v>
      </c>
      <c r="J893" s="326">
        <f>+J892</f>
        <v>1911246</v>
      </c>
      <c r="K893" s="326">
        <f t="shared" ref="K893:L893" si="755">+K892</f>
        <v>1886402</v>
      </c>
      <c r="L893" s="326">
        <f t="shared" si="755"/>
        <v>24844</v>
      </c>
      <c r="M893" s="341" t="str">
        <f t="shared" si="750"/>
        <v>-</v>
      </c>
      <c r="N893" s="349">
        <f t="shared" si="752"/>
        <v>1.2998849964892013E-2</v>
      </c>
      <c r="O893" s="394"/>
      <c r="P893" s="410">
        <f>+P892</f>
        <v>1161464.3742</v>
      </c>
      <c r="Q893" s="428">
        <f>Q892</f>
        <v>14491188.3891</v>
      </c>
    </row>
    <row r="894" spans="1:17" ht="24.6" thickBot="1" x14ac:dyDescent="0.35">
      <c r="A894" s="319"/>
      <c r="B894" s="1113" t="s">
        <v>174</v>
      </c>
      <c r="C894" s="1114"/>
      <c r="D894" s="374">
        <f>+D893+D859+D850</f>
        <v>0</v>
      </c>
      <c r="E894" s="374">
        <f>+E893+E859+E850</f>
        <v>230000</v>
      </c>
      <c r="F894" s="374">
        <f>+F893+F859+F850</f>
        <v>285942</v>
      </c>
      <c r="G894" s="374">
        <f>+G893+G859+G850</f>
        <v>329764</v>
      </c>
      <c r="H894" s="374">
        <f>+H893+H859+H850</f>
        <v>11608</v>
      </c>
      <c r="I894" s="375">
        <f>IFERROR(F894/E894,"-")</f>
        <v>1.2432260869565217</v>
      </c>
      <c r="J894" s="374">
        <f>+J893+J859+J850</f>
        <v>4881086</v>
      </c>
      <c r="K894" s="374">
        <f>+K893+K859+K850</f>
        <v>4791752</v>
      </c>
      <c r="L894" s="374">
        <f>+L893+L859+L850</f>
        <v>89334</v>
      </c>
      <c r="M894" s="375" t="str">
        <f t="shared" si="750"/>
        <v>-</v>
      </c>
      <c r="N894" s="375">
        <f>IFERROR(L894/J894,"-")</f>
        <v>1.8302074579304689E-2</v>
      </c>
      <c r="O894" s="401"/>
      <c r="P894" s="418">
        <f>+P893+P859+P850</f>
        <v>1795154.7851999998</v>
      </c>
      <c r="Q894" s="418">
        <f>+Q893+Q859+Q850</f>
        <v>27678716.475099999</v>
      </c>
    </row>
    <row r="895" spans="1:17" ht="14.4" thickBot="1" x14ac:dyDescent="0.35"/>
    <row r="896" spans="1:17" ht="23.4" x14ac:dyDescent="0.3">
      <c r="A896" s="1115" t="s">
        <v>1</v>
      </c>
      <c r="B896" s="1118" t="s">
        <v>2</v>
      </c>
      <c r="C896" s="1121" t="s">
        <v>396</v>
      </c>
      <c r="D896" s="1066" t="s">
        <v>4</v>
      </c>
      <c r="E896" s="1067"/>
      <c r="F896" s="1067"/>
      <c r="G896" s="1067"/>
      <c r="H896" s="1067"/>
      <c r="I896" s="1067"/>
      <c r="J896" s="1067"/>
      <c r="K896" s="1067"/>
      <c r="L896" s="1067"/>
      <c r="M896" s="1067"/>
      <c r="N896" s="1068"/>
      <c r="O896" s="1092" t="s">
        <v>167</v>
      </c>
      <c r="P896" s="1093"/>
      <c r="Q896" s="1124"/>
    </row>
    <row r="897" spans="1:17" ht="23.4" x14ac:dyDescent="0.3">
      <c r="A897" s="1116"/>
      <c r="B897" s="1119"/>
      <c r="C897" s="1122"/>
      <c r="D897" s="1069" t="s">
        <v>7</v>
      </c>
      <c r="E897" s="1071" t="s">
        <v>108</v>
      </c>
      <c r="F897" s="1125" t="s">
        <v>569</v>
      </c>
      <c r="G897" s="1074"/>
      <c r="H897" s="1074"/>
      <c r="I897" s="1075"/>
      <c r="J897" s="1076" t="s">
        <v>8</v>
      </c>
      <c r="K897" s="1077"/>
      <c r="L897" s="1078"/>
      <c r="M897" s="1079" t="s">
        <v>165</v>
      </c>
      <c r="N897" s="1081" t="s">
        <v>164</v>
      </c>
      <c r="O897" s="1126" t="s">
        <v>169</v>
      </c>
      <c r="P897" s="1127"/>
      <c r="Q897" s="1128"/>
    </row>
    <row r="898" spans="1:17" ht="47.4" thickBot="1" x14ac:dyDescent="0.35">
      <c r="A898" s="1117"/>
      <c r="B898" s="1120"/>
      <c r="C898" s="1123"/>
      <c r="D898" s="1070"/>
      <c r="E898" s="1072"/>
      <c r="F898" s="452" t="s">
        <v>13</v>
      </c>
      <c r="G898" s="453" t="s">
        <v>14</v>
      </c>
      <c r="H898" s="453" t="s">
        <v>15</v>
      </c>
      <c r="I898" s="454" t="s">
        <v>166</v>
      </c>
      <c r="J898" s="680" t="s">
        <v>13</v>
      </c>
      <c r="K898" s="678" t="s">
        <v>14</v>
      </c>
      <c r="L898" s="679" t="s">
        <v>15</v>
      </c>
      <c r="M898" s="1080"/>
      <c r="N898" s="1082"/>
      <c r="O898" s="444" t="s">
        <v>170</v>
      </c>
      <c r="P898" s="445" t="s">
        <v>11</v>
      </c>
      <c r="Q898" s="446" t="s">
        <v>12</v>
      </c>
    </row>
    <row r="899" spans="1:17" ht="23.4" x14ac:dyDescent="0.3">
      <c r="A899" s="268" t="s">
        <v>103</v>
      </c>
      <c r="B899" s="439"/>
      <c r="C899" s="269" t="s">
        <v>502</v>
      </c>
      <c r="D899" s="270"/>
      <c r="E899" s="271"/>
      <c r="F899" s="332">
        <f>+G899+H899</f>
        <v>0</v>
      </c>
      <c r="G899" s="272">
        <v>0</v>
      </c>
      <c r="H899" s="272">
        <v>0</v>
      </c>
      <c r="I899" s="351" t="str">
        <f>IFERROR(F899/E899,"-")</f>
        <v>-</v>
      </c>
      <c r="J899" s="457">
        <f>+K899+L899</f>
        <v>128000</v>
      </c>
      <c r="K899" s="458">
        <f>+G899+K835</f>
        <v>128000</v>
      </c>
      <c r="L899" s="458">
        <f>+H899+L835</f>
        <v>0</v>
      </c>
      <c r="M899" s="336" t="str">
        <f>IFERROR(J899/D899,"-")</f>
        <v>-</v>
      </c>
      <c r="N899" s="343">
        <f t="shared" ref="N899" si="756">IFERROR(L899/J899,"-")</f>
        <v>0</v>
      </c>
      <c r="O899" s="786">
        <v>0</v>
      </c>
      <c r="P899" s="402">
        <f>+O899*G899</f>
        <v>0</v>
      </c>
      <c r="Q899" s="447">
        <f>+O899*K899</f>
        <v>0</v>
      </c>
    </row>
    <row r="900" spans="1:17" ht="23.4" x14ac:dyDescent="0.3">
      <c r="A900" s="274"/>
      <c r="B900" s="439"/>
      <c r="C900" s="269" t="s">
        <v>563</v>
      </c>
      <c r="D900" s="270"/>
      <c r="E900" s="271"/>
      <c r="F900" s="332"/>
      <c r="G900" s="272">
        <v>47600</v>
      </c>
      <c r="H900" s="272">
        <v>7864</v>
      </c>
      <c r="I900" s="351"/>
      <c r="J900" s="332">
        <f>+K900+L900</f>
        <v>246464</v>
      </c>
      <c r="K900" s="272">
        <f t="shared" ref="K900:K904" si="757">+G900+K836</f>
        <v>202720</v>
      </c>
      <c r="L900" s="271">
        <f t="shared" ref="L900:L904" si="758">+H900+L836</f>
        <v>43744</v>
      </c>
      <c r="M900" s="336"/>
      <c r="N900" s="343"/>
      <c r="O900" s="786">
        <v>1.5669</v>
      </c>
      <c r="P900" s="402">
        <f t="shared" ref="P900:P904" si="759">+O900*G900</f>
        <v>74584.44</v>
      </c>
      <c r="Q900" s="447">
        <f t="shared" ref="Q900:Q904" si="760">+O900*K900</f>
        <v>317641.96799999999</v>
      </c>
    </row>
    <row r="901" spans="1:17" ht="23.4" x14ac:dyDescent="0.3">
      <c r="A901" s="274" t="s">
        <v>103</v>
      </c>
      <c r="B901" s="438"/>
      <c r="C901" s="275" t="s">
        <v>245</v>
      </c>
      <c r="D901" s="276"/>
      <c r="E901" s="277"/>
      <c r="F901" s="333">
        <f t="shared" ref="F901:F904" si="761">+G901+H901</f>
        <v>0</v>
      </c>
      <c r="G901" s="719"/>
      <c r="H901" s="719"/>
      <c r="I901" s="351" t="str">
        <f t="shared" ref="I901:I904" si="762">IFERROR(F901/E901,"-")</f>
        <v>-</v>
      </c>
      <c r="J901" s="333">
        <f t="shared" ref="J901:J904" si="763">+K901+L901</f>
        <v>115874</v>
      </c>
      <c r="K901" s="278">
        <f t="shared" si="757"/>
        <v>115000</v>
      </c>
      <c r="L901" s="436">
        <f t="shared" si="758"/>
        <v>874</v>
      </c>
      <c r="M901" s="337" t="str">
        <f t="shared" ref="M901:M904" si="764">IFERROR(J901/D901,"-")</f>
        <v>-</v>
      </c>
      <c r="N901" s="265">
        <f t="shared" ref="N901" si="765">IFERROR(L901/J901,"-")</f>
        <v>7.5426756649464074E-3</v>
      </c>
      <c r="O901" s="508">
        <v>2.3978999999999999</v>
      </c>
      <c r="P901" s="404">
        <f t="shared" si="759"/>
        <v>0</v>
      </c>
      <c r="Q901" s="449">
        <f t="shared" si="760"/>
        <v>275758.5</v>
      </c>
    </row>
    <row r="902" spans="1:17" ht="23.4" x14ac:dyDescent="0.3">
      <c r="A902" s="274" t="s">
        <v>103</v>
      </c>
      <c r="B902" s="438"/>
      <c r="C902" s="275" t="s">
        <v>395</v>
      </c>
      <c r="D902" s="276"/>
      <c r="E902" s="277"/>
      <c r="F902" s="333">
        <f t="shared" si="761"/>
        <v>87124</v>
      </c>
      <c r="G902" s="278">
        <v>86250</v>
      </c>
      <c r="H902" s="719">
        <v>874</v>
      </c>
      <c r="I902" s="351" t="str">
        <f t="shared" si="762"/>
        <v>-</v>
      </c>
      <c r="J902" s="333">
        <f t="shared" si="763"/>
        <v>1079641</v>
      </c>
      <c r="K902" s="278">
        <f t="shared" si="757"/>
        <v>1069250</v>
      </c>
      <c r="L902" s="436">
        <f t="shared" si="758"/>
        <v>10391</v>
      </c>
      <c r="M902" s="337" t="str">
        <f t="shared" si="764"/>
        <v>-</v>
      </c>
      <c r="N902" s="716">
        <f>IFERROR(L902/J902,"-")</f>
        <v>9.6244955499096459E-3</v>
      </c>
      <c r="O902" s="718">
        <v>3.6777000000000002</v>
      </c>
      <c r="P902" s="404">
        <f t="shared" si="759"/>
        <v>317201.625</v>
      </c>
      <c r="Q902" s="449">
        <f t="shared" si="760"/>
        <v>3932380.7250000001</v>
      </c>
    </row>
    <row r="903" spans="1:17" ht="23.4" x14ac:dyDescent="0.3">
      <c r="A903" s="274"/>
      <c r="B903" s="451"/>
      <c r="C903" s="275" t="s">
        <v>319</v>
      </c>
      <c r="D903" s="280"/>
      <c r="E903" s="281"/>
      <c r="F903" s="333">
        <f t="shared" si="761"/>
        <v>0</v>
      </c>
      <c r="G903" s="282">
        <v>0</v>
      </c>
      <c r="H903" s="282">
        <v>0</v>
      </c>
      <c r="I903" s="351" t="str">
        <f t="shared" si="762"/>
        <v>-</v>
      </c>
      <c r="J903" s="333">
        <f t="shared" si="763"/>
        <v>434562</v>
      </c>
      <c r="K903" s="278">
        <f t="shared" si="757"/>
        <v>428800</v>
      </c>
      <c r="L903" s="436">
        <f t="shared" si="758"/>
        <v>5762</v>
      </c>
      <c r="M903" s="337" t="str">
        <f t="shared" si="764"/>
        <v>-</v>
      </c>
      <c r="N903" s="265">
        <f>IFERROR(L903/J903,"-")</f>
        <v>1.3259327782917052E-2</v>
      </c>
      <c r="O903" s="509">
        <v>12.284700000000001</v>
      </c>
      <c r="P903" s="404">
        <f t="shared" si="759"/>
        <v>0</v>
      </c>
      <c r="Q903" s="449">
        <f t="shared" si="760"/>
        <v>5267679.3600000003</v>
      </c>
    </row>
    <row r="904" spans="1:17" ht="24" thickBot="1" x14ac:dyDescent="0.35">
      <c r="A904" s="274" t="s">
        <v>103</v>
      </c>
      <c r="B904" s="451"/>
      <c r="C904" s="275" t="s">
        <v>365</v>
      </c>
      <c r="D904" s="280"/>
      <c r="E904" s="281"/>
      <c r="F904" s="334">
        <f t="shared" si="761"/>
        <v>0</v>
      </c>
      <c r="G904" s="282"/>
      <c r="H904" s="282"/>
      <c r="I904" s="351" t="str">
        <f t="shared" si="762"/>
        <v>-</v>
      </c>
      <c r="J904" s="460">
        <f t="shared" si="763"/>
        <v>45034</v>
      </c>
      <c r="K904" s="461">
        <f t="shared" si="757"/>
        <v>44250</v>
      </c>
      <c r="L904" s="462">
        <f t="shared" si="758"/>
        <v>784</v>
      </c>
      <c r="M904" s="338" t="str">
        <f t="shared" si="764"/>
        <v>-</v>
      </c>
      <c r="N904" s="344">
        <f t="shared" ref="N904:N916" si="766">IFERROR(L904/J904,"-")</f>
        <v>1.7409068703646134E-2</v>
      </c>
      <c r="O904" s="718">
        <v>7.0612000000000004</v>
      </c>
      <c r="P904" s="405">
        <f t="shared" si="759"/>
        <v>0</v>
      </c>
      <c r="Q904" s="450">
        <f t="shared" si="760"/>
        <v>312458.10000000003</v>
      </c>
    </row>
    <row r="905" spans="1:17" ht="24" thickBot="1" x14ac:dyDescent="0.35">
      <c r="A905" s="274" t="s">
        <v>103</v>
      </c>
      <c r="B905" s="1109" t="s">
        <v>21</v>
      </c>
      <c r="C905" s="1046"/>
      <c r="D905" s="320">
        <f>SUM(D899:D904)</f>
        <v>0</v>
      </c>
      <c r="E905" s="285">
        <v>15000</v>
      </c>
      <c r="F905" s="320">
        <f>SUM(F899:F904)</f>
        <v>87124</v>
      </c>
      <c r="G905" s="321">
        <f>SUM(G899:G904)</f>
        <v>133850</v>
      </c>
      <c r="H905" s="321">
        <f>SUM(H899:H904)</f>
        <v>8738</v>
      </c>
      <c r="I905" s="345">
        <f>IFERROR(F905/E905,"-")</f>
        <v>5.8082666666666665</v>
      </c>
      <c r="J905" s="320">
        <f>SUM(J899:J904)</f>
        <v>2049575</v>
      </c>
      <c r="K905" s="321">
        <f>SUM(K899:K904)</f>
        <v>1988020</v>
      </c>
      <c r="L905" s="322">
        <f>SUM(L899:L904)</f>
        <v>61555</v>
      </c>
      <c r="M905" s="339" t="str">
        <f>IFERROR(J905/D905,"-")</f>
        <v>-</v>
      </c>
      <c r="N905" s="345">
        <f t="shared" si="766"/>
        <v>3.003305563348499E-2</v>
      </c>
      <c r="O905" s="391"/>
      <c r="P905" s="406">
        <f>SUM(P899:P904)</f>
        <v>391786.065</v>
      </c>
      <c r="Q905" s="425">
        <f>SUM(Q899:Q904)</f>
        <v>10105918.652999999</v>
      </c>
    </row>
    <row r="906" spans="1:17" ht="23.4" x14ac:dyDescent="0.3">
      <c r="A906" s="274" t="s">
        <v>103</v>
      </c>
      <c r="B906" s="439"/>
      <c r="C906" s="269" t="s">
        <v>244</v>
      </c>
      <c r="D906" s="270"/>
      <c r="E906" s="271"/>
      <c r="F906" s="332">
        <f t="shared" ref="F906:F912" si="767">+G906+H906</f>
        <v>8857</v>
      </c>
      <c r="G906" s="272">
        <v>8640</v>
      </c>
      <c r="H906" s="272">
        <v>217</v>
      </c>
      <c r="I906" s="351" t="str">
        <f>IFERROR(F906/E906,"-")</f>
        <v>-</v>
      </c>
      <c r="J906" s="457">
        <f t="shared" ref="J906:J912" si="768">+K906+L906</f>
        <v>26570</v>
      </c>
      <c r="K906" s="458">
        <f t="shared" ref="K906:K912" si="769">+G906+K842</f>
        <v>25920</v>
      </c>
      <c r="L906" s="459">
        <f t="shared" ref="L906:L912" si="770">+H906+L842</f>
        <v>650</v>
      </c>
      <c r="M906" s="336" t="str">
        <f t="shared" ref="M906:M914" si="771">IFERROR(J906/D906,"-")</f>
        <v>-</v>
      </c>
      <c r="N906" s="346">
        <f t="shared" si="766"/>
        <v>2.4463680843056078E-2</v>
      </c>
      <c r="O906" s="507">
        <v>18.2316</v>
      </c>
      <c r="P906" s="402">
        <f t="shared" ref="P906:P912" si="772">+O906*G906</f>
        <v>157521.024</v>
      </c>
      <c r="Q906" s="447">
        <f t="shared" ref="Q906:Q912" si="773">+O906*K906</f>
        <v>472563.07199999999</v>
      </c>
    </row>
    <row r="907" spans="1:17" ht="23.4" x14ac:dyDescent="0.3">
      <c r="A907" s="274" t="s">
        <v>103</v>
      </c>
      <c r="B907" s="438"/>
      <c r="C907" s="275" t="s">
        <v>89</v>
      </c>
      <c r="D907" s="276"/>
      <c r="E907" s="277"/>
      <c r="F907" s="333">
        <f t="shared" si="767"/>
        <v>60000</v>
      </c>
      <c r="G907" s="278">
        <v>60000</v>
      </c>
      <c r="H907" s="278">
        <v>0</v>
      </c>
      <c r="I907" s="351" t="str">
        <f t="shared" ref="I907:I912" si="774">IFERROR(F907/E907,"-")</f>
        <v>-</v>
      </c>
      <c r="J907" s="333">
        <f t="shared" si="768"/>
        <v>240000</v>
      </c>
      <c r="K907" s="278">
        <f t="shared" si="769"/>
        <v>240000</v>
      </c>
      <c r="L907" s="436">
        <f t="shared" si="770"/>
        <v>0</v>
      </c>
      <c r="M907" s="337" t="str">
        <f t="shared" si="771"/>
        <v>-</v>
      </c>
      <c r="N907" s="263">
        <f t="shared" si="766"/>
        <v>0</v>
      </c>
      <c r="O907" s="508">
        <v>1.2824</v>
      </c>
      <c r="P907" s="404">
        <f t="shared" si="772"/>
        <v>76944</v>
      </c>
      <c r="Q907" s="449">
        <f t="shared" si="773"/>
        <v>307776</v>
      </c>
    </row>
    <row r="908" spans="1:17" ht="23.4" x14ac:dyDescent="0.3">
      <c r="A908" s="274" t="s">
        <v>103</v>
      </c>
      <c r="B908" s="438"/>
      <c r="C908" s="275" t="s">
        <v>300</v>
      </c>
      <c r="D908" s="276"/>
      <c r="E908" s="277"/>
      <c r="F908" s="333">
        <f t="shared" si="767"/>
        <v>0</v>
      </c>
      <c r="G908" s="278"/>
      <c r="H908" s="278"/>
      <c r="I908" s="351" t="str">
        <f t="shared" si="774"/>
        <v>-</v>
      </c>
      <c r="J908" s="333">
        <f t="shared" si="768"/>
        <v>0</v>
      </c>
      <c r="K908" s="278">
        <f t="shared" si="769"/>
        <v>0</v>
      </c>
      <c r="L908" s="436">
        <f t="shared" si="770"/>
        <v>0</v>
      </c>
      <c r="M908" s="337" t="str">
        <f t="shared" si="771"/>
        <v>-</v>
      </c>
      <c r="N908" s="263" t="str">
        <f t="shared" si="766"/>
        <v>-</v>
      </c>
      <c r="O908" s="710">
        <v>5.7342000000000004</v>
      </c>
      <c r="P908" s="404">
        <f t="shared" si="772"/>
        <v>0</v>
      </c>
      <c r="Q908" s="449">
        <f t="shared" si="773"/>
        <v>0</v>
      </c>
    </row>
    <row r="909" spans="1:17" ht="23.4" x14ac:dyDescent="0.3">
      <c r="A909" s="274" t="s">
        <v>103</v>
      </c>
      <c r="B909" s="438"/>
      <c r="C909" s="275" t="s">
        <v>314</v>
      </c>
      <c r="D909" s="276"/>
      <c r="E909" s="277"/>
      <c r="F909" s="333">
        <f t="shared" si="767"/>
        <v>0</v>
      </c>
      <c r="G909" s="278"/>
      <c r="H909" s="278"/>
      <c r="I909" s="351" t="str">
        <f t="shared" si="774"/>
        <v>-</v>
      </c>
      <c r="J909" s="333">
        <f t="shared" si="768"/>
        <v>0</v>
      </c>
      <c r="K909" s="278">
        <f t="shared" si="769"/>
        <v>0</v>
      </c>
      <c r="L909" s="436">
        <f t="shared" si="770"/>
        <v>0</v>
      </c>
      <c r="M909" s="337" t="str">
        <f t="shared" si="771"/>
        <v>-</v>
      </c>
      <c r="N909" s="263" t="str">
        <f t="shared" si="766"/>
        <v>-</v>
      </c>
      <c r="O909" s="508"/>
      <c r="P909" s="404">
        <f t="shared" si="772"/>
        <v>0</v>
      </c>
      <c r="Q909" s="449">
        <f t="shared" si="773"/>
        <v>0</v>
      </c>
    </row>
    <row r="910" spans="1:17" ht="23.4" x14ac:dyDescent="0.3">
      <c r="A910" s="274" t="s">
        <v>103</v>
      </c>
      <c r="B910" s="438"/>
      <c r="C910" s="275" t="s">
        <v>320</v>
      </c>
      <c r="D910" s="276"/>
      <c r="E910" s="277"/>
      <c r="F910" s="333">
        <f t="shared" si="767"/>
        <v>0</v>
      </c>
      <c r="G910" s="278">
        <v>0</v>
      </c>
      <c r="H910" s="278">
        <v>0</v>
      </c>
      <c r="I910" s="351" t="str">
        <f t="shared" si="774"/>
        <v>-</v>
      </c>
      <c r="J910" s="333">
        <f t="shared" si="768"/>
        <v>102814</v>
      </c>
      <c r="K910" s="278">
        <f t="shared" si="769"/>
        <v>102400</v>
      </c>
      <c r="L910" s="436">
        <f t="shared" si="770"/>
        <v>414</v>
      </c>
      <c r="M910" s="337" t="str">
        <f t="shared" si="771"/>
        <v>-</v>
      </c>
      <c r="N910" s="263">
        <f t="shared" si="766"/>
        <v>4.0266889723189446E-3</v>
      </c>
      <c r="O910" s="508">
        <v>12.029500000000001</v>
      </c>
      <c r="P910" s="404">
        <f t="shared" si="772"/>
        <v>0</v>
      </c>
      <c r="Q910" s="449">
        <f t="shared" si="773"/>
        <v>1231820.8</v>
      </c>
    </row>
    <row r="911" spans="1:17" ht="23.4" x14ac:dyDescent="0.3">
      <c r="A911" s="274" t="s">
        <v>103</v>
      </c>
      <c r="B911" s="438"/>
      <c r="C911" s="275"/>
      <c r="D911" s="276"/>
      <c r="E911" s="277"/>
      <c r="F911" s="333">
        <f t="shared" si="767"/>
        <v>0</v>
      </c>
      <c r="G911" s="278"/>
      <c r="H911" s="278"/>
      <c r="I911" s="351" t="str">
        <f t="shared" si="774"/>
        <v>-</v>
      </c>
      <c r="J911" s="333">
        <f t="shared" si="768"/>
        <v>0</v>
      </c>
      <c r="K911" s="278">
        <f t="shared" si="769"/>
        <v>0</v>
      </c>
      <c r="L911" s="436">
        <f t="shared" si="770"/>
        <v>0</v>
      </c>
      <c r="M911" s="337" t="str">
        <f t="shared" si="771"/>
        <v>-</v>
      </c>
      <c r="N911" s="263" t="str">
        <f t="shared" si="766"/>
        <v>-</v>
      </c>
      <c r="O911" s="508"/>
      <c r="P911" s="404">
        <f t="shared" si="772"/>
        <v>0</v>
      </c>
      <c r="Q911" s="449">
        <f t="shared" si="773"/>
        <v>0</v>
      </c>
    </row>
    <row r="912" spans="1:17" ht="24" thickBot="1" x14ac:dyDescent="0.35">
      <c r="A912" s="274" t="s">
        <v>103</v>
      </c>
      <c r="B912" s="451"/>
      <c r="C912" s="279"/>
      <c r="D912" s="280">
        <v>0</v>
      </c>
      <c r="E912" s="281"/>
      <c r="F912" s="334">
        <f t="shared" si="767"/>
        <v>0</v>
      </c>
      <c r="G912" s="282"/>
      <c r="H912" s="282"/>
      <c r="I912" s="351" t="str">
        <f t="shared" si="774"/>
        <v>-</v>
      </c>
      <c r="J912" s="460">
        <f t="shared" si="768"/>
        <v>0</v>
      </c>
      <c r="K912" s="461">
        <f t="shared" si="769"/>
        <v>0</v>
      </c>
      <c r="L912" s="462">
        <f t="shared" si="770"/>
        <v>0</v>
      </c>
      <c r="M912" s="338" t="str">
        <f t="shared" si="771"/>
        <v>-</v>
      </c>
      <c r="N912" s="347" t="str">
        <f t="shared" si="766"/>
        <v>-</v>
      </c>
      <c r="O912" s="509"/>
      <c r="P912" s="405">
        <f t="shared" si="772"/>
        <v>0</v>
      </c>
      <c r="Q912" s="450">
        <f t="shared" si="773"/>
        <v>0</v>
      </c>
    </row>
    <row r="913" spans="1:17" ht="24" thickBot="1" x14ac:dyDescent="0.35">
      <c r="A913" s="274" t="s">
        <v>103</v>
      </c>
      <c r="B913" s="1109" t="s">
        <v>25</v>
      </c>
      <c r="C913" s="1046"/>
      <c r="D913" s="320">
        <f t="shared" ref="D913" si="775">SUM(D906:D912)</f>
        <v>0</v>
      </c>
      <c r="E913" s="285">
        <v>100000</v>
      </c>
      <c r="F913" s="320">
        <f>SUM(F906:F912)</f>
        <v>68857</v>
      </c>
      <c r="G913" s="321">
        <f t="shared" ref="G913:H913" si="776">SUM(G906:G912)</f>
        <v>68640</v>
      </c>
      <c r="H913" s="321">
        <f t="shared" si="776"/>
        <v>217</v>
      </c>
      <c r="I913" s="345">
        <f>IFERROR(F913/E913,"-")</f>
        <v>0.68857000000000002</v>
      </c>
      <c r="J913" s="320">
        <f t="shared" ref="J913:L913" si="777">SUM(J906:J912)</f>
        <v>369384</v>
      </c>
      <c r="K913" s="321">
        <f t="shared" si="777"/>
        <v>368320</v>
      </c>
      <c r="L913" s="322">
        <f t="shared" si="777"/>
        <v>1064</v>
      </c>
      <c r="M913" s="339" t="str">
        <f t="shared" si="771"/>
        <v>-</v>
      </c>
      <c r="N913" s="345">
        <f t="shared" si="766"/>
        <v>2.8804712710891645E-3</v>
      </c>
      <c r="O913" s="391"/>
      <c r="P913" s="406">
        <f t="shared" ref="P913:Q913" si="778">SUM(P906:P912)</f>
        <v>234465.024</v>
      </c>
      <c r="Q913" s="425">
        <f t="shared" si="778"/>
        <v>2012159.872</v>
      </c>
    </row>
    <row r="914" spans="1:17" ht="24" thickBot="1" x14ac:dyDescent="0.35">
      <c r="A914" s="274" t="s">
        <v>103</v>
      </c>
      <c r="B914" s="1111" t="s">
        <v>172</v>
      </c>
      <c r="C914" s="1112"/>
      <c r="D914" s="326">
        <f>+D905+D913</f>
        <v>0</v>
      </c>
      <c r="E914" s="327">
        <f t="shared" ref="E914:H914" si="779">+E905+E913</f>
        <v>115000</v>
      </c>
      <c r="F914" s="512">
        <f t="shared" si="779"/>
        <v>155981</v>
      </c>
      <c r="G914" s="514">
        <f t="shared" si="779"/>
        <v>202490</v>
      </c>
      <c r="H914" s="514">
        <f t="shared" si="779"/>
        <v>8955</v>
      </c>
      <c r="I914" s="515">
        <f>IFERROR(F914/E914,"-")</f>
        <v>1.3563565217391305</v>
      </c>
      <c r="J914" s="326">
        <f t="shared" ref="J914:L914" si="780">+J905+J913</f>
        <v>2418959</v>
      </c>
      <c r="K914" s="324">
        <f t="shared" si="780"/>
        <v>2356340</v>
      </c>
      <c r="L914" s="325">
        <f t="shared" si="780"/>
        <v>62619</v>
      </c>
      <c r="M914" s="341" t="str">
        <f t="shared" si="771"/>
        <v>-</v>
      </c>
      <c r="N914" s="349">
        <f t="shared" si="766"/>
        <v>2.588675541834318E-2</v>
      </c>
      <c r="O914" s="394"/>
      <c r="P914" s="410">
        <f t="shared" ref="P914:Q914" si="781">+P905+P913</f>
        <v>626251.08900000004</v>
      </c>
      <c r="Q914" s="428">
        <f t="shared" si="781"/>
        <v>12118078.524999999</v>
      </c>
    </row>
    <row r="915" spans="1:17" ht="23.4" x14ac:dyDescent="0.3">
      <c r="A915" s="244" t="s">
        <v>101</v>
      </c>
      <c r="B915" s="581"/>
      <c r="C915" s="582" t="s">
        <v>283</v>
      </c>
      <c r="D915" s="527"/>
      <c r="E915" s="459"/>
      <c r="F915" s="457">
        <f>+G915+H915</f>
        <v>0</v>
      </c>
      <c r="G915" s="458"/>
      <c r="H915" s="838"/>
      <c r="I915" s="531" t="str">
        <f>IFERROR(F915/E915,"-")</f>
        <v>-</v>
      </c>
      <c r="J915" s="644">
        <f>+K915+L915</f>
        <v>0</v>
      </c>
      <c r="K915" s="458">
        <f t="shared" ref="K915:K921" si="782">+G915+K851</f>
        <v>0</v>
      </c>
      <c r="L915" s="459">
        <f t="shared" ref="L915:L921" si="783">+H915+L851</f>
        <v>0</v>
      </c>
      <c r="M915" s="586" t="str">
        <f>IFERROR(J915/D915,"-")</f>
        <v>-</v>
      </c>
      <c r="N915" s="533" t="str">
        <f t="shared" si="766"/>
        <v>-</v>
      </c>
      <c r="O915" s="628">
        <v>4.8285999999999998</v>
      </c>
      <c r="P915" s="534">
        <f t="shared" ref="P915:P921" si="784">+O915*G915</f>
        <v>0</v>
      </c>
      <c r="Q915" s="535">
        <f t="shared" ref="Q915:Q921" si="785">+O915*K915</f>
        <v>0</v>
      </c>
    </row>
    <row r="916" spans="1:17" ht="23.4" x14ac:dyDescent="0.3">
      <c r="A916" s="248" t="s">
        <v>101</v>
      </c>
      <c r="B916" s="583"/>
      <c r="C916" s="275" t="s">
        <v>284</v>
      </c>
      <c r="D916" s="276"/>
      <c r="E916" s="436"/>
      <c r="F916" s="333">
        <f t="shared" ref="F916:F921" si="786">+G916+H916</f>
        <v>0</v>
      </c>
      <c r="G916" s="278"/>
      <c r="H916" s="277"/>
      <c r="I916" s="352" t="str">
        <f t="shared" ref="I916:I921" si="787">IFERROR(F916/E916,"-")</f>
        <v>-</v>
      </c>
      <c r="J916" s="874">
        <f t="shared" ref="J916:J921" si="788">+K916+L916</f>
        <v>0</v>
      </c>
      <c r="K916" s="278">
        <f t="shared" si="782"/>
        <v>0</v>
      </c>
      <c r="L916" s="436">
        <f t="shared" si="783"/>
        <v>0</v>
      </c>
      <c r="M916" s="337" t="str">
        <f t="shared" ref="M916:M921" si="789">IFERROR(J916/D916,"-")</f>
        <v>-</v>
      </c>
      <c r="N916" s="265" t="str">
        <f t="shared" si="766"/>
        <v>-</v>
      </c>
      <c r="O916" s="629">
        <v>1.4086000000000001</v>
      </c>
      <c r="P916" s="404">
        <f t="shared" si="784"/>
        <v>0</v>
      </c>
      <c r="Q916" s="449">
        <f t="shared" si="785"/>
        <v>0</v>
      </c>
    </row>
    <row r="917" spans="1:17" ht="23.4" x14ac:dyDescent="0.3">
      <c r="A917" s="248" t="s">
        <v>101</v>
      </c>
      <c r="B917" s="583"/>
      <c r="C917" s="275" t="s">
        <v>315</v>
      </c>
      <c r="D917" s="276"/>
      <c r="E917" s="436"/>
      <c r="F917" s="333">
        <f t="shared" si="786"/>
        <v>0</v>
      </c>
      <c r="G917" s="278"/>
      <c r="H917" s="277"/>
      <c r="I917" s="352" t="str">
        <f t="shared" si="787"/>
        <v>-</v>
      </c>
      <c r="J917" s="874">
        <f t="shared" si="788"/>
        <v>0</v>
      </c>
      <c r="K917" s="278">
        <f t="shared" si="782"/>
        <v>0</v>
      </c>
      <c r="L917" s="436">
        <f t="shared" si="783"/>
        <v>0</v>
      </c>
      <c r="M917" s="337" t="str">
        <f t="shared" si="789"/>
        <v>-</v>
      </c>
      <c r="N917" s="265" t="str">
        <f>IFERROR(L917/J917,"-")</f>
        <v>-</v>
      </c>
      <c r="O917" s="629">
        <v>2.2141000000000002</v>
      </c>
      <c r="P917" s="404">
        <f t="shared" si="784"/>
        <v>0</v>
      </c>
      <c r="Q917" s="449">
        <f t="shared" si="785"/>
        <v>0</v>
      </c>
    </row>
    <row r="918" spans="1:17" ht="23.4" x14ac:dyDescent="0.3">
      <c r="A918" s="248" t="s">
        <v>101</v>
      </c>
      <c r="B918" s="584"/>
      <c r="C918" s="275" t="s">
        <v>447</v>
      </c>
      <c r="D918" s="280"/>
      <c r="E918" s="528"/>
      <c r="F918" s="334">
        <f t="shared" si="786"/>
        <v>101075</v>
      </c>
      <c r="G918" s="282">
        <v>100000</v>
      </c>
      <c r="H918" s="281">
        <v>1075</v>
      </c>
      <c r="I918" s="352" t="str">
        <f t="shared" si="787"/>
        <v>-</v>
      </c>
      <c r="J918" s="874">
        <f t="shared" si="788"/>
        <v>846244</v>
      </c>
      <c r="K918" s="278">
        <f t="shared" si="782"/>
        <v>835250</v>
      </c>
      <c r="L918" s="436">
        <f t="shared" si="783"/>
        <v>10994</v>
      </c>
      <c r="M918" s="338" t="str">
        <f t="shared" si="789"/>
        <v>-</v>
      </c>
      <c r="N918" s="344">
        <f t="shared" ref="N918:N925" si="790">IFERROR(L918/J918,"-")</f>
        <v>1.2991524902983064E-2</v>
      </c>
      <c r="O918" s="629">
        <v>2.2141000000000002</v>
      </c>
      <c r="P918" s="405">
        <f t="shared" si="784"/>
        <v>221410.00000000003</v>
      </c>
      <c r="Q918" s="450">
        <f t="shared" si="785"/>
        <v>1849327.0250000001</v>
      </c>
    </row>
    <row r="919" spans="1:17" ht="23.4" x14ac:dyDescent="0.3">
      <c r="A919" s="248" t="s">
        <v>101</v>
      </c>
      <c r="B919" s="440"/>
      <c r="C919" s="627" t="s">
        <v>353</v>
      </c>
      <c r="D919" s="510"/>
      <c r="E919" s="529"/>
      <c r="F919" s="333">
        <f t="shared" si="786"/>
        <v>0</v>
      </c>
      <c r="G919" s="547"/>
      <c r="H919" s="873"/>
      <c r="I919" s="352" t="str">
        <f t="shared" si="787"/>
        <v>-</v>
      </c>
      <c r="J919" s="874">
        <f t="shared" si="788"/>
        <v>0</v>
      </c>
      <c r="K919" s="278">
        <f t="shared" si="782"/>
        <v>0</v>
      </c>
      <c r="L919" s="436">
        <f t="shared" si="783"/>
        <v>0</v>
      </c>
      <c r="M919" s="338" t="str">
        <f t="shared" si="789"/>
        <v>-</v>
      </c>
      <c r="N919" s="265" t="str">
        <f t="shared" si="790"/>
        <v>-</v>
      </c>
      <c r="O919" s="540">
        <v>4.8285999999999998</v>
      </c>
      <c r="P919" s="404">
        <f t="shared" si="784"/>
        <v>0</v>
      </c>
      <c r="Q919" s="449">
        <f t="shared" si="785"/>
        <v>0</v>
      </c>
    </row>
    <row r="920" spans="1:17" ht="23.4" x14ac:dyDescent="0.3">
      <c r="A920" s="248" t="s">
        <v>101</v>
      </c>
      <c r="B920" s="585"/>
      <c r="C920" s="627" t="s">
        <v>349</v>
      </c>
      <c r="D920" s="270"/>
      <c r="E920" s="435"/>
      <c r="F920" s="332">
        <f t="shared" si="786"/>
        <v>0</v>
      </c>
      <c r="G920" s="272"/>
      <c r="H920" s="271"/>
      <c r="I920" s="352" t="str">
        <f t="shared" si="787"/>
        <v>-</v>
      </c>
      <c r="J920" s="874">
        <f t="shared" si="788"/>
        <v>17157</v>
      </c>
      <c r="K920" s="278">
        <f t="shared" si="782"/>
        <v>16250</v>
      </c>
      <c r="L920" s="436">
        <f t="shared" si="783"/>
        <v>907</v>
      </c>
      <c r="M920" s="336" t="str">
        <f t="shared" si="789"/>
        <v>-</v>
      </c>
      <c r="N920" s="346">
        <f t="shared" si="790"/>
        <v>5.2864719939383339E-2</v>
      </c>
      <c r="O920" s="507">
        <v>4.1712999999999996</v>
      </c>
      <c r="P920" s="402">
        <f t="shared" si="784"/>
        <v>0</v>
      </c>
      <c r="Q920" s="447">
        <f t="shared" si="785"/>
        <v>67783.625</v>
      </c>
    </row>
    <row r="921" spans="1:17" ht="24" thickBot="1" x14ac:dyDescent="0.35">
      <c r="A921" s="248" t="s">
        <v>101</v>
      </c>
      <c r="B921" s="583"/>
      <c r="C921" s="275"/>
      <c r="D921" s="276"/>
      <c r="E921" s="436"/>
      <c r="F921" s="460">
        <f t="shared" si="786"/>
        <v>0</v>
      </c>
      <c r="G921" s="461"/>
      <c r="H921" s="839"/>
      <c r="I921" s="532" t="str">
        <f t="shared" si="787"/>
        <v>-</v>
      </c>
      <c r="J921" s="875">
        <f t="shared" si="788"/>
        <v>0</v>
      </c>
      <c r="K921" s="461">
        <f t="shared" si="782"/>
        <v>0</v>
      </c>
      <c r="L921" s="462">
        <f t="shared" si="783"/>
        <v>0</v>
      </c>
      <c r="M921" s="337" t="str">
        <f t="shared" si="789"/>
        <v>-</v>
      </c>
      <c r="N921" s="263" t="str">
        <f t="shared" si="790"/>
        <v>-</v>
      </c>
      <c r="O921" s="448"/>
      <c r="P921" s="404">
        <f t="shared" si="784"/>
        <v>0</v>
      </c>
      <c r="Q921" s="449">
        <f t="shared" si="785"/>
        <v>0</v>
      </c>
    </row>
    <row r="922" spans="1:17" ht="24" thickBot="1" x14ac:dyDescent="0.35">
      <c r="A922" s="274" t="s">
        <v>101</v>
      </c>
      <c r="B922" s="1109" t="s">
        <v>21</v>
      </c>
      <c r="C922" s="1046"/>
      <c r="D922" s="320">
        <v>0</v>
      </c>
      <c r="E922" s="285">
        <v>15000</v>
      </c>
      <c r="F922" s="513">
        <f>SUM(F915:F921)</f>
        <v>101075</v>
      </c>
      <c r="G922" s="519">
        <f t="shared" ref="G922:H922" si="791">SUM(G915:G921)</f>
        <v>100000</v>
      </c>
      <c r="H922" s="519">
        <f t="shared" si="791"/>
        <v>1075</v>
      </c>
      <c r="I922" s="520">
        <f>IFERROR(F922/E922,"-")</f>
        <v>6.7383333333333333</v>
      </c>
      <c r="J922" s="513">
        <f t="shared" ref="J922" si="792">SUM(J915:J921)</f>
        <v>863401</v>
      </c>
      <c r="K922" s="519">
        <f>SUM(K915:K921)</f>
        <v>851500</v>
      </c>
      <c r="L922" s="519">
        <f>SUM(L915:L921)</f>
        <v>11901</v>
      </c>
      <c r="M922" s="339" t="str">
        <f>IFERROR(J922/D922,"-")</f>
        <v>-</v>
      </c>
      <c r="N922" s="345">
        <f t="shared" si="790"/>
        <v>1.3783861728212035E-2</v>
      </c>
      <c r="O922" s="391"/>
      <c r="P922" s="406">
        <f>SUM(P915:P921)</f>
        <v>221410.00000000003</v>
      </c>
      <c r="Q922" s="425">
        <f>SUM(Q915:Q921)</f>
        <v>1917110.6500000001</v>
      </c>
    </row>
    <row r="923" spans="1:17" ht="24" thickBot="1" x14ac:dyDescent="0.35">
      <c r="A923" s="274" t="s">
        <v>101</v>
      </c>
      <c r="B923" s="1111" t="s">
        <v>248</v>
      </c>
      <c r="C923" s="1112"/>
      <c r="D923" s="512">
        <f>+D919+D922</f>
        <v>0</v>
      </c>
      <c r="E923" s="525">
        <f>+E919+E922</f>
        <v>15000</v>
      </c>
      <c r="F923" s="512">
        <f>+F919+F922</f>
        <v>101075</v>
      </c>
      <c r="G923" s="514">
        <f>+G919+G922</f>
        <v>100000</v>
      </c>
      <c r="H923" s="514">
        <f>+H919+H922</f>
        <v>1075</v>
      </c>
      <c r="I923" s="515">
        <f>IFERROR(F923/E923,"-")</f>
        <v>6.7383333333333333</v>
      </c>
      <c r="J923" s="512">
        <f>+J919+J922</f>
        <v>863401</v>
      </c>
      <c r="K923" s="514">
        <f>+K922</f>
        <v>851500</v>
      </c>
      <c r="L923" s="514">
        <f>+L922</f>
        <v>11901</v>
      </c>
      <c r="M923" s="516" t="str">
        <f t="shared" ref="M923" si="793">IFERROR(J923/D923,"-")</f>
        <v>-</v>
      </c>
      <c r="N923" s="515">
        <f t="shared" si="790"/>
        <v>1.3783861728212035E-2</v>
      </c>
      <c r="O923" s="517"/>
      <c r="P923" s="518">
        <f>+P922</f>
        <v>221410.00000000003</v>
      </c>
      <c r="Q923" s="518">
        <f>+Q922</f>
        <v>1917110.6500000001</v>
      </c>
    </row>
    <row r="924" spans="1:17" ht="23.4" x14ac:dyDescent="0.4">
      <c r="A924" s="244" t="s">
        <v>101</v>
      </c>
      <c r="B924" s="1106" t="s">
        <v>250</v>
      </c>
      <c r="C924" s="542" t="s">
        <v>71</v>
      </c>
      <c r="D924" s="527"/>
      <c r="E924" s="459"/>
      <c r="F924" s="694">
        <f>+G924+H924</f>
        <v>5088</v>
      </c>
      <c r="G924" s="527">
        <v>5000</v>
      </c>
      <c r="H924" s="458">
        <v>88</v>
      </c>
      <c r="I924" s="531" t="str">
        <f>IFERROR(F924/E924,"-")</f>
        <v>-</v>
      </c>
      <c r="J924" s="644">
        <f>+K924+L924</f>
        <v>36431</v>
      </c>
      <c r="K924" s="458">
        <f t="shared" ref="K924:K953" si="794">+G924+K860</f>
        <v>36000</v>
      </c>
      <c r="L924" s="459">
        <f t="shared" ref="L924:L953" si="795">+H924+L860</f>
        <v>431</v>
      </c>
      <c r="M924" s="586" t="str">
        <f>IFERROR(J924/D924,"-")</f>
        <v>-</v>
      </c>
      <c r="N924" s="533">
        <f t="shared" si="790"/>
        <v>1.1830583843430045E-2</v>
      </c>
      <c r="O924" s="538">
        <v>32.946300000000001</v>
      </c>
      <c r="P924" s="534">
        <f t="shared" ref="P924:P957" si="796">+O924*G924</f>
        <v>164731.5</v>
      </c>
      <c r="Q924" s="535">
        <f t="shared" ref="Q924:Q957" si="797">+O924*K924</f>
        <v>1186066.8</v>
      </c>
    </row>
    <row r="925" spans="1:17" ht="23.4" x14ac:dyDescent="0.4">
      <c r="A925" s="248" t="s">
        <v>101</v>
      </c>
      <c r="B925" s="1107"/>
      <c r="C925" s="543" t="s">
        <v>72</v>
      </c>
      <c r="D925" s="511"/>
      <c r="E925" s="436"/>
      <c r="F925" s="690">
        <f t="shared" ref="F925:F957" si="798">+G925+H925</f>
        <v>0</v>
      </c>
      <c r="G925" s="276"/>
      <c r="H925" s="278"/>
      <c r="I925" s="352" t="str">
        <f t="shared" ref="I925:I957" si="799">IFERROR(F925/E925,"-")</f>
        <v>-</v>
      </c>
      <c r="J925" s="874">
        <f t="shared" ref="J925:J957" si="800">+K925+L925</f>
        <v>10595</v>
      </c>
      <c r="K925" s="278">
        <f t="shared" si="794"/>
        <v>10500</v>
      </c>
      <c r="L925" s="436">
        <f t="shared" si="795"/>
        <v>95</v>
      </c>
      <c r="M925" s="337" t="str">
        <f t="shared" ref="M925:M960" si="801">IFERROR(J925/D925,"-")</f>
        <v>-</v>
      </c>
      <c r="N925" s="265">
        <f t="shared" si="790"/>
        <v>8.9664936290703157E-3</v>
      </c>
      <c r="O925" s="508">
        <v>35.398400000000002</v>
      </c>
      <c r="P925" s="404">
        <f t="shared" si="796"/>
        <v>0</v>
      </c>
      <c r="Q925" s="449">
        <f t="shared" si="797"/>
        <v>371683.2</v>
      </c>
    </row>
    <row r="926" spans="1:17" ht="24" thickBot="1" x14ac:dyDescent="0.45">
      <c r="A926" s="248" t="s">
        <v>101</v>
      </c>
      <c r="B926" s="1108"/>
      <c r="C926" s="543" t="s">
        <v>455</v>
      </c>
      <c r="D926" s="276"/>
      <c r="E926" s="436"/>
      <c r="F926" s="690">
        <f t="shared" si="798"/>
        <v>0</v>
      </c>
      <c r="G926" s="276"/>
      <c r="H926" s="278"/>
      <c r="I926" s="352" t="str">
        <f t="shared" si="799"/>
        <v>-</v>
      </c>
      <c r="J926" s="874">
        <f t="shared" si="800"/>
        <v>10147</v>
      </c>
      <c r="K926" s="278">
        <f t="shared" si="794"/>
        <v>9900</v>
      </c>
      <c r="L926" s="436">
        <f t="shared" si="795"/>
        <v>247</v>
      </c>
      <c r="M926" s="337" t="str">
        <f t="shared" si="801"/>
        <v>-</v>
      </c>
      <c r="N926" s="265">
        <f>IFERROR(L926/J926,"-")</f>
        <v>2.4342170099536809E-2</v>
      </c>
      <c r="O926" s="508">
        <v>35.398400000000002</v>
      </c>
      <c r="P926" s="404">
        <f t="shared" si="796"/>
        <v>0</v>
      </c>
      <c r="Q926" s="449">
        <f t="shared" si="797"/>
        <v>350444.16000000003</v>
      </c>
    </row>
    <row r="927" spans="1:17" ht="23.4" x14ac:dyDescent="0.4">
      <c r="A927" s="248" t="s">
        <v>101</v>
      </c>
      <c r="B927" s="1106" t="s">
        <v>251</v>
      </c>
      <c r="C927" s="545" t="s">
        <v>75</v>
      </c>
      <c r="D927" s="276"/>
      <c r="E927" s="528"/>
      <c r="F927" s="696">
        <f t="shared" si="798"/>
        <v>4982</v>
      </c>
      <c r="G927" s="276">
        <v>4903</v>
      </c>
      <c r="H927" s="278">
        <v>79</v>
      </c>
      <c r="I927" s="352" t="str">
        <f t="shared" si="799"/>
        <v>-</v>
      </c>
      <c r="J927" s="874">
        <f t="shared" si="800"/>
        <v>54348</v>
      </c>
      <c r="K927" s="278">
        <f t="shared" si="794"/>
        <v>53360</v>
      </c>
      <c r="L927" s="436">
        <f t="shared" si="795"/>
        <v>988</v>
      </c>
      <c r="M927" s="337" t="str">
        <f t="shared" si="801"/>
        <v>-</v>
      </c>
      <c r="N927" s="265">
        <f t="shared" ref="N927:N929" si="802">IFERROR(L927/J927,"-")</f>
        <v>1.8179141826746154E-2</v>
      </c>
      <c r="O927" s="508">
        <v>55.4758</v>
      </c>
      <c r="P927" s="404">
        <f t="shared" si="796"/>
        <v>271997.84739999997</v>
      </c>
      <c r="Q927" s="449">
        <f t="shared" si="797"/>
        <v>2960188.6880000001</v>
      </c>
    </row>
    <row r="928" spans="1:17" ht="23.4" x14ac:dyDescent="0.4">
      <c r="A928" s="248" t="s">
        <v>101</v>
      </c>
      <c r="B928" s="1107"/>
      <c r="C928" s="545" t="s">
        <v>72</v>
      </c>
      <c r="D928" s="276"/>
      <c r="E928" s="529"/>
      <c r="F928" s="696">
        <f t="shared" si="798"/>
        <v>0</v>
      </c>
      <c r="G928" s="276"/>
      <c r="H928" s="278"/>
      <c r="I928" s="352" t="str">
        <f t="shared" si="799"/>
        <v>-</v>
      </c>
      <c r="J928" s="874">
        <f t="shared" si="800"/>
        <v>0</v>
      </c>
      <c r="K928" s="278">
        <f t="shared" si="794"/>
        <v>0</v>
      </c>
      <c r="L928" s="436">
        <f t="shared" si="795"/>
        <v>0</v>
      </c>
      <c r="M928" s="337" t="str">
        <f t="shared" si="801"/>
        <v>-</v>
      </c>
      <c r="N928" s="265" t="str">
        <f t="shared" si="802"/>
        <v>-</v>
      </c>
      <c r="O928" s="540">
        <v>58.836300000000001</v>
      </c>
      <c r="P928" s="404">
        <f t="shared" si="796"/>
        <v>0</v>
      </c>
      <c r="Q928" s="449">
        <f t="shared" si="797"/>
        <v>0</v>
      </c>
    </row>
    <row r="929" spans="1:17" ht="23.4" x14ac:dyDescent="0.4">
      <c r="A929" s="248" t="s">
        <v>101</v>
      </c>
      <c r="B929" s="1107"/>
      <c r="C929" s="545" t="s">
        <v>347</v>
      </c>
      <c r="D929" s="276"/>
      <c r="E929" s="435"/>
      <c r="F929" s="696">
        <f t="shared" si="798"/>
        <v>0</v>
      </c>
      <c r="G929" s="276"/>
      <c r="H929" s="278"/>
      <c r="I929" s="352" t="str">
        <f t="shared" si="799"/>
        <v>-</v>
      </c>
      <c r="J929" s="874">
        <f t="shared" si="800"/>
        <v>2745</v>
      </c>
      <c r="K929" s="278">
        <f t="shared" si="794"/>
        <v>2305</v>
      </c>
      <c r="L929" s="436">
        <f t="shared" si="795"/>
        <v>440</v>
      </c>
      <c r="M929" s="337" t="str">
        <f t="shared" si="801"/>
        <v>-</v>
      </c>
      <c r="N929" s="263">
        <f t="shared" si="802"/>
        <v>0.16029143897996356</v>
      </c>
      <c r="O929" s="710">
        <v>58.836300000000001</v>
      </c>
      <c r="P929" s="404">
        <f t="shared" si="796"/>
        <v>0</v>
      </c>
      <c r="Q929" s="449">
        <f t="shared" si="797"/>
        <v>135617.6715</v>
      </c>
    </row>
    <row r="930" spans="1:17" ht="24" thickBot="1" x14ac:dyDescent="0.45">
      <c r="A930" s="248"/>
      <c r="B930" s="1108"/>
      <c r="C930" s="545" t="s">
        <v>361</v>
      </c>
      <c r="D930" s="276"/>
      <c r="E930" s="435"/>
      <c r="F930" s="696">
        <f t="shared" si="798"/>
        <v>0</v>
      </c>
      <c r="G930" s="276"/>
      <c r="H930" s="278"/>
      <c r="I930" s="352" t="str">
        <f t="shared" si="799"/>
        <v>-</v>
      </c>
      <c r="J930" s="874">
        <f t="shared" si="800"/>
        <v>0</v>
      </c>
      <c r="K930" s="278">
        <f t="shared" si="794"/>
        <v>0</v>
      </c>
      <c r="L930" s="436">
        <f t="shared" si="795"/>
        <v>0</v>
      </c>
      <c r="M930" s="337" t="str">
        <f t="shared" si="801"/>
        <v>-</v>
      </c>
      <c r="N930" s="263" t="str">
        <f>IFERROR(L930/J930,"-")</f>
        <v>-</v>
      </c>
      <c r="O930" s="508">
        <v>55.4758</v>
      </c>
      <c r="P930" s="404">
        <f t="shared" si="796"/>
        <v>0</v>
      </c>
      <c r="Q930" s="449">
        <f t="shared" si="797"/>
        <v>0</v>
      </c>
    </row>
    <row r="931" spans="1:17" ht="23.4" x14ac:dyDescent="0.4">
      <c r="A931" s="248" t="s">
        <v>101</v>
      </c>
      <c r="B931" s="1106" t="s">
        <v>409</v>
      </c>
      <c r="C931" s="543" t="s">
        <v>77</v>
      </c>
      <c r="D931" s="276"/>
      <c r="E931" s="436"/>
      <c r="F931" s="690">
        <f t="shared" si="798"/>
        <v>0</v>
      </c>
      <c r="G931" s="276"/>
      <c r="H931" s="278"/>
      <c r="I931" s="352" t="str">
        <f t="shared" si="799"/>
        <v>-</v>
      </c>
      <c r="J931" s="874">
        <f t="shared" si="800"/>
        <v>24300</v>
      </c>
      <c r="K931" s="719">
        <f t="shared" si="794"/>
        <v>23960</v>
      </c>
      <c r="L931" s="815">
        <f t="shared" si="795"/>
        <v>340</v>
      </c>
      <c r="M931" s="337" t="str">
        <f t="shared" si="801"/>
        <v>-</v>
      </c>
      <c r="N931" s="263">
        <f t="shared" ref="N931:N959" si="803">IFERROR(L931/J931,"-")</f>
        <v>1.3991769547325103E-2</v>
      </c>
      <c r="O931" s="508">
        <v>25.687200000000001</v>
      </c>
      <c r="P931" s="404">
        <f t="shared" si="796"/>
        <v>0</v>
      </c>
      <c r="Q931" s="449">
        <f t="shared" si="797"/>
        <v>615465.31200000003</v>
      </c>
    </row>
    <row r="932" spans="1:17" ht="24" thickBot="1" x14ac:dyDescent="0.45">
      <c r="A932" s="248" t="s">
        <v>101</v>
      </c>
      <c r="B932" s="1108"/>
      <c r="C932" s="543" t="s">
        <v>117</v>
      </c>
      <c r="D932" s="276"/>
      <c r="E932" s="436"/>
      <c r="F932" s="690">
        <f t="shared" si="798"/>
        <v>0</v>
      </c>
      <c r="G932" s="276"/>
      <c r="H932" s="278"/>
      <c r="I932" s="352" t="str">
        <f t="shared" si="799"/>
        <v>-</v>
      </c>
      <c r="J932" s="874">
        <f t="shared" si="800"/>
        <v>0</v>
      </c>
      <c r="K932" s="278">
        <f t="shared" si="794"/>
        <v>0</v>
      </c>
      <c r="L932" s="436">
        <f t="shared" si="795"/>
        <v>0</v>
      </c>
      <c r="M932" s="337" t="str">
        <f t="shared" si="801"/>
        <v>-</v>
      </c>
      <c r="N932" s="263" t="str">
        <f t="shared" si="803"/>
        <v>-</v>
      </c>
      <c r="O932" s="508">
        <v>25.033899999999999</v>
      </c>
      <c r="P932" s="404">
        <f t="shared" si="796"/>
        <v>0</v>
      </c>
      <c r="Q932" s="449">
        <f t="shared" si="797"/>
        <v>0</v>
      </c>
    </row>
    <row r="933" spans="1:17" ht="23.4" x14ac:dyDescent="0.4">
      <c r="A933" s="248"/>
      <c r="B933" s="1106" t="s">
        <v>410</v>
      </c>
      <c r="C933" s="543" t="s">
        <v>79</v>
      </c>
      <c r="D933" s="276"/>
      <c r="E933" s="436"/>
      <c r="F933" s="690">
        <f t="shared" si="798"/>
        <v>0</v>
      </c>
      <c r="G933" s="276">
        <v>0</v>
      </c>
      <c r="H933" s="278">
        <v>0</v>
      </c>
      <c r="I933" s="352" t="str">
        <f t="shared" si="799"/>
        <v>-</v>
      </c>
      <c r="J933" s="874">
        <f t="shared" si="800"/>
        <v>20171</v>
      </c>
      <c r="K933" s="278">
        <f t="shared" si="794"/>
        <v>19950</v>
      </c>
      <c r="L933" s="436">
        <f t="shared" si="795"/>
        <v>221</v>
      </c>
      <c r="M933" s="337" t="str">
        <f t="shared" si="801"/>
        <v>-</v>
      </c>
      <c r="N933" s="263">
        <f t="shared" si="803"/>
        <v>1.095632343463388E-2</v>
      </c>
      <c r="O933" s="508">
        <v>41.992699999999999</v>
      </c>
      <c r="P933" s="404">
        <f t="shared" si="796"/>
        <v>0</v>
      </c>
      <c r="Q933" s="449">
        <f t="shared" si="797"/>
        <v>837754.36499999999</v>
      </c>
    </row>
    <row r="934" spans="1:17" ht="23.4" x14ac:dyDescent="0.4">
      <c r="A934" s="248"/>
      <c r="B934" s="1107"/>
      <c r="C934" s="543" t="s">
        <v>72</v>
      </c>
      <c r="D934" s="276"/>
      <c r="E934" s="436"/>
      <c r="F934" s="690">
        <f t="shared" si="798"/>
        <v>0</v>
      </c>
      <c r="G934" s="276"/>
      <c r="H934" s="278"/>
      <c r="I934" s="352" t="str">
        <f t="shared" si="799"/>
        <v>-</v>
      </c>
      <c r="J934" s="874">
        <f t="shared" si="800"/>
        <v>0</v>
      </c>
      <c r="K934" s="278">
        <f t="shared" si="794"/>
        <v>0</v>
      </c>
      <c r="L934" s="436">
        <f t="shared" si="795"/>
        <v>0</v>
      </c>
      <c r="M934" s="337" t="str">
        <f t="shared" si="801"/>
        <v>-</v>
      </c>
      <c r="N934" s="263" t="str">
        <f t="shared" si="803"/>
        <v>-</v>
      </c>
      <c r="O934" s="508">
        <v>42.283799999999999</v>
      </c>
      <c r="P934" s="404">
        <f t="shared" si="796"/>
        <v>0</v>
      </c>
      <c r="Q934" s="449">
        <f t="shared" si="797"/>
        <v>0</v>
      </c>
    </row>
    <row r="935" spans="1:17" ht="23.4" x14ac:dyDescent="0.4">
      <c r="A935" s="248"/>
      <c r="B935" s="1107"/>
      <c r="C935" s="543" t="s">
        <v>380</v>
      </c>
      <c r="D935" s="276"/>
      <c r="E935" s="436"/>
      <c r="F935" s="690">
        <f t="shared" si="798"/>
        <v>0</v>
      </c>
      <c r="G935" s="276"/>
      <c r="H935" s="278"/>
      <c r="I935" s="352" t="str">
        <f t="shared" si="799"/>
        <v>-</v>
      </c>
      <c r="J935" s="874">
        <f t="shared" si="800"/>
        <v>0</v>
      </c>
      <c r="K935" s="278">
        <f t="shared" si="794"/>
        <v>0</v>
      </c>
      <c r="L935" s="436">
        <f t="shared" si="795"/>
        <v>0</v>
      </c>
      <c r="M935" s="337" t="str">
        <f t="shared" si="801"/>
        <v>-</v>
      </c>
      <c r="N935" s="263" t="str">
        <f t="shared" si="803"/>
        <v>-</v>
      </c>
      <c r="O935" s="710">
        <v>41.992699999999999</v>
      </c>
      <c r="P935" s="404">
        <f t="shared" si="796"/>
        <v>0</v>
      </c>
      <c r="Q935" s="449">
        <f t="shared" si="797"/>
        <v>0</v>
      </c>
    </row>
    <row r="936" spans="1:17" ht="24" thickBot="1" x14ac:dyDescent="0.45">
      <c r="A936" s="248"/>
      <c r="B936" s="1108"/>
      <c r="C936" s="543" t="s">
        <v>381</v>
      </c>
      <c r="D936" s="276"/>
      <c r="E936" s="436"/>
      <c r="F936" s="690">
        <f t="shared" si="798"/>
        <v>0</v>
      </c>
      <c r="G936" s="276"/>
      <c r="H936" s="278"/>
      <c r="I936" s="352" t="str">
        <f t="shared" si="799"/>
        <v>-</v>
      </c>
      <c r="J936" s="874">
        <f t="shared" si="800"/>
        <v>0</v>
      </c>
      <c r="K936" s="278">
        <f t="shared" si="794"/>
        <v>0</v>
      </c>
      <c r="L936" s="436">
        <f t="shared" si="795"/>
        <v>0</v>
      </c>
      <c r="M936" s="337" t="str">
        <f t="shared" si="801"/>
        <v>-</v>
      </c>
      <c r="N936" s="263" t="str">
        <f t="shared" si="803"/>
        <v>-</v>
      </c>
      <c r="O936" s="710">
        <v>42.283799999999999</v>
      </c>
      <c r="P936" s="404">
        <f t="shared" si="796"/>
        <v>0</v>
      </c>
      <c r="Q936" s="449">
        <f t="shared" si="797"/>
        <v>0</v>
      </c>
    </row>
    <row r="937" spans="1:17" ht="24" thickBot="1" x14ac:dyDescent="0.45">
      <c r="A937" s="248"/>
      <c r="B937" s="717" t="s">
        <v>80</v>
      </c>
      <c r="C937" s="543" t="s">
        <v>81</v>
      </c>
      <c r="D937" s="276"/>
      <c r="E937" s="436"/>
      <c r="F937" s="690">
        <f t="shared" si="798"/>
        <v>0</v>
      </c>
      <c r="G937" s="276"/>
      <c r="H937" s="278"/>
      <c r="I937" s="352" t="str">
        <f t="shared" si="799"/>
        <v>-</v>
      </c>
      <c r="J937" s="874">
        <f t="shared" si="800"/>
        <v>23163</v>
      </c>
      <c r="K937" s="278">
        <f t="shared" si="794"/>
        <v>22200</v>
      </c>
      <c r="L937" s="687">
        <f t="shared" si="795"/>
        <v>963</v>
      </c>
      <c r="M937" s="337" t="str">
        <f t="shared" si="801"/>
        <v>-</v>
      </c>
      <c r="N937" s="263">
        <f t="shared" si="803"/>
        <v>4.1574925527781373E-2</v>
      </c>
      <c r="O937" s="508">
        <v>4.3535000000000004</v>
      </c>
      <c r="P937" s="404">
        <f t="shared" si="796"/>
        <v>0</v>
      </c>
      <c r="Q937" s="449">
        <f t="shared" si="797"/>
        <v>96647.700000000012</v>
      </c>
    </row>
    <row r="938" spans="1:17" ht="23.4" x14ac:dyDescent="0.4">
      <c r="A938" s="248"/>
      <c r="B938" s="1106" t="s">
        <v>253</v>
      </c>
      <c r="C938" s="543" t="s">
        <v>77</v>
      </c>
      <c r="D938" s="276"/>
      <c r="E938" s="436"/>
      <c r="F938" s="690">
        <f t="shared" si="798"/>
        <v>23481</v>
      </c>
      <c r="G938" s="276">
        <v>23100</v>
      </c>
      <c r="H938" s="278">
        <v>381</v>
      </c>
      <c r="I938" s="352" t="str">
        <f t="shared" si="799"/>
        <v>-</v>
      </c>
      <c r="J938" s="874">
        <f t="shared" si="800"/>
        <v>589205</v>
      </c>
      <c r="K938" s="278">
        <f t="shared" si="794"/>
        <v>584000</v>
      </c>
      <c r="L938" s="436">
        <f t="shared" si="795"/>
        <v>5205</v>
      </c>
      <c r="M938" s="337" t="str">
        <f t="shared" si="801"/>
        <v>-</v>
      </c>
      <c r="N938" s="263">
        <f t="shared" si="803"/>
        <v>8.8339372544360625E-3</v>
      </c>
      <c r="O938" s="508">
        <v>4.6184000000000003</v>
      </c>
      <c r="P938" s="404">
        <f t="shared" si="796"/>
        <v>106685.04000000001</v>
      </c>
      <c r="Q938" s="449">
        <f t="shared" si="797"/>
        <v>2697145.6</v>
      </c>
    </row>
    <row r="939" spans="1:17" ht="23.4" x14ac:dyDescent="0.4">
      <c r="A939" s="248"/>
      <c r="B939" s="1107"/>
      <c r="C939" s="543" t="s">
        <v>340</v>
      </c>
      <c r="D939" s="276"/>
      <c r="E939" s="436"/>
      <c r="F939" s="690">
        <f t="shared" si="798"/>
        <v>0</v>
      </c>
      <c r="G939" s="276"/>
      <c r="H939" s="278"/>
      <c r="I939" s="352" t="str">
        <f t="shared" si="799"/>
        <v>-</v>
      </c>
      <c r="J939" s="874">
        <f t="shared" si="800"/>
        <v>0</v>
      </c>
      <c r="K939" s="278">
        <f t="shared" si="794"/>
        <v>0</v>
      </c>
      <c r="L939" s="436">
        <f t="shared" si="795"/>
        <v>0</v>
      </c>
      <c r="M939" s="337" t="str">
        <f t="shared" si="801"/>
        <v>-</v>
      </c>
      <c r="N939" s="263" t="str">
        <f t="shared" si="803"/>
        <v>-</v>
      </c>
      <c r="O939" s="508">
        <v>4.6184000000000003</v>
      </c>
      <c r="P939" s="404">
        <f t="shared" si="796"/>
        <v>0</v>
      </c>
      <c r="Q939" s="449">
        <f t="shared" si="797"/>
        <v>0</v>
      </c>
    </row>
    <row r="940" spans="1:17" ht="23.4" x14ac:dyDescent="0.4">
      <c r="A940" s="248"/>
      <c r="B940" s="1107"/>
      <c r="C940" s="543" t="s">
        <v>252</v>
      </c>
      <c r="D940" s="276"/>
      <c r="E940" s="436"/>
      <c r="F940" s="690">
        <f t="shared" si="798"/>
        <v>0</v>
      </c>
      <c r="G940" s="276"/>
      <c r="H940" s="278"/>
      <c r="I940" s="352" t="str">
        <f t="shared" si="799"/>
        <v>-</v>
      </c>
      <c r="J940" s="874">
        <f t="shared" si="800"/>
        <v>0</v>
      </c>
      <c r="K940" s="278">
        <f t="shared" si="794"/>
        <v>0</v>
      </c>
      <c r="L940" s="436">
        <f t="shared" si="795"/>
        <v>0</v>
      </c>
      <c r="M940" s="337" t="str">
        <f t="shared" si="801"/>
        <v>-</v>
      </c>
      <c r="N940" s="263" t="str">
        <f t="shared" si="803"/>
        <v>-</v>
      </c>
      <c r="O940" s="508">
        <v>4.6184000000000003</v>
      </c>
      <c r="P940" s="404">
        <f t="shared" si="796"/>
        <v>0</v>
      </c>
      <c r="Q940" s="449">
        <f t="shared" si="797"/>
        <v>0</v>
      </c>
    </row>
    <row r="941" spans="1:17" ht="23.4" x14ac:dyDescent="0.4">
      <c r="A941" s="248"/>
      <c r="B941" s="1107"/>
      <c r="C941" s="543" t="s">
        <v>350</v>
      </c>
      <c r="D941" s="276"/>
      <c r="E941" s="436"/>
      <c r="F941" s="690">
        <f t="shared" si="798"/>
        <v>0</v>
      </c>
      <c r="G941" s="276"/>
      <c r="H941" s="278"/>
      <c r="I941" s="352" t="str">
        <f t="shared" si="799"/>
        <v>-</v>
      </c>
      <c r="J941" s="874">
        <f t="shared" si="800"/>
        <v>0</v>
      </c>
      <c r="K941" s="686">
        <f t="shared" si="794"/>
        <v>0</v>
      </c>
      <c r="L941" s="687">
        <f t="shared" si="795"/>
        <v>0</v>
      </c>
      <c r="M941" s="337" t="str">
        <f t="shared" si="801"/>
        <v>-</v>
      </c>
      <c r="N941" s="263" t="str">
        <f t="shared" si="803"/>
        <v>-</v>
      </c>
      <c r="O941" s="508">
        <v>4.7636000000000003</v>
      </c>
      <c r="P941" s="404">
        <f t="shared" si="796"/>
        <v>0</v>
      </c>
      <c r="Q941" s="449">
        <f t="shared" si="797"/>
        <v>0</v>
      </c>
    </row>
    <row r="942" spans="1:17" ht="24" thickBot="1" x14ac:dyDescent="0.45">
      <c r="A942" s="248"/>
      <c r="B942" s="1108"/>
      <c r="C942" s="543" t="s">
        <v>346</v>
      </c>
      <c r="D942" s="276"/>
      <c r="E942" s="436"/>
      <c r="F942" s="690">
        <f t="shared" si="798"/>
        <v>0</v>
      </c>
      <c r="G942" s="276"/>
      <c r="H942" s="278"/>
      <c r="I942" s="352" t="str">
        <f t="shared" si="799"/>
        <v>-</v>
      </c>
      <c r="J942" s="874">
        <f t="shared" si="800"/>
        <v>0</v>
      </c>
      <c r="K942" s="278">
        <f t="shared" si="794"/>
        <v>0</v>
      </c>
      <c r="L942" s="436">
        <f t="shared" si="795"/>
        <v>0</v>
      </c>
      <c r="M942" s="337" t="str">
        <f t="shared" si="801"/>
        <v>-</v>
      </c>
      <c r="N942" s="263" t="str">
        <f t="shared" si="803"/>
        <v>-</v>
      </c>
      <c r="O942" s="508">
        <v>4.8738000000000001</v>
      </c>
      <c r="P942" s="404">
        <f t="shared" si="796"/>
        <v>0</v>
      </c>
      <c r="Q942" s="449">
        <f t="shared" si="797"/>
        <v>0</v>
      </c>
    </row>
    <row r="943" spans="1:17" ht="24" thickBot="1" x14ac:dyDescent="0.45">
      <c r="A943" s="248"/>
      <c r="B943" s="717" t="s">
        <v>254</v>
      </c>
      <c r="C943" s="543" t="s">
        <v>520</v>
      </c>
      <c r="D943" s="276"/>
      <c r="E943" s="436"/>
      <c r="F943" s="690">
        <f t="shared" si="798"/>
        <v>0</v>
      </c>
      <c r="G943" s="276"/>
      <c r="H943" s="278"/>
      <c r="I943" s="352" t="str">
        <f t="shared" si="799"/>
        <v>-</v>
      </c>
      <c r="J943" s="874">
        <f t="shared" si="800"/>
        <v>17752</v>
      </c>
      <c r="K943" s="278">
        <f t="shared" si="794"/>
        <v>17600</v>
      </c>
      <c r="L943" s="436">
        <f t="shared" si="795"/>
        <v>152</v>
      </c>
      <c r="M943" s="337" t="str">
        <f t="shared" si="801"/>
        <v>-</v>
      </c>
      <c r="N943" s="263">
        <f t="shared" si="803"/>
        <v>8.5624155024785938E-3</v>
      </c>
      <c r="O943" s="508">
        <v>4.8738000000000001</v>
      </c>
      <c r="P943" s="404">
        <f t="shared" si="796"/>
        <v>0</v>
      </c>
      <c r="Q943" s="449">
        <f t="shared" si="797"/>
        <v>85778.880000000005</v>
      </c>
    </row>
    <row r="944" spans="1:17" ht="23.4" x14ac:dyDescent="0.4">
      <c r="A944" s="248"/>
      <c r="B944" s="1106" t="s">
        <v>256</v>
      </c>
      <c r="C944" s="543" t="s">
        <v>77</v>
      </c>
      <c r="D944" s="276"/>
      <c r="E944" s="436"/>
      <c r="F944" s="690">
        <f t="shared" si="798"/>
        <v>49002</v>
      </c>
      <c r="G944" s="276">
        <v>48580</v>
      </c>
      <c r="H944" s="278">
        <v>422</v>
      </c>
      <c r="I944" s="352" t="str">
        <f t="shared" si="799"/>
        <v>-</v>
      </c>
      <c r="J944" s="874">
        <f t="shared" si="800"/>
        <v>605445</v>
      </c>
      <c r="K944" s="719">
        <f t="shared" si="794"/>
        <v>594160</v>
      </c>
      <c r="L944" s="815">
        <f t="shared" si="795"/>
        <v>11285</v>
      </c>
      <c r="M944" s="337" t="str">
        <f t="shared" si="801"/>
        <v>-</v>
      </c>
      <c r="N944" s="263">
        <f t="shared" si="803"/>
        <v>1.8639182749878188E-2</v>
      </c>
      <c r="O944" s="508">
        <v>4.9344999999999999</v>
      </c>
      <c r="P944" s="404">
        <f t="shared" si="796"/>
        <v>239718.00999999998</v>
      </c>
      <c r="Q944" s="449">
        <f t="shared" si="797"/>
        <v>2931882.52</v>
      </c>
    </row>
    <row r="945" spans="1:17" ht="23.4" x14ac:dyDescent="0.4">
      <c r="A945" s="248"/>
      <c r="B945" s="1107"/>
      <c r="C945" s="543" t="s">
        <v>135</v>
      </c>
      <c r="D945" s="276"/>
      <c r="E945" s="436"/>
      <c r="F945" s="690">
        <f t="shared" si="798"/>
        <v>0</v>
      </c>
      <c r="G945" s="276"/>
      <c r="H945" s="278"/>
      <c r="I945" s="352" t="str">
        <f t="shared" si="799"/>
        <v>-</v>
      </c>
      <c r="J945" s="874">
        <f t="shared" si="800"/>
        <v>0</v>
      </c>
      <c r="K945" s="278">
        <f t="shared" si="794"/>
        <v>0</v>
      </c>
      <c r="L945" s="436">
        <f t="shared" si="795"/>
        <v>0</v>
      </c>
      <c r="M945" s="337" t="str">
        <f t="shared" si="801"/>
        <v>-</v>
      </c>
      <c r="N945" s="263" t="str">
        <f t="shared" si="803"/>
        <v>-</v>
      </c>
      <c r="O945" s="508">
        <v>4.9344999999999999</v>
      </c>
      <c r="P945" s="404">
        <f t="shared" si="796"/>
        <v>0</v>
      </c>
      <c r="Q945" s="449">
        <f t="shared" si="797"/>
        <v>0</v>
      </c>
    </row>
    <row r="946" spans="1:17" ht="23.4" x14ac:dyDescent="0.4">
      <c r="A946" s="248"/>
      <c r="B946" s="1107"/>
      <c r="C946" s="543" t="s">
        <v>129</v>
      </c>
      <c r="D946" s="276"/>
      <c r="E946" s="436"/>
      <c r="F946" s="690">
        <f t="shared" si="798"/>
        <v>0</v>
      </c>
      <c r="G946" s="276"/>
      <c r="H946" s="278"/>
      <c r="I946" s="352" t="str">
        <f t="shared" si="799"/>
        <v>-</v>
      </c>
      <c r="J946" s="874">
        <f t="shared" si="800"/>
        <v>0</v>
      </c>
      <c r="K946" s="278">
        <f t="shared" si="794"/>
        <v>0</v>
      </c>
      <c r="L946" s="436">
        <f t="shared" si="795"/>
        <v>0</v>
      </c>
      <c r="M946" s="337" t="str">
        <f t="shared" si="801"/>
        <v>-</v>
      </c>
      <c r="N946" s="263" t="str">
        <f t="shared" si="803"/>
        <v>-</v>
      </c>
      <c r="O946" s="508">
        <v>4.9344999999999999</v>
      </c>
      <c r="P946" s="404">
        <f t="shared" si="796"/>
        <v>0</v>
      </c>
      <c r="Q946" s="449">
        <f t="shared" si="797"/>
        <v>0</v>
      </c>
    </row>
    <row r="947" spans="1:17" ht="24" thickBot="1" x14ac:dyDescent="0.45">
      <c r="A947" s="248"/>
      <c r="B947" s="1108"/>
      <c r="C947" s="543" t="s">
        <v>255</v>
      </c>
      <c r="D947" s="276"/>
      <c r="E947" s="436"/>
      <c r="F947" s="690">
        <f t="shared" si="798"/>
        <v>0</v>
      </c>
      <c r="G947" s="276"/>
      <c r="H947" s="278"/>
      <c r="I947" s="352" t="str">
        <f t="shared" si="799"/>
        <v>-</v>
      </c>
      <c r="J947" s="874">
        <f t="shared" si="800"/>
        <v>0</v>
      </c>
      <c r="K947" s="278">
        <f t="shared" si="794"/>
        <v>0</v>
      </c>
      <c r="L947" s="436">
        <f t="shared" si="795"/>
        <v>0</v>
      </c>
      <c r="M947" s="337" t="str">
        <f t="shared" si="801"/>
        <v>-</v>
      </c>
      <c r="N947" s="263" t="str">
        <f t="shared" si="803"/>
        <v>-</v>
      </c>
      <c r="O947" s="508">
        <v>5.5069999999999997</v>
      </c>
      <c r="P947" s="404">
        <f t="shared" si="796"/>
        <v>0</v>
      </c>
      <c r="Q947" s="449">
        <f t="shared" si="797"/>
        <v>0</v>
      </c>
    </row>
    <row r="948" spans="1:17" ht="23.4" x14ac:dyDescent="0.4">
      <c r="A948" s="248"/>
      <c r="B948" s="1106" t="s">
        <v>261</v>
      </c>
      <c r="C948" s="543" t="s">
        <v>257</v>
      </c>
      <c r="D948" s="276"/>
      <c r="E948" s="436"/>
      <c r="F948" s="690">
        <f t="shared" si="798"/>
        <v>35143</v>
      </c>
      <c r="G948" s="276">
        <v>34650</v>
      </c>
      <c r="H948" s="278">
        <v>493</v>
      </c>
      <c r="I948" s="352" t="str">
        <f t="shared" si="799"/>
        <v>-</v>
      </c>
      <c r="J948" s="874">
        <f t="shared" si="800"/>
        <v>550925</v>
      </c>
      <c r="K948" s="278">
        <f t="shared" si="794"/>
        <v>545300</v>
      </c>
      <c r="L948" s="687">
        <f t="shared" si="795"/>
        <v>5625</v>
      </c>
      <c r="M948" s="337" t="str">
        <f t="shared" si="801"/>
        <v>-</v>
      </c>
      <c r="N948" s="263">
        <f t="shared" si="803"/>
        <v>1.0210101193447384E-2</v>
      </c>
      <c r="O948" s="710">
        <v>5.5069999999999997</v>
      </c>
      <c r="P948" s="404">
        <f t="shared" si="796"/>
        <v>190817.55</v>
      </c>
      <c r="Q948" s="449">
        <f t="shared" si="797"/>
        <v>3002967.0999999996</v>
      </c>
    </row>
    <row r="949" spans="1:17" ht="23.4" x14ac:dyDescent="0.4">
      <c r="A949" s="248"/>
      <c r="B949" s="1107"/>
      <c r="C949" s="543" t="s">
        <v>258</v>
      </c>
      <c r="D949" s="276"/>
      <c r="E949" s="436"/>
      <c r="F949" s="690">
        <f t="shared" si="798"/>
        <v>0</v>
      </c>
      <c r="G949" s="276"/>
      <c r="H949" s="278"/>
      <c r="I949" s="352" t="str">
        <f t="shared" si="799"/>
        <v>-</v>
      </c>
      <c r="J949" s="874">
        <f t="shared" si="800"/>
        <v>0</v>
      </c>
      <c r="K949" s="278">
        <f t="shared" si="794"/>
        <v>0</v>
      </c>
      <c r="L949" s="436">
        <f t="shared" si="795"/>
        <v>0</v>
      </c>
      <c r="M949" s="337" t="str">
        <f t="shared" si="801"/>
        <v>-</v>
      </c>
      <c r="N949" s="263" t="str">
        <f t="shared" si="803"/>
        <v>-</v>
      </c>
      <c r="O949" s="508">
        <v>5.6550000000000002</v>
      </c>
      <c r="P949" s="404">
        <f t="shared" si="796"/>
        <v>0</v>
      </c>
      <c r="Q949" s="449">
        <f t="shared" si="797"/>
        <v>0</v>
      </c>
    </row>
    <row r="950" spans="1:17" ht="23.4" x14ac:dyDescent="0.4">
      <c r="A950" s="248"/>
      <c r="B950" s="1107"/>
      <c r="C950" s="543" t="s">
        <v>321</v>
      </c>
      <c r="D950" s="276"/>
      <c r="E950" s="436"/>
      <c r="F950" s="690">
        <f t="shared" si="798"/>
        <v>0</v>
      </c>
      <c r="G950" s="276"/>
      <c r="H950" s="278"/>
      <c r="I950" s="352" t="str">
        <f t="shared" si="799"/>
        <v>-</v>
      </c>
      <c r="J950" s="874">
        <f t="shared" si="800"/>
        <v>0</v>
      </c>
      <c r="K950" s="686">
        <f t="shared" si="794"/>
        <v>0</v>
      </c>
      <c r="L950" s="687">
        <f t="shared" si="795"/>
        <v>0</v>
      </c>
      <c r="M950" s="337" t="str">
        <f t="shared" si="801"/>
        <v>-</v>
      </c>
      <c r="N950" s="263" t="str">
        <f t="shared" si="803"/>
        <v>-</v>
      </c>
      <c r="O950" s="508">
        <v>5.6550000000000002</v>
      </c>
      <c r="P950" s="404">
        <f t="shared" si="796"/>
        <v>0</v>
      </c>
      <c r="Q950" s="449">
        <f t="shared" si="797"/>
        <v>0</v>
      </c>
    </row>
    <row r="951" spans="1:17" ht="23.4" x14ac:dyDescent="0.4">
      <c r="A951" s="248"/>
      <c r="B951" s="1107"/>
      <c r="C951" s="543" t="s">
        <v>259</v>
      </c>
      <c r="D951" s="276"/>
      <c r="E951" s="436"/>
      <c r="F951" s="690">
        <f t="shared" si="798"/>
        <v>0</v>
      </c>
      <c r="G951" s="276"/>
      <c r="H951" s="278"/>
      <c r="I951" s="352" t="str">
        <f t="shared" si="799"/>
        <v>-</v>
      </c>
      <c r="J951" s="874">
        <f t="shared" si="800"/>
        <v>0</v>
      </c>
      <c r="K951" s="278">
        <f t="shared" si="794"/>
        <v>0</v>
      </c>
      <c r="L951" s="436">
        <f t="shared" si="795"/>
        <v>0</v>
      </c>
      <c r="M951" s="337" t="str">
        <f t="shared" si="801"/>
        <v>-</v>
      </c>
      <c r="N951" s="263" t="str">
        <f t="shared" si="803"/>
        <v>-</v>
      </c>
      <c r="O951" s="508">
        <v>5.6550000000000002</v>
      </c>
      <c r="P951" s="404">
        <f t="shared" si="796"/>
        <v>0</v>
      </c>
      <c r="Q951" s="449">
        <f t="shared" si="797"/>
        <v>0</v>
      </c>
    </row>
    <row r="952" spans="1:17" ht="23.4" x14ac:dyDescent="0.4">
      <c r="A952" s="248" t="s">
        <v>101</v>
      </c>
      <c r="B952" s="1107"/>
      <c r="C952" s="543" t="s">
        <v>260</v>
      </c>
      <c r="D952" s="276"/>
      <c r="E952" s="436"/>
      <c r="F952" s="690">
        <f t="shared" si="798"/>
        <v>0</v>
      </c>
      <c r="G952" s="276"/>
      <c r="H952" s="278"/>
      <c r="I952" s="352" t="str">
        <f t="shared" si="799"/>
        <v>-</v>
      </c>
      <c r="J952" s="874">
        <f t="shared" si="800"/>
        <v>0</v>
      </c>
      <c r="K952" s="278">
        <f t="shared" si="794"/>
        <v>0</v>
      </c>
      <c r="L952" s="436">
        <f t="shared" si="795"/>
        <v>0</v>
      </c>
      <c r="M952" s="337" t="str">
        <f t="shared" si="801"/>
        <v>-</v>
      </c>
      <c r="N952" s="263" t="str">
        <f t="shared" si="803"/>
        <v>-</v>
      </c>
      <c r="O952" s="508">
        <v>3.2963</v>
      </c>
      <c r="P952" s="404">
        <f t="shared" si="796"/>
        <v>0</v>
      </c>
      <c r="Q952" s="449">
        <f t="shared" si="797"/>
        <v>0</v>
      </c>
    </row>
    <row r="953" spans="1:17" ht="24" thickBot="1" x14ac:dyDescent="0.45">
      <c r="A953" s="248" t="s">
        <v>101</v>
      </c>
      <c r="B953" s="1108"/>
      <c r="C953" s="998" t="s">
        <v>255</v>
      </c>
      <c r="D953" s="276"/>
      <c r="E953" s="436"/>
      <c r="F953" s="690">
        <f t="shared" si="798"/>
        <v>0</v>
      </c>
      <c r="G953" s="276"/>
      <c r="H953" s="278"/>
      <c r="I953" s="352" t="str">
        <f t="shared" si="799"/>
        <v>-</v>
      </c>
      <c r="J953" s="874">
        <f t="shared" si="800"/>
        <v>0</v>
      </c>
      <c r="K953" s="278">
        <f t="shared" si="794"/>
        <v>0</v>
      </c>
      <c r="L953" s="436">
        <f t="shared" si="795"/>
        <v>0</v>
      </c>
      <c r="M953" s="337" t="str">
        <f t="shared" si="801"/>
        <v>-</v>
      </c>
      <c r="N953" s="263" t="str">
        <f t="shared" si="803"/>
        <v>-</v>
      </c>
      <c r="O953" s="508">
        <v>3.2963</v>
      </c>
      <c r="P953" s="404">
        <f t="shared" si="796"/>
        <v>0</v>
      </c>
      <c r="Q953" s="449">
        <f t="shared" si="797"/>
        <v>0</v>
      </c>
    </row>
    <row r="954" spans="1:17" ht="23.4" x14ac:dyDescent="0.4">
      <c r="A954" s="248"/>
      <c r="B954" s="991"/>
      <c r="C954" s="542" t="s">
        <v>86</v>
      </c>
      <c r="D954" s="511"/>
      <c r="E954" s="436"/>
      <c r="F954" s="690">
        <f t="shared" si="798"/>
        <v>7823</v>
      </c>
      <c r="G954" s="276">
        <v>7000</v>
      </c>
      <c r="H954" s="278">
        <v>823</v>
      </c>
      <c r="I954" s="352"/>
      <c r="J954" s="874">
        <f t="shared" si="800"/>
        <v>7823</v>
      </c>
      <c r="K954" s="278">
        <f>+G954</f>
        <v>7000</v>
      </c>
      <c r="L954" s="436">
        <f>+H954</f>
        <v>823</v>
      </c>
      <c r="M954" s="337"/>
      <c r="N954" s="263"/>
      <c r="O954" s="508">
        <v>3.2963</v>
      </c>
      <c r="P954" s="404">
        <f t="shared" si="796"/>
        <v>23074.1</v>
      </c>
      <c r="Q954" s="449">
        <f t="shared" si="797"/>
        <v>23074.1</v>
      </c>
    </row>
    <row r="955" spans="1:17" ht="23.4" x14ac:dyDescent="0.4">
      <c r="A955" s="248"/>
      <c r="B955" s="991"/>
      <c r="C955" s="543" t="s">
        <v>585</v>
      </c>
      <c r="D955" s="511"/>
      <c r="E955" s="436"/>
      <c r="F955" s="690">
        <f t="shared" si="798"/>
        <v>7485</v>
      </c>
      <c r="G955" s="276">
        <v>7000</v>
      </c>
      <c r="H955" s="278">
        <v>485</v>
      </c>
      <c r="I955" s="352"/>
      <c r="J955" s="874">
        <f t="shared" si="800"/>
        <v>7485</v>
      </c>
      <c r="K955" s="278">
        <f>+G955</f>
        <v>7000</v>
      </c>
      <c r="L955" s="436">
        <f>+H955</f>
        <v>485</v>
      </c>
      <c r="M955" s="337"/>
      <c r="N955" s="263"/>
      <c r="O955" s="508">
        <v>3.2963</v>
      </c>
      <c r="P955" s="404">
        <f t="shared" si="796"/>
        <v>23074.1</v>
      </c>
      <c r="Q955" s="449">
        <f t="shared" si="797"/>
        <v>23074.1</v>
      </c>
    </row>
    <row r="956" spans="1:17" ht="23.4" x14ac:dyDescent="0.4">
      <c r="A956" s="248" t="s">
        <v>101</v>
      </c>
      <c r="B956" s="546"/>
      <c r="C956" s="543" t="s">
        <v>89</v>
      </c>
      <c r="D956" s="511"/>
      <c r="E956" s="436"/>
      <c r="F956" s="690">
        <f t="shared" si="798"/>
        <v>0</v>
      </c>
      <c r="G956" s="276"/>
      <c r="H956" s="278"/>
      <c r="I956" s="352" t="str">
        <f t="shared" si="799"/>
        <v>-</v>
      </c>
      <c r="J956" s="874">
        <f t="shared" si="800"/>
        <v>83715</v>
      </c>
      <c r="K956" s="278">
        <f>+G956+K890</f>
        <v>83400</v>
      </c>
      <c r="L956" s="436">
        <f>+H956+L890</f>
        <v>315</v>
      </c>
      <c r="M956" s="337" t="str">
        <f t="shared" si="801"/>
        <v>-</v>
      </c>
      <c r="N956" s="263">
        <f t="shared" si="803"/>
        <v>3.7627665292958249E-3</v>
      </c>
      <c r="O956" s="508">
        <v>2.3201000000000001</v>
      </c>
      <c r="P956" s="404">
        <f t="shared" si="796"/>
        <v>0</v>
      </c>
      <c r="Q956" s="449">
        <f t="shared" si="797"/>
        <v>193496.34</v>
      </c>
    </row>
    <row r="957" spans="1:17" ht="24" thickBot="1" x14ac:dyDescent="0.35">
      <c r="A957" s="248" t="s">
        <v>101</v>
      </c>
      <c r="B957" s="997"/>
      <c r="C957" s="668"/>
      <c r="D957" s="913"/>
      <c r="E957" s="462"/>
      <c r="F957" s="691">
        <f t="shared" si="798"/>
        <v>0</v>
      </c>
      <c r="G957" s="530"/>
      <c r="H957" s="461"/>
      <c r="I957" s="532" t="str">
        <f t="shared" si="799"/>
        <v>-</v>
      </c>
      <c r="J957" s="875">
        <f t="shared" si="800"/>
        <v>0</v>
      </c>
      <c r="K957" s="461">
        <f>+G957+K891</f>
        <v>0</v>
      </c>
      <c r="L957" s="462">
        <f>+H957+L891</f>
        <v>0</v>
      </c>
      <c r="M957" s="683" t="str">
        <f t="shared" si="801"/>
        <v>-</v>
      </c>
      <c r="N957" s="264" t="str">
        <f t="shared" si="803"/>
        <v>-</v>
      </c>
      <c r="O957" s="539"/>
      <c r="P957" s="536">
        <f t="shared" si="796"/>
        <v>0</v>
      </c>
      <c r="Q957" s="537">
        <f t="shared" si="797"/>
        <v>0</v>
      </c>
    </row>
    <row r="958" spans="1:17" ht="24" thickBot="1" x14ac:dyDescent="0.35">
      <c r="A958" s="274" t="s">
        <v>101</v>
      </c>
      <c r="B958" s="1109" t="s">
        <v>25</v>
      </c>
      <c r="C958" s="1110"/>
      <c r="D958" s="513">
        <f>SUM(D929:D957)</f>
        <v>0</v>
      </c>
      <c r="E958" s="526">
        <v>100000</v>
      </c>
      <c r="F958" s="519">
        <f>SUM(F924:F957)</f>
        <v>133004</v>
      </c>
      <c r="G958" s="519">
        <f>SUM(G924:G957)</f>
        <v>130233</v>
      </c>
      <c r="H958" s="519">
        <f>SUM(H924:H957)</f>
        <v>2771</v>
      </c>
      <c r="I958" s="520">
        <f>IFERROR(F958/E958,"-")</f>
        <v>1.3300399999999999</v>
      </c>
      <c r="J958" s="513">
        <f>SUM(J924:J957)</f>
        <v>2044250</v>
      </c>
      <c r="K958" s="513">
        <f t="shared" ref="K958:L958" si="804">SUM(K924:K957)</f>
        <v>2016635</v>
      </c>
      <c r="L958" s="513">
        <f t="shared" si="804"/>
        <v>27615</v>
      </c>
      <c r="M958" s="521" t="str">
        <f t="shared" si="801"/>
        <v>-</v>
      </c>
      <c r="N958" s="520">
        <f t="shared" si="803"/>
        <v>1.3508621743915861E-2</v>
      </c>
      <c r="O958" s="522"/>
      <c r="P958" s="523">
        <f>SUM(P924:P957)</f>
        <v>1020098.1473999999</v>
      </c>
      <c r="Q958" s="523">
        <f>SUM(Q924:Q957)</f>
        <v>15511286.536499999</v>
      </c>
    </row>
    <row r="959" spans="1:17" ht="24" thickBot="1" x14ac:dyDescent="0.35">
      <c r="A959" s="318" t="s">
        <v>101</v>
      </c>
      <c r="B959" s="1111" t="s">
        <v>249</v>
      </c>
      <c r="C959" s="1112"/>
      <c r="D959" s="326">
        <f>+D928+D958</f>
        <v>0</v>
      </c>
      <c r="E959" s="327">
        <f>+E928+E958</f>
        <v>100000</v>
      </c>
      <c r="F959" s="326">
        <f>+F958</f>
        <v>133004</v>
      </c>
      <c r="G959" s="326">
        <f t="shared" ref="G959:H959" si="805">+G958</f>
        <v>130233</v>
      </c>
      <c r="H959" s="326">
        <f t="shared" si="805"/>
        <v>2771</v>
      </c>
      <c r="I959" s="349">
        <f>IFERROR(F959/E959,"-")</f>
        <v>1.3300399999999999</v>
      </c>
      <c r="J959" s="326">
        <f>+J958</f>
        <v>2044250</v>
      </c>
      <c r="K959" s="326">
        <f t="shared" ref="K959:L959" si="806">+K958</f>
        <v>2016635</v>
      </c>
      <c r="L959" s="326">
        <f t="shared" si="806"/>
        <v>27615</v>
      </c>
      <c r="M959" s="341" t="str">
        <f t="shared" si="801"/>
        <v>-</v>
      </c>
      <c r="N959" s="349">
        <f t="shared" si="803"/>
        <v>1.3508621743915861E-2</v>
      </c>
      <c r="O959" s="394"/>
      <c r="P959" s="410">
        <f>+P958</f>
        <v>1020098.1473999999</v>
      </c>
      <c r="Q959" s="428">
        <f>Q958</f>
        <v>15511286.536499999</v>
      </c>
    </row>
    <row r="960" spans="1:17" ht="24.6" thickBot="1" x14ac:dyDescent="0.35">
      <c r="A960" s="319"/>
      <c r="B960" s="1113" t="s">
        <v>174</v>
      </c>
      <c r="C960" s="1114"/>
      <c r="D960" s="374">
        <f>+D959+D923+D914</f>
        <v>0</v>
      </c>
      <c r="E960" s="374">
        <f>+E959+E923+E914</f>
        <v>230000</v>
      </c>
      <c r="F960" s="374">
        <f>+F959+F923+F914</f>
        <v>390060</v>
      </c>
      <c r="G960" s="374">
        <f>+G959+G923+G914</f>
        <v>432723</v>
      </c>
      <c r="H960" s="374">
        <f>+H959+H923+H914</f>
        <v>12801</v>
      </c>
      <c r="I960" s="375">
        <f>IFERROR(F960/E960,"-")</f>
        <v>1.6959130434782608</v>
      </c>
      <c r="J960" s="374">
        <f>+J959+J923+J914</f>
        <v>5326610</v>
      </c>
      <c r="K960" s="374">
        <f>+K959+K923+K914</f>
        <v>5224475</v>
      </c>
      <c r="L960" s="374">
        <f>+L959+L923+L914</f>
        <v>102135</v>
      </c>
      <c r="M960" s="375" t="str">
        <f t="shared" si="801"/>
        <v>-</v>
      </c>
      <c r="N960" s="375">
        <f>IFERROR(L960/J960,"-")</f>
        <v>1.9174484334313943E-2</v>
      </c>
      <c r="O960" s="401"/>
      <c r="P960" s="418">
        <f>+P959+P923+P914</f>
        <v>1867759.2363999998</v>
      </c>
      <c r="Q960" s="418">
        <f>+Q959+Q923+Q914</f>
        <v>29546475.711499996</v>
      </c>
    </row>
    <row r="961" spans="1:17" ht="14.4" thickBot="1" x14ac:dyDescent="0.35"/>
    <row r="962" spans="1:17" ht="23.4" x14ac:dyDescent="0.3">
      <c r="A962" s="1115" t="s">
        <v>1</v>
      </c>
      <c r="B962" s="1118" t="s">
        <v>2</v>
      </c>
      <c r="C962" s="1121" t="s">
        <v>396</v>
      </c>
      <c r="D962" s="1066" t="s">
        <v>4</v>
      </c>
      <c r="E962" s="1067"/>
      <c r="F962" s="1067"/>
      <c r="G962" s="1067"/>
      <c r="H962" s="1067"/>
      <c r="I962" s="1067"/>
      <c r="J962" s="1067"/>
      <c r="K962" s="1067"/>
      <c r="L962" s="1067"/>
      <c r="M962" s="1067"/>
      <c r="N962" s="1068"/>
      <c r="O962" s="1092" t="s">
        <v>167</v>
      </c>
      <c r="P962" s="1093"/>
      <c r="Q962" s="1124"/>
    </row>
    <row r="963" spans="1:17" ht="23.4" x14ac:dyDescent="0.3">
      <c r="A963" s="1116"/>
      <c r="B963" s="1119"/>
      <c r="C963" s="1122"/>
      <c r="D963" s="1069" t="s">
        <v>7</v>
      </c>
      <c r="E963" s="1071" t="s">
        <v>108</v>
      </c>
      <c r="F963" s="1125" t="s">
        <v>573</v>
      </c>
      <c r="G963" s="1074"/>
      <c r="H963" s="1074"/>
      <c r="I963" s="1075"/>
      <c r="J963" s="1076" t="s">
        <v>8</v>
      </c>
      <c r="K963" s="1077"/>
      <c r="L963" s="1078"/>
      <c r="M963" s="1079" t="s">
        <v>165</v>
      </c>
      <c r="N963" s="1081" t="s">
        <v>164</v>
      </c>
      <c r="O963" s="1126" t="s">
        <v>169</v>
      </c>
      <c r="P963" s="1127"/>
      <c r="Q963" s="1128"/>
    </row>
    <row r="964" spans="1:17" ht="47.4" thickBot="1" x14ac:dyDescent="0.35">
      <c r="A964" s="1117"/>
      <c r="B964" s="1120"/>
      <c r="C964" s="1123"/>
      <c r="D964" s="1070"/>
      <c r="E964" s="1072"/>
      <c r="F964" s="452" t="s">
        <v>13</v>
      </c>
      <c r="G964" s="453" t="s">
        <v>14</v>
      </c>
      <c r="H964" s="453" t="s">
        <v>15</v>
      </c>
      <c r="I964" s="454" t="s">
        <v>166</v>
      </c>
      <c r="J964" s="680" t="s">
        <v>13</v>
      </c>
      <c r="K964" s="678" t="s">
        <v>14</v>
      </c>
      <c r="L964" s="679" t="s">
        <v>15</v>
      </c>
      <c r="M964" s="1080"/>
      <c r="N964" s="1082"/>
      <c r="O964" s="444" t="s">
        <v>170</v>
      </c>
      <c r="P964" s="445" t="s">
        <v>11</v>
      </c>
      <c r="Q964" s="446" t="s">
        <v>12</v>
      </c>
    </row>
    <row r="965" spans="1:17" ht="23.4" x14ac:dyDescent="0.3">
      <c r="A965" s="268" t="s">
        <v>103</v>
      </c>
      <c r="B965" s="439"/>
      <c r="C965" s="269" t="s">
        <v>502</v>
      </c>
      <c r="D965" s="270"/>
      <c r="E965" s="271"/>
      <c r="F965" s="332">
        <f>+G965+H965</f>
        <v>0</v>
      </c>
      <c r="G965" s="272">
        <v>0</v>
      </c>
      <c r="H965" s="272">
        <v>0</v>
      </c>
      <c r="I965" s="351" t="str">
        <f>IFERROR(F965/E965,"-")</f>
        <v>-</v>
      </c>
      <c r="J965" s="457">
        <f>+K965+L965</f>
        <v>128000</v>
      </c>
      <c r="K965" s="458">
        <f t="shared" ref="K965:L970" si="807">+G965+K899</f>
        <v>128000</v>
      </c>
      <c r="L965" s="458">
        <f t="shared" si="807"/>
        <v>0</v>
      </c>
      <c r="M965" s="336" t="str">
        <f>IFERROR(J965/D965,"-")</f>
        <v>-</v>
      </c>
      <c r="N965" s="343">
        <f t="shared" ref="N965" si="808">IFERROR(L965/J965,"-")</f>
        <v>0</v>
      </c>
      <c r="O965" s="786">
        <v>0</v>
      </c>
      <c r="P965" s="402">
        <f>+O965*G965</f>
        <v>0</v>
      </c>
      <c r="Q965" s="447">
        <f>+O965*K965</f>
        <v>0</v>
      </c>
    </row>
    <row r="966" spans="1:17" ht="23.4" x14ac:dyDescent="0.3">
      <c r="A966" s="274"/>
      <c r="B966" s="439"/>
      <c r="C966" s="269" t="s">
        <v>563</v>
      </c>
      <c r="D966" s="270"/>
      <c r="E966" s="271"/>
      <c r="F966" s="332"/>
      <c r="G966" s="272">
        <v>0</v>
      </c>
      <c r="H966" s="272">
        <v>0</v>
      </c>
      <c r="I966" s="351"/>
      <c r="J966" s="332">
        <f>+K966+L966</f>
        <v>246464</v>
      </c>
      <c r="K966" s="272">
        <f t="shared" si="807"/>
        <v>202720</v>
      </c>
      <c r="L966" s="271">
        <f t="shared" si="807"/>
        <v>43744</v>
      </c>
      <c r="M966" s="336"/>
      <c r="N966" s="343"/>
      <c r="O966" s="786">
        <v>1.5669</v>
      </c>
      <c r="P966" s="402">
        <f t="shared" ref="P966:P970" si="809">+O966*G966</f>
        <v>0</v>
      </c>
      <c r="Q966" s="447">
        <f t="shared" ref="Q966:Q970" si="810">+O966*K966</f>
        <v>317641.96799999999</v>
      </c>
    </row>
    <row r="967" spans="1:17" ht="23.4" x14ac:dyDescent="0.3">
      <c r="A967" s="274" t="s">
        <v>103</v>
      </c>
      <c r="B967" s="438"/>
      <c r="C967" s="275" t="s">
        <v>245</v>
      </c>
      <c r="D967" s="276"/>
      <c r="E967" s="277"/>
      <c r="F967" s="333">
        <f t="shared" ref="F967:F970" si="811">+G967+H967</f>
        <v>0</v>
      </c>
      <c r="G967" s="719"/>
      <c r="H967" s="719"/>
      <c r="I967" s="351" t="str">
        <f t="shared" ref="I967:I970" si="812">IFERROR(F967/E967,"-")</f>
        <v>-</v>
      </c>
      <c r="J967" s="333">
        <f t="shared" ref="J967:J970" si="813">+K967+L967</f>
        <v>115874</v>
      </c>
      <c r="K967" s="278">
        <f t="shared" si="807"/>
        <v>115000</v>
      </c>
      <c r="L967" s="436">
        <f t="shared" si="807"/>
        <v>874</v>
      </c>
      <c r="M967" s="337" t="str">
        <f t="shared" ref="M967:M970" si="814">IFERROR(J967/D967,"-")</f>
        <v>-</v>
      </c>
      <c r="N967" s="265">
        <f t="shared" ref="N967" si="815">IFERROR(L967/J967,"-")</f>
        <v>7.5426756649464074E-3</v>
      </c>
      <c r="O967" s="508">
        <v>2.3978999999999999</v>
      </c>
      <c r="P967" s="404">
        <f t="shared" si="809"/>
        <v>0</v>
      </c>
      <c r="Q967" s="449">
        <f t="shared" si="810"/>
        <v>275758.5</v>
      </c>
    </row>
    <row r="968" spans="1:17" ht="23.4" x14ac:dyDescent="0.3">
      <c r="A968" s="274" t="s">
        <v>103</v>
      </c>
      <c r="B968" s="438"/>
      <c r="C968" s="275" t="s">
        <v>395</v>
      </c>
      <c r="D968" s="276"/>
      <c r="E968" s="277"/>
      <c r="F968" s="333">
        <f t="shared" si="811"/>
        <v>58087</v>
      </c>
      <c r="G968" s="278">
        <v>57500</v>
      </c>
      <c r="H968" s="719">
        <v>587</v>
      </c>
      <c r="I968" s="351" t="str">
        <f t="shared" si="812"/>
        <v>-</v>
      </c>
      <c r="J968" s="333">
        <f t="shared" si="813"/>
        <v>1137728</v>
      </c>
      <c r="K968" s="278">
        <f t="shared" si="807"/>
        <v>1126750</v>
      </c>
      <c r="L968" s="436">
        <f t="shared" si="807"/>
        <v>10978</v>
      </c>
      <c r="M968" s="337" t="str">
        <f t="shared" si="814"/>
        <v>-</v>
      </c>
      <c r="N968" s="716">
        <f>IFERROR(L968/J968,"-")</f>
        <v>9.6490549586544412E-3</v>
      </c>
      <c r="O968" s="718">
        <v>3.6777000000000002</v>
      </c>
      <c r="P968" s="404">
        <f t="shared" si="809"/>
        <v>211467.75</v>
      </c>
      <c r="Q968" s="449">
        <f t="shared" si="810"/>
        <v>4143848.4750000001</v>
      </c>
    </row>
    <row r="969" spans="1:17" ht="23.4" x14ac:dyDescent="0.3">
      <c r="A969" s="274"/>
      <c r="B969" s="451"/>
      <c r="C969" s="275" t="s">
        <v>319</v>
      </c>
      <c r="D969" s="280"/>
      <c r="E969" s="281"/>
      <c r="F969" s="333">
        <f t="shared" si="811"/>
        <v>0</v>
      </c>
      <c r="G969" s="282">
        <v>0</v>
      </c>
      <c r="H969" s="282">
        <v>0</v>
      </c>
      <c r="I969" s="351" t="str">
        <f t="shared" si="812"/>
        <v>-</v>
      </c>
      <c r="J969" s="333">
        <f t="shared" si="813"/>
        <v>434562</v>
      </c>
      <c r="K969" s="278">
        <f t="shared" si="807"/>
        <v>428800</v>
      </c>
      <c r="L969" s="436">
        <f t="shared" si="807"/>
        <v>5762</v>
      </c>
      <c r="M969" s="337" t="str">
        <f t="shared" si="814"/>
        <v>-</v>
      </c>
      <c r="N969" s="265">
        <f>IFERROR(L969/J969,"-")</f>
        <v>1.3259327782917052E-2</v>
      </c>
      <c r="O969" s="509">
        <v>12.284700000000001</v>
      </c>
      <c r="P969" s="404">
        <f t="shared" si="809"/>
        <v>0</v>
      </c>
      <c r="Q969" s="449">
        <f t="shared" si="810"/>
        <v>5267679.3600000003</v>
      </c>
    </row>
    <row r="970" spans="1:17" ht="24" thickBot="1" x14ac:dyDescent="0.35">
      <c r="A970" s="274" t="s">
        <v>103</v>
      </c>
      <c r="B970" s="451"/>
      <c r="C970" s="275" t="s">
        <v>365</v>
      </c>
      <c r="D970" s="280"/>
      <c r="E970" s="281"/>
      <c r="F970" s="334">
        <f t="shared" si="811"/>
        <v>0</v>
      </c>
      <c r="G970" s="282"/>
      <c r="H970" s="282"/>
      <c r="I970" s="351" t="str">
        <f t="shared" si="812"/>
        <v>-</v>
      </c>
      <c r="J970" s="460">
        <f t="shared" si="813"/>
        <v>45034</v>
      </c>
      <c r="K970" s="461">
        <f t="shared" si="807"/>
        <v>44250</v>
      </c>
      <c r="L970" s="462">
        <f t="shared" si="807"/>
        <v>784</v>
      </c>
      <c r="M970" s="338" t="str">
        <f t="shared" si="814"/>
        <v>-</v>
      </c>
      <c r="N970" s="344">
        <f t="shared" ref="N970:N982" si="816">IFERROR(L970/J970,"-")</f>
        <v>1.7409068703646134E-2</v>
      </c>
      <c r="O970" s="718">
        <v>7.0612000000000004</v>
      </c>
      <c r="P970" s="405">
        <f t="shared" si="809"/>
        <v>0</v>
      </c>
      <c r="Q970" s="450">
        <f t="shared" si="810"/>
        <v>312458.10000000003</v>
      </c>
    </row>
    <row r="971" spans="1:17" ht="24" thickBot="1" x14ac:dyDescent="0.35">
      <c r="A971" s="274" t="s">
        <v>103</v>
      </c>
      <c r="B971" s="1109" t="s">
        <v>21</v>
      </c>
      <c r="C971" s="1046"/>
      <c r="D971" s="320">
        <f>SUM(D965:D970)</f>
        <v>0</v>
      </c>
      <c r="E971" s="285">
        <v>15000</v>
      </c>
      <c r="F971" s="320">
        <f>SUM(F965:F970)</f>
        <v>58087</v>
      </c>
      <c r="G971" s="321">
        <f>SUM(G965:G970)</f>
        <v>57500</v>
      </c>
      <c r="H971" s="321">
        <f>SUM(H965:H970)</f>
        <v>587</v>
      </c>
      <c r="I971" s="345">
        <f>IFERROR(F971/E971,"-")</f>
        <v>3.8724666666666665</v>
      </c>
      <c r="J971" s="320">
        <f>SUM(J965:J970)</f>
        <v>2107662</v>
      </c>
      <c r="K971" s="321">
        <f>SUM(K965:K970)</f>
        <v>2045520</v>
      </c>
      <c r="L971" s="322">
        <f>SUM(L965:L970)</f>
        <v>62142</v>
      </c>
      <c r="M971" s="339" t="str">
        <f>IFERROR(J971/D971,"-")</f>
        <v>-</v>
      </c>
      <c r="N971" s="345">
        <f t="shared" si="816"/>
        <v>2.9483854621851133E-2</v>
      </c>
      <c r="O971" s="391"/>
      <c r="P971" s="406">
        <f>SUM(P965:P970)</f>
        <v>211467.75</v>
      </c>
      <c r="Q971" s="425">
        <f>SUM(Q965:Q970)</f>
        <v>10317386.402999999</v>
      </c>
    </row>
    <row r="972" spans="1:17" ht="23.4" x14ac:dyDescent="0.3">
      <c r="A972" s="274" t="s">
        <v>103</v>
      </c>
      <c r="B972" s="439"/>
      <c r="C972" s="269" t="s">
        <v>244</v>
      </c>
      <c r="D972" s="270"/>
      <c r="E972" s="271"/>
      <c r="F972" s="332">
        <f t="shared" ref="F972:F978" si="817">+G972+H972</f>
        <v>4502</v>
      </c>
      <c r="G972" s="272">
        <v>4320</v>
      </c>
      <c r="H972" s="272">
        <v>182</v>
      </c>
      <c r="I972" s="351" t="str">
        <f>IFERROR(F972/E972,"-")</f>
        <v>-</v>
      </c>
      <c r="J972" s="457">
        <f t="shared" ref="J972:J978" si="818">+K972+L972</f>
        <v>31072</v>
      </c>
      <c r="K972" s="458">
        <f t="shared" ref="K972:L978" si="819">+G972+K906</f>
        <v>30240</v>
      </c>
      <c r="L972" s="459">
        <f t="shared" si="819"/>
        <v>832</v>
      </c>
      <c r="M972" s="336" t="str">
        <f t="shared" ref="M972:M980" si="820">IFERROR(J972/D972,"-")</f>
        <v>-</v>
      </c>
      <c r="N972" s="346">
        <f t="shared" si="816"/>
        <v>2.6776519052523172E-2</v>
      </c>
      <c r="O972" s="507">
        <v>18.2316</v>
      </c>
      <c r="P972" s="402">
        <f t="shared" ref="P972:P978" si="821">+O972*G972</f>
        <v>78760.512000000002</v>
      </c>
      <c r="Q972" s="447">
        <f t="shared" ref="Q972:Q978" si="822">+O972*K972</f>
        <v>551323.58400000003</v>
      </c>
    </row>
    <row r="973" spans="1:17" ht="23.4" x14ac:dyDescent="0.3">
      <c r="A973" s="274" t="s">
        <v>103</v>
      </c>
      <c r="B973" s="438"/>
      <c r="C973" s="275" t="s">
        <v>89</v>
      </c>
      <c r="D973" s="276"/>
      <c r="E973" s="277"/>
      <c r="F973" s="333">
        <f t="shared" si="817"/>
        <v>0</v>
      </c>
      <c r="G973" s="278">
        <v>0</v>
      </c>
      <c r="H973" s="278">
        <v>0</v>
      </c>
      <c r="I973" s="351" t="str">
        <f t="shared" ref="I973:I978" si="823">IFERROR(F973/E973,"-")</f>
        <v>-</v>
      </c>
      <c r="J973" s="333">
        <f t="shared" si="818"/>
        <v>240000</v>
      </c>
      <c r="K973" s="278">
        <f t="shared" si="819"/>
        <v>240000</v>
      </c>
      <c r="L973" s="436">
        <f t="shared" si="819"/>
        <v>0</v>
      </c>
      <c r="M973" s="337" t="str">
        <f t="shared" si="820"/>
        <v>-</v>
      </c>
      <c r="N973" s="263">
        <f t="shared" si="816"/>
        <v>0</v>
      </c>
      <c r="O973" s="508">
        <v>1.2824</v>
      </c>
      <c r="P973" s="404">
        <f t="shared" si="821"/>
        <v>0</v>
      </c>
      <c r="Q973" s="449">
        <f t="shared" si="822"/>
        <v>307776</v>
      </c>
    </row>
    <row r="974" spans="1:17" ht="23.4" x14ac:dyDescent="0.3">
      <c r="A974" s="274" t="s">
        <v>103</v>
      </c>
      <c r="B974" s="438"/>
      <c r="C974" s="275" t="s">
        <v>300</v>
      </c>
      <c r="D974" s="276"/>
      <c r="E974" s="277"/>
      <c r="F974" s="333">
        <f t="shared" si="817"/>
        <v>0</v>
      </c>
      <c r="G974" s="278"/>
      <c r="H974" s="278"/>
      <c r="I974" s="351" t="str">
        <f t="shared" si="823"/>
        <v>-</v>
      </c>
      <c r="J974" s="333">
        <f t="shared" si="818"/>
        <v>0</v>
      </c>
      <c r="K974" s="278">
        <f t="shared" si="819"/>
        <v>0</v>
      </c>
      <c r="L974" s="436">
        <f t="shared" si="819"/>
        <v>0</v>
      </c>
      <c r="M974" s="337" t="str">
        <f t="shared" si="820"/>
        <v>-</v>
      </c>
      <c r="N974" s="263" t="str">
        <f t="shared" si="816"/>
        <v>-</v>
      </c>
      <c r="O974" s="710">
        <v>5.7342000000000004</v>
      </c>
      <c r="P974" s="404">
        <f t="shared" si="821"/>
        <v>0</v>
      </c>
      <c r="Q974" s="449">
        <f t="shared" si="822"/>
        <v>0</v>
      </c>
    </row>
    <row r="975" spans="1:17" ht="23.4" x14ac:dyDescent="0.3">
      <c r="A975" s="274" t="s">
        <v>103</v>
      </c>
      <c r="B975" s="438"/>
      <c r="C975" s="275" t="s">
        <v>314</v>
      </c>
      <c r="D975" s="276"/>
      <c r="E975" s="277"/>
      <c r="F975" s="333">
        <f t="shared" si="817"/>
        <v>0</v>
      </c>
      <c r="G975" s="278"/>
      <c r="H975" s="278"/>
      <c r="I975" s="351" t="str">
        <f t="shared" si="823"/>
        <v>-</v>
      </c>
      <c r="J975" s="333">
        <f t="shared" si="818"/>
        <v>0</v>
      </c>
      <c r="K975" s="278">
        <f t="shared" si="819"/>
        <v>0</v>
      </c>
      <c r="L975" s="436">
        <f t="shared" si="819"/>
        <v>0</v>
      </c>
      <c r="M975" s="337" t="str">
        <f t="shared" si="820"/>
        <v>-</v>
      </c>
      <c r="N975" s="263" t="str">
        <f t="shared" si="816"/>
        <v>-</v>
      </c>
      <c r="O975" s="508"/>
      <c r="P975" s="404">
        <f t="shared" si="821"/>
        <v>0</v>
      </c>
      <c r="Q975" s="449">
        <f t="shared" si="822"/>
        <v>0</v>
      </c>
    </row>
    <row r="976" spans="1:17" ht="23.4" x14ac:dyDescent="0.3">
      <c r="A976" s="274" t="s">
        <v>103</v>
      </c>
      <c r="B976" s="438"/>
      <c r="C976" s="275" t="s">
        <v>320</v>
      </c>
      <c r="D976" s="276"/>
      <c r="E976" s="277"/>
      <c r="F976" s="333">
        <f t="shared" si="817"/>
        <v>9045</v>
      </c>
      <c r="G976" s="278">
        <v>9000</v>
      </c>
      <c r="H976" s="278">
        <v>45</v>
      </c>
      <c r="I976" s="351" t="str">
        <f t="shared" si="823"/>
        <v>-</v>
      </c>
      <c r="J976" s="333">
        <f t="shared" si="818"/>
        <v>111859</v>
      </c>
      <c r="K976" s="278">
        <f t="shared" si="819"/>
        <v>111400</v>
      </c>
      <c r="L976" s="436">
        <f t="shared" si="819"/>
        <v>459</v>
      </c>
      <c r="M976" s="337" t="str">
        <f t="shared" si="820"/>
        <v>-</v>
      </c>
      <c r="N976" s="263">
        <f t="shared" si="816"/>
        <v>4.1033801482223157E-3</v>
      </c>
      <c r="O976" s="508">
        <v>12.029500000000001</v>
      </c>
      <c r="P976" s="404">
        <f t="shared" si="821"/>
        <v>108265.5</v>
      </c>
      <c r="Q976" s="449">
        <f t="shared" si="822"/>
        <v>1340086.3</v>
      </c>
    </row>
    <row r="977" spans="1:17" ht="23.4" x14ac:dyDescent="0.3">
      <c r="A977" s="274" t="s">
        <v>103</v>
      </c>
      <c r="B977" s="438"/>
      <c r="C977" s="275"/>
      <c r="D977" s="276"/>
      <c r="E977" s="277"/>
      <c r="F977" s="333">
        <f t="shared" si="817"/>
        <v>0</v>
      </c>
      <c r="G977" s="278"/>
      <c r="H977" s="278"/>
      <c r="I977" s="351" t="str">
        <f t="shared" si="823"/>
        <v>-</v>
      </c>
      <c r="J977" s="333">
        <f t="shared" si="818"/>
        <v>0</v>
      </c>
      <c r="K977" s="278">
        <f t="shared" si="819"/>
        <v>0</v>
      </c>
      <c r="L977" s="436">
        <f t="shared" si="819"/>
        <v>0</v>
      </c>
      <c r="M977" s="337" t="str">
        <f t="shared" si="820"/>
        <v>-</v>
      </c>
      <c r="N977" s="263" t="str">
        <f t="shared" si="816"/>
        <v>-</v>
      </c>
      <c r="O977" s="508"/>
      <c r="P977" s="404">
        <f t="shared" si="821"/>
        <v>0</v>
      </c>
      <c r="Q977" s="449">
        <f t="shared" si="822"/>
        <v>0</v>
      </c>
    </row>
    <row r="978" spans="1:17" ht="24" thickBot="1" x14ac:dyDescent="0.35">
      <c r="A978" s="274" t="s">
        <v>103</v>
      </c>
      <c r="B978" s="451"/>
      <c r="C978" s="279"/>
      <c r="D978" s="280">
        <v>0</v>
      </c>
      <c r="E978" s="281"/>
      <c r="F978" s="334">
        <f t="shared" si="817"/>
        <v>0</v>
      </c>
      <c r="G978" s="282"/>
      <c r="H978" s="282"/>
      <c r="I978" s="351" t="str">
        <f t="shared" si="823"/>
        <v>-</v>
      </c>
      <c r="J978" s="460">
        <f t="shared" si="818"/>
        <v>0</v>
      </c>
      <c r="K978" s="461">
        <f t="shared" si="819"/>
        <v>0</v>
      </c>
      <c r="L978" s="462">
        <f t="shared" si="819"/>
        <v>0</v>
      </c>
      <c r="M978" s="338" t="str">
        <f t="shared" si="820"/>
        <v>-</v>
      </c>
      <c r="N978" s="347" t="str">
        <f t="shared" si="816"/>
        <v>-</v>
      </c>
      <c r="O978" s="509"/>
      <c r="P978" s="405">
        <f t="shared" si="821"/>
        <v>0</v>
      </c>
      <c r="Q978" s="450">
        <f t="shared" si="822"/>
        <v>0</v>
      </c>
    </row>
    <row r="979" spans="1:17" ht="24" thickBot="1" x14ac:dyDescent="0.35">
      <c r="A979" s="274" t="s">
        <v>103</v>
      </c>
      <c r="B979" s="1109" t="s">
        <v>25</v>
      </c>
      <c r="C979" s="1046"/>
      <c r="D979" s="320">
        <f t="shared" ref="D979" si="824">SUM(D972:D978)</f>
        <v>0</v>
      </c>
      <c r="E979" s="285">
        <v>100000</v>
      </c>
      <c r="F979" s="320">
        <f>SUM(F972:F978)</f>
        <v>13547</v>
      </c>
      <c r="G979" s="321">
        <f t="shared" ref="G979:H979" si="825">SUM(G972:G978)</f>
        <v>13320</v>
      </c>
      <c r="H979" s="321">
        <f t="shared" si="825"/>
        <v>227</v>
      </c>
      <c r="I979" s="345">
        <f>IFERROR(F979/E979,"-")</f>
        <v>0.13547000000000001</v>
      </c>
      <c r="J979" s="320">
        <f t="shared" ref="J979:L979" si="826">SUM(J972:J978)</f>
        <v>382931</v>
      </c>
      <c r="K979" s="321">
        <f t="shared" si="826"/>
        <v>381640</v>
      </c>
      <c r="L979" s="322">
        <f t="shared" si="826"/>
        <v>1291</v>
      </c>
      <c r="M979" s="339" t="str">
        <f t="shared" si="820"/>
        <v>-</v>
      </c>
      <c r="N979" s="345">
        <f t="shared" si="816"/>
        <v>3.3713645539274698E-3</v>
      </c>
      <c r="O979" s="391"/>
      <c r="P979" s="406">
        <f t="shared" ref="P979:Q979" si="827">SUM(P972:P978)</f>
        <v>187026.01199999999</v>
      </c>
      <c r="Q979" s="425">
        <f t="shared" si="827"/>
        <v>2199185.8840000001</v>
      </c>
    </row>
    <row r="980" spans="1:17" ht="24" thickBot="1" x14ac:dyDescent="0.35">
      <c r="A980" s="274" t="s">
        <v>103</v>
      </c>
      <c r="B980" s="1111" t="s">
        <v>172</v>
      </c>
      <c r="C980" s="1112"/>
      <c r="D980" s="326">
        <f>+D971+D979</f>
        <v>0</v>
      </c>
      <c r="E980" s="327">
        <f t="shared" ref="E980:H980" si="828">+E971+E979</f>
        <v>115000</v>
      </c>
      <c r="F980" s="512">
        <f t="shared" si="828"/>
        <v>71634</v>
      </c>
      <c r="G980" s="514">
        <f t="shared" si="828"/>
        <v>70820</v>
      </c>
      <c r="H980" s="514">
        <f t="shared" si="828"/>
        <v>814</v>
      </c>
      <c r="I980" s="515">
        <f>IFERROR(F980/E980,"-")</f>
        <v>0.62290434782608695</v>
      </c>
      <c r="J980" s="326">
        <f t="shared" ref="J980:L980" si="829">+J971+J979</f>
        <v>2490593</v>
      </c>
      <c r="K980" s="324">
        <f t="shared" si="829"/>
        <v>2427160</v>
      </c>
      <c r="L980" s="325">
        <f t="shared" si="829"/>
        <v>63433</v>
      </c>
      <c r="M980" s="341" t="str">
        <f t="shared" si="820"/>
        <v>-</v>
      </c>
      <c r="N980" s="349">
        <f t="shared" si="816"/>
        <v>2.5469034884463258E-2</v>
      </c>
      <c r="O980" s="394"/>
      <c r="P980" s="410">
        <f t="shared" ref="P980:Q980" si="830">+P971+P979</f>
        <v>398493.76199999999</v>
      </c>
      <c r="Q980" s="428">
        <f t="shared" si="830"/>
        <v>12516572.286999999</v>
      </c>
    </row>
    <row r="981" spans="1:17" ht="23.4" x14ac:dyDescent="0.3">
      <c r="A981" s="244" t="s">
        <v>101</v>
      </c>
      <c r="B981" s="581"/>
      <c r="C981" s="582" t="s">
        <v>283</v>
      </c>
      <c r="D981" s="527"/>
      <c r="E981" s="459"/>
      <c r="F981" s="457">
        <f>+G981+H981</f>
        <v>0</v>
      </c>
      <c r="G981" s="458"/>
      <c r="H981" s="838"/>
      <c r="I981" s="531" t="str">
        <f>IFERROR(F981/E981,"-")</f>
        <v>-</v>
      </c>
      <c r="J981" s="644">
        <f>+K981+L981</f>
        <v>0</v>
      </c>
      <c r="K981" s="458">
        <f t="shared" ref="K981:L987" si="831">+G981+K915</f>
        <v>0</v>
      </c>
      <c r="L981" s="459">
        <f t="shared" si="831"/>
        <v>0</v>
      </c>
      <c r="M981" s="586" t="str">
        <f>IFERROR(J981/D981,"-")</f>
        <v>-</v>
      </c>
      <c r="N981" s="533" t="str">
        <f t="shared" si="816"/>
        <v>-</v>
      </c>
      <c r="O981" s="628">
        <v>4.8285999999999998</v>
      </c>
      <c r="P981" s="534">
        <f t="shared" ref="P981:P987" si="832">+O981*G981</f>
        <v>0</v>
      </c>
      <c r="Q981" s="535">
        <f t="shared" ref="Q981:Q987" si="833">+O981*K981</f>
        <v>0</v>
      </c>
    </row>
    <row r="982" spans="1:17" ht="23.4" x14ac:dyDescent="0.3">
      <c r="A982" s="248" t="s">
        <v>101</v>
      </c>
      <c r="B982" s="583"/>
      <c r="C982" s="275" t="s">
        <v>284</v>
      </c>
      <c r="D982" s="276"/>
      <c r="E982" s="436"/>
      <c r="F982" s="333">
        <f t="shared" ref="F982:F987" si="834">+G982+H982</f>
        <v>0</v>
      </c>
      <c r="G982" s="278"/>
      <c r="H982" s="277"/>
      <c r="I982" s="352" t="str">
        <f t="shared" ref="I982:I987" si="835">IFERROR(F982/E982,"-")</f>
        <v>-</v>
      </c>
      <c r="J982" s="874">
        <f t="shared" ref="J982:J987" si="836">+K982+L982</f>
        <v>0</v>
      </c>
      <c r="K982" s="278">
        <f t="shared" si="831"/>
        <v>0</v>
      </c>
      <c r="L982" s="436">
        <f t="shared" si="831"/>
        <v>0</v>
      </c>
      <c r="M982" s="337" t="str">
        <f t="shared" ref="M982:M987" si="837">IFERROR(J982/D982,"-")</f>
        <v>-</v>
      </c>
      <c r="N982" s="265" t="str">
        <f t="shared" si="816"/>
        <v>-</v>
      </c>
      <c r="O982" s="629">
        <v>1.4086000000000001</v>
      </c>
      <c r="P982" s="404">
        <f t="shared" si="832"/>
        <v>0</v>
      </c>
      <c r="Q982" s="449">
        <f t="shared" si="833"/>
        <v>0</v>
      </c>
    </row>
    <row r="983" spans="1:17" ht="23.4" x14ac:dyDescent="0.3">
      <c r="A983" s="248" t="s">
        <v>101</v>
      </c>
      <c r="B983" s="583"/>
      <c r="C983" s="275" t="s">
        <v>315</v>
      </c>
      <c r="D983" s="276"/>
      <c r="E983" s="436"/>
      <c r="F983" s="333">
        <f t="shared" si="834"/>
        <v>0</v>
      </c>
      <c r="G983" s="278"/>
      <c r="H983" s="277"/>
      <c r="I983" s="352" t="str">
        <f t="shared" si="835"/>
        <v>-</v>
      </c>
      <c r="J983" s="874">
        <f t="shared" si="836"/>
        <v>0</v>
      </c>
      <c r="K983" s="278">
        <f t="shared" si="831"/>
        <v>0</v>
      </c>
      <c r="L983" s="436">
        <f t="shared" si="831"/>
        <v>0</v>
      </c>
      <c r="M983" s="337" t="str">
        <f t="shared" si="837"/>
        <v>-</v>
      </c>
      <c r="N983" s="265" t="str">
        <f>IFERROR(L983/J983,"-")</f>
        <v>-</v>
      </c>
      <c r="O983" s="629">
        <v>2.2141000000000002</v>
      </c>
      <c r="P983" s="404">
        <f t="shared" si="832"/>
        <v>0</v>
      </c>
      <c r="Q983" s="449">
        <f t="shared" si="833"/>
        <v>0</v>
      </c>
    </row>
    <row r="984" spans="1:17" ht="23.4" x14ac:dyDescent="0.3">
      <c r="A984" s="248" t="s">
        <v>101</v>
      </c>
      <c r="B984" s="584"/>
      <c r="C984" s="275" t="s">
        <v>447</v>
      </c>
      <c r="D984" s="280"/>
      <c r="E984" s="528"/>
      <c r="F984" s="334">
        <f t="shared" si="834"/>
        <v>101025</v>
      </c>
      <c r="G984" s="282">
        <v>100000</v>
      </c>
      <c r="H984" s="281">
        <v>1025</v>
      </c>
      <c r="I984" s="352" t="str">
        <f t="shared" si="835"/>
        <v>-</v>
      </c>
      <c r="J984" s="874">
        <f t="shared" si="836"/>
        <v>947269</v>
      </c>
      <c r="K984" s="278">
        <f t="shared" si="831"/>
        <v>935250</v>
      </c>
      <c r="L984" s="436">
        <f t="shared" si="831"/>
        <v>12019</v>
      </c>
      <c r="M984" s="338" t="str">
        <f t="shared" si="837"/>
        <v>-</v>
      </c>
      <c r="N984" s="344">
        <f t="shared" ref="N984:N991" si="838">IFERROR(L984/J984,"-")</f>
        <v>1.2688053762975458E-2</v>
      </c>
      <c r="O984" s="629">
        <v>2.2141000000000002</v>
      </c>
      <c r="P984" s="405">
        <f t="shared" si="832"/>
        <v>221410.00000000003</v>
      </c>
      <c r="Q984" s="450">
        <f t="shared" si="833"/>
        <v>2070737.0250000001</v>
      </c>
    </row>
    <row r="985" spans="1:17" ht="23.4" x14ac:dyDescent="0.3">
      <c r="A985" s="248" t="s">
        <v>101</v>
      </c>
      <c r="B985" s="440"/>
      <c r="C985" s="627" t="s">
        <v>353</v>
      </c>
      <c r="D985" s="510"/>
      <c r="E985" s="529"/>
      <c r="F985" s="333">
        <f t="shared" si="834"/>
        <v>0</v>
      </c>
      <c r="G985" s="547"/>
      <c r="H985" s="873"/>
      <c r="I985" s="352" t="str">
        <f t="shared" si="835"/>
        <v>-</v>
      </c>
      <c r="J985" s="874">
        <f t="shared" si="836"/>
        <v>0</v>
      </c>
      <c r="K985" s="278">
        <f t="shared" si="831"/>
        <v>0</v>
      </c>
      <c r="L985" s="436">
        <f t="shared" si="831"/>
        <v>0</v>
      </c>
      <c r="M985" s="338" t="str">
        <f t="shared" si="837"/>
        <v>-</v>
      </c>
      <c r="N985" s="265" t="str">
        <f t="shared" si="838"/>
        <v>-</v>
      </c>
      <c r="O985" s="540">
        <v>4.8285999999999998</v>
      </c>
      <c r="P985" s="404">
        <f t="shared" si="832"/>
        <v>0</v>
      </c>
      <c r="Q985" s="449">
        <f t="shared" si="833"/>
        <v>0</v>
      </c>
    </row>
    <row r="986" spans="1:17" ht="23.4" x14ac:dyDescent="0.3">
      <c r="A986" s="248" t="s">
        <v>101</v>
      </c>
      <c r="B986" s="585"/>
      <c r="C986" s="627" t="s">
        <v>349</v>
      </c>
      <c r="D986" s="270"/>
      <c r="E986" s="435"/>
      <c r="F986" s="332">
        <f t="shared" si="834"/>
        <v>0</v>
      </c>
      <c r="G986" s="272"/>
      <c r="H986" s="271"/>
      <c r="I986" s="352" t="str">
        <f t="shared" si="835"/>
        <v>-</v>
      </c>
      <c r="J986" s="874">
        <f t="shared" si="836"/>
        <v>17157</v>
      </c>
      <c r="K986" s="278">
        <f t="shared" si="831"/>
        <v>16250</v>
      </c>
      <c r="L986" s="436">
        <f t="shared" si="831"/>
        <v>907</v>
      </c>
      <c r="M986" s="336" t="str">
        <f t="shared" si="837"/>
        <v>-</v>
      </c>
      <c r="N986" s="346">
        <f t="shared" si="838"/>
        <v>5.2864719939383339E-2</v>
      </c>
      <c r="O986" s="507">
        <v>4.1712999999999996</v>
      </c>
      <c r="P986" s="402">
        <f t="shared" si="832"/>
        <v>0</v>
      </c>
      <c r="Q986" s="447">
        <f t="shared" si="833"/>
        <v>67783.625</v>
      </c>
    </row>
    <row r="987" spans="1:17" ht="24" thickBot="1" x14ac:dyDescent="0.35">
      <c r="A987" s="248" t="s">
        <v>101</v>
      </c>
      <c r="B987" s="583"/>
      <c r="C987" s="275"/>
      <c r="D987" s="276"/>
      <c r="E987" s="436"/>
      <c r="F987" s="460">
        <f t="shared" si="834"/>
        <v>0</v>
      </c>
      <c r="G987" s="461"/>
      <c r="H987" s="839"/>
      <c r="I987" s="532" t="str">
        <f t="shared" si="835"/>
        <v>-</v>
      </c>
      <c r="J987" s="875">
        <f t="shared" si="836"/>
        <v>0</v>
      </c>
      <c r="K987" s="461">
        <f t="shared" si="831"/>
        <v>0</v>
      </c>
      <c r="L987" s="462">
        <f t="shared" si="831"/>
        <v>0</v>
      </c>
      <c r="M987" s="337" t="str">
        <f t="shared" si="837"/>
        <v>-</v>
      </c>
      <c r="N987" s="263" t="str">
        <f t="shared" si="838"/>
        <v>-</v>
      </c>
      <c r="O987" s="448"/>
      <c r="P987" s="404">
        <f t="shared" si="832"/>
        <v>0</v>
      </c>
      <c r="Q987" s="449">
        <f t="shared" si="833"/>
        <v>0</v>
      </c>
    </row>
    <row r="988" spans="1:17" ht="24" thickBot="1" x14ac:dyDescent="0.35">
      <c r="A988" s="274" t="s">
        <v>101</v>
      </c>
      <c r="B988" s="1109" t="s">
        <v>21</v>
      </c>
      <c r="C988" s="1046"/>
      <c r="D988" s="320">
        <v>0</v>
      </c>
      <c r="E988" s="285">
        <v>15000</v>
      </c>
      <c r="F988" s="513">
        <f>SUM(F981:F987)</f>
        <v>101025</v>
      </c>
      <c r="G988" s="519">
        <f t="shared" ref="G988:H988" si="839">SUM(G981:G987)</f>
        <v>100000</v>
      </c>
      <c r="H988" s="519">
        <f t="shared" si="839"/>
        <v>1025</v>
      </c>
      <c r="I988" s="520">
        <f>IFERROR(F988/E988,"-")</f>
        <v>6.7350000000000003</v>
      </c>
      <c r="J988" s="513">
        <f t="shared" ref="J988" si="840">SUM(J981:J987)</f>
        <v>964426</v>
      </c>
      <c r="K988" s="519">
        <f>SUM(K981:K987)</f>
        <v>951500</v>
      </c>
      <c r="L988" s="519">
        <f>SUM(L981:L987)</f>
        <v>12926</v>
      </c>
      <c r="M988" s="339" t="str">
        <f>IFERROR(J988/D988,"-")</f>
        <v>-</v>
      </c>
      <c r="N988" s="345">
        <f t="shared" si="838"/>
        <v>1.3402790882867114E-2</v>
      </c>
      <c r="O988" s="391"/>
      <c r="P988" s="406">
        <f>SUM(P981:P987)</f>
        <v>221410.00000000003</v>
      </c>
      <c r="Q988" s="425">
        <f>SUM(Q981:Q987)</f>
        <v>2138520.6500000004</v>
      </c>
    </row>
    <row r="989" spans="1:17" ht="24" thickBot="1" x14ac:dyDescent="0.35">
      <c r="A989" s="274" t="s">
        <v>101</v>
      </c>
      <c r="B989" s="1111" t="s">
        <v>248</v>
      </c>
      <c r="C989" s="1112"/>
      <c r="D989" s="512">
        <f>+D985+D988</f>
        <v>0</v>
      </c>
      <c r="E989" s="525">
        <f>+E985+E988</f>
        <v>15000</v>
      </c>
      <c r="F989" s="512">
        <f>+F985+F988</f>
        <v>101025</v>
      </c>
      <c r="G989" s="514">
        <f>+G985+G988</f>
        <v>100000</v>
      </c>
      <c r="H989" s="514">
        <f>+H985+H988</f>
        <v>1025</v>
      </c>
      <c r="I989" s="515">
        <f>IFERROR(F989/E989,"-")</f>
        <v>6.7350000000000003</v>
      </c>
      <c r="J989" s="512">
        <f>+J985+J988</f>
        <v>964426</v>
      </c>
      <c r="K989" s="514">
        <f>+K988</f>
        <v>951500</v>
      </c>
      <c r="L989" s="514">
        <f>+L988</f>
        <v>12926</v>
      </c>
      <c r="M989" s="516" t="str">
        <f t="shared" ref="M989" si="841">IFERROR(J989/D989,"-")</f>
        <v>-</v>
      </c>
      <c r="N989" s="515">
        <f t="shared" si="838"/>
        <v>1.3402790882867114E-2</v>
      </c>
      <c r="O989" s="517"/>
      <c r="P989" s="518">
        <f>+P988</f>
        <v>221410.00000000003</v>
      </c>
      <c r="Q989" s="518">
        <f>+Q988</f>
        <v>2138520.6500000004</v>
      </c>
    </row>
    <row r="990" spans="1:17" ht="23.4" x14ac:dyDescent="0.4">
      <c r="A990" s="244" t="s">
        <v>101</v>
      </c>
      <c r="B990" s="1106" t="s">
        <v>250</v>
      </c>
      <c r="C990" s="542" t="s">
        <v>71</v>
      </c>
      <c r="D990" s="527"/>
      <c r="E990" s="459"/>
      <c r="F990" s="694">
        <f>+G990+H990</f>
        <v>5062</v>
      </c>
      <c r="G990" s="527">
        <v>5000</v>
      </c>
      <c r="H990" s="458">
        <v>62</v>
      </c>
      <c r="I990" s="531" t="str">
        <f>IFERROR(F990/E990,"-")</f>
        <v>-</v>
      </c>
      <c r="J990" s="644">
        <f>+K990+L990</f>
        <v>41493</v>
      </c>
      <c r="K990" s="458">
        <f t="shared" ref="K990:K1019" si="842">+G990+K924</f>
        <v>41000</v>
      </c>
      <c r="L990" s="459">
        <f t="shared" ref="L990:L1019" si="843">+H990+L924</f>
        <v>493</v>
      </c>
      <c r="M990" s="586" t="str">
        <f>IFERROR(J990/D990,"-")</f>
        <v>-</v>
      </c>
      <c r="N990" s="533">
        <f t="shared" si="838"/>
        <v>1.188152218446485E-2</v>
      </c>
      <c r="O990" s="538">
        <v>32.946300000000001</v>
      </c>
      <c r="P990" s="534">
        <f t="shared" ref="P990:P1023" si="844">+O990*G990</f>
        <v>164731.5</v>
      </c>
      <c r="Q990" s="535">
        <f t="shared" ref="Q990:Q1023" si="845">+O990*K990</f>
        <v>1350798.3</v>
      </c>
    </row>
    <row r="991" spans="1:17" ht="23.4" x14ac:dyDescent="0.4">
      <c r="A991" s="248" t="s">
        <v>101</v>
      </c>
      <c r="B991" s="1107"/>
      <c r="C991" s="543" t="s">
        <v>72</v>
      </c>
      <c r="D991" s="511"/>
      <c r="E991" s="436"/>
      <c r="F991" s="690">
        <f t="shared" ref="F991:F1023" si="846">+G991+H991</f>
        <v>0</v>
      </c>
      <c r="G991" s="276"/>
      <c r="H991" s="278"/>
      <c r="I991" s="352" t="str">
        <f t="shared" ref="I991:I1023" si="847">IFERROR(F991/E991,"-")</f>
        <v>-</v>
      </c>
      <c r="J991" s="874">
        <f t="shared" ref="J991:J1023" si="848">+K991+L991</f>
        <v>10595</v>
      </c>
      <c r="K991" s="278">
        <f t="shared" si="842"/>
        <v>10500</v>
      </c>
      <c r="L991" s="436">
        <f t="shared" si="843"/>
        <v>95</v>
      </c>
      <c r="M991" s="337" t="str">
        <f t="shared" ref="M991:M1026" si="849">IFERROR(J991/D991,"-")</f>
        <v>-</v>
      </c>
      <c r="N991" s="265">
        <f t="shared" si="838"/>
        <v>8.9664936290703157E-3</v>
      </c>
      <c r="O991" s="508">
        <v>35.398400000000002</v>
      </c>
      <c r="P991" s="404">
        <f t="shared" si="844"/>
        <v>0</v>
      </c>
      <c r="Q991" s="449">
        <f t="shared" si="845"/>
        <v>371683.2</v>
      </c>
    </row>
    <row r="992" spans="1:17" ht="24" thickBot="1" x14ac:dyDescent="0.45">
      <c r="A992" s="248" t="s">
        <v>101</v>
      </c>
      <c r="B992" s="1108"/>
      <c r="C992" s="543" t="s">
        <v>455</v>
      </c>
      <c r="D992" s="276"/>
      <c r="E992" s="436"/>
      <c r="F992" s="690">
        <f t="shared" si="846"/>
        <v>0</v>
      </c>
      <c r="G992" s="276"/>
      <c r="H992" s="278"/>
      <c r="I992" s="352" t="str">
        <f t="shared" si="847"/>
        <v>-</v>
      </c>
      <c r="J992" s="874">
        <f t="shared" si="848"/>
        <v>10147</v>
      </c>
      <c r="K992" s="278">
        <f t="shared" si="842"/>
        <v>9900</v>
      </c>
      <c r="L992" s="436">
        <f t="shared" si="843"/>
        <v>247</v>
      </c>
      <c r="M992" s="337" t="str">
        <f t="shared" si="849"/>
        <v>-</v>
      </c>
      <c r="N992" s="265">
        <f>IFERROR(L992/J992,"-")</f>
        <v>2.4342170099536809E-2</v>
      </c>
      <c r="O992" s="508">
        <v>35.398400000000002</v>
      </c>
      <c r="P992" s="404">
        <f t="shared" si="844"/>
        <v>0</v>
      </c>
      <c r="Q992" s="449">
        <f t="shared" si="845"/>
        <v>350444.16000000003</v>
      </c>
    </row>
    <row r="993" spans="1:17" ht="23.4" x14ac:dyDescent="0.4">
      <c r="A993" s="248" t="s">
        <v>101</v>
      </c>
      <c r="B993" s="1106" t="s">
        <v>251</v>
      </c>
      <c r="C993" s="545" t="s">
        <v>75</v>
      </c>
      <c r="D993" s="276"/>
      <c r="E993" s="528"/>
      <c r="F993" s="696">
        <f t="shared" si="846"/>
        <v>4678</v>
      </c>
      <c r="G993" s="276">
        <v>4609</v>
      </c>
      <c r="H993" s="278">
        <v>69</v>
      </c>
      <c r="I993" s="352" t="str">
        <f t="shared" si="847"/>
        <v>-</v>
      </c>
      <c r="J993" s="874">
        <f t="shared" si="848"/>
        <v>59026</v>
      </c>
      <c r="K993" s="278">
        <f t="shared" si="842"/>
        <v>57969</v>
      </c>
      <c r="L993" s="436">
        <f t="shared" si="843"/>
        <v>1057</v>
      </c>
      <c r="M993" s="337" t="str">
        <f t="shared" si="849"/>
        <v>-</v>
      </c>
      <c r="N993" s="265">
        <f t="shared" ref="N993:N995" si="850">IFERROR(L993/J993,"-")</f>
        <v>1.7907362857046048E-2</v>
      </c>
      <c r="O993" s="508">
        <v>55.4758</v>
      </c>
      <c r="P993" s="404">
        <f t="shared" si="844"/>
        <v>255687.96220000001</v>
      </c>
      <c r="Q993" s="449">
        <f t="shared" si="845"/>
        <v>3215876.6502</v>
      </c>
    </row>
    <row r="994" spans="1:17" ht="23.4" x14ac:dyDescent="0.4">
      <c r="A994" s="248" t="s">
        <v>101</v>
      </c>
      <c r="B994" s="1107"/>
      <c r="C994" s="545" t="s">
        <v>72</v>
      </c>
      <c r="D994" s="276"/>
      <c r="E994" s="529"/>
      <c r="F994" s="696">
        <f t="shared" si="846"/>
        <v>0</v>
      </c>
      <c r="G994" s="276"/>
      <c r="H994" s="278"/>
      <c r="I994" s="352" t="str">
        <f t="shared" si="847"/>
        <v>-</v>
      </c>
      <c r="J994" s="874">
        <f t="shared" si="848"/>
        <v>0</v>
      </c>
      <c r="K994" s="278">
        <f t="shared" si="842"/>
        <v>0</v>
      </c>
      <c r="L994" s="436">
        <f t="shared" si="843"/>
        <v>0</v>
      </c>
      <c r="M994" s="337" t="str">
        <f t="shared" si="849"/>
        <v>-</v>
      </c>
      <c r="N994" s="265" t="str">
        <f t="shared" si="850"/>
        <v>-</v>
      </c>
      <c r="O994" s="540">
        <v>58.836300000000001</v>
      </c>
      <c r="P994" s="404">
        <f t="shared" si="844"/>
        <v>0</v>
      </c>
      <c r="Q994" s="449">
        <f t="shared" si="845"/>
        <v>0</v>
      </c>
    </row>
    <row r="995" spans="1:17" ht="23.4" x14ac:dyDescent="0.4">
      <c r="A995" s="248" t="s">
        <v>101</v>
      </c>
      <c r="B995" s="1107"/>
      <c r="C995" s="545" t="s">
        <v>347</v>
      </c>
      <c r="D995" s="276"/>
      <c r="E995" s="435"/>
      <c r="F995" s="696">
        <f t="shared" si="846"/>
        <v>0</v>
      </c>
      <c r="G995" s="276"/>
      <c r="H995" s="278"/>
      <c r="I995" s="352" t="str">
        <f t="shared" si="847"/>
        <v>-</v>
      </c>
      <c r="J995" s="874">
        <f t="shared" si="848"/>
        <v>2745</v>
      </c>
      <c r="K995" s="278">
        <f t="shared" si="842"/>
        <v>2305</v>
      </c>
      <c r="L995" s="436">
        <f t="shared" si="843"/>
        <v>440</v>
      </c>
      <c r="M995" s="337" t="str">
        <f t="shared" si="849"/>
        <v>-</v>
      </c>
      <c r="N995" s="263">
        <f t="shared" si="850"/>
        <v>0.16029143897996356</v>
      </c>
      <c r="O995" s="710">
        <v>58.836300000000001</v>
      </c>
      <c r="P995" s="404">
        <f t="shared" si="844"/>
        <v>0</v>
      </c>
      <c r="Q995" s="449">
        <f t="shared" si="845"/>
        <v>135617.6715</v>
      </c>
    </row>
    <row r="996" spans="1:17" ht="24" thickBot="1" x14ac:dyDescent="0.45">
      <c r="A996" s="248"/>
      <c r="B996" s="1108"/>
      <c r="C996" s="545" t="s">
        <v>361</v>
      </c>
      <c r="D996" s="276"/>
      <c r="E996" s="435"/>
      <c r="F996" s="696">
        <f t="shared" si="846"/>
        <v>0</v>
      </c>
      <c r="G996" s="276"/>
      <c r="H996" s="278"/>
      <c r="I996" s="352" t="str">
        <f t="shared" si="847"/>
        <v>-</v>
      </c>
      <c r="J996" s="874">
        <f t="shared" si="848"/>
        <v>0</v>
      </c>
      <c r="K996" s="278">
        <f t="shared" si="842"/>
        <v>0</v>
      </c>
      <c r="L996" s="436">
        <f t="shared" si="843"/>
        <v>0</v>
      </c>
      <c r="M996" s="337" t="str">
        <f t="shared" si="849"/>
        <v>-</v>
      </c>
      <c r="N996" s="263" t="str">
        <f>IFERROR(L996/J996,"-")</f>
        <v>-</v>
      </c>
      <c r="O996" s="508">
        <v>55.4758</v>
      </c>
      <c r="P996" s="404">
        <f t="shared" si="844"/>
        <v>0</v>
      </c>
      <c r="Q996" s="449">
        <f t="shared" si="845"/>
        <v>0</v>
      </c>
    </row>
    <row r="997" spans="1:17" ht="23.4" x14ac:dyDescent="0.4">
      <c r="A997" s="248" t="s">
        <v>101</v>
      </c>
      <c r="B997" s="1106" t="s">
        <v>409</v>
      </c>
      <c r="C997" s="543" t="s">
        <v>77</v>
      </c>
      <c r="D997" s="276"/>
      <c r="E997" s="436"/>
      <c r="F997" s="690">
        <f t="shared" si="846"/>
        <v>0</v>
      </c>
      <c r="G997" s="276"/>
      <c r="H997" s="278"/>
      <c r="I997" s="352" t="str">
        <f t="shared" si="847"/>
        <v>-</v>
      </c>
      <c r="J997" s="874">
        <f t="shared" si="848"/>
        <v>24300</v>
      </c>
      <c r="K997" s="719">
        <f t="shared" si="842"/>
        <v>23960</v>
      </c>
      <c r="L997" s="815">
        <f t="shared" si="843"/>
        <v>340</v>
      </c>
      <c r="M997" s="337" t="str">
        <f t="shared" si="849"/>
        <v>-</v>
      </c>
      <c r="N997" s="263">
        <f t="shared" ref="N997:N1025" si="851">IFERROR(L997/J997,"-")</f>
        <v>1.3991769547325103E-2</v>
      </c>
      <c r="O997" s="508">
        <v>25.687200000000001</v>
      </c>
      <c r="P997" s="404">
        <f t="shared" si="844"/>
        <v>0</v>
      </c>
      <c r="Q997" s="449">
        <f t="shared" si="845"/>
        <v>615465.31200000003</v>
      </c>
    </row>
    <row r="998" spans="1:17" ht="24" thickBot="1" x14ac:dyDescent="0.45">
      <c r="A998" s="248" t="s">
        <v>101</v>
      </c>
      <c r="B998" s="1108"/>
      <c r="C998" s="543" t="s">
        <v>117</v>
      </c>
      <c r="D998" s="276"/>
      <c r="E998" s="436"/>
      <c r="F998" s="690">
        <f t="shared" si="846"/>
        <v>0</v>
      </c>
      <c r="G998" s="276"/>
      <c r="H998" s="278"/>
      <c r="I998" s="352" t="str">
        <f t="shared" si="847"/>
        <v>-</v>
      </c>
      <c r="J998" s="874">
        <f t="shared" si="848"/>
        <v>0</v>
      </c>
      <c r="K998" s="278">
        <f t="shared" si="842"/>
        <v>0</v>
      </c>
      <c r="L998" s="436">
        <f t="shared" si="843"/>
        <v>0</v>
      </c>
      <c r="M998" s="337" t="str">
        <f t="shared" si="849"/>
        <v>-</v>
      </c>
      <c r="N998" s="263" t="str">
        <f t="shared" si="851"/>
        <v>-</v>
      </c>
      <c r="O998" s="508">
        <v>25.033899999999999</v>
      </c>
      <c r="P998" s="404">
        <f t="shared" si="844"/>
        <v>0</v>
      </c>
      <c r="Q998" s="449">
        <f t="shared" si="845"/>
        <v>0</v>
      </c>
    </row>
    <row r="999" spans="1:17" ht="23.4" x14ac:dyDescent="0.4">
      <c r="A999" s="248"/>
      <c r="B999" s="1106" t="s">
        <v>410</v>
      </c>
      <c r="C999" s="543" t="s">
        <v>79</v>
      </c>
      <c r="D999" s="276"/>
      <c r="E999" s="436"/>
      <c r="F999" s="690">
        <f t="shared" si="846"/>
        <v>0</v>
      </c>
      <c r="G999" s="276">
        <v>0</v>
      </c>
      <c r="H999" s="278">
        <v>0</v>
      </c>
      <c r="I999" s="352" t="str">
        <f t="shared" si="847"/>
        <v>-</v>
      </c>
      <c r="J999" s="874">
        <f t="shared" si="848"/>
        <v>20171</v>
      </c>
      <c r="K999" s="278">
        <f t="shared" si="842"/>
        <v>19950</v>
      </c>
      <c r="L999" s="436">
        <f t="shared" si="843"/>
        <v>221</v>
      </c>
      <c r="M999" s="337" t="str">
        <f t="shared" si="849"/>
        <v>-</v>
      </c>
      <c r="N999" s="263">
        <f t="shared" si="851"/>
        <v>1.095632343463388E-2</v>
      </c>
      <c r="O999" s="508">
        <v>41.992699999999999</v>
      </c>
      <c r="P999" s="404">
        <f t="shared" si="844"/>
        <v>0</v>
      </c>
      <c r="Q999" s="449">
        <f t="shared" si="845"/>
        <v>837754.36499999999</v>
      </c>
    </row>
    <row r="1000" spans="1:17" ht="23.4" x14ac:dyDescent="0.4">
      <c r="A1000" s="248"/>
      <c r="B1000" s="1107"/>
      <c r="C1000" s="543" t="s">
        <v>72</v>
      </c>
      <c r="D1000" s="276"/>
      <c r="E1000" s="436"/>
      <c r="F1000" s="690">
        <f t="shared" si="846"/>
        <v>0</v>
      </c>
      <c r="G1000" s="276"/>
      <c r="H1000" s="278"/>
      <c r="I1000" s="352" t="str">
        <f t="shared" si="847"/>
        <v>-</v>
      </c>
      <c r="J1000" s="874">
        <f t="shared" si="848"/>
        <v>0</v>
      </c>
      <c r="K1000" s="278">
        <f t="shared" si="842"/>
        <v>0</v>
      </c>
      <c r="L1000" s="436">
        <f t="shared" si="843"/>
        <v>0</v>
      </c>
      <c r="M1000" s="337" t="str">
        <f t="shared" si="849"/>
        <v>-</v>
      </c>
      <c r="N1000" s="263" t="str">
        <f t="shared" si="851"/>
        <v>-</v>
      </c>
      <c r="O1000" s="508">
        <v>42.283799999999999</v>
      </c>
      <c r="P1000" s="404">
        <f t="shared" si="844"/>
        <v>0</v>
      </c>
      <c r="Q1000" s="449">
        <f t="shared" si="845"/>
        <v>0</v>
      </c>
    </row>
    <row r="1001" spans="1:17" ht="23.4" x14ac:dyDescent="0.4">
      <c r="A1001" s="248"/>
      <c r="B1001" s="1107"/>
      <c r="C1001" s="543" t="s">
        <v>380</v>
      </c>
      <c r="D1001" s="276"/>
      <c r="E1001" s="436"/>
      <c r="F1001" s="690">
        <f t="shared" si="846"/>
        <v>0</v>
      </c>
      <c r="G1001" s="276"/>
      <c r="H1001" s="278"/>
      <c r="I1001" s="352" t="str">
        <f t="shared" si="847"/>
        <v>-</v>
      </c>
      <c r="J1001" s="874">
        <f t="shared" si="848"/>
        <v>0</v>
      </c>
      <c r="K1001" s="278">
        <f t="shared" si="842"/>
        <v>0</v>
      </c>
      <c r="L1001" s="436">
        <f t="shared" si="843"/>
        <v>0</v>
      </c>
      <c r="M1001" s="337" t="str">
        <f t="shared" si="849"/>
        <v>-</v>
      </c>
      <c r="N1001" s="263" t="str">
        <f t="shared" si="851"/>
        <v>-</v>
      </c>
      <c r="O1001" s="710">
        <v>41.992699999999999</v>
      </c>
      <c r="P1001" s="404">
        <f t="shared" si="844"/>
        <v>0</v>
      </c>
      <c r="Q1001" s="449">
        <f t="shared" si="845"/>
        <v>0</v>
      </c>
    </row>
    <row r="1002" spans="1:17" ht="24" thickBot="1" x14ac:dyDescent="0.45">
      <c r="A1002" s="248"/>
      <c r="B1002" s="1108"/>
      <c r="C1002" s="543" t="s">
        <v>381</v>
      </c>
      <c r="D1002" s="276"/>
      <c r="E1002" s="436"/>
      <c r="F1002" s="690">
        <f t="shared" si="846"/>
        <v>0</v>
      </c>
      <c r="G1002" s="276"/>
      <c r="H1002" s="278"/>
      <c r="I1002" s="352" t="str">
        <f t="shared" si="847"/>
        <v>-</v>
      </c>
      <c r="J1002" s="874">
        <f t="shared" si="848"/>
        <v>0</v>
      </c>
      <c r="K1002" s="278">
        <f t="shared" si="842"/>
        <v>0</v>
      </c>
      <c r="L1002" s="436">
        <f t="shared" si="843"/>
        <v>0</v>
      </c>
      <c r="M1002" s="337" t="str">
        <f t="shared" si="849"/>
        <v>-</v>
      </c>
      <c r="N1002" s="263" t="str">
        <f t="shared" si="851"/>
        <v>-</v>
      </c>
      <c r="O1002" s="710">
        <v>42.283799999999999</v>
      </c>
      <c r="P1002" s="404">
        <f t="shared" si="844"/>
        <v>0</v>
      </c>
      <c r="Q1002" s="449">
        <f t="shared" si="845"/>
        <v>0</v>
      </c>
    </row>
    <row r="1003" spans="1:17" ht="24" thickBot="1" x14ac:dyDescent="0.45">
      <c r="A1003" s="248"/>
      <c r="B1003" s="717" t="s">
        <v>80</v>
      </c>
      <c r="C1003" s="543" t="s">
        <v>81</v>
      </c>
      <c r="D1003" s="276"/>
      <c r="E1003" s="436"/>
      <c r="F1003" s="690">
        <f t="shared" si="846"/>
        <v>0</v>
      </c>
      <c r="G1003" s="276"/>
      <c r="H1003" s="278"/>
      <c r="I1003" s="352" t="str">
        <f t="shared" si="847"/>
        <v>-</v>
      </c>
      <c r="J1003" s="874">
        <f t="shared" si="848"/>
        <v>23163</v>
      </c>
      <c r="K1003" s="278">
        <f t="shared" si="842"/>
        <v>22200</v>
      </c>
      <c r="L1003" s="687">
        <f t="shared" si="843"/>
        <v>963</v>
      </c>
      <c r="M1003" s="337" t="str">
        <f t="shared" si="849"/>
        <v>-</v>
      </c>
      <c r="N1003" s="263">
        <f t="shared" si="851"/>
        <v>4.1574925527781373E-2</v>
      </c>
      <c r="O1003" s="508">
        <v>4.3535000000000004</v>
      </c>
      <c r="P1003" s="404">
        <f t="shared" si="844"/>
        <v>0</v>
      </c>
      <c r="Q1003" s="449">
        <f t="shared" si="845"/>
        <v>96647.700000000012</v>
      </c>
    </row>
    <row r="1004" spans="1:17" ht="23.4" x14ac:dyDescent="0.4">
      <c r="A1004" s="248"/>
      <c r="B1004" s="1106" t="s">
        <v>253</v>
      </c>
      <c r="C1004" s="543" t="s">
        <v>77</v>
      </c>
      <c r="D1004" s="276"/>
      <c r="E1004" s="436"/>
      <c r="F1004" s="690">
        <f t="shared" si="846"/>
        <v>5593</v>
      </c>
      <c r="G1004" s="276">
        <v>5300</v>
      </c>
      <c r="H1004" s="278">
        <v>293</v>
      </c>
      <c r="I1004" s="352" t="str">
        <f t="shared" si="847"/>
        <v>-</v>
      </c>
      <c r="J1004" s="874">
        <f t="shared" si="848"/>
        <v>594798</v>
      </c>
      <c r="K1004" s="278">
        <f t="shared" si="842"/>
        <v>589300</v>
      </c>
      <c r="L1004" s="436">
        <f t="shared" si="843"/>
        <v>5498</v>
      </c>
      <c r="M1004" s="337" t="str">
        <f t="shared" si="849"/>
        <v>-</v>
      </c>
      <c r="N1004" s="263">
        <f t="shared" si="851"/>
        <v>9.2434742551252697E-3</v>
      </c>
      <c r="O1004" s="508">
        <v>4.6184000000000003</v>
      </c>
      <c r="P1004" s="404">
        <f t="shared" si="844"/>
        <v>24477.52</v>
      </c>
      <c r="Q1004" s="449">
        <f t="shared" si="845"/>
        <v>2721623.12</v>
      </c>
    </row>
    <row r="1005" spans="1:17" ht="23.4" x14ac:dyDescent="0.4">
      <c r="A1005" s="248"/>
      <c r="B1005" s="1107"/>
      <c r="C1005" s="543" t="s">
        <v>340</v>
      </c>
      <c r="D1005" s="276"/>
      <c r="E1005" s="436"/>
      <c r="F1005" s="690">
        <f t="shared" si="846"/>
        <v>0</v>
      </c>
      <c r="G1005" s="276"/>
      <c r="H1005" s="278"/>
      <c r="I1005" s="352" t="str">
        <f t="shared" si="847"/>
        <v>-</v>
      </c>
      <c r="J1005" s="874">
        <f t="shared" si="848"/>
        <v>0</v>
      </c>
      <c r="K1005" s="278">
        <f t="shared" si="842"/>
        <v>0</v>
      </c>
      <c r="L1005" s="436">
        <f t="shared" si="843"/>
        <v>0</v>
      </c>
      <c r="M1005" s="337" t="str">
        <f t="shared" si="849"/>
        <v>-</v>
      </c>
      <c r="N1005" s="263" t="str">
        <f t="shared" si="851"/>
        <v>-</v>
      </c>
      <c r="O1005" s="508">
        <v>4.6184000000000003</v>
      </c>
      <c r="P1005" s="404">
        <f t="shared" si="844"/>
        <v>0</v>
      </c>
      <c r="Q1005" s="449">
        <f t="shared" si="845"/>
        <v>0</v>
      </c>
    </row>
    <row r="1006" spans="1:17" ht="23.4" x14ac:dyDescent="0.4">
      <c r="A1006" s="248"/>
      <c r="B1006" s="1107"/>
      <c r="C1006" s="543" t="s">
        <v>252</v>
      </c>
      <c r="D1006" s="276"/>
      <c r="E1006" s="436"/>
      <c r="F1006" s="690">
        <f t="shared" si="846"/>
        <v>0</v>
      </c>
      <c r="G1006" s="276"/>
      <c r="H1006" s="278"/>
      <c r="I1006" s="352" t="str">
        <f t="shared" si="847"/>
        <v>-</v>
      </c>
      <c r="J1006" s="874">
        <f t="shared" si="848"/>
        <v>0</v>
      </c>
      <c r="K1006" s="278">
        <f t="shared" si="842"/>
        <v>0</v>
      </c>
      <c r="L1006" s="436">
        <f t="shared" si="843"/>
        <v>0</v>
      </c>
      <c r="M1006" s="337" t="str">
        <f t="shared" si="849"/>
        <v>-</v>
      </c>
      <c r="N1006" s="263" t="str">
        <f t="shared" si="851"/>
        <v>-</v>
      </c>
      <c r="O1006" s="508">
        <v>4.6184000000000003</v>
      </c>
      <c r="P1006" s="404">
        <f t="shared" si="844"/>
        <v>0</v>
      </c>
      <c r="Q1006" s="449">
        <f t="shared" si="845"/>
        <v>0</v>
      </c>
    </row>
    <row r="1007" spans="1:17" ht="23.4" x14ac:dyDescent="0.4">
      <c r="A1007" s="248"/>
      <c r="B1007" s="1107"/>
      <c r="C1007" s="543" t="s">
        <v>350</v>
      </c>
      <c r="D1007" s="276"/>
      <c r="E1007" s="436"/>
      <c r="F1007" s="690">
        <f t="shared" si="846"/>
        <v>0</v>
      </c>
      <c r="G1007" s="276"/>
      <c r="H1007" s="278"/>
      <c r="I1007" s="352" t="str">
        <f t="shared" si="847"/>
        <v>-</v>
      </c>
      <c r="J1007" s="874">
        <f t="shared" si="848"/>
        <v>0</v>
      </c>
      <c r="K1007" s="686">
        <f t="shared" si="842"/>
        <v>0</v>
      </c>
      <c r="L1007" s="687">
        <f t="shared" si="843"/>
        <v>0</v>
      </c>
      <c r="M1007" s="337" t="str">
        <f t="shared" si="849"/>
        <v>-</v>
      </c>
      <c r="N1007" s="263" t="str">
        <f t="shared" si="851"/>
        <v>-</v>
      </c>
      <c r="O1007" s="508">
        <v>4.7636000000000003</v>
      </c>
      <c r="P1007" s="404">
        <f t="shared" si="844"/>
        <v>0</v>
      </c>
      <c r="Q1007" s="449">
        <f t="shared" si="845"/>
        <v>0</v>
      </c>
    </row>
    <row r="1008" spans="1:17" ht="24" thickBot="1" x14ac:dyDescent="0.45">
      <c r="A1008" s="248"/>
      <c r="B1008" s="1108"/>
      <c r="C1008" s="543" t="s">
        <v>346</v>
      </c>
      <c r="D1008" s="276"/>
      <c r="E1008" s="436"/>
      <c r="F1008" s="690">
        <f t="shared" si="846"/>
        <v>0</v>
      </c>
      <c r="G1008" s="276"/>
      <c r="H1008" s="278"/>
      <c r="I1008" s="352" t="str">
        <f t="shared" si="847"/>
        <v>-</v>
      </c>
      <c r="J1008" s="874">
        <f t="shared" si="848"/>
        <v>0</v>
      </c>
      <c r="K1008" s="278">
        <f t="shared" si="842"/>
        <v>0</v>
      </c>
      <c r="L1008" s="436">
        <f t="shared" si="843"/>
        <v>0</v>
      </c>
      <c r="M1008" s="337" t="str">
        <f t="shared" si="849"/>
        <v>-</v>
      </c>
      <c r="N1008" s="263" t="str">
        <f t="shared" si="851"/>
        <v>-</v>
      </c>
      <c r="O1008" s="508">
        <v>4.8738000000000001</v>
      </c>
      <c r="P1008" s="404">
        <f t="shared" si="844"/>
        <v>0</v>
      </c>
      <c r="Q1008" s="449">
        <f t="shared" si="845"/>
        <v>0</v>
      </c>
    </row>
    <row r="1009" spans="1:17" ht="24" thickBot="1" x14ac:dyDescent="0.45">
      <c r="A1009" s="248"/>
      <c r="B1009" s="717" t="s">
        <v>254</v>
      </c>
      <c r="C1009" s="543" t="s">
        <v>520</v>
      </c>
      <c r="D1009" s="276"/>
      <c r="E1009" s="436"/>
      <c r="F1009" s="690">
        <f t="shared" si="846"/>
        <v>0</v>
      </c>
      <c r="G1009" s="276"/>
      <c r="H1009" s="278"/>
      <c r="I1009" s="352" t="str">
        <f t="shared" si="847"/>
        <v>-</v>
      </c>
      <c r="J1009" s="874">
        <f t="shared" si="848"/>
        <v>17752</v>
      </c>
      <c r="K1009" s="278">
        <f t="shared" si="842"/>
        <v>17600</v>
      </c>
      <c r="L1009" s="436">
        <f t="shared" si="843"/>
        <v>152</v>
      </c>
      <c r="M1009" s="337" t="str">
        <f t="shared" si="849"/>
        <v>-</v>
      </c>
      <c r="N1009" s="263">
        <f t="shared" si="851"/>
        <v>8.5624155024785938E-3</v>
      </c>
      <c r="O1009" s="508">
        <v>4.8738000000000001</v>
      </c>
      <c r="P1009" s="404">
        <f t="shared" si="844"/>
        <v>0</v>
      </c>
      <c r="Q1009" s="449">
        <f t="shared" si="845"/>
        <v>85778.880000000005</v>
      </c>
    </row>
    <row r="1010" spans="1:17" ht="23.4" x14ac:dyDescent="0.4">
      <c r="A1010" s="248"/>
      <c r="B1010" s="1106" t="s">
        <v>256</v>
      </c>
      <c r="C1010" s="543" t="s">
        <v>77</v>
      </c>
      <c r="D1010" s="276"/>
      <c r="E1010" s="436"/>
      <c r="F1010" s="690">
        <f t="shared" si="846"/>
        <v>46089</v>
      </c>
      <c r="G1010" s="276">
        <v>45500</v>
      </c>
      <c r="H1010" s="278">
        <v>589</v>
      </c>
      <c r="I1010" s="352" t="str">
        <f t="shared" si="847"/>
        <v>-</v>
      </c>
      <c r="J1010" s="874">
        <f t="shared" si="848"/>
        <v>651534</v>
      </c>
      <c r="K1010" s="719">
        <f t="shared" si="842"/>
        <v>639660</v>
      </c>
      <c r="L1010" s="815">
        <f t="shared" si="843"/>
        <v>11874</v>
      </c>
      <c r="M1010" s="337" t="str">
        <f t="shared" si="849"/>
        <v>-</v>
      </c>
      <c r="N1010" s="263">
        <f t="shared" si="851"/>
        <v>1.8224682058035343E-2</v>
      </c>
      <c r="O1010" s="508">
        <v>4.9344999999999999</v>
      </c>
      <c r="P1010" s="404">
        <f t="shared" si="844"/>
        <v>224519.75</v>
      </c>
      <c r="Q1010" s="449">
        <f t="shared" si="845"/>
        <v>3156402.27</v>
      </c>
    </row>
    <row r="1011" spans="1:17" ht="23.4" x14ac:dyDescent="0.4">
      <c r="A1011" s="248"/>
      <c r="B1011" s="1107"/>
      <c r="C1011" s="543" t="s">
        <v>135</v>
      </c>
      <c r="D1011" s="276"/>
      <c r="E1011" s="436"/>
      <c r="F1011" s="690">
        <f t="shared" si="846"/>
        <v>0</v>
      </c>
      <c r="G1011" s="276"/>
      <c r="H1011" s="278"/>
      <c r="I1011" s="352" t="str">
        <f t="shared" si="847"/>
        <v>-</v>
      </c>
      <c r="J1011" s="874">
        <f t="shared" si="848"/>
        <v>0</v>
      </c>
      <c r="K1011" s="278">
        <f t="shared" si="842"/>
        <v>0</v>
      </c>
      <c r="L1011" s="436">
        <f t="shared" si="843"/>
        <v>0</v>
      </c>
      <c r="M1011" s="337" t="str">
        <f t="shared" si="849"/>
        <v>-</v>
      </c>
      <c r="N1011" s="263" t="str">
        <f t="shared" si="851"/>
        <v>-</v>
      </c>
      <c r="O1011" s="508">
        <v>4.9344999999999999</v>
      </c>
      <c r="P1011" s="404">
        <f t="shared" si="844"/>
        <v>0</v>
      </c>
      <c r="Q1011" s="449">
        <f t="shared" si="845"/>
        <v>0</v>
      </c>
    </row>
    <row r="1012" spans="1:17" ht="23.4" x14ac:dyDescent="0.4">
      <c r="A1012" s="248"/>
      <c r="B1012" s="1107"/>
      <c r="C1012" s="543" t="s">
        <v>129</v>
      </c>
      <c r="D1012" s="276"/>
      <c r="E1012" s="436"/>
      <c r="F1012" s="690">
        <f t="shared" si="846"/>
        <v>0</v>
      </c>
      <c r="G1012" s="276"/>
      <c r="H1012" s="278"/>
      <c r="I1012" s="352" t="str">
        <f t="shared" si="847"/>
        <v>-</v>
      </c>
      <c r="J1012" s="874">
        <f t="shared" si="848"/>
        <v>0</v>
      </c>
      <c r="K1012" s="278">
        <f t="shared" si="842"/>
        <v>0</v>
      </c>
      <c r="L1012" s="436">
        <f t="shared" si="843"/>
        <v>0</v>
      </c>
      <c r="M1012" s="337" t="str">
        <f t="shared" si="849"/>
        <v>-</v>
      </c>
      <c r="N1012" s="263" t="str">
        <f t="shared" si="851"/>
        <v>-</v>
      </c>
      <c r="O1012" s="508">
        <v>4.9344999999999999</v>
      </c>
      <c r="P1012" s="404">
        <f t="shared" si="844"/>
        <v>0</v>
      </c>
      <c r="Q1012" s="449">
        <f t="shared" si="845"/>
        <v>0</v>
      </c>
    </row>
    <row r="1013" spans="1:17" ht="24" thickBot="1" x14ac:dyDescent="0.45">
      <c r="A1013" s="248"/>
      <c r="B1013" s="1108"/>
      <c r="C1013" s="543" t="s">
        <v>255</v>
      </c>
      <c r="D1013" s="276"/>
      <c r="E1013" s="436"/>
      <c r="F1013" s="690">
        <f t="shared" si="846"/>
        <v>0</v>
      </c>
      <c r="G1013" s="276"/>
      <c r="H1013" s="278"/>
      <c r="I1013" s="352" t="str">
        <f t="shared" si="847"/>
        <v>-</v>
      </c>
      <c r="J1013" s="874">
        <f t="shared" si="848"/>
        <v>0</v>
      </c>
      <c r="K1013" s="278">
        <f t="shared" si="842"/>
        <v>0</v>
      </c>
      <c r="L1013" s="436">
        <f t="shared" si="843"/>
        <v>0</v>
      </c>
      <c r="M1013" s="337" t="str">
        <f t="shared" si="849"/>
        <v>-</v>
      </c>
      <c r="N1013" s="263" t="str">
        <f t="shared" si="851"/>
        <v>-</v>
      </c>
      <c r="O1013" s="508">
        <v>5.5069999999999997</v>
      </c>
      <c r="P1013" s="404">
        <f t="shared" si="844"/>
        <v>0</v>
      </c>
      <c r="Q1013" s="449">
        <f t="shared" si="845"/>
        <v>0</v>
      </c>
    </row>
    <row r="1014" spans="1:17" ht="23.4" x14ac:dyDescent="0.4">
      <c r="A1014" s="248"/>
      <c r="B1014" s="1106" t="s">
        <v>261</v>
      </c>
      <c r="C1014" s="543" t="s">
        <v>257</v>
      </c>
      <c r="D1014" s="276"/>
      <c r="E1014" s="436"/>
      <c r="F1014" s="690">
        <f t="shared" si="846"/>
        <v>43468</v>
      </c>
      <c r="G1014" s="276">
        <f>41300</f>
        <v>41300</v>
      </c>
      <c r="H1014" s="278">
        <f>487+989+692</f>
        <v>2168</v>
      </c>
      <c r="I1014" s="352" t="str">
        <f t="shared" si="847"/>
        <v>-</v>
      </c>
      <c r="J1014" s="874">
        <f t="shared" si="848"/>
        <v>594393</v>
      </c>
      <c r="K1014" s="278">
        <f t="shared" si="842"/>
        <v>586600</v>
      </c>
      <c r="L1014" s="687">
        <f t="shared" si="843"/>
        <v>7793</v>
      </c>
      <c r="M1014" s="337" t="str">
        <f t="shared" si="849"/>
        <v>-</v>
      </c>
      <c r="N1014" s="263">
        <f t="shared" si="851"/>
        <v>1.311085426645334E-2</v>
      </c>
      <c r="O1014" s="710">
        <v>5.5069999999999997</v>
      </c>
      <c r="P1014" s="404">
        <f t="shared" si="844"/>
        <v>227439.09999999998</v>
      </c>
      <c r="Q1014" s="449">
        <f t="shared" si="845"/>
        <v>3230406.1999999997</v>
      </c>
    </row>
    <row r="1015" spans="1:17" ht="23.4" x14ac:dyDescent="0.4">
      <c r="A1015" s="248"/>
      <c r="B1015" s="1107"/>
      <c r="C1015" s="543" t="s">
        <v>258</v>
      </c>
      <c r="D1015" s="276"/>
      <c r="E1015" s="436"/>
      <c r="F1015" s="690">
        <f t="shared" si="846"/>
        <v>0</v>
      </c>
      <c r="G1015" s="276"/>
      <c r="H1015" s="278"/>
      <c r="I1015" s="352" t="str">
        <f t="shared" si="847"/>
        <v>-</v>
      </c>
      <c r="J1015" s="874">
        <f t="shared" si="848"/>
        <v>0</v>
      </c>
      <c r="K1015" s="278">
        <f t="shared" si="842"/>
        <v>0</v>
      </c>
      <c r="L1015" s="436">
        <f t="shared" si="843"/>
        <v>0</v>
      </c>
      <c r="M1015" s="337" t="str">
        <f t="shared" si="849"/>
        <v>-</v>
      </c>
      <c r="N1015" s="263" t="str">
        <f t="shared" si="851"/>
        <v>-</v>
      </c>
      <c r="O1015" s="508">
        <v>5.6550000000000002</v>
      </c>
      <c r="P1015" s="404">
        <f t="shared" si="844"/>
        <v>0</v>
      </c>
      <c r="Q1015" s="449">
        <f t="shared" si="845"/>
        <v>0</v>
      </c>
    </row>
    <row r="1016" spans="1:17" ht="23.4" x14ac:dyDescent="0.4">
      <c r="A1016" s="248"/>
      <c r="B1016" s="1107"/>
      <c r="C1016" s="543" t="s">
        <v>321</v>
      </c>
      <c r="D1016" s="276"/>
      <c r="E1016" s="436"/>
      <c r="F1016" s="690">
        <f t="shared" si="846"/>
        <v>0</v>
      </c>
      <c r="G1016" s="276"/>
      <c r="H1016" s="278"/>
      <c r="I1016" s="352" t="str">
        <f t="shared" si="847"/>
        <v>-</v>
      </c>
      <c r="J1016" s="874">
        <f t="shared" si="848"/>
        <v>0</v>
      </c>
      <c r="K1016" s="686">
        <f t="shared" si="842"/>
        <v>0</v>
      </c>
      <c r="L1016" s="687">
        <f t="shared" si="843"/>
        <v>0</v>
      </c>
      <c r="M1016" s="337" t="str">
        <f t="shared" si="849"/>
        <v>-</v>
      </c>
      <c r="N1016" s="263" t="str">
        <f t="shared" si="851"/>
        <v>-</v>
      </c>
      <c r="O1016" s="508">
        <v>5.6550000000000002</v>
      </c>
      <c r="P1016" s="404">
        <f t="shared" si="844"/>
        <v>0</v>
      </c>
      <c r="Q1016" s="449">
        <f t="shared" si="845"/>
        <v>0</v>
      </c>
    </row>
    <row r="1017" spans="1:17" ht="23.4" x14ac:dyDescent="0.4">
      <c r="A1017" s="248"/>
      <c r="B1017" s="1107"/>
      <c r="C1017" s="543" t="s">
        <v>259</v>
      </c>
      <c r="D1017" s="276"/>
      <c r="E1017" s="436"/>
      <c r="F1017" s="690">
        <f t="shared" si="846"/>
        <v>0</v>
      </c>
      <c r="G1017" s="276"/>
      <c r="H1017" s="278"/>
      <c r="I1017" s="352" t="str">
        <f t="shared" si="847"/>
        <v>-</v>
      </c>
      <c r="J1017" s="874">
        <f t="shared" si="848"/>
        <v>0</v>
      </c>
      <c r="K1017" s="278">
        <f t="shared" si="842"/>
        <v>0</v>
      </c>
      <c r="L1017" s="436">
        <f t="shared" si="843"/>
        <v>0</v>
      </c>
      <c r="M1017" s="337" t="str">
        <f t="shared" si="849"/>
        <v>-</v>
      </c>
      <c r="N1017" s="263" t="str">
        <f t="shared" si="851"/>
        <v>-</v>
      </c>
      <c r="O1017" s="508">
        <v>5.6550000000000002</v>
      </c>
      <c r="P1017" s="404">
        <f t="shared" si="844"/>
        <v>0</v>
      </c>
      <c r="Q1017" s="449">
        <f t="shared" si="845"/>
        <v>0</v>
      </c>
    </row>
    <row r="1018" spans="1:17" ht="23.4" x14ac:dyDescent="0.4">
      <c r="A1018" s="248" t="s">
        <v>101</v>
      </c>
      <c r="B1018" s="1107"/>
      <c r="C1018" s="543" t="s">
        <v>260</v>
      </c>
      <c r="D1018" s="276"/>
      <c r="E1018" s="436"/>
      <c r="F1018" s="690">
        <f t="shared" si="846"/>
        <v>0</v>
      </c>
      <c r="G1018" s="276"/>
      <c r="H1018" s="278"/>
      <c r="I1018" s="352" t="str">
        <f t="shared" si="847"/>
        <v>-</v>
      </c>
      <c r="J1018" s="874">
        <f t="shared" si="848"/>
        <v>0</v>
      </c>
      <c r="K1018" s="278">
        <f t="shared" si="842"/>
        <v>0</v>
      </c>
      <c r="L1018" s="436">
        <f t="shared" si="843"/>
        <v>0</v>
      </c>
      <c r="M1018" s="337" t="str">
        <f t="shared" si="849"/>
        <v>-</v>
      </c>
      <c r="N1018" s="263" t="str">
        <f t="shared" si="851"/>
        <v>-</v>
      </c>
      <c r="O1018" s="508">
        <v>3.2963</v>
      </c>
      <c r="P1018" s="404">
        <f t="shared" si="844"/>
        <v>0</v>
      </c>
      <c r="Q1018" s="449">
        <f t="shared" si="845"/>
        <v>0</v>
      </c>
    </row>
    <row r="1019" spans="1:17" ht="24" thickBot="1" x14ac:dyDescent="0.45">
      <c r="A1019" s="248" t="s">
        <v>101</v>
      </c>
      <c r="B1019" s="1108"/>
      <c r="C1019" s="543" t="s">
        <v>255</v>
      </c>
      <c r="D1019" s="276"/>
      <c r="E1019" s="436"/>
      <c r="F1019" s="690">
        <f t="shared" si="846"/>
        <v>0</v>
      </c>
      <c r="G1019" s="276"/>
      <c r="H1019" s="278"/>
      <c r="I1019" s="352" t="str">
        <f t="shared" si="847"/>
        <v>-</v>
      </c>
      <c r="J1019" s="874">
        <f t="shared" si="848"/>
        <v>0</v>
      </c>
      <c r="K1019" s="278">
        <f t="shared" si="842"/>
        <v>0</v>
      </c>
      <c r="L1019" s="436">
        <f t="shared" si="843"/>
        <v>0</v>
      </c>
      <c r="M1019" s="337" t="str">
        <f t="shared" si="849"/>
        <v>-</v>
      </c>
      <c r="N1019" s="263" t="str">
        <f t="shared" si="851"/>
        <v>-</v>
      </c>
      <c r="O1019" s="508">
        <v>3.2963</v>
      </c>
      <c r="P1019" s="404">
        <f t="shared" si="844"/>
        <v>0</v>
      </c>
      <c r="Q1019" s="449">
        <f t="shared" si="845"/>
        <v>0</v>
      </c>
    </row>
    <row r="1020" spans="1:17" ht="23.4" x14ac:dyDescent="0.4">
      <c r="A1020" s="248"/>
      <c r="B1020" s="991"/>
      <c r="C1020" s="542" t="s">
        <v>86</v>
      </c>
      <c r="D1020" s="511"/>
      <c r="E1020" s="436"/>
      <c r="F1020" s="690">
        <f t="shared" si="846"/>
        <v>12189</v>
      </c>
      <c r="G1020" s="276">
        <v>11200</v>
      </c>
      <c r="H1020" s="278">
        <v>989</v>
      </c>
      <c r="I1020" s="352"/>
      <c r="J1020" s="874">
        <f t="shared" si="848"/>
        <v>20012</v>
      </c>
      <c r="K1020" s="278">
        <f t="shared" ref="K1020:K1021" si="852">+G1020+K954</f>
        <v>18200</v>
      </c>
      <c r="L1020" s="436">
        <f t="shared" ref="L1020:L1021" si="853">+H1020+L954</f>
        <v>1812</v>
      </c>
      <c r="M1020" s="337"/>
      <c r="N1020" s="263"/>
      <c r="O1020" s="508">
        <v>3.2963</v>
      </c>
      <c r="P1020" s="404">
        <f t="shared" si="844"/>
        <v>36918.559999999998</v>
      </c>
      <c r="Q1020" s="449">
        <f t="shared" si="845"/>
        <v>59992.66</v>
      </c>
    </row>
    <row r="1021" spans="1:17" ht="23.4" x14ac:dyDescent="0.4">
      <c r="A1021" s="248"/>
      <c r="B1021" s="991"/>
      <c r="C1021" s="543" t="s">
        <v>585</v>
      </c>
      <c r="D1021" s="511"/>
      <c r="E1021" s="436"/>
      <c r="F1021" s="690">
        <f t="shared" si="846"/>
        <v>11892</v>
      </c>
      <c r="G1021" s="276">
        <v>11200</v>
      </c>
      <c r="H1021" s="278">
        <v>692</v>
      </c>
      <c r="I1021" s="352"/>
      <c r="J1021" s="874">
        <f t="shared" si="848"/>
        <v>19377</v>
      </c>
      <c r="K1021" s="278">
        <f t="shared" si="852"/>
        <v>18200</v>
      </c>
      <c r="L1021" s="436">
        <f t="shared" si="853"/>
        <v>1177</v>
      </c>
      <c r="M1021" s="337"/>
      <c r="N1021" s="263"/>
      <c r="O1021" s="508">
        <v>3.2963</v>
      </c>
      <c r="P1021" s="404">
        <f t="shared" si="844"/>
        <v>36918.559999999998</v>
      </c>
      <c r="Q1021" s="449">
        <f t="shared" si="845"/>
        <v>59992.66</v>
      </c>
    </row>
    <row r="1022" spans="1:17" ht="23.4" x14ac:dyDescent="0.4">
      <c r="A1022" s="248" t="s">
        <v>101</v>
      </c>
      <c r="B1022" s="546"/>
      <c r="C1022" s="544" t="s">
        <v>89</v>
      </c>
      <c r="D1022" s="511"/>
      <c r="E1022" s="436"/>
      <c r="F1022" s="690">
        <f t="shared" si="846"/>
        <v>0</v>
      </c>
      <c r="G1022" s="276"/>
      <c r="H1022" s="278"/>
      <c r="I1022" s="352" t="str">
        <f t="shared" si="847"/>
        <v>-</v>
      </c>
      <c r="J1022" s="874">
        <f t="shared" si="848"/>
        <v>83715</v>
      </c>
      <c r="K1022" s="278">
        <f>+G1022+K956</f>
        <v>83400</v>
      </c>
      <c r="L1022" s="436">
        <f>+H1022+L956</f>
        <v>315</v>
      </c>
      <c r="M1022" s="337" t="str">
        <f t="shared" si="849"/>
        <v>-</v>
      </c>
      <c r="N1022" s="263">
        <f t="shared" si="851"/>
        <v>3.7627665292958249E-3</v>
      </c>
      <c r="O1022" s="508">
        <v>2.3201000000000001</v>
      </c>
      <c r="P1022" s="404">
        <f t="shared" si="844"/>
        <v>0</v>
      </c>
      <c r="Q1022" s="449">
        <f t="shared" si="845"/>
        <v>193496.34</v>
      </c>
    </row>
    <row r="1023" spans="1:17" ht="24" thickBot="1" x14ac:dyDescent="0.35">
      <c r="A1023" s="248" t="s">
        <v>101</v>
      </c>
      <c r="B1023" s="524"/>
      <c r="C1023" s="541"/>
      <c r="D1023" s="530"/>
      <c r="E1023" s="462"/>
      <c r="F1023" s="691">
        <f t="shared" si="846"/>
        <v>0</v>
      </c>
      <c r="G1023" s="530"/>
      <c r="H1023" s="461"/>
      <c r="I1023" s="532" t="str">
        <f t="shared" si="847"/>
        <v>-</v>
      </c>
      <c r="J1023" s="875">
        <f t="shared" si="848"/>
        <v>0</v>
      </c>
      <c r="K1023" s="461">
        <f>+G1023+K957</f>
        <v>0</v>
      </c>
      <c r="L1023" s="462">
        <f>+H1023+L957</f>
        <v>0</v>
      </c>
      <c r="M1023" s="683" t="str">
        <f t="shared" si="849"/>
        <v>-</v>
      </c>
      <c r="N1023" s="264" t="str">
        <f t="shared" si="851"/>
        <v>-</v>
      </c>
      <c r="O1023" s="539"/>
      <c r="P1023" s="536">
        <f t="shared" si="844"/>
        <v>0</v>
      </c>
      <c r="Q1023" s="537">
        <f t="shared" si="845"/>
        <v>0</v>
      </c>
    </row>
    <row r="1024" spans="1:17" ht="24" thickBot="1" x14ac:dyDescent="0.35">
      <c r="A1024" s="274" t="s">
        <v>101</v>
      </c>
      <c r="B1024" s="1109" t="s">
        <v>25</v>
      </c>
      <c r="C1024" s="1046"/>
      <c r="D1024" s="513">
        <f>SUM(D995:D1023)</f>
        <v>0</v>
      </c>
      <c r="E1024" s="526">
        <v>100000</v>
      </c>
      <c r="F1024" s="519">
        <f>SUM(F990:F1023)</f>
        <v>128971</v>
      </c>
      <c r="G1024" s="519">
        <f>SUM(G990:G1023)</f>
        <v>124109</v>
      </c>
      <c r="H1024" s="519">
        <f>SUM(H990:H1023)</f>
        <v>4862</v>
      </c>
      <c r="I1024" s="520">
        <f>IFERROR(F1024/E1024,"-")</f>
        <v>1.2897099999999999</v>
      </c>
      <c r="J1024" s="513">
        <f>SUM(J990:J1023)</f>
        <v>2173221</v>
      </c>
      <c r="K1024" s="513">
        <f t="shared" ref="K1024:L1024" si="854">SUM(K990:K1023)</f>
        <v>2140744</v>
      </c>
      <c r="L1024" s="513">
        <f t="shared" si="854"/>
        <v>32477</v>
      </c>
      <c r="M1024" s="521" t="str">
        <f t="shared" si="849"/>
        <v>-</v>
      </c>
      <c r="N1024" s="520">
        <f t="shared" si="851"/>
        <v>1.4944177329411045E-2</v>
      </c>
      <c r="O1024" s="522"/>
      <c r="P1024" s="523">
        <f>SUM(P990:P1023)</f>
        <v>970692.95219999994</v>
      </c>
      <c r="Q1024" s="523">
        <f>SUM(Q990:Q1023)</f>
        <v>16481979.488700001</v>
      </c>
    </row>
    <row r="1025" spans="1:17" ht="24" thickBot="1" x14ac:dyDescent="0.35">
      <c r="A1025" s="318" t="s">
        <v>101</v>
      </c>
      <c r="B1025" s="1111" t="s">
        <v>249</v>
      </c>
      <c r="C1025" s="1112"/>
      <c r="D1025" s="326">
        <f>+D994+D1024</f>
        <v>0</v>
      </c>
      <c r="E1025" s="327">
        <f>+E994+E1024</f>
        <v>100000</v>
      </c>
      <c r="F1025" s="326">
        <f>+F1024</f>
        <v>128971</v>
      </c>
      <c r="G1025" s="326">
        <f t="shared" ref="G1025:H1025" si="855">+G1024</f>
        <v>124109</v>
      </c>
      <c r="H1025" s="326">
        <f t="shared" si="855"/>
        <v>4862</v>
      </c>
      <c r="I1025" s="349">
        <f>IFERROR(F1025/E1025,"-")</f>
        <v>1.2897099999999999</v>
      </c>
      <c r="J1025" s="326">
        <f>+J1024</f>
        <v>2173221</v>
      </c>
      <c r="K1025" s="326">
        <f t="shared" ref="K1025:L1025" si="856">+K1024</f>
        <v>2140744</v>
      </c>
      <c r="L1025" s="326">
        <f t="shared" si="856"/>
        <v>32477</v>
      </c>
      <c r="M1025" s="341" t="str">
        <f t="shared" si="849"/>
        <v>-</v>
      </c>
      <c r="N1025" s="349">
        <f t="shared" si="851"/>
        <v>1.4944177329411045E-2</v>
      </c>
      <c r="O1025" s="394"/>
      <c r="P1025" s="410">
        <f>+P1024</f>
        <v>970692.95219999994</v>
      </c>
      <c r="Q1025" s="428">
        <f>Q1024</f>
        <v>16481979.488700001</v>
      </c>
    </row>
    <row r="1026" spans="1:17" ht="24.6" thickBot="1" x14ac:dyDescent="0.35">
      <c r="A1026" s="319"/>
      <c r="B1026" s="1113" t="s">
        <v>174</v>
      </c>
      <c r="C1026" s="1114"/>
      <c r="D1026" s="374">
        <f>+D1025+D989+D980</f>
        <v>0</v>
      </c>
      <c r="E1026" s="374">
        <f>+E1025+E989+E980</f>
        <v>230000</v>
      </c>
      <c r="F1026" s="374">
        <f>+F1025+F989+F980</f>
        <v>301630</v>
      </c>
      <c r="G1026" s="374">
        <f>+G1025+G989+G980</f>
        <v>294929</v>
      </c>
      <c r="H1026" s="374">
        <f>+H1025+H989+H980</f>
        <v>6701</v>
      </c>
      <c r="I1026" s="375">
        <f>IFERROR(F1026/E1026,"-")</f>
        <v>1.3114347826086956</v>
      </c>
      <c r="J1026" s="374">
        <f>+J1025+J989+J980</f>
        <v>5628240</v>
      </c>
      <c r="K1026" s="374">
        <f>+K1025+K989+K980</f>
        <v>5519404</v>
      </c>
      <c r="L1026" s="374">
        <f>+L1025+L989+L980</f>
        <v>108836</v>
      </c>
      <c r="M1026" s="375" t="str">
        <f t="shared" si="849"/>
        <v>-</v>
      </c>
      <c r="N1026" s="375">
        <f>IFERROR(L1026/J1026,"-")</f>
        <v>1.9337483831535256E-2</v>
      </c>
      <c r="O1026" s="401"/>
      <c r="P1026" s="418">
        <f>+P1025+P989+P980</f>
        <v>1590596.7141999998</v>
      </c>
      <c r="Q1026" s="418">
        <f>+Q1025+Q989+Q980</f>
        <v>31137072.425700001</v>
      </c>
    </row>
    <row r="1027" spans="1:17" ht="14.4" thickBot="1" x14ac:dyDescent="0.35"/>
    <row r="1028" spans="1:17" ht="23.4" x14ac:dyDescent="0.3">
      <c r="A1028" s="1115" t="s">
        <v>1</v>
      </c>
      <c r="B1028" s="1118" t="s">
        <v>2</v>
      </c>
      <c r="C1028" s="1121" t="s">
        <v>396</v>
      </c>
      <c r="D1028" s="1066" t="s">
        <v>4</v>
      </c>
      <c r="E1028" s="1067"/>
      <c r="F1028" s="1067"/>
      <c r="G1028" s="1067"/>
      <c r="H1028" s="1067"/>
      <c r="I1028" s="1067"/>
      <c r="J1028" s="1067"/>
      <c r="K1028" s="1067"/>
      <c r="L1028" s="1067"/>
      <c r="M1028" s="1067"/>
      <c r="N1028" s="1068"/>
      <c r="O1028" s="1092" t="s">
        <v>167</v>
      </c>
      <c r="P1028" s="1093"/>
      <c r="Q1028" s="1124"/>
    </row>
    <row r="1029" spans="1:17" ht="23.4" x14ac:dyDescent="0.3">
      <c r="A1029" s="1116"/>
      <c r="B1029" s="1119"/>
      <c r="C1029" s="1122"/>
      <c r="D1029" s="1069" t="s">
        <v>7</v>
      </c>
      <c r="E1029" s="1071" t="s">
        <v>108</v>
      </c>
      <c r="F1029" s="1125" t="s">
        <v>577</v>
      </c>
      <c r="G1029" s="1074"/>
      <c r="H1029" s="1074"/>
      <c r="I1029" s="1075"/>
      <c r="J1029" s="1076" t="s">
        <v>8</v>
      </c>
      <c r="K1029" s="1077"/>
      <c r="L1029" s="1078"/>
      <c r="M1029" s="1079" t="s">
        <v>165</v>
      </c>
      <c r="N1029" s="1081" t="s">
        <v>164</v>
      </c>
      <c r="O1029" s="1126" t="s">
        <v>169</v>
      </c>
      <c r="P1029" s="1127"/>
      <c r="Q1029" s="1128"/>
    </row>
    <row r="1030" spans="1:17" ht="47.4" thickBot="1" x14ac:dyDescent="0.35">
      <c r="A1030" s="1117"/>
      <c r="B1030" s="1120"/>
      <c r="C1030" s="1123"/>
      <c r="D1030" s="1070"/>
      <c r="E1030" s="1072"/>
      <c r="F1030" s="452" t="s">
        <v>13</v>
      </c>
      <c r="G1030" s="453" t="s">
        <v>14</v>
      </c>
      <c r="H1030" s="453" t="s">
        <v>15</v>
      </c>
      <c r="I1030" s="454" t="s">
        <v>166</v>
      </c>
      <c r="J1030" s="680" t="s">
        <v>13</v>
      </c>
      <c r="K1030" s="678" t="s">
        <v>14</v>
      </c>
      <c r="L1030" s="679" t="s">
        <v>15</v>
      </c>
      <c r="M1030" s="1080"/>
      <c r="N1030" s="1082"/>
      <c r="O1030" s="444" t="s">
        <v>170</v>
      </c>
      <c r="P1030" s="445" t="s">
        <v>11</v>
      </c>
      <c r="Q1030" s="446" t="s">
        <v>12</v>
      </c>
    </row>
    <row r="1031" spans="1:17" ht="23.4" x14ac:dyDescent="0.3">
      <c r="A1031" s="268" t="s">
        <v>103</v>
      </c>
      <c r="B1031" s="439"/>
      <c r="C1031" s="269" t="s">
        <v>502</v>
      </c>
      <c r="D1031" s="270"/>
      <c r="E1031" s="271"/>
      <c r="F1031" s="332">
        <f>+G1031+H1031</f>
        <v>0</v>
      </c>
      <c r="G1031" s="272">
        <v>0</v>
      </c>
      <c r="H1031" s="272">
        <v>0</v>
      </c>
      <c r="I1031" s="351" t="str">
        <f>IFERROR(F1031/E1031,"-")</f>
        <v>-</v>
      </c>
      <c r="J1031" s="457">
        <f>+K1031+L1031</f>
        <v>128000</v>
      </c>
      <c r="K1031" s="458">
        <f t="shared" ref="K1031:L1036" si="857">+G1031+K965</f>
        <v>128000</v>
      </c>
      <c r="L1031" s="459">
        <f t="shared" si="857"/>
        <v>0</v>
      </c>
      <c r="M1031" s="336" t="str">
        <f>IFERROR(J1031/D1031,"-")</f>
        <v>-</v>
      </c>
      <c r="N1031" s="343">
        <f t="shared" ref="N1031" si="858">IFERROR(L1031/J1031,"-")</f>
        <v>0</v>
      </c>
      <c r="O1031" s="786">
        <v>0</v>
      </c>
      <c r="P1031" s="402">
        <f>+O1031*G1031</f>
        <v>0</v>
      </c>
      <c r="Q1031" s="447">
        <f>+O1031*K1031</f>
        <v>0</v>
      </c>
    </row>
    <row r="1032" spans="1:17" ht="23.4" x14ac:dyDescent="0.3">
      <c r="A1032" s="274"/>
      <c r="B1032" s="439"/>
      <c r="C1032" s="269" t="s">
        <v>563</v>
      </c>
      <c r="D1032" s="270"/>
      <c r="E1032" s="271"/>
      <c r="F1032" s="332"/>
      <c r="G1032" s="272">
        <v>39600</v>
      </c>
      <c r="H1032" s="272">
        <v>5280</v>
      </c>
      <c r="I1032" s="351"/>
      <c r="J1032" s="332">
        <f>+K1032+L1032</f>
        <v>291344</v>
      </c>
      <c r="K1032" s="272">
        <f t="shared" si="857"/>
        <v>242320</v>
      </c>
      <c r="L1032" s="435">
        <f t="shared" si="857"/>
        <v>49024</v>
      </c>
      <c r="M1032" s="336"/>
      <c r="N1032" s="343"/>
      <c r="O1032" s="786">
        <v>1.5669</v>
      </c>
      <c r="P1032" s="402">
        <f t="shared" ref="P1032:P1036" si="859">+O1032*G1032</f>
        <v>62049.24</v>
      </c>
      <c r="Q1032" s="447">
        <f t="shared" ref="Q1032:Q1036" si="860">+O1032*K1032</f>
        <v>379691.20799999998</v>
      </c>
    </row>
    <row r="1033" spans="1:17" ht="23.4" x14ac:dyDescent="0.3">
      <c r="A1033" s="274" t="s">
        <v>103</v>
      </c>
      <c r="B1033" s="438"/>
      <c r="C1033" s="275" t="s">
        <v>245</v>
      </c>
      <c r="D1033" s="276"/>
      <c r="E1033" s="277"/>
      <c r="F1033" s="333">
        <f t="shared" ref="F1033:F1036" si="861">+G1033+H1033</f>
        <v>0</v>
      </c>
      <c r="G1033" s="719"/>
      <c r="H1033" s="719"/>
      <c r="I1033" s="351" t="str">
        <f t="shared" ref="I1033:I1036" si="862">IFERROR(F1033/E1033,"-")</f>
        <v>-</v>
      </c>
      <c r="J1033" s="333">
        <f t="shared" ref="J1033:J1036" si="863">+K1033+L1033</f>
        <v>115874</v>
      </c>
      <c r="K1033" s="278">
        <f t="shared" si="857"/>
        <v>115000</v>
      </c>
      <c r="L1033" s="436">
        <f t="shared" si="857"/>
        <v>874</v>
      </c>
      <c r="M1033" s="337" t="str">
        <f t="shared" ref="M1033:M1036" si="864">IFERROR(J1033/D1033,"-")</f>
        <v>-</v>
      </c>
      <c r="N1033" s="265">
        <f t="shared" ref="N1033" si="865">IFERROR(L1033/J1033,"-")</f>
        <v>7.5426756649464074E-3</v>
      </c>
      <c r="O1033" s="508">
        <v>2.3978999999999999</v>
      </c>
      <c r="P1033" s="404">
        <f t="shared" si="859"/>
        <v>0</v>
      </c>
      <c r="Q1033" s="449">
        <f t="shared" si="860"/>
        <v>275758.5</v>
      </c>
    </row>
    <row r="1034" spans="1:17" ht="23.4" x14ac:dyDescent="0.3">
      <c r="A1034" s="274" t="s">
        <v>103</v>
      </c>
      <c r="B1034" s="438"/>
      <c r="C1034" s="275" t="s">
        <v>395</v>
      </c>
      <c r="D1034" s="276"/>
      <c r="E1034" s="277"/>
      <c r="F1034" s="333">
        <f t="shared" si="861"/>
        <v>26757</v>
      </c>
      <c r="G1034" s="278">
        <v>26500</v>
      </c>
      <c r="H1034" s="719">
        <v>257</v>
      </c>
      <c r="I1034" s="351" t="str">
        <f t="shared" si="862"/>
        <v>-</v>
      </c>
      <c r="J1034" s="333">
        <f t="shared" si="863"/>
        <v>1164485</v>
      </c>
      <c r="K1034" s="278">
        <f t="shared" si="857"/>
        <v>1153250</v>
      </c>
      <c r="L1034" s="436">
        <f t="shared" si="857"/>
        <v>11235</v>
      </c>
      <c r="M1034" s="337" t="str">
        <f t="shared" si="864"/>
        <v>-</v>
      </c>
      <c r="N1034" s="716">
        <f>IFERROR(L1034/J1034,"-")</f>
        <v>9.6480418382375033E-3</v>
      </c>
      <c r="O1034" s="718">
        <v>3.6777000000000002</v>
      </c>
      <c r="P1034" s="404">
        <f t="shared" si="859"/>
        <v>97459.05</v>
      </c>
      <c r="Q1034" s="449">
        <f t="shared" si="860"/>
        <v>4241307.5250000004</v>
      </c>
    </row>
    <row r="1035" spans="1:17" ht="23.4" x14ac:dyDescent="0.3">
      <c r="A1035" s="274"/>
      <c r="B1035" s="451"/>
      <c r="C1035" s="275" t="s">
        <v>319</v>
      </c>
      <c r="D1035" s="280"/>
      <c r="E1035" s="281"/>
      <c r="F1035" s="333">
        <f t="shared" si="861"/>
        <v>11120</v>
      </c>
      <c r="G1035" s="282">
        <v>11000</v>
      </c>
      <c r="H1035" s="282">
        <v>120</v>
      </c>
      <c r="I1035" s="351" t="str">
        <f t="shared" si="862"/>
        <v>-</v>
      </c>
      <c r="J1035" s="333">
        <f t="shared" si="863"/>
        <v>445682</v>
      </c>
      <c r="K1035" s="278">
        <f t="shared" si="857"/>
        <v>439800</v>
      </c>
      <c r="L1035" s="436">
        <f t="shared" si="857"/>
        <v>5882</v>
      </c>
      <c r="M1035" s="337" t="str">
        <f t="shared" si="864"/>
        <v>-</v>
      </c>
      <c r="N1035" s="265">
        <f>IFERROR(L1035/J1035,"-")</f>
        <v>1.3197750862722749E-2</v>
      </c>
      <c r="O1035" s="509">
        <v>12.284700000000001</v>
      </c>
      <c r="P1035" s="404">
        <f t="shared" si="859"/>
        <v>135131.70000000001</v>
      </c>
      <c r="Q1035" s="449">
        <f t="shared" si="860"/>
        <v>5402811.0600000005</v>
      </c>
    </row>
    <row r="1036" spans="1:17" ht="24" thickBot="1" x14ac:dyDescent="0.35">
      <c r="A1036" s="274" t="s">
        <v>103</v>
      </c>
      <c r="B1036" s="451"/>
      <c r="C1036" s="275" t="s">
        <v>365</v>
      </c>
      <c r="D1036" s="280"/>
      <c r="E1036" s="281"/>
      <c r="F1036" s="334">
        <f t="shared" si="861"/>
        <v>0</v>
      </c>
      <c r="G1036" s="282"/>
      <c r="H1036" s="282"/>
      <c r="I1036" s="351" t="str">
        <f t="shared" si="862"/>
        <v>-</v>
      </c>
      <c r="J1036" s="460">
        <f t="shared" si="863"/>
        <v>45034</v>
      </c>
      <c r="K1036" s="461">
        <f t="shared" si="857"/>
        <v>44250</v>
      </c>
      <c r="L1036" s="462">
        <f t="shared" si="857"/>
        <v>784</v>
      </c>
      <c r="M1036" s="338" t="str">
        <f t="shared" si="864"/>
        <v>-</v>
      </c>
      <c r="N1036" s="344">
        <f t="shared" ref="N1036:N1048" si="866">IFERROR(L1036/J1036,"-")</f>
        <v>1.7409068703646134E-2</v>
      </c>
      <c r="O1036" s="718">
        <v>7.0612000000000004</v>
      </c>
      <c r="P1036" s="405">
        <f t="shared" si="859"/>
        <v>0</v>
      </c>
      <c r="Q1036" s="450">
        <f t="shared" si="860"/>
        <v>312458.10000000003</v>
      </c>
    </row>
    <row r="1037" spans="1:17" ht="24" thickBot="1" x14ac:dyDescent="0.35">
      <c r="A1037" s="274" t="s">
        <v>103</v>
      </c>
      <c r="B1037" s="1109" t="s">
        <v>21</v>
      </c>
      <c r="C1037" s="1046"/>
      <c r="D1037" s="320">
        <f>SUM(D1031:D1036)</f>
        <v>0</v>
      </c>
      <c r="E1037" s="285">
        <v>15000</v>
      </c>
      <c r="F1037" s="320">
        <f>SUM(F1031:F1036)</f>
        <v>37877</v>
      </c>
      <c r="G1037" s="321">
        <f>SUM(G1031:G1036)</f>
        <v>77100</v>
      </c>
      <c r="H1037" s="321">
        <f>SUM(H1031:H1036)</f>
        <v>5657</v>
      </c>
      <c r="I1037" s="345">
        <f>IFERROR(F1037/E1037,"-")</f>
        <v>2.5251333333333332</v>
      </c>
      <c r="J1037" s="320">
        <f>SUM(J1031:J1036)</f>
        <v>2190419</v>
      </c>
      <c r="K1037" s="321">
        <f>SUM(K1031:K1036)</f>
        <v>2122620</v>
      </c>
      <c r="L1037" s="322">
        <f>SUM(L1031:L1036)</f>
        <v>67799</v>
      </c>
      <c r="M1037" s="339" t="str">
        <f>IFERROR(J1037/D1037,"-")</f>
        <v>-</v>
      </c>
      <c r="N1037" s="345">
        <f t="shared" si="866"/>
        <v>3.0952525521372853E-2</v>
      </c>
      <c r="O1037" s="391"/>
      <c r="P1037" s="406">
        <f>SUM(P1031:P1036)</f>
        <v>294639.99</v>
      </c>
      <c r="Q1037" s="425">
        <f>SUM(Q1031:Q1036)</f>
        <v>10612026.393000001</v>
      </c>
    </row>
    <row r="1038" spans="1:17" ht="23.4" x14ac:dyDescent="0.3">
      <c r="A1038" s="274" t="s">
        <v>103</v>
      </c>
      <c r="B1038" s="439"/>
      <c r="C1038" s="269" t="s">
        <v>244</v>
      </c>
      <c r="D1038" s="270"/>
      <c r="E1038" s="271"/>
      <c r="F1038" s="332">
        <f t="shared" ref="F1038:F1044" si="867">+G1038+H1038</f>
        <v>8854</v>
      </c>
      <c r="G1038" s="272">
        <v>8640</v>
      </c>
      <c r="H1038" s="272">
        <v>214</v>
      </c>
      <c r="I1038" s="351" t="str">
        <f>IFERROR(F1038/E1038,"-")</f>
        <v>-</v>
      </c>
      <c r="J1038" s="457">
        <f t="shared" ref="J1038:J1044" si="868">+K1038+L1038</f>
        <v>39926</v>
      </c>
      <c r="K1038" s="458">
        <f t="shared" ref="K1038:L1044" si="869">+G1038+K972</f>
        <v>38880</v>
      </c>
      <c r="L1038" s="459">
        <f t="shared" si="869"/>
        <v>1046</v>
      </c>
      <c r="M1038" s="336" t="str">
        <f t="shared" ref="M1038:M1046" si="870">IFERROR(J1038/D1038,"-")</f>
        <v>-</v>
      </c>
      <c r="N1038" s="346">
        <f t="shared" si="866"/>
        <v>2.6198467164253871E-2</v>
      </c>
      <c r="O1038" s="507">
        <v>18.2316</v>
      </c>
      <c r="P1038" s="402">
        <f t="shared" ref="P1038:P1044" si="871">+O1038*G1038</f>
        <v>157521.024</v>
      </c>
      <c r="Q1038" s="447">
        <f t="shared" ref="Q1038:Q1044" si="872">+O1038*K1038</f>
        <v>708844.60800000001</v>
      </c>
    </row>
    <row r="1039" spans="1:17" ht="23.4" x14ac:dyDescent="0.3">
      <c r="A1039" s="274" t="s">
        <v>103</v>
      </c>
      <c r="B1039" s="438"/>
      <c r="C1039" s="275" t="s">
        <v>89</v>
      </c>
      <c r="D1039" s="276"/>
      <c r="E1039" s="277"/>
      <c r="F1039" s="333">
        <f t="shared" si="867"/>
        <v>0</v>
      </c>
      <c r="G1039" s="278">
        <v>0</v>
      </c>
      <c r="H1039" s="278">
        <v>0</v>
      </c>
      <c r="I1039" s="351" t="str">
        <f t="shared" ref="I1039:I1044" si="873">IFERROR(F1039/E1039,"-")</f>
        <v>-</v>
      </c>
      <c r="J1039" s="333">
        <f t="shared" si="868"/>
        <v>240000</v>
      </c>
      <c r="K1039" s="278">
        <f t="shared" si="869"/>
        <v>240000</v>
      </c>
      <c r="L1039" s="436">
        <f t="shared" si="869"/>
        <v>0</v>
      </c>
      <c r="M1039" s="337" t="str">
        <f t="shared" si="870"/>
        <v>-</v>
      </c>
      <c r="N1039" s="263">
        <f t="shared" si="866"/>
        <v>0</v>
      </c>
      <c r="O1039" s="508">
        <v>1.2824</v>
      </c>
      <c r="P1039" s="404">
        <f t="shared" si="871"/>
        <v>0</v>
      </c>
      <c r="Q1039" s="449">
        <f t="shared" si="872"/>
        <v>307776</v>
      </c>
    </row>
    <row r="1040" spans="1:17" ht="23.4" x14ac:dyDescent="0.3">
      <c r="A1040" s="274" t="s">
        <v>103</v>
      </c>
      <c r="B1040" s="438"/>
      <c r="C1040" s="275" t="s">
        <v>300</v>
      </c>
      <c r="D1040" s="276"/>
      <c r="E1040" s="277"/>
      <c r="F1040" s="333">
        <f t="shared" si="867"/>
        <v>0</v>
      </c>
      <c r="G1040" s="278"/>
      <c r="H1040" s="278"/>
      <c r="I1040" s="351" t="str">
        <f t="shared" si="873"/>
        <v>-</v>
      </c>
      <c r="J1040" s="333">
        <f t="shared" si="868"/>
        <v>0</v>
      </c>
      <c r="K1040" s="278">
        <f t="shared" si="869"/>
        <v>0</v>
      </c>
      <c r="L1040" s="436">
        <f t="shared" si="869"/>
        <v>0</v>
      </c>
      <c r="M1040" s="337" t="str">
        <f t="shared" si="870"/>
        <v>-</v>
      </c>
      <c r="N1040" s="263" t="str">
        <f t="shared" si="866"/>
        <v>-</v>
      </c>
      <c r="O1040" s="710">
        <v>5.7342000000000004</v>
      </c>
      <c r="P1040" s="404">
        <f t="shared" si="871"/>
        <v>0</v>
      </c>
      <c r="Q1040" s="449">
        <f t="shared" si="872"/>
        <v>0</v>
      </c>
    </row>
    <row r="1041" spans="1:17" ht="23.4" x14ac:dyDescent="0.3">
      <c r="A1041" s="274" t="s">
        <v>103</v>
      </c>
      <c r="B1041" s="438"/>
      <c r="C1041" s="275" t="s">
        <v>314</v>
      </c>
      <c r="D1041" s="276"/>
      <c r="E1041" s="277"/>
      <c r="F1041" s="333">
        <f t="shared" si="867"/>
        <v>0</v>
      </c>
      <c r="G1041" s="278"/>
      <c r="H1041" s="278"/>
      <c r="I1041" s="351" t="str">
        <f t="shared" si="873"/>
        <v>-</v>
      </c>
      <c r="J1041" s="333">
        <f t="shared" si="868"/>
        <v>0</v>
      </c>
      <c r="K1041" s="278">
        <f t="shared" si="869"/>
        <v>0</v>
      </c>
      <c r="L1041" s="436">
        <f t="shared" si="869"/>
        <v>0</v>
      </c>
      <c r="M1041" s="337" t="str">
        <f t="shared" si="870"/>
        <v>-</v>
      </c>
      <c r="N1041" s="263" t="str">
        <f t="shared" si="866"/>
        <v>-</v>
      </c>
      <c r="O1041" s="508"/>
      <c r="P1041" s="404">
        <f t="shared" si="871"/>
        <v>0</v>
      </c>
      <c r="Q1041" s="449">
        <f t="shared" si="872"/>
        <v>0</v>
      </c>
    </row>
    <row r="1042" spans="1:17" ht="23.4" x14ac:dyDescent="0.3">
      <c r="A1042" s="274" t="s">
        <v>103</v>
      </c>
      <c r="B1042" s="438"/>
      <c r="C1042" s="275" t="s">
        <v>320</v>
      </c>
      <c r="D1042" s="276"/>
      <c r="E1042" s="277"/>
      <c r="F1042" s="333">
        <f t="shared" si="867"/>
        <v>0</v>
      </c>
      <c r="G1042" s="278">
        <v>0</v>
      </c>
      <c r="H1042" s="278">
        <v>0</v>
      </c>
      <c r="I1042" s="351" t="str">
        <f t="shared" si="873"/>
        <v>-</v>
      </c>
      <c r="J1042" s="333">
        <f t="shared" si="868"/>
        <v>111859</v>
      </c>
      <c r="K1042" s="278">
        <f t="shared" si="869"/>
        <v>111400</v>
      </c>
      <c r="L1042" s="436">
        <f t="shared" si="869"/>
        <v>459</v>
      </c>
      <c r="M1042" s="337" t="str">
        <f t="shared" si="870"/>
        <v>-</v>
      </c>
      <c r="N1042" s="263">
        <f t="shared" si="866"/>
        <v>4.1033801482223157E-3</v>
      </c>
      <c r="O1042" s="508">
        <v>12.029500000000001</v>
      </c>
      <c r="P1042" s="404">
        <f t="shared" si="871"/>
        <v>0</v>
      </c>
      <c r="Q1042" s="449">
        <f t="shared" si="872"/>
        <v>1340086.3</v>
      </c>
    </row>
    <row r="1043" spans="1:17" ht="23.4" x14ac:dyDescent="0.3">
      <c r="A1043" s="274" t="s">
        <v>103</v>
      </c>
      <c r="B1043" s="438"/>
      <c r="C1043" s="275"/>
      <c r="D1043" s="276"/>
      <c r="E1043" s="277"/>
      <c r="F1043" s="333">
        <f t="shared" si="867"/>
        <v>0</v>
      </c>
      <c r="G1043" s="278"/>
      <c r="H1043" s="278"/>
      <c r="I1043" s="351" t="str">
        <f t="shared" si="873"/>
        <v>-</v>
      </c>
      <c r="J1043" s="333">
        <f t="shared" si="868"/>
        <v>0</v>
      </c>
      <c r="K1043" s="278">
        <f t="shared" si="869"/>
        <v>0</v>
      </c>
      <c r="L1043" s="436">
        <f t="shared" si="869"/>
        <v>0</v>
      </c>
      <c r="M1043" s="337" t="str">
        <f t="shared" si="870"/>
        <v>-</v>
      </c>
      <c r="N1043" s="263" t="str">
        <f t="shared" si="866"/>
        <v>-</v>
      </c>
      <c r="O1043" s="508"/>
      <c r="P1043" s="404">
        <f t="shared" si="871"/>
        <v>0</v>
      </c>
      <c r="Q1043" s="449">
        <f t="shared" si="872"/>
        <v>0</v>
      </c>
    </row>
    <row r="1044" spans="1:17" ht="24" thickBot="1" x14ac:dyDescent="0.35">
      <c r="A1044" s="274" t="s">
        <v>103</v>
      </c>
      <c r="B1044" s="451"/>
      <c r="C1044" s="279"/>
      <c r="D1044" s="280">
        <v>0</v>
      </c>
      <c r="E1044" s="281"/>
      <c r="F1044" s="334">
        <f t="shared" si="867"/>
        <v>0</v>
      </c>
      <c r="G1044" s="282"/>
      <c r="H1044" s="282"/>
      <c r="I1044" s="351" t="str">
        <f t="shared" si="873"/>
        <v>-</v>
      </c>
      <c r="J1044" s="460">
        <f t="shared" si="868"/>
        <v>0</v>
      </c>
      <c r="K1044" s="461">
        <f t="shared" si="869"/>
        <v>0</v>
      </c>
      <c r="L1044" s="462">
        <f t="shared" si="869"/>
        <v>0</v>
      </c>
      <c r="M1044" s="338" t="str">
        <f t="shared" si="870"/>
        <v>-</v>
      </c>
      <c r="N1044" s="347" t="str">
        <f t="shared" si="866"/>
        <v>-</v>
      </c>
      <c r="O1044" s="509"/>
      <c r="P1044" s="405">
        <f t="shared" si="871"/>
        <v>0</v>
      </c>
      <c r="Q1044" s="450">
        <f t="shared" si="872"/>
        <v>0</v>
      </c>
    </row>
    <row r="1045" spans="1:17" ht="24" thickBot="1" x14ac:dyDescent="0.35">
      <c r="A1045" s="274" t="s">
        <v>103</v>
      </c>
      <c r="B1045" s="1109" t="s">
        <v>25</v>
      </c>
      <c r="C1045" s="1046"/>
      <c r="D1045" s="320">
        <f t="shared" ref="D1045" si="874">SUM(D1038:D1044)</f>
        <v>0</v>
      </c>
      <c r="E1045" s="285">
        <v>100000</v>
      </c>
      <c r="F1045" s="320">
        <f>SUM(F1038:F1044)</f>
        <v>8854</v>
      </c>
      <c r="G1045" s="321">
        <f t="shared" ref="G1045:H1045" si="875">SUM(G1038:G1044)</f>
        <v>8640</v>
      </c>
      <c r="H1045" s="321">
        <f t="shared" si="875"/>
        <v>214</v>
      </c>
      <c r="I1045" s="345">
        <f>IFERROR(F1045/E1045,"-")</f>
        <v>8.8539999999999994E-2</v>
      </c>
      <c r="J1045" s="320">
        <f t="shared" ref="J1045:L1045" si="876">SUM(J1038:J1044)</f>
        <v>391785</v>
      </c>
      <c r="K1045" s="321">
        <f t="shared" si="876"/>
        <v>390280</v>
      </c>
      <c r="L1045" s="322">
        <f t="shared" si="876"/>
        <v>1505</v>
      </c>
      <c r="M1045" s="339" t="str">
        <f t="shared" si="870"/>
        <v>-</v>
      </c>
      <c r="N1045" s="345">
        <f t="shared" si="866"/>
        <v>3.8413926005334558E-3</v>
      </c>
      <c r="O1045" s="391"/>
      <c r="P1045" s="406">
        <f t="shared" ref="P1045:Q1045" si="877">SUM(P1038:P1044)</f>
        <v>157521.024</v>
      </c>
      <c r="Q1045" s="425">
        <f t="shared" si="877"/>
        <v>2356706.9079999998</v>
      </c>
    </row>
    <row r="1046" spans="1:17" ht="24" thickBot="1" x14ac:dyDescent="0.35">
      <c r="A1046" s="274" t="s">
        <v>103</v>
      </c>
      <c r="B1046" s="1111" t="s">
        <v>172</v>
      </c>
      <c r="C1046" s="1112"/>
      <c r="D1046" s="326">
        <f>+D1037+D1045</f>
        <v>0</v>
      </c>
      <c r="E1046" s="327">
        <f t="shared" ref="E1046:H1046" si="878">+E1037+E1045</f>
        <v>115000</v>
      </c>
      <c r="F1046" s="512">
        <f t="shared" si="878"/>
        <v>46731</v>
      </c>
      <c r="G1046" s="514">
        <f t="shared" si="878"/>
        <v>85740</v>
      </c>
      <c r="H1046" s="514">
        <f t="shared" si="878"/>
        <v>5871</v>
      </c>
      <c r="I1046" s="515">
        <f>IFERROR(F1046/E1046,"-")</f>
        <v>0.40635652173913045</v>
      </c>
      <c r="J1046" s="326">
        <f t="shared" ref="J1046:L1046" si="879">+J1037+J1045</f>
        <v>2582204</v>
      </c>
      <c r="K1046" s="324">
        <f t="shared" si="879"/>
        <v>2512900</v>
      </c>
      <c r="L1046" s="325">
        <f t="shared" si="879"/>
        <v>69304</v>
      </c>
      <c r="M1046" s="341" t="str">
        <f t="shared" si="870"/>
        <v>-</v>
      </c>
      <c r="N1046" s="349">
        <f t="shared" si="866"/>
        <v>2.6839087848984821E-2</v>
      </c>
      <c r="O1046" s="394"/>
      <c r="P1046" s="410">
        <f t="shared" ref="P1046:Q1046" si="880">+P1037+P1045</f>
        <v>452161.01399999997</v>
      </c>
      <c r="Q1046" s="428">
        <f t="shared" si="880"/>
        <v>12968733.301000001</v>
      </c>
    </row>
    <row r="1047" spans="1:17" ht="23.4" x14ac:dyDescent="0.3">
      <c r="A1047" s="244" t="s">
        <v>101</v>
      </c>
      <c r="B1047" s="581"/>
      <c r="C1047" s="582" t="s">
        <v>283</v>
      </c>
      <c r="D1047" s="527"/>
      <c r="E1047" s="459"/>
      <c r="F1047" s="457">
        <f>+G1047+H1047</f>
        <v>0</v>
      </c>
      <c r="G1047" s="458"/>
      <c r="H1047" s="838"/>
      <c r="I1047" s="531" t="str">
        <f>IFERROR(F1047/E1047,"-")</f>
        <v>-</v>
      </c>
      <c r="J1047" s="644">
        <f>+K1047+L1047</f>
        <v>0</v>
      </c>
      <c r="K1047" s="458">
        <f t="shared" ref="K1047:L1053" si="881">+G1047+K981</f>
        <v>0</v>
      </c>
      <c r="L1047" s="459">
        <f t="shared" si="881"/>
        <v>0</v>
      </c>
      <c r="M1047" s="586" t="str">
        <f>IFERROR(J1047/D1047,"-")</f>
        <v>-</v>
      </c>
      <c r="N1047" s="533" t="str">
        <f t="shared" si="866"/>
        <v>-</v>
      </c>
      <c r="O1047" s="628">
        <v>4.8285999999999998</v>
      </c>
      <c r="P1047" s="534">
        <f t="shared" ref="P1047:P1053" si="882">+O1047*G1047</f>
        <v>0</v>
      </c>
      <c r="Q1047" s="535">
        <f t="shared" ref="Q1047:Q1053" si="883">+O1047*K1047</f>
        <v>0</v>
      </c>
    </row>
    <row r="1048" spans="1:17" ht="23.4" x14ac:dyDescent="0.3">
      <c r="A1048" s="248" t="s">
        <v>101</v>
      </c>
      <c r="B1048" s="583"/>
      <c r="C1048" s="275" t="s">
        <v>284</v>
      </c>
      <c r="D1048" s="276"/>
      <c r="E1048" s="436"/>
      <c r="F1048" s="333">
        <f t="shared" ref="F1048:F1053" si="884">+G1048+H1048</f>
        <v>0</v>
      </c>
      <c r="G1048" s="278"/>
      <c r="H1048" s="277"/>
      <c r="I1048" s="352" t="str">
        <f t="shared" ref="I1048:I1053" si="885">IFERROR(F1048/E1048,"-")</f>
        <v>-</v>
      </c>
      <c r="J1048" s="874">
        <f t="shared" ref="J1048:J1053" si="886">+K1048+L1048</f>
        <v>0</v>
      </c>
      <c r="K1048" s="278">
        <f t="shared" si="881"/>
        <v>0</v>
      </c>
      <c r="L1048" s="436">
        <f t="shared" si="881"/>
        <v>0</v>
      </c>
      <c r="M1048" s="337" t="str">
        <f t="shared" ref="M1048:M1053" si="887">IFERROR(J1048/D1048,"-")</f>
        <v>-</v>
      </c>
      <c r="N1048" s="265" t="str">
        <f t="shared" si="866"/>
        <v>-</v>
      </c>
      <c r="O1048" s="629">
        <v>1.4086000000000001</v>
      </c>
      <c r="P1048" s="404">
        <f t="shared" si="882"/>
        <v>0</v>
      </c>
      <c r="Q1048" s="449">
        <f t="shared" si="883"/>
        <v>0</v>
      </c>
    </row>
    <row r="1049" spans="1:17" ht="23.4" x14ac:dyDescent="0.3">
      <c r="A1049" s="248" t="s">
        <v>101</v>
      </c>
      <c r="B1049" s="583"/>
      <c r="C1049" s="275" t="s">
        <v>315</v>
      </c>
      <c r="D1049" s="276"/>
      <c r="E1049" s="436"/>
      <c r="F1049" s="333">
        <f t="shared" si="884"/>
        <v>0</v>
      </c>
      <c r="G1049" s="278"/>
      <c r="H1049" s="277"/>
      <c r="I1049" s="352" t="str">
        <f t="shared" si="885"/>
        <v>-</v>
      </c>
      <c r="J1049" s="874">
        <f t="shared" si="886"/>
        <v>0</v>
      </c>
      <c r="K1049" s="278">
        <f t="shared" si="881"/>
        <v>0</v>
      </c>
      <c r="L1049" s="436">
        <f t="shared" si="881"/>
        <v>0</v>
      </c>
      <c r="M1049" s="337" t="str">
        <f t="shared" si="887"/>
        <v>-</v>
      </c>
      <c r="N1049" s="265" t="str">
        <f>IFERROR(L1049/J1049,"-")</f>
        <v>-</v>
      </c>
      <c r="O1049" s="629">
        <v>2.2141000000000002</v>
      </c>
      <c r="P1049" s="404">
        <f t="shared" si="882"/>
        <v>0</v>
      </c>
      <c r="Q1049" s="449">
        <f t="shared" si="883"/>
        <v>0</v>
      </c>
    </row>
    <row r="1050" spans="1:17" ht="23.4" x14ac:dyDescent="0.3">
      <c r="A1050" s="248" t="s">
        <v>101</v>
      </c>
      <c r="B1050" s="584"/>
      <c r="C1050" s="275" t="s">
        <v>447</v>
      </c>
      <c r="D1050" s="280"/>
      <c r="E1050" s="528"/>
      <c r="F1050" s="334">
        <f t="shared" si="884"/>
        <v>0</v>
      </c>
      <c r="G1050" s="282">
        <v>0</v>
      </c>
      <c r="H1050" s="281">
        <v>0</v>
      </c>
      <c r="I1050" s="352" t="str">
        <f t="shared" si="885"/>
        <v>-</v>
      </c>
      <c r="J1050" s="874">
        <f t="shared" si="886"/>
        <v>947269</v>
      </c>
      <c r="K1050" s="278">
        <f t="shared" si="881"/>
        <v>935250</v>
      </c>
      <c r="L1050" s="436">
        <f t="shared" si="881"/>
        <v>12019</v>
      </c>
      <c r="M1050" s="338" t="str">
        <f t="shared" si="887"/>
        <v>-</v>
      </c>
      <c r="N1050" s="344">
        <f t="shared" ref="N1050:N1057" si="888">IFERROR(L1050/J1050,"-")</f>
        <v>1.2688053762975458E-2</v>
      </c>
      <c r="O1050" s="629">
        <v>2.2141000000000002</v>
      </c>
      <c r="P1050" s="405">
        <f t="shared" si="882"/>
        <v>0</v>
      </c>
      <c r="Q1050" s="450">
        <f t="shared" si="883"/>
        <v>2070737.0250000001</v>
      </c>
    </row>
    <row r="1051" spans="1:17" ht="23.4" x14ac:dyDescent="0.3">
      <c r="A1051" s="248" t="s">
        <v>101</v>
      </c>
      <c r="B1051" s="440"/>
      <c r="C1051" s="627" t="s">
        <v>353</v>
      </c>
      <c r="D1051" s="510"/>
      <c r="E1051" s="529"/>
      <c r="F1051" s="333">
        <f t="shared" si="884"/>
        <v>0</v>
      </c>
      <c r="G1051" s="547"/>
      <c r="H1051" s="873"/>
      <c r="I1051" s="352" t="str">
        <f t="shared" si="885"/>
        <v>-</v>
      </c>
      <c r="J1051" s="874">
        <f t="shared" si="886"/>
        <v>0</v>
      </c>
      <c r="K1051" s="278">
        <f t="shared" si="881"/>
        <v>0</v>
      </c>
      <c r="L1051" s="436">
        <f t="shared" si="881"/>
        <v>0</v>
      </c>
      <c r="M1051" s="338" t="str">
        <f t="shared" si="887"/>
        <v>-</v>
      </c>
      <c r="N1051" s="265" t="str">
        <f t="shared" si="888"/>
        <v>-</v>
      </c>
      <c r="O1051" s="540">
        <v>4.8285999999999998</v>
      </c>
      <c r="P1051" s="404">
        <f t="shared" si="882"/>
        <v>0</v>
      </c>
      <c r="Q1051" s="449">
        <f t="shared" si="883"/>
        <v>0</v>
      </c>
    </row>
    <row r="1052" spans="1:17" ht="23.4" x14ac:dyDescent="0.3">
      <c r="A1052" s="248" t="s">
        <v>101</v>
      </c>
      <c r="B1052" s="585"/>
      <c r="C1052" s="627" t="s">
        <v>349</v>
      </c>
      <c r="D1052" s="270"/>
      <c r="E1052" s="435"/>
      <c r="F1052" s="332">
        <f t="shared" si="884"/>
        <v>0</v>
      </c>
      <c r="G1052" s="272"/>
      <c r="H1052" s="271"/>
      <c r="I1052" s="352" t="str">
        <f t="shared" si="885"/>
        <v>-</v>
      </c>
      <c r="J1052" s="874">
        <f t="shared" si="886"/>
        <v>17157</v>
      </c>
      <c r="K1052" s="278">
        <f t="shared" si="881"/>
        <v>16250</v>
      </c>
      <c r="L1052" s="436">
        <f t="shared" si="881"/>
        <v>907</v>
      </c>
      <c r="M1052" s="336" t="str">
        <f t="shared" si="887"/>
        <v>-</v>
      </c>
      <c r="N1052" s="346">
        <f t="shared" si="888"/>
        <v>5.2864719939383339E-2</v>
      </c>
      <c r="O1052" s="507">
        <v>4.1712999999999996</v>
      </c>
      <c r="P1052" s="402">
        <f t="shared" si="882"/>
        <v>0</v>
      </c>
      <c r="Q1052" s="447">
        <f t="shared" si="883"/>
        <v>67783.625</v>
      </c>
    </row>
    <row r="1053" spans="1:17" ht="24" thickBot="1" x14ac:dyDescent="0.35">
      <c r="A1053" s="248" t="s">
        <v>101</v>
      </c>
      <c r="B1053" s="583"/>
      <c r="C1053" s="275"/>
      <c r="D1053" s="276"/>
      <c r="E1053" s="436"/>
      <c r="F1053" s="460">
        <f t="shared" si="884"/>
        <v>0</v>
      </c>
      <c r="G1053" s="461"/>
      <c r="H1053" s="839"/>
      <c r="I1053" s="532" t="str">
        <f t="shared" si="885"/>
        <v>-</v>
      </c>
      <c r="J1053" s="875">
        <f t="shared" si="886"/>
        <v>0</v>
      </c>
      <c r="K1053" s="461">
        <f t="shared" si="881"/>
        <v>0</v>
      </c>
      <c r="L1053" s="462">
        <f t="shared" si="881"/>
        <v>0</v>
      </c>
      <c r="M1053" s="337" t="str">
        <f t="shared" si="887"/>
        <v>-</v>
      </c>
      <c r="N1053" s="263" t="str">
        <f t="shared" si="888"/>
        <v>-</v>
      </c>
      <c r="O1053" s="448"/>
      <c r="P1053" s="404">
        <f t="shared" si="882"/>
        <v>0</v>
      </c>
      <c r="Q1053" s="449">
        <f t="shared" si="883"/>
        <v>0</v>
      </c>
    </row>
    <row r="1054" spans="1:17" ht="24" thickBot="1" x14ac:dyDescent="0.35">
      <c r="A1054" s="274" t="s">
        <v>101</v>
      </c>
      <c r="B1054" s="1109" t="s">
        <v>21</v>
      </c>
      <c r="C1054" s="1046"/>
      <c r="D1054" s="320">
        <v>0</v>
      </c>
      <c r="E1054" s="285">
        <v>15000</v>
      </c>
      <c r="F1054" s="513">
        <f>SUM(F1047:F1053)</f>
        <v>0</v>
      </c>
      <c r="G1054" s="519">
        <f t="shared" ref="G1054:H1054" si="889">SUM(G1047:G1053)</f>
        <v>0</v>
      </c>
      <c r="H1054" s="519">
        <f t="shared" si="889"/>
        <v>0</v>
      </c>
      <c r="I1054" s="520">
        <f>IFERROR(F1054/E1054,"-")</f>
        <v>0</v>
      </c>
      <c r="J1054" s="513">
        <f t="shared" ref="J1054" si="890">SUM(J1047:J1053)</f>
        <v>964426</v>
      </c>
      <c r="K1054" s="519">
        <f>SUM(K1047:K1053)</f>
        <v>951500</v>
      </c>
      <c r="L1054" s="519">
        <f>SUM(L1047:L1053)</f>
        <v>12926</v>
      </c>
      <c r="M1054" s="339" t="str">
        <f>IFERROR(J1054/D1054,"-")</f>
        <v>-</v>
      </c>
      <c r="N1054" s="345">
        <f t="shared" si="888"/>
        <v>1.3402790882867114E-2</v>
      </c>
      <c r="O1054" s="391"/>
      <c r="P1054" s="406">
        <f>SUM(P1047:P1053)</f>
        <v>0</v>
      </c>
      <c r="Q1054" s="425">
        <f>SUM(Q1047:Q1053)</f>
        <v>2138520.6500000004</v>
      </c>
    </row>
    <row r="1055" spans="1:17" ht="24" thickBot="1" x14ac:dyDescent="0.35">
      <c r="A1055" s="274" t="s">
        <v>101</v>
      </c>
      <c r="B1055" s="1111" t="s">
        <v>248</v>
      </c>
      <c r="C1055" s="1112"/>
      <c r="D1055" s="512">
        <f>+D1051+D1054</f>
        <v>0</v>
      </c>
      <c r="E1055" s="525">
        <f>+E1051+E1054</f>
        <v>15000</v>
      </c>
      <c r="F1055" s="512">
        <f>+F1051+F1054</f>
        <v>0</v>
      </c>
      <c r="G1055" s="514">
        <f>+G1051+G1054</f>
        <v>0</v>
      </c>
      <c r="H1055" s="514">
        <f>+H1051+H1054</f>
        <v>0</v>
      </c>
      <c r="I1055" s="515">
        <f>IFERROR(F1055/E1055,"-")</f>
        <v>0</v>
      </c>
      <c r="J1055" s="512">
        <f>+J1051+J1054</f>
        <v>964426</v>
      </c>
      <c r="K1055" s="514">
        <f>+K1054</f>
        <v>951500</v>
      </c>
      <c r="L1055" s="514">
        <f>+L1054</f>
        <v>12926</v>
      </c>
      <c r="M1055" s="516" t="str">
        <f t="shared" ref="M1055" si="891">IFERROR(J1055/D1055,"-")</f>
        <v>-</v>
      </c>
      <c r="N1055" s="515">
        <f t="shared" si="888"/>
        <v>1.3402790882867114E-2</v>
      </c>
      <c r="O1055" s="517"/>
      <c r="P1055" s="518">
        <f>+P1054</f>
        <v>0</v>
      </c>
      <c r="Q1055" s="518">
        <f>+Q1054</f>
        <v>2138520.6500000004</v>
      </c>
    </row>
    <row r="1056" spans="1:17" ht="23.4" x14ac:dyDescent="0.4">
      <c r="A1056" s="244" t="s">
        <v>101</v>
      </c>
      <c r="B1056" s="1106" t="s">
        <v>250</v>
      </c>
      <c r="C1056" s="542" t="s">
        <v>71</v>
      </c>
      <c r="D1056" s="527"/>
      <c r="E1056" s="459"/>
      <c r="F1056" s="694">
        <f>+G1056+H1056</f>
        <v>0</v>
      </c>
      <c r="G1056" s="527">
        <v>0</v>
      </c>
      <c r="H1056" s="458">
        <v>0</v>
      </c>
      <c r="I1056" s="531" t="str">
        <f>IFERROR(F1056/E1056,"-")</f>
        <v>-</v>
      </c>
      <c r="J1056" s="644">
        <f>+K1056+L1056</f>
        <v>41493</v>
      </c>
      <c r="K1056" s="458">
        <f t="shared" ref="K1056:K1085" si="892">+G1056+K990</f>
        <v>41000</v>
      </c>
      <c r="L1056" s="459">
        <f t="shared" ref="L1056:L1085" si="893">+H1056+L990</f>
        <v>493</v>
      </c>
      <c r="M1056" s="586" t="str">
        <f>IFERROR(J1056/D1056,"-")</f>
        <v>-</v>
      </c>
      <c r="N1056" s="533">
        <f t="shared" si="888"/>
        <v>1.188152218446485E-2</v>
      </c>
      <c r="O1056" s="538">
        <v>32.946300000000001</v>
      </c>
      <c r="P1056" s="534">
        <f t="shared" ref="P1056:P1089" si="894">+O1056*G1056</f>
        <v>0</v>
      </c>
      <c r="Q1056" s="535">
        <f t="shared" ref="Q1056:Q1089" si="895">+O1056*K1056</f>
        <v>1350798.3</v>
      </c>
    </row>
    <row r="1057" spans="1:17" ht="23.4" x14ac:dyDescent="0.4">
      <c r="A1057" s="248" t="s">
        <v>101</v>
      </c>
      <c r="B1057" s="1107"/>
      <c r="C1057" s="543" t="s">
        <v>72</v>
      </c>
      <c r="D1057" s="511"/>
      <c r="E1057" s="436"/>
      <c r="F1057" s="690">
        <f t="shared" ref="F1057:F1089" si="896">+G1057+H1057</f>
        <v>0</v>
      </c>
      <c r="G1057" s="276"/>
      <c r="H1057" s="278"/>
      <c r="I1057" s="352" t="str">
        <f t="shared" ref="I1057:I1089" si="897">IFERROR(F1057/E1057,"-")</f>
        <v>-</v>
      </c>
      <c r="J1057" s="874">
        <f t="shared" ref="J1057:J1089" si="898">+K1057+L1057</f>
        <v>10595</v>
      </c>
      <c r="K1057" s="278">
        <f t="shared" si="892"/>
        <v>10500</v>
      </c>
      <c r="L1057" s="436">
        <f t="shared" si="893"/>
        <v>95</v>
      </c>
      <c r="M1057" s="337" t="str">
        <f t="shared" ref="M1057:M1092" si="899">IFERROR(J1057/D1057,"-")</f>
        <v>-</v>
      </c>
      <c r="N1057" s="265">
        <f t="shared" si="888"/>
        <v>8.9664936290703157E-3</v>
      </c>
      <c r="O1057" s="508">
        <v>35.398400000000002</v>
      </c>
      <c r="P1057" s="404">
        <f t="shared" si="894"/>
        <v>0</v>
      </c>
      <c r="Q1057" s="449">
        <f t="shared" si="895"/>
        <v>371683.2</v>
      </c>
    </row>
    <row r="1058" spans="1:17" ht="24" thickBot="1" x14ac:dyDescent="0.45">
      <c r="A1058" s="248" t="s">
        <v>101</v>
      </c>
      <c r="B1058" s="1108"/>
      <c r="C1058" s="543" t="s">
        <v>455</v>
      </c>
      <c r="D1058" s="276"/>
      <c r="E1058" s="436"/>
      <c r="F1058" s="690">
        <f t="shared" si="896"/>
        <v>0</v>
      </c>
      <c r="G1058" s="276"/>
      <c r="H1058" s="278"/>
      <c r="I1058" s="352" t="str">
        <f t="shared" si="897"/>
        <v>-</v>
      </c>
      <c r="J1058" s="874">
        <f t="shared" si="898"/>
        <v>10147</v>
      </c>
      <c r="K1058" s="278">
        <f t="shared" si="892"/>
        <v>9900</v>
      </c>
      <c r="L1058" s="436">
        <f t="shared" si="893"/>
        <v>247</v>
      </c>
      <c r="M1058" s="337" t="str">
        <f t="shared" si="899"/>
        <v>-</v>
      </c>
      <c r="N1058" s="265">
        <f>IFERROR(L1058/J1058,"-")</f>
        <v>2.4342170099536809E-2</v>
      </c>
      <c r="O1058" s="508">
        <v>35.398400000000002</v>
      </c>
      <c r="P1058" s="404">
        <f t="shared" si="894"/>
        <v>0</v>
      </c>
      <c r="Q1058" s="449">
        <f t="shared" si="895"/>
        <v>350444.16000000003</v>
      </c>
    </row>
    <row r="1059" spans="1:17" ht="23.4" x14ac:dyDescent="0.4">
      <c r="A1059" s="248" t="s">
        <v>101</v>
      </c>
      <c r="B1059" s="1106" t="s">
        <v>251</v>
      </c>
      <c r="C1059" s="545" t="s">
        <v>75</v>
      </c>
      <c r="D1059" s="276"/>
      <c r="E1059" s="528"/>
      <c r="F1059" s="696">
        <f t="shared" si="896"/>
        <v>2329</v>
      </c>
      <c r="G1059" s="276">
        <v>2240</v>
      </c>
      <c r="H1059" s="278">
        <v>89</v>
      </c>
      <c r="I1059" s="352" t="str">
        <f t="shared" si="897"/>
        <v>-</v>
      </c>
      <c r="J1059" s="874">
        <f t="shared" si="898"/>
        <v>61355</v>
      </c>
      <c r="K1059" s="278">
        <f t="shared" si="892"/>
        <v>60209</v>
      </c>
      <c r="L1059" s="436">
        <f t="shared" si="893"/>
        <v>1146</v>
      </c>
      <c r="M1059" s="337" t="str">
        <f t="shared" si="899"/>
        <v>-</v>
      </c>
      <c r="N1059" s="265">
        <f t="shared" ref="N1059:N1061" si="900">IFERROR(L1059/J1059,"-")</f>
        <v>1.8678184337054846E-2</v>
      </c>
      <c r="O1059" s="508">
        <v>55.4758</v>
      </c>
      <c r="P1059" s="404">
        <f t="shared" si="894"/>
        <v>124265.792</v>
      </c>
      <c r="Q1059" s="449">
        <f t="shared" si="895"/>
        <v>3340142.4421999999</v>
      </c>
    </row>
    <row r="1060" spans="1:17" ht="23.4" x14ac:dyDescent="0.4">
      <c r="A1060" s="248" t="s">
        <v>101</v>
      </c>
      <c r="B1060" s="1107"/>
      <c r="C1060" s="545" t="s">
        <v>72</v>
      </c>
      <c r="D1060" s="276"/>
      <c r="E1060" s="529"/>
      <c r="F1060" s="696">
        <f t="shared" si="896"/>
        <v>0</v>
      </c>
      <c r="G1060" s="276"/>
      <c r="H1060" s="278"/>
      <c r="I1060" s="352" t="str">
        <f t="shared" si="897"/>
        <v>-</v>
      </c>
      <c r="J1060" s="874">
        <f t="shared" si="898"/>
        <v>0</v>
      </c>
      <c r="K1060" s="278">
        <f t="shared" si="892"/>
        <v>0</v>
      </c>
      <c r="L1060" s="436">
        <f t="shared" si="893"/>
        <v>0</v>
      </c>
      <c r="M1060" s="337" t="str">
        <f t="shared" si="899"/>
        <v>-</v>
      </c>
      <c r="N1060" s="265" t="str">
        <f t="shared" si="900"/>
        <v>-</v>
      </c>
      <c r="O1060" s="540">
        <v>58.836300000000001</v>
      </c>
      <c r="P1060" s="404">
        <f t="shared" si="894"/>
        <v>0</v>
      </c>
      <c r="Q1060" s="449">
        <f t="shared" si="895"/>
        <v>0</v>
      </c>
    </row>
    <row r="1061" spans="1:17" ht="23.4" x14ac:dyDescent="0.4">
      <c r="A1061" s="248" t="s">
        <v>101</v>
      </c>
      <c r="B1061" s="1107"/>
      <c r="C1061" s="545" t="s">
        <v>347</v>
      </c>
      <c r="D1061" s="276"/>
      <c r="E1061" s="435"/>
      <c r="F1061" s="696">
        <f t="shared" si="896"/>
        <v>0</v>
      </c>
      <c r="G1061" s="276"/>
      <c r="H1061" s="278"/>
      <c r="I1061" s="352" t="str">
        <f t="shared" si="897"/>
        <v>-</v>
      </c>
      <c r="J1061" s="874">
        <f t="shared" si="898"/>
        <v>2745</v>
      </c>
      <c r="K1061" s="278">
        <f t="shared" si="892"/>
        <v>2305</v>
      </c>
      <c r="L1061" s="436">
        <f t="shared" si="893"/>
        <v>440</v>
      </c>
      <c r="M1061" s="337" t="str">
        <f t="shared" si="899"/>
        <v>-</v>
      </c>
      <c r="N1061" s="263">
        <f t="shared" si="900"/>
        <v>0.16029143897996356</v>
      </c>
      <c r="O1061" s="710">
        <v>58.836300000000001</v>
      </c>
      <c r="P1061" s="404">
        <f t="shared" si="894"/>
        <v>0</v>
      </c>
      <c r="Q1061" s="449">
        <f t="shared" si="895"/>
        <v>135617.6715</v>
      </c>
    </row>
    <row r="1062" spans="1:17" ht="24" thickBot="1" x14ac:dyDescent="0.45">
      <c r="A1062" s="248"/>
      <c r="B1062" s="1108"/>
      <c r="C1062" s="545" t="s">
        <v>361</v>
      </c>
      <c r="D1062" s="276"/>
      <c r="E1062" s="435"/>
      <c r="F1062" s="696">
        <f t="shared" si="896"/>
        <v>0</v>
      </c>
      <c r="G1062" s="276"/>
      <c r="H1062" s="278"/>
      <c r="I1062" s="352" t="str">
        <f t="shared" si="897"/>
        <v>-</v>
      </c>
      <c r="J1062" s="874">
        <f t="shared" si="898"/>
        <v>0</v>
      </c>
      <c r="K1062" s="278">
        <f t="shared" si="892"/>
        <v>0</v>
      </c>
      <c r="L1062" s="436">
        <f t="shared" si="893"/>
        <v>0</v>
      </c>
      <c r="M1062" s="337" t="str">
        <f t="shared" si="899"/>
        <v>-</v>
      </c>
      <c r="N1062" s="263" t="str">
        <f>IFERROR(L1062/J1062,"-")</f>
        <v>-</v>
      </c>
      <c r="O1062" s="508">
        <v>55.4758</v>
      </c>
      <c r="P1062" s="404">
        <f t="shared" si="894"/>
        <v>0</v>
      </c>
      <c r="Q1062" s="449">
        <f t="shared" si="895"/>
        <v>0</v>
      </c>
    </row>
    <row r="1063" spans="1:17" ht="23.4" x14ac:dyDescent="0.4">
      <c r="A1063" s="248" t="s">
        <v>101</v>
      </c>
      <c r="B1063" s="1106" t="s">
        <v>409</v>
      </c>
      <c r="C1063" s="543" t="s">
        <v>77</v>
      </c>
      <c r="D1063" s="276"/>
      <c r="E1063" s="436"/>
      <c r="F1063" s="690">
        <f t="shared" si="896"/>
        <v>0</v>
      </c>
      <c r="G1063" s="276"/>
      <c r="H1063" s="278"/>
      <c r="I1063" s="352" t="str">
        <f t="shared" si="897"/>
        <v>-</v>
      </c>
      <c r="J1063" s="874">
        <f t="shared" si="898"/>
        <v>24300</v>
      </c>
      <c r="K1063" s="719">
        <f t="shared" si="892"/>
        <v>23960</v>
      </c>
      <c r="L1063" s="815">
        <f t="shared" si="893"/>
        <v>340</v>
      </c>
      <c r="M1063" s="337" t="str">
        <f t="shared" si="899"/>
        <v>-</v>
      </c>
      <c r="N1063" s="263">
        <f t="shared" ref="N1063:N1091" si="901">IFERROR(L1063/J1063,"-")</f>
        <v>1.3991769547325103E-2</v>
      </c>
      <c r="O1063" s="508">
        <v>25.687200000000001</v>
      </c>
      <c r="P1063" s="404">
        <f t="shared" si="894"/>
        <v>0</v>
      </c>
      <c r="Q1063" s="449">
        <f t="shared" si="895"/>
        <v>615465.31200000003</v>
      </c>
    </row>
    <row r="1064" spans="1:17" ht="24" thickBot="1" x14ac:dyDescent="0.45">
      <c r="A1064" s="248" t="s">
        <v>101</v>
      </c>
      <c r="B1064" s="1108"/>
      <c r="C1064" s="543" t="s">
        <v>117</v>
      </c>
      <c r="D1064" s="276"/>
      <c r="E1064" s="436"/>
      <c r="F1064" s="690">
        <f t="shared" si="896"/>
        <v>0</v>
      </c>
      <c r="G1064" s="276"/>
      <c r="H1064" s="278"/>
      <c r="I1064" s="352" t="str">
        <f t="shared" si="897"/>
        <v>-</v>
      </c>
      <c r="J1064" s="874">
        <f t="shared" si="898"/>
        <v>0</v>
      </c>
      <c r="K1064" s="278">
        <f t="shared" si="892"/>
        <v>0</v>
      </c>
      <c r="L1064" s="436">
        <f t="shared" si="893"/>
        <v>0</v>
      </c>
      <c r="M1064" s="337" t="str">
        <f t="shared" si="899"/>
        <v>-</v>
      </c>
      <c r="N1064" s="263" t="str">
        <f t="shared" si="901"/>
        <v>-</v>
      </c>
      <c r="O1064" s="508">
        <v>25.033899999999999</v>
      </c>
      <c r="P1064" s="404">
        <f t="shared" si="894"/>
        <v>0</v>
      </c>
      <c r="Q1064" s="449">
        <f t="shared" si="895"/>
        <v>0</v>
      </c>
    </row>
    <row r="1065" spans="1:17" ht="23.4" x14ac:dyDescent="0.4">
      <c r="A1065" s="248"/>
      <c r="B1065" s="1106" t="s">
        <v>410</v>
      </c>
      <c r="C1065" s="543" t="s">
        <v>79</v>
      </c>
      <c r="D1065" s="276"/>
      <c r="E1065" s="436"/>
      <c r="F1065" s="690">
        <f t="shared" si="896"/>
        <v>0</v>
      </c>
      <c r="G1065" s="276">
        <v>0</v>
      </c>
      <c r="H1065" s="278">
        <v>0</v>
      </c>
      <c r="I1065" s="352" t="str">
        <f t="shared" si="897"/>
        <v>-</v>
      </c>
      <c r="J1065" s="874">
        <f t="shared" si="898"/>
        <v>20171</v>
      </c>
      <c r="K1065" s="278">
        <f t="shared" si="892"/>
        <v>19950</v>
      </c>
      <c r="L1065" s="436">
        <f t="shared" si="893"/>
        <v>221</v>
      </c>
      <c r="M1065" s="337" t="str">
        <f t="shared" si="899"/>
        <v>-</v>
      </c>
      <c r="N1065" s="263">
        <f t="shared" si="901"/>
        <v>1.095632343463388E-2</v>
      </c>
      <c r="O1065" s="508">
        <v>41.992699999999999</v>
      </c>
      <c r="P1065" s="404">
        <f t="shared" si="894"/>
        <v>0</v>
      </c>
      <c r="Q1065" s="449">
        <f t="shared" si="895"/>
        <v>837754.36499999999</v>
      </c>
    </row>
    <row r="1066" spans="1:17" ht="23.4" x14ac:dyDescent="0.4">
      <c r="A1066" s="248"/>
      <c r="B1066" s="1107"/>
      <c r="C1066" s="543" t="s">
        <v>72</v>
      </c>
      <c r="D1066" s="276"/>
      <c r="E1066" s="436"/>
      <c r="F1066" s="690">
        <f t="shared" si="896"/>
        <v>0</v>
      </c>
      <c r="G1066" s="276"/>
      <c r="H1066" s="278"/>
      <c r="I1066" s="352" t="str">
        <f t="shared" si="897"/>
        <v>-</v>
      </c>
      <c r="J1066" s="874">
        <f t="shared" si="898"/>
        <v>0</v>
      </c>
      <c r="K1066" s="278">
        <f t="shared" si="892"/>
        <v>0</v>
      </c>
      <c r="L1066" s="436">
        <f t="shared" si="893"/>
        <v>0</v>
      </c>
      <c r="M1066" s="337" t="str">
        <f t="shared" si="899"/>
        <v>-</v>
      </c>
      <c r="N1066" s="263" t="str">
        <f t="shared" si="901"/>
        <v>-</v>
      </c>
      <c r="O1066" s="508">
        <v>42.283799999999999</v>
      </c>
      <c r="P1066" s="404">
        <f t="shared" si="894"/>
        <v>0</v>
      </c>
      <c r="Q1066" s="449">
        <f t="shared" si="895"/>
        <v>0</v>
      </c>
    </row>
    <row r="1067" spans="1:17" ht="23.4" x14ac:dyDescent="0.4">
      <c r="A1067" s="248"/>
      <c r="B1067" s="1107"/>
      <c r="C1067" s="543" t="s">
        <v>380</v>
      </c>
      <c r="D1067" s="276"/>
      <c r="E1067" s="436"/>
      <c r="F1067" s="690">
        <f t="shared" si="896"/>
        <v>0</v>
      </c>
      <c r="G1067" s="276"/>
      <c r="H1067" s="278"/>
      <c r="I1067" s="352" t="str">
        <f t="shared" si="897"/>
        <v>-</v>
      </c>
      <c r="J1067" s="874">
        <f t="shared" si="898"/>
        <v>0</v>
      </c>
      <c r="K1067" s="278">
        <f t="shared" si="892"/>
        <v>0</v>
      </c>
      <c r="L1067" s="436">
        <f t="shared" si="893"/>
        <v>0</v>
      </c>
      <c r="M1067" s="337" t="str">
        <f t="shared" si="899"/>
        <v>-</v>
      </c>
      <c r="N1067" s="263" t="str">
        <f t="shared" si="901"/>
        <v>-</v>
      </c>
      <c r="O1067" s="710">
        <v>41.992699999999999</v>
      </c>
      <c r="P1067" s="404">
        <f t="shared" si="894"/>
        <v>0</v>
      </c>
      <c r="Q1067" s="449">
        <f t="shared" si="895"/>
        <v>0</v>
      </c>
    </row>
    <row r="1068" spans="1:17" ht="24" thickBot="1" x14ac:dyDescent="0.45">
      <c r="A1068" s="248"/>
      <c r="B1068" s="1108"/>
      <c r="C1068" s="543" t="s">
        <v>381</v>
      </c>
      <c r="D1068" s="276"/>
      <c r="E1068" s="436"/>
      <c r="F1068" s="690">
        <f t="shared" si="896"/>
        <v>0</v>
      </c>
      <c r="G1068" s="276"/>
      <c r="H1068" s="278"/>
      <c r="I1068" s="352" t="str">
        <f t="shared" si="897"/>
        <v>-</v>
      </c>
      <c r="J1068" s="874">
        <f t="shared" si="898"/>
        <v>0</v>
      </c>
      <c r="K1068" s="278">
        <f t="shared" si="892"/>
        <v>0</v>
      </c>
      <c r="L1068" s="436">
        <f t="shared" si="893"/>
        <v>0</v>
      </c>
      <c r="M1068" s="337" t="str">
        <f t="shared" si="899"/>
        <v>-</v>
      </c>
      <c r="N1068" s="263" t="str">
        <f t="shared" si="901"/>
        <v>-</v>
      </c>
      <c r="O1068" s="710">
        <v>42.283799999999999</v>
      </c>
      <c r="P1068" s="404">
        <f t="shared" si="894"/>
        <v>0</v>
      </c>
      <c r="Q1068" s="449">
        <f t="shared" si="895"/>
        <v>0</v>
      </c>
    </row>
    <row r="1069" spans="1:17" ht="24" thickBot="1" x14ac:dyDescent="0.45">
      <c r="A1069" s="248"/>
      <c r="B1069" s="717" t="s">
        <v>80</v>
      </c>
      <c r="C1069" s="543" t="s">
        <v>81</v>
      </c>
      <c r="D1069" s="276"/>
      <c r="E1069" s="436"/>
      <c r="F1069" s="690">
        <f t="shared" si="896"/>
        <v>0</v>
      </c>
      <c r="G1069" s="276"/>
      <c r="H1069" s="278"/>
      <c r="I1069" s="352" t="str">
        <f t="shared" si="897"/>
        <v>-</v>
      </c>
      <c r="J1069" s="874">
        <f t="shared" si="898"/>
        <v>23163</v>
      </c>
      <c r="K1069" s="278">
        <f t="shared" si="892"/>
        <v>22200</v>
      </c>
      <c r="L1069" s="687">
        <f t="shared" si="893"/>
        <v>963</v>
      </c>
      <c r="M1069" s="337" t="str">
        <f t="shared" si="899"/>
        <v>-</v>
      </c>
      <c r="N1069" s="263">
        <f t="shared" si="901"/>
        <v>4.1574925527781373E-2</v>
      </c>
      <c r="O1069" s="508">
        <v>4.3535000000000004</v>
      </c>
      <c r="P1069" s="404">
        <f t="shared" si="894"/>
        <v>0</v>
      </c>
      <c r="Q1069" s="449">
        <f t="shared" si="895"/>
        <v>96647.700000000012</v>
      </c>
    </row>
    <row r="1070" spans="1:17" ht="23.4" x14ac:dyDescent="0.4">
      <c r="A1070" s="248"/>
      <c r="B1070" s="1106" t="s">
        <v>253</v>
      </c>
      <c r="C1070" s="543" t="s">
        <v>77</v>
      </c>
      <c r="D1070" s="276"/>
      <c r="E1070" s="436"/>
      <c r="F1070" s="690">
        <f t="shared" si="896"/>
        <v>25839</v>
      </c>
      <c r="G1070" s="276">
        <v>25300</v>
      </c>
      <c r="H1070" s="278">
        <v>539</v>
      </c>
      <c r="I1070" s="352" t="str">
        <f t="shared" si="897"/>
        <v>-</v>
      </c>
      <c r="J1070" s="874">
        <f t="shared" si="898"/>
        <v>620637</v>
      </c>
      <c r="K1070" s="278">
        <f t="shared" si="892"/>
        <v>614600</v>
      </c>
      <c r="L1070" s="436">
        <f t="shared" si="893"/>
        <v>6037</v>
      </c>
      <c r="M1070" s="337" t="str">
        <f t="shared" si="899"/>
        <v>-</v>
      </c>
      <c r="N1070" s="263">
        <f t="shared" si="901"/>
        <v>9.7271029603455805E-3</v>
      </c>
      <c r="O1070" s="508">
        <v>4.6184000000000003</v>
      </c>
      <c r="P1070" s="404">
        <f t="shared" si="894"/>
        <v>116845.52</v>
      </c>
      <c r="Q1070" s="449">
        <f t="shared" si="895"/>
        <v>2838468.64</v>
      </c>
    </row>
    <row r="1071" spans="1:17" ht="23.4" x14ac:dyDescent="0.4">
      <c r="A1071" s="248"/>
      <c r="B1071" s="1107"/>
      <c r="C1071" s="543" t="s">
        <v>340</v>
      </c>
      <c r="D1071" s="276"/>
      <c r="E1071" s="436"/>
      <c r="F1071" s="690">
        <f t="shared" si="896"/>
        <v>0</v>
      </c>
      <c r="G1071" s="276"/>
      <c r="H1071" s="278"/>
      <c r="I1071" s="352" t="str">
        <f t="shared" si="897"/>
        <v>-</v>
      </c>
      <c r="J1071" s="874">
        <f t="shared" si="898"/>
        <v>0</v>
      </c>
      <c r="K1071" s="278">
        <f t="shared" si="892"/>
        <v>0</v>
      </c>
      <c r="L1071" s="436">
        <f t="shared" si="893"/>
        <v>0</v>
      </c>
      <c r="M1071" s="337" t="str">
        <f t="shared" si="899"/>
        <v>-</v>
      </c>
      <c r="N1071" s="263" t="str">
        <f t="shared" si="901"/>
        <v>-</v>
      </c>
      <c r="O1071" s="508">
        <v>4.6184000000000003</v>
      </c>
      <c r="P1071" s="404">
        <f t="shared" si="894"/>
        <v>0</v>
      </c>
      <c r="Q1071" s="449">
        <f t="shared" si="895"/>
        <v>0</v>
      </c>
    </row>
    <row r="1072" spans="1:17" ht="23.4" x14ac:dyDescent="0.4">
      <c r="A1072" s="248"/>
      <c r="B1072" s="1107"/>
      <c r="C1072" s="543" t="s">
        <v>252</v>
      </c>
      <c r="D1072" s="276"/>
      <c r="E1072" s="436"/>
      <c r="F1072" s="690">
        <f t="shared" si="896"/>
        <v>0</v>
      </c>
      <c r="G1072" s="276"/>
      <c r="H1072" s="278"/>
      <c r="I1072" s="352" t="str">
        <f t="shared" si="897"/>
        <v>-</v>
      </c>
      <c r="J1072" s="874">
        <f t="shared" si="898"/>
        <v>0</v>
      </c>
      <c r="K1072" s="278">
        <f t="shared" si="892"/>
        <v>0</v>
      </c>
      <c r="L1072" s="436">
        <f t="shared" si="893"/>
        <v>0</v>
      </c>
      <c r="M1072" s="337" t="str">
        <f t="shared" si="899"/>
        <v>-</v>
      </c>
      <c r="N1072" s="263" t="str">
        <f t="shared" si="901"/>
        <v>-</v>
      </c>
      <c r="O1072" s="508">
        <v>4.6184000000000003</v>
      </c>
      <c r="P1072" s="404">
        <f t="shared" si="894"/>
        <v>0</v>
      </c>
      <c r="Q1072" s="449">
        <f t="shared" si="895"/>
        <v>0</v>
      </c>
    </row>
    <row r="1073" spans="1:17" ht="23.4" x14ac:dyDescent="0.4">
      <c r="A1073" s="248"/>
      <c r="B1073" s="1107"/>
      <c r="C1073" s="543" t="s">
        <v>350</v>
      </c>
      <c r="D1073" s="276"/>
      <c r="E1073" s="436"/>
      <c r="F1073" s="690">
        <f t="shared" si="896"/>
        <v>0</v>
      </c>
      <c r="G1073" s="276"/>
      <c r="H1073" s="278"/>
      <c r="I1073" s="352" t="str">
        <f t="shared" si="897"/>
        <v>-</v>
      </c>
      <c r="J1073" s="874">
        <f t="shared" si="898"/>
        <v>0</v>
      </c>
      <c r="K1073" s="686">
        <f t="shared" si="892"/>
        <v>0</v>
      </c>
      <c r="L1073" s="687">
        <f t="shared" si="893"/>
        <v>0</v>
      </c>
      <c r="M1073" s="337" t="str">
        <f t="shared" si="899"/>
        <v>-</v>
      </c>
      <c r="N1073" s="263" t="str">
        <f t="shared" si="901"/>
        <v>-</v>
      </c>
      <c r="O1073" s="508">
        <v>4.7636000000000003</v>
      </c>
      <c r="P1073" s="404">
        <f t="shared" si="894"/>
        <v>0</v>
      </c>
      <c r="Q1073" s="449">
        <f t="shared" si="895"/>
        <v>0</v>
      </c>
    </row>
    <row r="1074" spans="1:17" ht="24" thickBot="1" x14ac:dyDescent="0.45">
      <c r="A1074" s="248"/>
      <c r="B1074" s="1108"/>
      <c r="C1074" s="543" t="s">
        <v>346</v>
      </c>
      <c r="D1074" s="276"/>
      <c r="E1074" s="436"/>
      <c r="F1074" s="690">
        <f t="shared" si="896"/>
        <v>0</v>
      </c>
      <c r="G1074" s="276"/>
      <c r="H1074" s="278"/>
      <c r="I1074" s="352" t="str">
        <f t="shared" si="897"/>
        <v>-</v>
      </c>
      <c r="J1074" s="874">
        <f t="shared" si="898"/>
        <v>0</v>
      </c>
      <c r="K1074" s="278">
        <f t="shared" si="892"/>
        <v>0</v>
      </c>
      <c r="L1074" s="436">
        <f t="shared" si="893"/>
        <v>0</v>
      </c>
      <c r="M1074" s="337" t="str">
        <f t="shared" si="899"/>
        <v>-</v>
      </c>
      <c r="N1074" s="263" t="str">
        <f t="shared" si="901"/>
        <v>-</v>
      </c>
      <c r="O1074" s="508">
        <v>4.8738000000000001</v>
      </c>
      <c r="P1074" s="404">
        <f t="shared" si="894"/>
        <v>0</v>
      </c>
      <c r="Q1074" s="449">
        <f t="shared" si="895"/>
        <v>0</v>
      </c>
    </row>
    <row r="1075" spans="1:17" ht="24" thickBot="1" x14ac:dyDescent="0.45">
      <c r="A1075" s="248"/>
      <c r="B1075" s="717" t="s">
        <v>254</v>
      </c>
      <c r="C1075" s="543" t="s">
        <v>520</v>
      </c>
      <c r="D1075" s="276"/>
      <c r="E1075" s="436"/>
      <c r="F1075" s="690">
        <f t="shared" si="896"/>
        <v>0</v>
      </c>
      <c r="G1075" s="276"/>
      <c r="H1075" s="278"/>
      <c r="I1075" s="352" t="str">
        <f t="shared" si="897"/>
        <v>-</v>
      </c>
      <c r="J1075" s="874">
        <f t="shared" si="898"/>
        <v>17752</v>
      </c>
      <c r="K1075" s="278">
        <f t="shared" si="892"/>
        <v>17600</v>
      </c>
      <c r="L1075" s="436">
        <f t="shared" si="893"/>
        <v>152</v>
      </c>
      <c r="M1075" s="337" t="str">
        <f t="shared" si="899"/>
        <v>-</v>
      </c>
      <c r="N1075" s="263">
        <f t="shared" si="901"/>
        <v>8.5624155024785938E-3</v>
      </c>
      <c r="O1075" s="508">
        <v>4.8738000000000001</v>
      </c>
      <c r="P1075" s="404">
        <f t="shared" si="894"/>
        <v>0</v>
      </c>
      <c r="Q1075" s="449">
        <f t="shared" si="895"/>
        <v>85778.880000000005</v>
      </c>
    </row>
    <row r="1076" spans="1:17" ht="23.4" x14ac:dyDescent="0.4">
      <c r="A1076" s="248"/>
      <c r="B1076" s="1106" t="s">
        <v>256</v>
      </c>
      <c r="C1076" s="543" t="s">
        <v>77</v>
      </c>
      <c r="D1076" s="276"/>
      <c r="E1076" s="436"/>
      <c r="F1076" s="690">
        <f t="shared" si="896"/>
        <v>49759</v>
      </c>
      <c r="G1076" s="276">
        <v>49070</v>
      </c>
      <c r="H1076" s="278">
        <v>689</v>
      </c>
      <c r="I1076" s="352" t="str">
        <f t="shared" si="897"/>
        <v>-</v>
      </c>
      <c r="J1076" s="874">
        <f t="shared" si="898"/>
        <v>701293</v>
      </c>
      <c r="K1076" s="719">
        <f t="shared" si="892"/>
        <v>688730</v>
      </c>
      <c r="L1076" s="815">
        <f t="shared" si="893"/>
        <v>12563</v>
      </c>
      <c r="M1076" s="337" t="str">
        <f t="shared" si="899"/>
        <v>-</v>
      </c>
      <c r="N1076" s="263">
        <f t="shared" si="901"/>
        <v>1.7914053042023804E-2</v>
      </c>
      <c r="O1076" s="508">
        <v>4.9344999999999999</v>
      </c>
      <c r="P1076" s="404">
        <f t="shared" si="894"/>
        <v>242135.91500000001</v>
      </c>
      <c r="Q1076" s="449">
        <f t="shared" si="895"/>
        <v>3398538.1850000001</v>
      </c>
    </row>
    <row r="1077" spans="1:17" ht="23.4" x14ac:dyDescent="0.4">
      <c r="A1077" s="248"/>
      <c r="B1077" s="1107"/>
      <c r="C1077" s="543" t="s">
        <v>135</v>
      </c>
      <c r="D1077" s="276"/>
      <c r="E1077" s="436"/>
      <c r="F1077" s="690">
        <f t="shared" si="896"/>
        <v>0</v>
      </c>
      <c r="G1077" s="276"/>
      <c r="H1077" s="278"/>
      <c r="I1077" s="352" t="str">
        <f t="shared" si="897"/>
        <v>-</v>
      </c>
      <c r="J1077" s="874">
        <f t="shared" si="898"/>
        <v>0</v>
      </c>
      <c r="K1077" s="278">
        <f t="shared" si="892"/>
        <v>0</v>
      </c>
      <c r="L1077" s="436">
        <f t="shared" si="893"/>
        <v>0</v>
      </c>
      <c r="M1077" s="337" t="str">
        <f t="shared" si="899"/>
        <v>-</v>
      </c>
      <c r="N1077" s="263" t="str">
        <f t="shared" si="901"/>
        <v>-</v>
      </c>
      <c r="O1077" s="508">
        <v>4.9344999999999999</v>
      </c>
      <c r="P1077" s="404">
        <f t="shared" si="894"/>
        <v>0</v>
      </c>
      <c r="Q1077" s="449">
        <f t="shared" si="895"/>
        <v>0</v>
      </c>
    </row>
    <row r="1078" spans="1:17" ht="23.4" x14ac:dyDescent="0.4">
      <c r="A1078" s="248"/>
      <c r="B1078" s="1107"/>
      <c r="C1078" s="543" t="s">
        <v>129</v>
      </c>
      <c r="D1078" s="276"/>
      <c r="E1078" s="436"/>
      <c r="F1078" s="690">
        <f t="shared" si="896"/>
        <v>0</v>
      </c>
      <c r="G1078" s="276"/>
      <c r="H1078" s="278"/>
      <c r="I1078" s="352" t="str">
        <f t="shared" si="897"/>
        <v>-</v>
      </c>
      <c r="J1078" s="874">
        <f t="shared" si="898"/>
        <v>0</v>
      </c>
      <c r="K1078" s="278">
        <f t="shared" si="892"/>
        <v>0</v>
      </c>
      <c r="L1078" s="436">
        <f t="shared" si="893"/>
        <v>0</v>
      </c>
      <c r="M1078" s="337" t="str">
        <f t="shared" si="899"/>
        <v>-</v>
      </c>
      <c r="N1078" s="263" t="str">
        <f t="shared" si="901"/>
        <v>-</v>
      </c>
      <c r="O1078" s="508">
        <v>4.9344999999999999</v>
      </c>
      <c r="P1078" s="404">
        <f t="shared" si="894"/>
        <v>0</v>
      </c>
      <c r="Q1078" s="449">
        <f t="shared" si="895"/>
        <v>0</v>
      </c>
    </row>
    <row r="1079" spans="1:17" ht="24" thickBot="1" x14ac:dyDescent="0.45">
      <c r="A1079" s="248"/>
      <c r="B1079" s="1108"/>
      <c r="C1079" s="543" t="s">
        <v>255</v>
      </c>
      <c r="D1079" s="276"/>
      <c r="E1079" s="436"/>
      <c r="F1079" s="690">
        <f t="shared" si="896"/>
        <v>0</v>
      </c>
      <c r="G1079" s="276"/>
      <c r="H1079" s="278"/>
      <c r="I1079" s="352" t="str">
        <f t="shared" si="897"/>
        <v>-</v>
      </c>
      <c r="J1079" s="874">
        <f t="shared" si="898"/>
        <v>0</v>
      </c>
      <c r="K1079" s="278">
        <f t="shared" si="892"/>
        <v>0</v>
      </c>
      <c r="L1079" s="436">
        <f t="shared" si="893"/>
        <v>0</v>
      </c>
      <c r="M1079" s="337" t="str">
        <f t="shared" si="899"/>
        <v>-</v>
      </c>
      <c r="N1079" s="263" t="str">
        <f t="shared" si="901"/>
        <v>-</v>
      </c>
      <c r="O1079" s="508">
        <v>5.5069999999999997</v>
      </c>
      <c r="P1079" s="404">
        <f t="shared" si="894"/>
        <v>0</v>
      </c>
      <c r="Q1079" s="449">
        <f t="shared" si="895"/>
        <v>0</v>
      </c>
    </row>
    <row r="1080" spans="1:17" ht="23.4" x14ac:dyDescent="0.4">
      <c r="A1080" s="248"/>
      <c r="B1080" s="1106" t="s">
        <v>261</v>
      </c>
      <c r="C1080" s="543" t="s">
        <v>257</v>
      </c>
      <c r="D1080" s="276"/>
      <c r="E1080" s="436"/>
      <c r="F1080" s="690">
        <f t="shared" si="896"/>
        <v>34379</v>
      </c>
      <c r="G1080" s="276">
        <v>33950</v>
      </c>
      <c r="H1080" s="278">
        <v>429</v>
      </c>
      <c r="I1080" s="352" t="str">
        <f t="shared" si="897"/>
        <v>-</v>
      </c>
      <c r="J1080" s="874">
        <f t="shared" si="898"/>
        <v>628772</v>
      </c>
      <c r="K1080" s="278">
        <f t="shared" si="892"/>
        <v>620550</v>
      </c>
      <c r="L1080" s="687">
        <f t="shared" si="893"/>
        <v>8222</v>
      </c>
      <c r="M1080" s="337" t="str">
        <f t="shared" si="899"/>
        <v>-</v>
      </c>
      <c r="N1080" s="263">
        <f t="shared" si="901"/>
        <v>1.3076282022736382E-2</v>
      </c>
      <c r="O1080" s="710">
        <v>5.5069999999999997</v>
      </c>
      <c r="P1080" s="404">
        <f t="shared" si="894"/>
        <v>186962.65</v>
      </c>
      <c r="Q1080" s="449">
        <f t="shared" si="895"/>
        <v>3417368.8499999996</v>
      </c>
    </row>
    <row r="1081" spans="1:17" ht="23.4" x14ac:dyDescent="0.4">
      <c r="A1081" s="248"/>
      <c r="B1081" s="1107"/>
      <c r="C1081" s="543" t="s">
        <v>258</v>
      </c>
      <c r="D1081" s="276"/>
      <c r="E1081" s="436"/>
      <c r="F1081" s="690">
        <f t="shared" si="896"/>
        <v>0</v>
      </c>
      <c r="G1081" s="276"/>
      <c r="H1081" s="278"/>
      <c r="I1081" s="352" t="str">
        <f t="shared" si="897"/>
        <v>-</v>
      </c>
      <c r="J1081" s="874">
        <f t="shared" si="898"/>
        <v>0</v>
      </c>
      <c r="K1081" s="278">
        <f t="shared" si="892"/>
        <v>0</v>
      </c>
      <c r="L1081" s="436">
        <f t="shared" si="893"/>
        <v>0</v>
      </c>
      <c r="M1081" s="337" t="str">
        <f t="shared" si="899"/>
        <v>-</v>
      </c>
      <c r="N1081" s="263" t="str">
        <f t="shared" si="901"/>
        <v>-</v>
      </c>
      <c r="O1081" s="508">
        <v>5.6550000000000002</v>
      </c>
      <c r="P1081" s="404">
        <f t="shared" si="894"/>
        <v>0</v>
      </c>
      <c r="Q1081" s="449">
        <f t="shared" si="895"/>
        <v>0</v>
      </c>
    </row>
    <row r="1082" spans="1:17" ht="23.4" x14ac:dyDescent="0.4">
      <c r="A1082" s="248"/>
      <c r="B1082" s="1107"/>
      <c r="C1082" s="543" t="s">
        <v>321</v>
      </c>
      <c r="D1082" s="276"/>
      <c r="E1082" s="436"/>
      <c r="F1082" s="690">
        <f t="shared" si="896"/>
        <v>0</v>
      </c>
      <c r="G1082" s="276"/>
      <c r="H1082" s="278"/>
      <c r="I1082" s="352" t="str">
        <f t="shared" si="897"/>
        <v>-</v>
      </c>
      <c r="J1082" s="874">
        <f t="shared" si="898"/>
        <v>0</v>
      </c>
      <c r="K1082" s="686">
        <f t="shared" si="892"/>
        <v>0</v>
      </c>
      <c r="L1082" s="687">
        <f t="shared" si="893"/>
        <v>0</v>
      </c>
      <c r="M1082" s="337" t="str">
        <f t="shared" si="899"/>
        <v>-</v>
      </c>
      <c r="N1082" s="263" t="str">
        <f t="shared" si="901"/>
        <v>-</v>
      </c>
      <c r="O1082" s="508">
        <v>5.6550000000000002</v>
      </c>
      <c r="P1082" s="404">
        <f t="shared" si="894"/>
        <v>0</v>
      </c>
      <c r="Q1082" s="449">
        <f t="shared" si="895"/>
        <v>0</v>
      </c>
    </row>
    <row r="1083" spans="1:17" ht="23.4" x14ac:dyDescent="0.4">
      <c r="A1083" s="248"/>
      <c r="B1083" s="1107"/>
      <c r="C1083" s="543" t="s">
        <v>259</v>
      </c>
      <c r="D1083" s="276"/>
      <c r="E1083" s="436"/>
      <c r="F1083" s="690">
        <f t="shared" si="896"/>
        <v>0</v>
      </c>
      <c r="G1083" s="276"/>
      <c r="H1083" s="278"/>
      <c r="I1083" s="352" t="str">
        <f t="shared" si="897"/>
        <v>-</v>
      </c>
      <c r="J1083" s="874">
        <f t="shared" si="898"/>
        <v>0</v>
      </c>
      <c r="K1083" s="278">
        <f t="shared" si="892"/>
        <v>0</v>
      </c>
      <c r="L1083" s="436">
        <f t="shared" si="893"/>
        <v>0</v>
      </c>
      <c r="M1083" s="337" t="str">
        <f t="shared" si="899"/>
        <v>-</v>
      </c>
      <c r="N1083" s="263" t="str">
        <f t="shared" si="901"/>
        <v>-</v>
      </c>
      <c r="O1083" s="508">
        <v>5.6550000000000002</v>
      </c>
      <c r="P1083" s="404">
        <f t="shared" si="894"/>
        <v>0</v>
      </c>
      <c r="Q1083" s="449">
        <f t="shared" si="895"/>
        <v>0</v>
      </c>
    </row>
    <row r="1084" spans="1:17" ht="23.4" x14ac:dyDescent="0.4">
      <c r="A1084" s="248" t="s">
        <v>101</v>
      </c>
      <c r="B1084" s="1107"/>
      <c r="C1084" s="543" t="s">
        <v>260</v>
      </c>
      <c r="D1084" s="276"/>
      <c r="E1084" s="436"/>
      <c r="F1084" s="690">
        <f t="shared" si="896"/>
        <v>0</v>
      </c>
      <c r="G1084" s="276"/>
      <c r="H1084" s="278"/>
      <c r="I1084" s="352" t="str">
        <f t="shared" si="897"/>
        <v>-</v>
      </c>
      <c r="J1084" s="874">
        <f t="shared" si="898"/>
        <v>0</v>
      </c>
      <c r="K1084" s="278">
        <f t="shared" si="892"/>
        <v>0</v>
      </c>
      <c r="L1084" s="436">
        <f t="shared" si="893"/>
        <v>0</v>
      </c>
      <c r="M1084" s="337" t="str">
        <f t="shared" si="899"/>
        <v>-</v>
      </c>
      <c r="N1084" s="263" t="str">
        <f t="shared" si="901"/>
        <v>-</v>
      </c>
      <c r="O1084" s="508">
        <v>3.2963</v>
      </c>
      <c r="P1084" s="404">
        <f t="shared" si="894"/>
        <v>0</v>
      </c>
      <c r="Q1084" s="449">
        <f t="shared" si="895"/>
        <v>0</v>
      </c>
    </row>
    <row r="1085" spans="1:17" ht="24" thickBot="1" x14ac:dyDescent="0.45">
      <c r="A1085" s="248" t="s">
        <v>101</v>
      </c>
      <c r="B1085" s="1108"/>
      <c r="C1085" s="543" t="s">
        <v>255</v>
      </c>
      <c r="D1085" s="276"/>
      <c r="E1085" s="436"/>
      <c r="F1085" s="690">
        <f t="shared" si="896"/>
        <v>0</v>
      </c>
      <c r="G1085" s="276"/>
      <c r="H1085" s="278"/>
      <c r="I1085" s="352" t="str">
        <f t="shared" si="897"/>
        <v>-</v>
      </c>
      <c r="J1085" s="874">
        <f t="shared" si="898"/>
        <v>0</v>
      </c>
      <c r="K1085" s="278">
        <f t="shared" si="892"/>
        <v>0</v>
      </c>
      <c r="L1085" s="436">
        <f t="shared" si="893"/>
        <v>0</v>
      </c>
      <c r="M1085" s="337" t="str">
        <f t="shared" si="899"/>
        <v>-</v>
      </c>
      <c r="N1085" s="263" t="str">
        <f t="shared" si="901"/>
        <v>-</v>
      </c>
      <c r="O1085" s="508">
        <v>3.2963</v>
      </c>
      <c r="P1085" s="404">
        <f t="shared" si="894"/>
        <v>0</v>
      </c>
      <c r="Q1085" s="449">
        <f t="shared" si="895"/>
        <v>0</v>
      </c>
    </row>
    <row r="1086" spans="1:17" ht="23.4" x14ac:dyDescent="0.4">
      <c r="A1086" s="248"/>
      <c r="B1086" s="991"/>
      <c r="C1086" s="542" t="s">
        <v>86</v>
      </c>
      <c r="D1086" s="511"/>
      <c r="E1086" s="436"/>
      <c r="F1086" s="690">
        <f t="shared" si="896"/>
        <v>0</v>
      </c>
      <c r="G1086" s="276"/>
      <c r="H1086" s="278"/>
      <c r="I1086" s="352"/>
      <c r="J1086" s="874">
        <f t="shared" si="898"/>
        <v>20012</v>
      </c>
      <c r="K1086" s="278">
        <f t="shared" ref="K1086:K1087" si="902">+G1086+K1020</f>
        <v>18200</v>
      </c>
      <c r="L1086" s="436">
        <f t="shared" ref="L1086:L1087" si="903">+H1086+L1020</f>
        <v>1812</v>
      </c>
      <c r="M1086" s="337"/>
      <c r="N1086" s="263"/>
      <c r="O1086" s="508">
        <v>3.2963</v>
      </c>
      <c r="P1086" s="404">
        <f t="shared" si="894"/>
        <v>0</v>
      </c>
      <c r="Q1086" s="449">
        <f t="shared" si="895"/>
        <v>59992.66</v>
      </c>
    </row>
    <row r="1087" spans="1:17" ht="23.4" x14ac:dyDescent="0.4">
      <c r="A1087" s="248"/>
      <c r="B1087" s="991"/>
      <c r="C1087" s="543" t="s">
        <v>585</v>
      </c>
      <c r="D1087" s="511"/>
      <c r="E1087" s="436"/>
      <c r="F1087" s="690">
        <f t="shared" si="896"/>
        <v>0</v>
      </c>
      <c r="G1087" s="276"/>
      <c r="H1087" s="278"/>
      <c r="I1087" s="352"/>
      <c r="J1087" s="874">
        <f t="shared" si="898"/>
        <v>19377</v>
      </c>
      <c r="K1087" s="278">
        <f t="shared" si="902"/>
        <v>18200</v>
      </c>
      <c r="L1087" s="436">
        <f t="shared" si="903"/>
        <v>1177</v>
      </c>
      <c r="M1087" s="337"/>
      <c r="N1087" s="263"/>
      <c r="O1087" s="508">
        <v>3.2963</v>
      </c>
      <c r="P1087" s="404">
        <f t="shared" si="894"/>
        <v>0</v>
      </c>
      <c r="Q1087" s="449">
        <f t="shared" si="895"/>
        <v>59992.66</v>
      </c>
    </row>
    <row r="1088" spans="1:17" ht="23.4" x14ac:dyDescent="0.4">
      <c r="A1088" s="248" t="s">
        <v>101</v>
      </c>
      <c r="B1088" s="546"/>
      <c r="C1088" s="544" t="s">
        <v>89</v>
      </c>
      <c r="D1088" s="511"/>
      <c r="E1088" s="436"/>
      <c r="F1088" s="690">
        <f t="shared" si="896"/>
        <v>0</v>
      </c>
      <c r="G1088" s="276"/>
      <c r="H1088" s="278"/>
      <c r="I1088" s="352" t="str">
        <f t="shared" si="897"/>
        <v>-</v>
      </c>
      <c r="J1088" s="874">
        <f t="shared" si="898"/>
        <v>83715</v>
      </c>
      <c r="K1088" s="278">
        <f>+G1088+K1022</f>
        <v>83400</v>
      </c>
      <c r="L1088" s="436">
        <f>+H1088+L1022</f>
        <v>315</v>
      </c>
      <c r="M1088" s="337" t="str">
        <f t="shared" si="899"/>
        <v>-</v>
      </c>
      <c r="N1088" s="263">
        <f t="shared" si="901"/>
        <v>3.7627665292958249E-3</v>
      </c>
      <c r="O1088" s="508">
        <v>2.3201000000000001</v>
      </c>
      <c r="P1088" s="404">
        <f t="shared" si="894"/>
        <v>0</v>
      </c>
      <c r="Q1088" s="449">
        <f t="shared" si="895"/>
        <v>193496.34</v>
      </c>
    </row>
    <row r="1089" spans="1:17" ht="24" thickBot="1" x14ac:dyDescent="0.35">
      <c r="A1089" s="248" t="s">
        <v>101</v>
      </c>
      <c r="B1089" s="524"/>
      <c r="C1089" s="541"/>
      <c r="D1089" s="530"/>
      <c r="E1089" s="462"/>
      <c r="F1089" s="691">
        <f t="shared" si="896"/>
        <v>0</v>
      </c>
      <c r="G1089" s="530"/>
      <c r="H1089" s="461"/>
      <c r="I1089" s="532" t="str">
        <f t="shared" si="897"/>
        <v>-</v>
      </c>
      <c r="J1089" s="875">
        <f t="shared" si="898"/>
        <v>0</v>
      </c>
      <c r="K1089" s="461">
        <f>+G1089+K1023</f>
        <v>0</v>
      </c>
      <c r="L1089" s="462">
        <f>+H1089+L1023</f>
        <v>0</v>
      </c>
      <c r="M1089" s="683" t="str">
        <f t="shared" si="899"/>
        <v>-</v>
      </c>
      <c r="N1089" s="264" t="str">
        <f t="shared" si="901"/>
        <v>-</v>
      </c>
      <c r="O1089" s="539"/>
      <c r="P1089" s="536">
        <f t="shared" si="894"/>
        <v>0</v>
      </c>
      <c r="Q1089" s="537">
        <f t="shared" si="895"/>
        <v>0</v>
      </c>
    </row>
    <row r="1090" spans="1:17" ht="24" thickBot="1" x14ac:dyDescent="0.35">
      <c r="A1090" s="274" t="s">
        <v>101</v>
      </c>
      <c r="B1090" s="1109" t="s">
        <v>25</v>
      </c>
      <c r="C1090" s="1046"/>
      <c r="D1090" s="513">
        <f>SUM(D1061:D1089)</f>
        <v>0</v>
      </c>
      <c r="E1090" s="526">
        <v>100000</v>
      </c>
      <c r="F1090" s="519">
        <f>SUM(F1056:F1089)</f>
        <v>112306</v>
      </c>
      <c r="G1090" s="519">
        <f>SUM(G1056:G1089)</f>
        <v>110560</v>
      </c>
      <c r="H1090" s="519">
        <f>SUM(H1056:H1089)</f>
        <v>1746</v>
      </c>
      <c r="I1090" s="520">
        <f>IFERROR(F1090/E1090,"-")</f>
        <v>1.1230599999999999</v>
      </c>
      <c r="J1090" s="513">
        <f>SUM(J1056:J1089)</f>
        <v>2285527</v>
      </c>
      <c r="K1090" s="513">
        <f t="shared" ref="K1090:L1090" si="904">SUM(K1056:K1089)</f>
        <v>2251304</v>
      </c>
      <c r="L1090" s="513">
        <f t="shared" si="904"/>
        <v>34223</v>
      </c>
      <c r="M1090" s="521" t="str">
        <f t="shared" si="899"/>
        <v>-</v>
      </c>
      <c r="N1090" s="520">
        <f t="shared" si="901"/>
        <v>1.4973789414870181E-2</v>
      </c>
      <c r="O1090" s="522"/>
      <c r="P1090" s="523">
        <f>SUM(P1056:P1089)</f>
        <v>670209.87699999998</v>
      </c>
      <c r="Q1090" s="523">
        <f>SUM(Q1056:Q1089)</f>
        <v>17152189.365700003</v>
      </c>
    </row>
    <row r="1091" spans="1:17" ht="24" thickBot="1" x14ac:dyDescent="0.35">
      <c r="A1091" s="318" t="s">
        <v>101</v>
      </c>
      <c r="B1091" s="1111" t="s">
        <v>249</v>
      </c>
      <c r="C1091" s="1112"/>
      <c r="D1091" s="326">
        <f>+D1060+D1090</f>
        <v>0</v>
      </c>
      <c r="E1091" s="327">
        <f>+E1060+E1090</f>
        <v>100000</v>
      </c>
      <c r="F1091" s="326">
        <f>+F1090</f>
        <v>112306</v>
      </c>
      <c r="G1091" s="326">
        <f t="shared" ref="G1091:H1091" si="905">+G1090</f>
        <v>110560</v>
      </c>
      <c r="H1091" s="326">
        <f t="shared" si="905"/>
        <v>1746</v>
      </c>
      <c r="I1091" s="349">
        <f>IFERROR(F1091/E1091,"-")</f>
        <v>1.1230599999999999</v>
      </c>
      <c r="J1091" s="326">
        <f>+J1090</f>
        <v>2285527</v>
      </c>
      <c r="K1091" s="326">
        <f t="shared" ref="K1091:L1091" si="906">+K1090</f>
        <v>2251304</v>
      </c>
      <c r="L1091" s="326">
        <f t="shared" si="906"/>
        <v>34223</v>
      </c>
      <c r="M1091" s="341" t="str">
        <f t="shared" si="899"/>
        <v>-</v>
      </c>
      <c r="N1091" s="349">
        <f t="shared" si="901"/>
        <v>1.4973789414870181E-2</v>
      </c>
      <c r="O1091" s="394"/>
      <c r="P1091" s="410">
        <f>+P1090</f>
        <v>670209.87699999998</v>
      </c>
      <c r="Q1091" s="428">
        <f>Q1090</f>
        <v>17152189.365700003</v>
      </c>
    </row>
    <row r="1092" spans="1:17" ht="24.6" thickBot="1" x14ac:dyDescent="0.35">
      <c r="A1092" s="319"/>
      <c r="B1092" s="1113" t="s">
        <v>174</v>
      </c>
      <c r="C1092" s="1114"/>
      <c r="D1092" s="374">
        <f>+D1091+D1055+D1046</f>
        <v>0</v>
      </c>
      <c r="E1092" s="374">
        <f>+E1091+E1055+E1046</f>
        <v>230000</v>
      </c>
      <c r="F1092" s="374">
        <f>+F1091+F1055+F1046</f>
        <v>159037</v>
      </c>
      <c r="G1092" s="374">
        <f>+G1091+G1055+G1046</f>
        <v>196300</v>
      </c>
      <c r="H1092" s="374">
        <f>+H1091+H1055+H1046</f>
        <v>7617</v>
      </c>
      <c r="I1092" s="375">
        <f>IFERROR(F1092/E1092,"-")</f>
        <v>0.6914652173913044</v>
      </c>
      <c r="J1092" s="374">
        <f>+J1091+J1055+J1046</f>
        <v>5832157</v>
      </c>
      <c r="K1092" s="374">
        <f>+K1091+K1055+K1046</f>
        <v>5715704</v>
      </c>
      <c r="L1092" s="374">
        <f>+L1091+L1055+L1046</f>
        <v>116453</v>
      </c>
      <c r="M1092" s="375" t="str">
        <f t="shared" si="899"/>
        <v>-</v>
      </c>
      <c r="N1092" s="375">
        <f>IFERROR(L1092/J1092,"-")</f>
        <v>1.9967397997001795E-2</v>
      </c>
      <c r="O1092" s="401"/>
      <c r="P1092" s="418">
        <f>+P1091+P1055+P1046</f>
        <v>1122370.8909999998</v>
      </c>
      <c r="Q1092" s="418">
        <f>+Q1091+Q1055+Q1046</f>
        <v>32259443.316700004</v>
      </c>
    </row>
    <row r="1093" spans="1:17" ht="14.4" thickBot="1" x14ac:dyDescent="0.35"/>
    <row r="1094" spans="1:17" ht="23.4" x14ac:dyDescent="0.3">
      <c r="A1094" s="1115" t="s">
        <v>1</v>
      </c>
      <c r="B1094" s="1118" t="s">
        <v>2</v>
      </c>
      <c r="C1094" s="1121" t="s">
        <v>396</v>
      </c>
      <c r="D1094" s="1066" t="s">
        <v>4</v>
      </c>
      <c r="E1094" s="1067"/>
      <c r="F1094" s="1067"/>
      <c r="G1094" s="1067"/>
      <c r="H1094" s="1067"/>
      <c r="I1094" s="1067"/>
      <c r="J1094" s="1067"/>
      <c r="K1094" s="1067"/>
      <c r="L1094" s="1067"/>
      <c r="M1094" s="1067"/>
      <c r="N1094" s="1068"/>
      <c r="O1094" s="1092" t="s">
        <v>167</v>
      </c>
      <c r="P1094" s="1093"/>
      <c r="Q1094" s="1124"/>
    </row>
    <row r="1095" spans="1:17" ht="23.4" x14ac:dyDescent="0.3">
      <c r="A1095" s="1116"/>
      <c r="B1095" s="1119"/>
      <c r="C1095" s="1122"/>
      <c r="D1095" s="1069" t="s">
        <v>7</v>
      </c>
      <c r="E1095" s="1071" t="s">
        <v>108</v>
      </c>
      <c r="F1095" s="1125" t="s">
        <v>580</v>
      </c>
      <c r="G1095" s="1074"/>
      <c r="H1095" s="1074"/>
      <c r="I1095" s="1075"/>
      <c r="J1095" s="1076" t="s">
        <v>8</v>
      </c>
      <c r="K1095" s="1077"/>
      <c r="L1095" s="1078"/>
      <c r="M1095" s="1079" t="s">
        <v>165</v>
      </c>
      <c r="N1095" s="1081" t="s">
        <v>164</v>
      </c>
      <c r="O1095" s="1126" t="s">
        <v>169</v>
      </c>
      <c r="P1095" s="1127"/>
      <c r="Q1095" s="1128"/>
    </row>
    <row r="1096" spans="1:17" ht="47.4" thickBot="1" x14ac:dyDescent="0.35">
      <c r="A1096" s="1117"/>
      <c r="B1096" s="1120"/>
      <c r="C1096" s="1123"/>
      <c r="D1096" s="1070"/>
      <c r="E1096" s="1072"/>
      <c r="F1096" s="452" t="s">
        <v>13</v>
      </c>
      <c r="G1096" s="453" t="s">
        <v>14</v>
      </c>
      <c r="H1096" s="453" t="s">
        <v>15</v>
      </c>
      <c r="I1096" s="454" t="s">
        <v>166</v>
      </c>
      <c r="J1096" s="680" t="s">
        <v>13</v>
      </c>
      <c r="K1096" s="678" t="s">
        <v>14</v>
      </c>
      <c r="L1096" s="679" t="s">
        <v>15</v>
      </c>
      <c r="M1096" s="1080"/>
      <c r="N1096" s="1082"/>
      <c r="O1096" s="444" t="s">
        <v>170</v>
      </c>
      <c r="P1096" s="445" t="s">
        <v>11</v>
      </c>
      <c r="Q1096" s="446" t="s">
        <v>12</v>
      </c>
    </row>
    <row r="1097" spans="1:17" ht="23.4" x14ac:dyDescent="0.3">
      <c r="A1097" s="268" t="s">
        <v>103</v>
      </c>
      <c r="B1097" s="439"/>
      <c r="C1097" s="269" t="s">
        <v>502</v>
      </c>
      <c r="D1097" s="270"/>
      <c r="E1097" s="271"/>
      <c r="F1097" s="332">
        <f>+G1097+H1097</f>
        <v>0</v>
      </c>
      <c r="G1097" s="272">
        <v>0</v>
      </c>
      <c r="H1097" s="272">
        <v>0</v>
      </c>
      <c r="I1097" s="351" t="str">
        <f>IFERROR(F1097/E1097,"-")</f>
        <v>-</v>
      </c>
      <c r="J1097" s="457">
        <f>+K1097+L1097</f>
        <v>128000</v>
      </c>
      <c r="K1097" s="458">
        <f t="shared" ref="K1097:L1102" si="907">+G1097+K1031</f>
        <v>128000</v>
      </c>
      <c r="L1097" s="459">
        <f t="shared" si="907"/>
        <v>0</v>
      </c>
      <c r="M1097" s="336" t="str">
        <f>IFERROR(J1097/D1097,"-")</f>
        <v>-</v>
      </c>
      <c r="N1097" s="343">
        <f t="shared" ref="N1097" si="908">IFERROR(L1097/J1097,"-")</f>
        <v>0</v>
      </c>
      <c r="O1097" s="786">
        <v>0</v>
      </c>
      <c r="P1097" s="402">
        <f>+O1097*G1097</f>
        <v>0</v>
      </c>
      <c r="Q1097" s="447">
        <f>+O1097*K1097</f>
        <v>0</v>
      </c>
    </row>
    <row r="1098" spans="1:17" ht="23.4" x14ac:dyDescent="0.3">
      <c r="A1098" s="274"/>
      <c r="B1098" s="439"/>
      <c r="C1098" s="269" t="s">
        <v>563</v>
      </c>
      <c r="D1098" s="270"/>
      <c r="E1098" s="271"/>
      <c r="F1098" s="332"/>
      <c r="G1098" s="272">
        <v>40304</v>
      </c>
      <c r="H1098" s="272">
        <v>6540</v>
      </c>
      <c r="I1098" s="351"/>
      <c r="J1098" s="332">
        <f>+K1098+L1098</f>
        <v>338188</v>
      </c>
      <c r="K1098" s="272">
        <f t="shared" si="907"/>
        <v>282624</v>
      </c>
      <c r="L1098" s="435">
        <f t="shared" si="907"/>
        <v>55564</v>
      </c>
      <c r="M1098" s="336"/>
      <c r="N1098" s="343"/>
      <c r="O1098" s="786">
        <v>1.5669</v>
      </c>
      <c r="P1098" s="402">
        <f t="shared" ref="P1098:P1102" si="909">+O1098*G1098</f>
        <v>63152.337599999999</v>
      </c>
      <c r="Q1098" s="447">
        <f t="shared" ref="Q1098:Q1102" si="910">+O1098*K1098</f>
        <v>442843.54560000001</v>
      </c>
    </row>
    <row r="1099" spans="1:17" ht="23.4" x14ac:dyDescent="0.3">
      <c r="A1099" s="274" t="s">
        <v>103</v>
      </c>
      <c r="B1099" s="438"/>
      <c r="C1099" s="275" t="s">
        <v>245</v>
      </c>
      <c r="D1099" s="276"/>
      <c r="E1099" s="277"/>
      <c r="F1099" s="333">
        <f t="shared" ref="F1099:F1102" si="911">+G1099+H1099</f>
        <v>58070</v>
      </c>
      <c r="G1099" s="719">
        <v>57500</v>
      </c>
      <c r="H1099" s="719">
        <v>570</v>
      </c>
      <c r="I1099" s="351" t="str">
        <f t="shared" ref="I1099:I1102" si="912">IFERROR(F1099/E1099,"-")</f>
        <v>-</v>
      </c>
      <c r="J1099" s="333">
        <f t="shared" ref="J1099:J1102" si="913">+K1099+L1099</f>
        <v>173944</v>
      </c>
      <c r="K1099" s="278">
        <f t="shared" si="907"/>
        <v>172500</v>
      </c>
      <c r="L1099" s="436">
        <f t="shared" si="907"/>
        <v>1444</v>
      </c>
      <c r="M1099" s="337" t="str">
        <f t="shared" ref="M1099:M1102" si="914">IFERROR(J1099/D1099,"-")</f>
        <v>-</v>
      </c>
      <c r="N1099" s="265">
        <f t="shared" ref="N1099" si="915">IFERROR(L1099/J1099,"-")</f>
        <v>8.301522329025434E-3</v>
      </c>
      <c r="O1099" s="508">
        <v>2.3978999999999999</v>
      </c>
      <c r="P1099" s="404">
        <f t="shared" si="909"/>
        <v>137879.25</v>
      </c>
      <c r="Q1099" s="449">
        <f t="shared" si="910"/>
        <v>413637.75</v>
      </c>
    </row>
    <row r="1100" spans="1:17" ht="23.4" x14ac:dyDescent="0.3">
      <c r="A1100" s="274" t="s">
        <v>103</v>
      </c>
      <c r="B1100" s="438"/>
      <c r="C1100" s="275" t="s">
        <v>395</v>
      </c>
      <c r="D1100" s="276"/>
      <c r="E1100" s="277"/>
      <c r="F1100" s="333">
        <f t="shared" si="911"/>
        <v>0</v>
      </c>
      <c r="G1100" s="278">
        <v>0</v>
      </c>
      <c r="H1100" s="719">
        <v>0</v>
      </c>
      <c r="I1100" s="351" t="str">
        <f t="shared" si="912"/>
        <v>-</v>
      </c>
      <c r="J1100" s="333">
        <f t="shared" si="913"/>
        <v>1164485</v>
      </c>
      <c r="K1100" s="278">
        <f t="shared" si="907"/>
        <v>1153250</v>
      </c>
      <c r="L1100" s="436">
        <f t="shared" si="907"/>
        <v>11235</v>
      </c>
      <c r="M1100" s="337" t="str">
        <f t="shared" si="914"/>
        <v>-</v>
      </c>
      <c r="N1100" s="716">
        <f>IFERROR(L1100/J1100,"-")</f>
        <v>9.6480418382375033E-3</v>
      </c>
      <c r="O1100" s="718">
        <v>3.6777000000000002</v>
      </c>
      <c r="P1100" s="404">
        <f t="shared" si="909"/>
        <v>0</v>
      </c>
      <c r="Q1100" s="449">
        <f t="shared" si="910"/>
        <v>4241307.5250000004</v>
      </c>
    </row>
    <row r="1101" spans="1:17" ht="23.4" x14ac:dyDescent="0.3">
      <c r="A1101" s="274"/>
      <c r="B1101" s="451"/>
      <c r="C1101" s="275" t="s">
        <v>319</v>
      </c>
      <c r="D1101" s="280"/>
      <c r="E1101" s="281"/>
      <c r="F1101" s="333">
        <f t="shared" si="911"/>
        <v>22270</v>
      </c>
      <c r="G1101" s="282">
        <v>22000</v>
      </c>
      <c r="H1101" s="282">
        <v>270</v>
      </c>
      <c r="I1101" s="351" t="str">
        <f t="shared" si="912"/>
        <v>-</v>
      </c>
      <c r="J1101" s="333">
        <f t="shared" si="913"/>
        <v>467952</v>
      </c>
      <c r="K1101" s="278">
        <f t="shared" si="907"/>
        <v>461800</v>
      </c>
      <c r="L1101" s="436">
        <f t="shared" si="907"/>
        <v>6152</v>
      </c>
      <c r="M1101" s="337" t="str">
        <f t="shared" si="914"/>
        <v>-</v>
      </c>
      <c r="N1101" s="265">
        <f>IFERROR(L1101/J1101,"-")</f>
        <v>1.31466475194037E-2</v>
      </c>
      <c r="O1101" s="509">
        <v>12.284700000000001</v>
      </c>
      <c r="P1101" s="404">
        <f t="shared" si="909"/>
        <v>270263.40000000002</v>
      </c>
      <c r="Q1101" s="449">
        <f t="shared" si="910"/>
        <v>5673074.46</v>
      </c>
    </row>
    <row r="1102" spans="1:17" ht="24" thickBot="1" x14ac:dyDescent="0.35">
      <c r="A1102" s="274" t="s">
        <v>103</v>
      </c>
      <c r="B1102" s="451"/>
      <c r="C1102" s="275" t="s">
        <v>365</v>
      </c>
      <c r="D1102" s="280"/>
      <c r="E1102" s="281"/>
      <c r="F1102" s="334">
        <f t="shared" si="911"/>
        <v>0</v>
      </c>
      <c r="G1102" s="282"/>
      <c r="H1102" s="282"/>
      <c r="I1102" s="351" t="str">
        <f t="shared" si="912"/>
        <v>-</v>
      </c>
      <c r="J1102" s="460">
        <f t="shared" si="913"/>
        <v>45034</v>
      </c>
      <c r="K1102" s="461">
        <f t="shared" si="907"/>
        <v>44250</v>
      </c>
      <c r="L1102" s="462">
        <f t="shared" si="907"/>
        <v>784</v>
      </c>
      <c r="M1102" s="338" t="str">
        <f t="shared" si="914"/>
        <v>-</v>
      </c>
      <c r="N1102" s="344">
        <f t="shared" ref="N1102:N1114" si="916">IFERROR(L1102/J1102,"-")</f>
        <v>1.7409068703646134E-2</v>
      </c>
      <c r="O1102" s="718">
        <v>7.0612000000000004</v>
      </c>
      <c r="P1102" s="405">
        <f t="shared" si="909"/>
        <v>0</v>
      </c>
      <c r="Q1102" s="450">
        <f t="shared" si="910"/>
        <v>312458.10000000003</v>
      </c>
    </row>
    <row r="1103" spans="1:17" ht="24" thickBot="1" x14ac:dyDescent="0.35">
      <c r="A1103" s="274" t="s">
        <v>103</v>
      </c>
      <c r="B1103" s="1109" t="s">
        <v>21</v>
      </c>
      <c r="C1103" s="1046"/>
      <c r="D1103" s="320">
        <f>SUM(D1097:D1102)</f>
        <v>0</v>
      </c>
      <c r="E1103" s="285">
        <v>15000</v>
      </c>
      <c r="F1103" s="320">
        <f>SUM(F1097:F1102)</f>
        <v>80340</v>
      </c>
      <c r="G1103" s="321">
        <f>SUM(G1097:G1102)</f>
        <v>119804</v>
      </c>
      <c r="H1103" s="321">
        <f>SUM(H1097:H1102)</f>
        <v>7380</v>
      </c>
      <c r="I1103" s="345">
        <f>IFERROR(F1103/E1103,"-")</f>
        <v>5.3559999999999999</v>
      </c>
      <c r="J1103" s="320">
        <f>SUM(J1097:J1102)</f>
        <v>2317603</v>
      </c>
      <c r="K1103" s="321">
        <f>SUM(K1097:K1102)</f>
        <v>2242424</v>
      </c>
      <c r="L1103" s="322">
        <f>SUM(L1097:L1102)</f>
        <v>75179</v>
      </c>
      <c r="M1103" s="339" t="str">
        <f>IFERROR(J1103/D1103,"-")</f>
        <v>-</v>
      </c>
      <c r="N1103" s="345">
        <f t="shared" si="916"/>
        <v>3.243825625009978E-2</v>
      </c>
      <c r="O1103" s="391"/>
      <c r="P1103" s="406">
        <f>SUM(P1097:P1102)</f>
        <v>471294.98759999999</v>
      </c>
      <c r="Q1103" s="425">
        <f>SUM(Q1097:Q1102)</f>
        <v>11083321.3806</v>
      </c>
    </row>
    <row r="1104" spans="1:17" ht="23.4" x14ac:dyDescent="0.3">
      <c r="A1104" s="274" t="s">
        <v>103</v>
      </c>
      <c r="B1104" s="439"/>
      <c r="C1104" s="269" t="s">
        <v>244</v>
      </c>
      <c r="D1104" s="270"/>
      <c r="E1104" s="271"/>
      <c r="F1104" s="332">
        <f t="shared" ref="F1104:F1110" si="917">+G1104+H1104</f>
        <v>8850</v>
      </c>
      <c r="G1104" s="272">
        <v>8640</v>
      </c>
      <c r="H1104" s="272">
        <v>210</v>
      </c>
      <c r="I1104" s="351" t="str">
        <f>IFERROR(F1104/E1104,"-")</f>
        <v>-</v>
      </c>
      <c r="J1104" s="457">
        <f t="shared" ref="J1104:J1110" si="918">+K1104+L1104</f>
        <v>48776</v>
      </c>
      <c r="K1104" s="458">
        <f t="shared" ref="K1104:L1110" si="919">+G1104+K1038</f>
        <v>47520</v>
      </c>
      <c r="L1104" s="459">
        <f t="shared" si="919"/>
        <v>1256</v>
      </c>
      <c r="M1104" s="336" t="str">
        <f t="shared" ref="M1104:M1112" si="920">IFERROR(J1104/D1104,"-")</f>
        <v>-</v>
      </c>
      <c r="N1104" s="346">
        <f t="shared" si="916"/>
        <v>2.5750369033951122E-2</v>
      </c>
      <c r="O1104" s="507">
        <v>18.2316</v>
      </c>
      <c r="P1104" s="402">
        <f t="shared" ref="P1104:P1110" si="921">+O1104*G1104</f>
        <v>157521.024</v>
      </c>
      <c r="Q1104" s="447">
        <f t="shared" ref="Q1104:Q1110" si="922">+O1104*K1104</f>
        <v>866365.63199999998</v>
      </c>
    </row>
    <row r="1105" spans="1:17" ht="23.4" x14ac:dyDescent="0.3">
      <c r="A1105" s="274" t="s">
        <v>103</v>
      </c>
      <c r="B1105" s="438"/>
      <c r="C1105" s="275" t="s">
        <v>89</v>
      </c>
      <c r="D1105" s="276"/>
      <c r="E1105" s="277"/>
      <c r="F1105" s="333">
        <f t="shared" si="917"/>
        <v>60000</v>
      </c>
      <c r="G1105" s="278">
        <v>60000</v>
      </c>
      <c r="H1105" s="278">
        <v>0</v>
      </c>
      <c r="I1105" s="351" t="str">
        <f t="shared" ref="I1105:I1110" si="923">IFERROR(F1105/E1105,"-")</f>
        <v>-</v>
      </c>
      <c r="J1105" s="333">
        <f t="shared" si="918"/>
        <v>300000</v>
      </c>
      <c r="K1105" s="278">
        <f t="shared" si="919"/>
        <v>300000</v>
      </c>
      <c r="L1105" s="436">
        <f t="shared" si="919"/>
        <v>0</v>
      </c>
      <c r="M1105" s="337" t="str">
        <f t="shared" si="920"/>
        <v>-</v>
      </c>
      <c r="N1105" s="263">
        <f t="shared" si="916"/>
        <v>0</v>
      </c>
      <c r="O1105" s="508">
        <v>1.2824</v>
      </c>
      <c r="P1105" s="404">
        <f t="shared" si="921"/>
        <v>76944</v>
      </c>
      <c r="Q1105" s="449">
        <f t="shared" si="922"/>
        <v>384720</v>
      </c>
    </row>
    <row r="1106" spans="1:17" ht="23.4" x14ac:dyDescent="0.3">
      <c r="A1106" s="274" t="s">
        <v>103</v>
      </c>
      <c r="B1106" s="438"/>
      <c r="C1106" s="275" t="s">
        <v>300</v>
      </c>
      <c r="D1106" s="276"/>
      <c r="E1106" s="277"/>
      <c r="F1106" s="333">
        <f t="shared" si="917"/>
        <v>0</v>
      </c>
      <c r="G1106" s="278"/>
      <c r="H1106" s="278"/>
      <c r="I1106" s="351" t="str">
        <f t="shared" si="923"/>
        <v>-</v>
      </c>
      <c r="J1106" s="333">
        <f t="shared" si="918"/>
        <v>0</v>
      </c>
      <c r="K1106" s="278">
        <f t="shared" si="919"/>
        <v>0</v>
      </c>
      <c r="L1106" s="436">
        <f t="shared" si="919"/>
        <v>0</v>
      </c>
      <c r="M1106" s="337" t="str">
        <f t="shared" si="920"/>
        <v>-</v>
      </c>
      <c r="N1106" s="263" t="str">
        <f t="shared" si="916"/>
        <v>-</v>
      </c>
      <c r="O1106" s="710">
        <v>5.7342000000000004</v>
      </c>
      <c r="P1106" s="404">
        <f t="shared" si="921"/>
        <v>0</v>
      </c>
      <c r="Q1106" s="449">
        <f t="shared" si="922"/>
        <v>0</v>
      </c>
    </row>
    <row r="1107" spans="1:17" ht="23.4" x14ac:dyDescent="0.3">
      <c r="A1107" s="274" t="s">
        <v>103</v>
      </c>
      <c r="B1107" s="438"/>
      <c r="C1107" s="275" t="s">
        <v>314</v>
      </c>
      <c r="D1107" s="276"/>
      <c r="E1107" s="277"/>
      <c r="F1107" s="333">
        <f t="shared" si="917"/>
        <v>0</v>
      </c>
      <c r="G1107" s="278"/>
      <c r="H1107" s="278"/>
      <c r="I1107" s="351" t="str">
        <f t="shared" si="923"/>
        <v>-</v>
      </c>
      <c r="J1107" s="333">
        <f t="shared" si="918"/>
        <v>0</v>
      </c>
      <c r="K1107" s="278">
        <f t="shared" si="919"/>
        <v>0</v>
      </c>
      <c r="L1107" s="436">
        <f t="shared" si="919"/>
        <v>0</v>
      </c>
      <c r="M1107" s="337" t="str">
        <f t="shared" si="920"/>
        <v>-</v>
      </c>
      <c r="N1107" s="263" t="str">
        <f t="shared" si="916"/>
        <v>-</v>
      </c>
      <c r="O1107" s="508"/>
      <c r="P1107" s="404">
        <f t="shared" si="921"/>
        <v>0</v>
      </c>
      <c r="Q1107" s="449">
        <f t="shared" si="922"/>
        <v>0</v>
      </c>
    </row>
    <row r="1108" spans="1:17" ht="23.4" x14ac:dyDescent="0.3">
      <c r="A1108" s="274" t="s">
        <v>103</v>
      </c>
      <c r="B1108" s="438"/>
      <c r="C1108" s="275" t="s">
        <v>320</v>
      </c>
      <c r="D1108" s="276"/>
      <c r="E1108" s="277"/>
      <c r="F1108" s="333">
        <f t="shared" si="917"/>
        <v>9040</v>
      </c>
      <c r="G1108" s="278">
        <v>9000</v>
      </c>
      <c r="H1108" s="278">
        <v>40</v>
      </c>
      <c r="I1108" s="351" t="str">
        <f t="shared" si="923"/>
        <v>-</v>
      </c>
      <c r="J1108" s="333">
        <f t="shared" si="918"/>
        <v>120899</v>
      </c>
      <c r="K1108" s="278">
        <f t="shared" si="919"/>
        <v>120400</v>
      </c>
      <c r="L1108" s="436">
        <f t="shared" si="919"/>
        <v>499</v>
      </c>
      <c r="M1108" s="337" t="str">
        <f t="shared" si="920"/>
        <v>-</v>
      </c>
      <c r="N1108" s="263">
        <f t="shared" si="916"/>
        <v>4.1274121374039489E-3</v>
      </c>
      <c r="O1108" s="508">
        <v>12.029500000000001</v>
      </c>
      <c r="P1108" s="404">
        <f t="shared" si="921"/>
        <v>108265.5</v>
      </c>
      <c r="Q1108" s="449">
        <f t="shared" si="922"/>
        <v>1448351.8</v>
      </c>
    </row>
    <row r="1109" spans="1:17" ht="23.4" x14ac:dyDescent="0.3">
      <c r="A1109" s="274" t="s">
        <v>103</v>
      </c>
      <c r="B1109" s="438"/>
      <c r="C1109" s="275"/>
      <c r="D1109" s="276"/>
      <c r="E1109" s="277"/>
      <c r="F1109" s="333">
        <f t="shared" si="917"/>
        <v>0</v>
      </c>
      <c r="G1109" s="278"/>
      <c r="H1109" s="278"/>
      <c r="I1109" s="351" t="str">
        <f t="shared" si="923"/>
        <v>-</v>
      </c>
      <c r="J1109" s="333">
        <f t="shared" si="918"/>
        <v>0</v>
      </c>
      <c r="K1109" s="278">
        <f t="shared" si="919"/>
        <v>0</v>
      </c>
      <c r="L1109" s="436">
        <f t="shared" si="919"/>
        <v>0</v>
      </c>
      <c r="M1109" s="337" t="str">
        <f t="shared" si="920"/>
        <v>-</v>
      </c>
      <c r="N1109" s="263" t="str">
        <f t="shared" si="916"/>
        <v>-</v>
      </c>
      <c r="O1109" s="508"/>
      <c r="P1109" s="404">
        <f t="shared" si="921"/>
        <v>0</v>
      </c>
      <c r="Q1109" s="449">
        <f t="shared" si="922"/>
        <v>0</v>
      </c>
    </row>
    <row r="1110" spans="1:17" ht="24" thickBot="1" x14ac:dyDescent="0.35">
      <c r="A1110" s="274" t="s">
        <v>103</v>
      </c>
      <c r="B1110" s="451"/>
      <c r="C1110" s="279"/>
      <c r="D1110" s="280">
        <v>0</v>
      </c>
      <c r="E1110" s="281"/>
      <c r="F1110" s="334">
        <f t="shared" si="917"/>
        <v>0</v>
      </c>
      <c r="G1110" s="282"/>
      <c r="H1110" s="282"/>
      <c r="I1110" s="351" t="str">
        <f t="shared" si="923"/>
        <v>-</v>
      </c>
      <c r="J1110" s="460">
        <f t="shared" si="918"/>
        <v>0</v>
      </c>
      <c r="K1110" s="461">
        <f t="shared" si="919"/>
        <v>0</v>
      </c>
      <c r="L1110" s="462">
        <f t="shared" si="919"/>
        <v>0</v>
      </c>
      <c r="M1110" s="338" t="str">
        <f t="shared" si="920"/>
        <v>-</v>
      </c>
      <c r="N1110" s="347" t="str">
        <f t="shared" si="916"/>
        <v>-</v>
      </c>
      <c r="O1110" s="509"/>
      <c r="P1110" s="405">
        <f t="shared" si="921"/>
        <v>0</v>
      </c>
      <c r="Q1110" s="450">
        <f t="shared" si="922"/>
        <v>0</v>
      </c>
    </row>
    <row r="1111" spans="1:17" ht="24" thickBot="1" x14ac:dyDescent="0.35">
      <c r="A1111" s="274" t="s">
        <v>103</v>
      </c>
      <c r="B1111" s="1109" t="s">
        <v>25</v>
      </c>
      <c r="C1111" s="1046"/>
      <c r="D1111" s="320">
        <f t="shared" ref="D1111" si="924">SUM(D1104:D1110)</f>
        <v>0</v>
      </c>
      <c r="E1111" s="285">
        <v>100000</v>
      </c>
      <c r="F1111" s="320">
        <f>SUM(F1104:F1110)</f>
        <v>77890</v>
      </c>
      <c r="G1111" s="321">
        <f t="shared" ref="G1111:H1111" si="925">SUM(G1104:G1110)</f>
        <v>77640</v>
      </c>
      <c r="H1111" s="321">
        <f t="shared" si="925"/>
        <v>250</v>
      </c>
      <c r="I1111" s="345">
        <f>IFERROR(F1111/E1111,"-")</f>
        <v>0.77890000000000004</v>
      </c>
      <c r="J1111" s="320">
        <f t="shared" ref="J1111:L1111" si="926">SUM(J1104:J1110)</f>
        <v>469675</v>
      </c>
      <c r="K1111" s="321">
        <f t="shared" si="926"/>
        <v>467920</v>
      </c>
      <c r="L1111" s="322">
        <f t="shared" si="926"/>
        <v>1755</v>
      </c>
      <c r="M1111" s="339" t="str">
        <f t="shared" si="920"/>
        <v>-</v>
      </c>
      <c r="N1111" s="345">
        <f t="shared" si="916"/>
        <v>3.7366263905892374E-3</v>
      </c>
      <c r="O1111" s="391"/>
      <c r="P1111" s="406">
        <f t="shared" ref="P1111:Q1111" si="927">SUM(P1104:P1110)</f>
        <v>342730.52399999998</v>
      </c>
      <c r="Q1111" s="425">
        <f t="shared" si="927"/>
        <v>2699437.432</v>
      </c>
    </row>
    <row r="1112" spans="1:17" ht="24" thickBot="1" x14ac:dyDescent="0.35">
      <c r="A1112" s="274" t="s">
        <v>103</v>
      </c>
      <c r="B1112" s="1111" t="s">
        <v>172</v>
      </c>
      <c r="C1112" s="1112"/>
      <c r="D1112" s="326">
        <f>+D1103+D1111</f>
        <v>0</v>
      </c>
      <c r="E1112" s="327">
        <f t="shared" ref="E1112:H1112" si="928">+E1103+E1111</f>
        <v>115000</v>
      </c>
      <c r="F1112" s="512">
        <f t="shared" si="928"/>
        <v>158230</v>
      </c>
      <c r="G1112" s="514">
        <f t="shared" si="928"/>
        <v>197444</v>
      </c>
      <c r="H1112" s="514">
        <f t="shared" si="928"/>
        <v>7630</v>
      </c>
      <c r="I1112" s="515">
        <f>IFERROR(F1112/E1112,"-")</f>
        <v>1.3759130434782609</v>
      </c>
      <c r="J1112" s="326">
        <f t="shared" ref="J1112:L1112" si="929">+J1103+J1111</f>
        <v>2787278</v>
      </c>
      <c r="K1112" s="324">
        <f t="shared" si="929"/>
        <v>2710344</v>
      </c>
      <c r="L1112" s="325">
        <f t="shared" si="929"/>
        <v>76934</v>
      </c>
      <c r="M1112" s="341" t="str">
        <f t="shared" si="920"/>
        <v>-</v>
      </c>
      <c r="N1112" s="349">
        <f t="shared" si="916"/>
        <v>2.7601839500760238E-2</v>
      </c>
      <c r="O1112" s="394"/>
      <c r="P1112" s="410">
        <f t="shared" ref="P1112:Q1112" si="930">+P1103+P1111</f>
        <v>814025.51159999997</v>
      </c>
      <c r="Q1112" s="428">
        <f t="shared" si="930"/>
        <v>13782758.8126</v>
      </c>
    </row>
    <row r="1113" spans="1:17" ht="23.4" x14ac:dyDescent="0.3">
      <c r="A1113" s="244" t="s">
        <v>101</v>
      </c>
      <c r="B1113" s="581"/>
      <c r="C1113" s="582" t="s">
        <v>283</v>
      </c>
      <c r="D1113" s="527"/>
      <c r="E1113" s="459"/>
      <c r="F1113" s="457">
        <f>+G1113+H1113</f>
        <v>0</v>
      </c>
      <c r="G1113" s="458"/>
      <c r="H1113" s="838"/>
      <c r="I1113" s="531" t="str">
        <f>IFERROR(F1113/E1113,"-")</f>
        <v>-</v>
      </c>
      <c r="J1113" s="644">
        <f>+K1113+L1113</f>
        <v>0</v>
      </c>
      <c r="K1113" s="458">
        <f t="shared" ref="K1113:L1119" si="931">+G1113+K1047</f>
        <v>0</v>
      </c>
      <c r="L1113" s="459">
        <f t="shared" si="931"/>
        <v>0</v>
      </c>
      <c r="M1113" s="586" t="str">
        <f>IFERROR(J1113/D1113,"-")</f>
        <v>-</v>
      </c>
      <c r="N1113" s="533" t="str">
        <f t="shared" si="916"/>
        <v>-</v>
      </c>
      <c r="O1113" s="628">
        <v>4.8285999999999998</v>
      </c>
      <c r="P1113" s="534">
        <f t="shared" ref="P1113:P1119" si="932">+O1113*G1113</f>
        <v>0</v>
      </c>
      <c r="Q1113" s="535">
        <f t="shared" ref="Q1113:Q1119" si="933">+O1113*K1113</f>
        <v>0</v>
      </c>
    </row>
    <row r="1114" spans="1:17" ht="23.4" x14ac:dyDescent="0.3">
      <c r="A1114" s="248" t="s">
        <v>101</v>
      </c>
      <c r="B1114" s="583"/>
      <c r="C1114" s="275" t="s">
        <v>284</v>
      </c>
      <c r="D1114" s="276"/>
      <c r="E1114" s="436"/>
      <c r="F1114" s="333">
        <f t="shared" ref="F1114:F1119" si="934">+G1114+H1114</f>
        <v>0</v>
      </c>
      <c r="G1114" s="278"/>
      <c r="H1114" s="277"/>
      <c r="I1114" s="352" t="str">
        <f t="shared" ref="I1114:I1119" si="935">IFERROR(F1114/E1114,"-")</f>
        <v>-</v>
      </c>
      <c r="J1114" s="874">
        <f t="shared" ref="J1114:J1119" si="936">+K1114+L1114</f>
        <v>0</v>
      </c>
      <c r="K1114" s="278">
        <f t="shared" si="931"/>
        <v>0</v>
      </c>
      <c r="L1114" s="436">
        <f t="shared" si="931"/>
        <v>0</v>
      </c>
      <c r="M1114" s="337" t="str">
        <f t="shared" ref="M1114:M1119" si="937">IFERROR(J1114/D1114,"-")</f>
        <v>-</v>
      </c>
      <c r="N1114" s="265" t="str">
        <f t="shared" si="916"/>
        <v>-</v>
      </c>
      <c r="O1114" s="629">
        <v>1.4086000000000001</v>
      </c>
      <c r="P1114" s="404">
        <f t="shared" si="932"/>
        <v>0</v>
      </c>
      <c r="Q1114" s="449">
        <f t="shared" si="933"/>
        <v>0</v>
      </c>
    </row>
    <row r="1115" spans="1:17" ht="23.4" x14ac:dyDescent="0.3">
      <c r="A1115" s="248" t="s">
        <v>101</v>
      </c>
      <c r="B1115" s="583"/>
      <c r="C1115" s="275" t="s">
        <v>315</v>
      </c>
      <c r="D1115" s="276"/>
      <c r="E1115" s="436"/>
      <c r="F1115" s="333">
        <f t="shared" si="934"/>
        <v>0</v>
      </c>
      <c r="G1115" s="278"/>
      <c r="H1115" s="277"/>
      <c r="I1115" s="352" t="str">
        <f t="shared" si="935"/>
        <v>-</v>
      </c>
      <c r="J1115" s="874">
        <f t="shared" si="936"/>
        <v>0</v>
      </c>
      <c r="K1115" s="278">
        <f t="shared" si="931"/>
        <v>0</v>
      </c>
      <c r="L1115" s="436">
        <f t="shared" si="931"/>
        <v>0</v>
      </c>
      <c r="M1115" s="337" t="str">
        <f t="shared" si="937"/>
        <v>-</v>
      </c>
      <c r="N1115" s="265" t="str">
        <f>IFERROR(L1115/J1115,"-")</f>
        <v>-</v>
      </c>
      <c r="O1115" s="629">
        <v>2.2141000000000002</v>
      </c>
      <c r="P1115" s="404">
        <f t="shared" si="932"/>
        <v>0</v>
      </c>
      <c r="Q1115" s="449">
        <f t="shared" si="933"/>
        <v>0</v>
      </c>
    </row>
    <row r="1116" spans="1:17" ht="23.4" x14ac:dyDescent="0.3">
      <c r="A1116" s="248" t="s">
        <v>101</v>
      </c>
      <c r="B1116" s="584"/>
      <c r="C1116" s="275" t="s">
        <v>447</v>
      </c>
      <c r="D1116" s="280"/>
      <c r="E1116" s="528"/>
      <c r="F1116" s="334">
        <f t="shared" si="934"/>
        <v>51695</v>
      </c>
      <c r="G1116" s="282">
        <v>50500</v>
      </c>
      <c r="H1116" s="281">
        <v>1195</v>
      </c>
      <c r="I1116" s="352" t="str">
        <f t="shared" si="935"/>
        <v>-</v>
      </c>
      <c r="J1116" s="874">
        <f t="shared" si="936"/>
        <v>998964</v>
      </c>
      <c r="K1116" s="278">
        <f t="shared" si="931"/>
        <v>985750</v>
      </c>
      <c r="L1116" s="436">
        <f t="shared" si="931"/>
        <v>13214</v>
      </c>
      <c r="M1116" s="338" t="str">
        <f t="shared" si="937"/>
        <v>-</v>
      </c>
      <c r="N1116" s="344">
        <f t="shared" ref="N1116:N1123" si="938">IFERROR(L1116/J1116,"-")</f>
        <v>1.3227703901241686E-2</v>
      </c>
      <c r="O1116" s="629">
        <v>2.2141000000000002</v>
      </c>
      <c r="P1116" s="405">
        <f t="shared" si="932"/>
        <v>111812.05</v>
      </c>
      <c r="Q1116" s="450">
        <f t="shared" si="933"/>
        <v>2182549.0750000002</v>
      </c>
    </row>
    <row r="1117" spans="1:17" ht="23.4" x14ac:dyDescent="0.3">
      <c r="A1117" s="248" t="s">
        <v>101</v>
      </c>
      <c r="B1117" s="440"/>
      <c r="C1117" s="627" t="s">
        <v>353</v>
      </c>
      <c r="D1117" s="510"/>
      <c r="E1117" s="529"/>
      <c r="F1117" s="333">
        <f t="shared" si="934"/>
        <v>0</v>
      </c>
      <c r="G1117" s="547"/>
      <c r="H1117" s="873"/>
      <c r="I1117" s="352" t="str">
        <f t="shared" si="935"/>
        <v>-</v>
      </c>
      <c r="J1117" s="874">
        <f t="shared" si="936"/>
        <v>0</v>
      </c>
      <c r="K1117" s="278">
        <f t="shared" si="931"/>
        <v>0</v>
      </c>
      <c r="L1117" s="436">
        <f t="shared" si="931"/>
        <v>0</v>
      </c>
      <c r="M1117" s="338" t="str">
        <f t="shared" si="937"/>
        <v>-</v>
      </c>
      <c r="N1117" s="265" t="str">
        <f t="shared" si="938"/>
        <v>-</v>
      </c>
      <c r="O1117" s="540">
        <v>4.8285999999999998</v>
      </c>
      <c r="P1117" s="404">
        <f t="shared" si="932"/>
        <v>0</v>
      </c>
      <c r="Q1117" s="449">
        <f t="shared" si="933"/>
        <v>0</v>
      </c>
    </row>
    <row r="1118" spans="1:17" ht="23.4" x14ac:dyDescent="0.3">
      <c r="A1118" s="248" t="s">
        <v>101</v>
      </c>
      <c r="B1118" s="585"/>
      <c r="C1118" s="627" t="s">
        <v>349</v>
      </c>
      <c r="D1118" s="270"/>
      <c r="E1118" s="435"/>
      <c r="F1118" s="332">
        <f t="shared" si="934"/>
        <v>0</v>
      </c>
      <c r="G1118" s="272"/>
      <c r="H1118" s="271"/>
      <c r="I1118" s="352" t="str">
        <f t="shared" si="935"/>
        <v>-</v>
      </c>
      <c r="J1118" s="874">
        <f t="shared" si="936"/>
        <v>17157</v>
      </c>
      <c r="K1118" s="278">
        <f t="shared" si="931"/>
        <v>16250</v>
      </c>
      <c r="L1118" s="436">
        <f t="shared" si="931"/>
        <v>907</v>
      </c>
      <c r="M1118" s="336" t="str">
        <f t="shared" si="937"/>
        <v>-</v>
      </c>
      <c r="N1118" s="346">
        <f t="shared" si="938"/>
        <v>5.2864719939383339E-2</v>
      </c>
      <c r="O1118" s="507">
        <v>4.1712999999999996</v>
      </c>
      <c r="P1118" s="402">
        <f t="shared" si="932"/>
        <v>0</v>
      </c>
      <c r="Q1118" s="447">
        <f t="shared" si="933"/>
        <v>67783.625</v>
      </c>
    </row>
    <row r="1119" spans="1:17" ht="24" thickBot="1" x14ac:dyDescent="0.35">
      <c r="A1119" s="248" t="s">
        <v>101</v>
      </c>
      <c r="B1119" s="583"/>
      <c r="C1119" s="275"/>
      <c r="D1119" s="276"/>
      <c r="E1119" s="436"/>
      <c r="F1119" s="460">
        <f t="shared" si="934"/>
        <v>0</v>
      </c>
      <c r="G1119" s="461"/>
      <c r="H1119" s="839"/>
      <c r="I1119" s="532" t="str">
        <f t="shared" si="935"/>
        <v>-</v>
      </c>
      <c r="J1119" s="875">
        <f t="shared" si="936"/>
        <v>0</v>
      </c>
      <c r="K1119" s="461">
        <f t="shared" si="931"/>
        <v>0</v>
      </c>
      <c r="L1119" s="462">
        <f t="shared" si="931"/>
        <v>0</v>
      </c>
      <c r="M1119" s="337" t="str">
        <f t="shared" si="937"/>
        <v>-</v>
      </c>
      <c r="N1119" s="263" t="str">
        <f t="shared" si="938"/>
        <v>-</v>
      </c>
      <c r="O1119" s="448"/>
      <c r="P1119" s="404">
        <f t="shared" si="932"/>
        <v>0</v>
      </c>
      <c r="Q1119" s="449">
        <f t="shared" si="933"/>
        <v>0</v>
      </c>
    </row>
    <row r="1120" spans="1:17" ht="24" thickBot="1" x14ac:dyDescent="0.35">
      <c r="A1120" s="274" t="s">
        <v>101</v>
      </c>
      <c r="B1120" s="1109" t="s">
        <v>21</v>
      </c>
      <c r="C1120" s="1046"/>
      <c r="D1120" s="320">
        <v>0</v>
      </c>
      <c r="E1120" s="285">
        <v>15000</v>
      </c>
      <c r="F1120" s="513">
        <f>SUM(F1113:F1119)</f>
        <v>51695</v>
      </c>
      <c r="G1120" s="519">
        <f t="shared" ref="G1120:H1120" si="939">SUM(G1113:G1119)</f>
        <v>50500</v>
      </c>
      <c r="H1120" s="519">
        <f t="shared" si="939"/>
        <v>1195</v>
      </c>
      <c r="I1120" s="520">
        <f>IFERROR(F1120/E1120,"-")</f>
        <v>3.4463333333333335</v>
      </c>
      <c r="J1120" s="513">
        <f t="shared" ref="J1120" si="940">SUM(J1113:J1119)</f>
        <v>1016121</v>
      </c>
      <c r="K1120" s="519">
        <f>SUM(K1113:K1119)</f>
        <v>1002000</v>
      </c>
      <c r="L1120" s="519">
        <f>SUM(L1113:L1119)</f>
        <v>14121</v>
      </c>
      <c r="M1120" s="339" t="str">
        <f>IFERROR(J1120/D1120,"-")</f>
        <v>-</v>
      </c>
      <c r="N1120" s="345">
        <f t="shared" si="938"/>
        <v>1.3896966995072438E-2</v>
      </c>
      <c r="O1120" s="391"/>
      <c r="P1120" s="406">
        <f>SUM(P1113:P1119)</f>
        <v>111812.05</v>
      </c>
      <c r="Q1120" s="425">
        <f>SUM(Q1113:Q1119)</f>
        <v>2250332.7000000002</v>
      </c>
    </row>
    <row r="1121" spans="1:17" ht="24" thickBot="1" x14ac:dyDescent="0.35">
      <c r="A1121" s="274" t="s">
        <v>101</v>
      </c>
      <c r="B1121" s="1111" t="s">
        <v>248</v>
      </c>
      <c r="C1121" s="1112"/>
      <c r="D1121" s="512">
        <f>+D1117+D1120</f>
        <v>0</v>
      </c>
      <c r="E1121" s="525">
        <f>+E1117+E1120</f>
        <v>15000</v>
      </c>
      <c r="F1121" s="512">
        <f>+F1117+F1120</f>
        <v>51695</v>
      </c>
      <c r="G1121" s="514">
        <f>+G1117+G1120</f>
        <v>50500</v>
      </c>
      <c r="H1121" s="514">
        <f>+H1117+H1120</f>
        <v>1195</v>
      </c>
      <c r="I1121" s="515">
        <f>IFERROR(F1121/E1121,"-")</f>
        <v>3.4463333333333335</v>
      </c>
      <c r="J1121" s="512">
        <f>+J1117+J1120</f>
        <v>1016121</v>
      </c>
      <c r="K1121" s="514">
        <f>+K1120</f>
        <v>1002000</v>
      </c>
      <c r="L1121" s="514">
        <f>+L1120</f>
        <v>14121</v>
      </c>
      <c r="M1121" s="516" t="str">
        <f t="shared" ref="M1121" si="941">IFERROR(J1121/D1121,"-")</f>
        <v>-</v>
      </c>
      <c r="N1121" s="515">
        <f t="shared" si="938"/>
        <v>1.3896966995072438E-2</v>
      </c>
      <c r="O1121" s="517"/>
      <c r="P1121" s="518">
        <f>+P1120</f>
        <v>111812.05</v>
      </c>
      <c r="Q1121" s="518">
        <f>+Q1120</f>
        <v>2250332.7000000002</v>
      </c>
    </row>
    <row r="1122" spans="1:17" ht="23.4" x14ac:dyDescent="0.4">
      <c r="A1122" s="244" t="s">
        <v>101</v>
      </c>
      <c r="B1122" s="1106" t="s">
        <v>250</v>
      </c>
      <c r="C1122" s="542" t="s">
        <v>71</v>
      </c>
      <c r="D1122" s="527"/>
      <c r="E1122" s="459"/>
      <c r="F1122" s="694">
        <f>+G1122+H1122</f>
        <v>3024</v>
      </c>
      <c r="G1122" s="527">
        <v>3000</v>
      </c>
      <c r="H1122" s="458">
        <v>24</v>
      </c>
      <c r="I1122" s="531" t="str">
        <f>IFERROR(F1122/E1122,"-")</f>
        <v>-</v>
      </c>
      <c r="J1122" s="644">
        <f>+K1122+L1122</f>
        <v>44517</v>
      </c>
      <c r="K1122" s="458">
        <f t="shared" ref="K1122:K1151" si="942">+G1122+K1056</f>
        <v>44000</v>
      </c>
      <c r="L1122" s="459">
        <f t="shared" ref="L1122:L1151" si="943">+H1122+L1056</f>
        <v>517</v>
      </c>
      <c r="M1122" s="586" t="str">
        <f>IFERROR(J1122/D1122,"-")</f>
        <v>-</v>
      </c>
      <c r="N1122" s="533">
        <f t="shared" si="938"/>
        <v>1.1613540894489745E-2</v>
      </c>
      <c r="O1122" s="538">
        <v>32.946300000000001</v>
      </c>
      <c r="P1122" s="534">
        <f t="shared" ref="P1122:P1155" si="944">+O1122*G1122</f>
        <v>98838.900000000009</v>
      </c>
      <c r="Q1122" s="535">
        <f t="shared" ref="Q1122:Q1155" si="945">+O1122*K1122</f>
        <v>1449637.2</v>
      </c>
    </row>
    <row r="1123" spans="1:17" ht="23.4" x14ac:dyDescent="0.4">
      <c r="A1123" s="248" t="s">
        <v>101</v>
      </c>
      <c r="B1123" s="1107"/>
      <c r="C1123" s="543" t="s">
        <v>72</v>
      </c>
      <c r="D1123" s="511"/>
      <c r="E1123" s="436"/>
      <c r="F1123" s="690">
        <f t="shared" ref="F1123:F1155" si="946">+G1123+H1123</f>
        <v>0</v>
      </c>
      <c r="G1123" s="276"/>
      <c r="H1123" s="278"/>
      <c r="I1123" s="352" t="str">
        <f t="shared" ref="I1123:I1155" si="947">IFERROR(F1123/E1123,"-")</f>
        <v>-</v>
      </c>
      <c r="J1123" s="874">
        <f t="shared" ref="J1123:J1155" si="948">+K1123+L1123</f>
        <v>10595</v>
      </c>
      <c r="K1123" s="278">
        <f t="shared" si="942"/>
        <v>10500</v>
      </c>
      <c r="L1123" s="436">
        <f t="shared" si="943"/>
        <v>95</v>
      </c>
      <c r="M1123" s="337" t="str">
        <f t="shared" ref="M1123:M1158" si="949">IFERROR(J1123/D1123,"-")</f>
        <v>-</v>
      </c>
      <c r="N1123" s="265">
        <f t="shared" si="938"/>
        <v>8.9664936290703157E-3</v>
      </c>
      <c r="O1123" s="508">
        <v>35.398400000000002</v>
      </c>
      <c r="P1123" s="404">
        <f t="shared" si="944"/>
        <v>0</v>
      </c>
      <c r="Q1123" s="449">
        <f t="shared" si="945"/>
        <v>371683.2</v>
      </c>
    </row>
    <row r="1124" spans="1:17" ht="24" thickBot="1" x14ac:dyDescent="0.45">
      <c r="A1124" s="248" t="s">
        <v>101</v>
      </c>
      <c r="B1124" s="1108"/>
      <c r="C1124" s="543" t="s">
        <v>455</v>
      </c>
      <c r="D1124" s="276"/>
      <c r="E1124" s="436"/>
      <c r="F1124" s="690">
        <f t="shared" si="946"/>
        <v>0</v>
      </c>
      <c r="G1124" s="276"/>
      <c r="H1124" s="278"/>
      <c r="I1124" s="352" t="str">
        <f t="shared" si="947"/>
        <v>-</v>
      </c>
      <c r="J1124" s="874">
        <f t="shared" si="948"/>
        <v>10147</v>
      </c>
      <c r="K1124" s="278">
        <f t="shared" si="942"/>
        <v>9900</v>
      </c>
      <c r="L1124" s="436">
        <f t="shared" si="943"/>
        <v>247</v>
      </c>
      <c r="M1124" s="337" t="str">
        <f t="shared" si="949"/>
        <v>-</v>
      </c>
      <c r="N1124" s="265">
        <f>IFERROR(L1124/J1124,"-")</f>
        <v>2.4342170099536809E-2</v>
      </c>
      <c r="O1124" s="508">
        <v>35.398400000000002</v>
      </c>
      <c r="P1124" s="404">
        <f t="shared" si="944"/>
        <v>0</v>
      </c>
      <c r="Q1124" s="449">
        <f t="shared" si="945"/>
        <v>350444.16000000003</v>
      </c>
    </row>
    <row r="1125" spans="1:17" ht="23.4" x14ac:dyDescent="0.4">
      <c r="A1125" s="248" t="s">
        <v>101</v>
      </c>
      <c r="B1125" s="1106" t="s">
        <v>251</v>
      </c>
      <c r="C1125" s="545" t="s">
        <v>75</v>
      </c>
      <c r="D1125" s="276"/>
      <c r="E1125" s="528"/>
      <c r="F1125" s="696">
        <f t="shared" si="946"/>
        <v>7759</v>
      </c>
      <c r="G1125" s="276">
        <v>7680</v>
      </c>
      <c r="H1125" s="278">
        <v>79</v>
      </c>
      <c r="I1125" s="352" t="str">
        <f t="shared" si="947"/>
        <v>-</v>
      </c>
      <c r="J1125" s="874">
        <f t="shared" si="948"/>
        <v>69114</v>
      </c>
      <c r="K1125" s="278">
        <f t="shared" si="942"/>
        <v>67889</v>
      </c>
      <c r="L1125" s="436">
        <f t="shared" si="943"/>
        <v>1225</v>
      </c>
      <c r="M1125" s="337" t="str">
        <f t="shared" si="949"/>
        <v>-</v>
      </c>
      <c r="N1125" s="265">
        <f t="shared" ref="N1125:N1127" si="950">IFERROR(L1125/J1125,"-")</f>
        <v>1.7724339497062824E-2</v>
      </c>
      <c r="O1125" s="508">
        <v>55.4758</v>
      </c>
      <c r="P1125" s="404">
        <f t="shared" si="944"/>
        <v>426054.14399999997</v>
      </c>
      <c r="Q1125" s="449">
        <f t="shared" si="945"/>
        <v>3766196.5861999998</v>
      </c>
    </row>
    <row r="1126" spans="1:17" ht="23.4" x14ac:dyDescent="0.4">
      <c r="A1126" s="248" t="s">
        <v>101</v>
      </c>
      <c r="B1126" s="1107"/>
      <c r="C1126" s="545" t="s">
        <v>72</v>
      </c>
      <c r="D1126" s="276"/>
      <c r="E1126" s="529"/>
      <c r="F1126" s="696">
        <f t="shared" si="946"/>
        <v>0</v>
      </c>
      <c r="G1126" s="276"/>
      <c r="H1126" s="278"/>
      <c r="I1126" s="352" t="str">
        <f t="shared" si="947"/>
        <v>-</v>
      </c>
      <c r="J1126" s="874">
        <f t="shared" si="948"/>
        <v>0</v>
      </c>
      <c r="K1126" s="278">
        <f t="shared" si="942"/>
        <v>0</v>
      </c>
      <c r="L1126" s="436">
        <f t="shared" si="943"/>
        <v>0</v>
      </c>
      <c r="M1126" s="337" t="str">
        <f t="shared" si="949"/>
        <v>-</v>
      </c>
      <c r="N1126" s="265" t="str">
        <f t="shared" si="950"/>
        <v>-</v>
      </c>
      <c r="O1126" s="540">
        <v>58.836300000000001</v>
      </c>
      <c r="P1126" s="404">
        <f t="shared" si="944"/>
        <v>0</v>
      </c>
      <c r="Q1126" s="449">
        <f t="shared" si="945"/>
        <v>0</v>
      </c>
    </row>
    <row r="1127" spans="1:17" ht="23.4" x14ac:dyDescent="0.4">
      <c r="A1127" s="248" t="s">
        <v>101</v>
      </c>
      <c r="B1127" s="1107"/>
      <c r="C1127" s="545" t="s">
        <v>347</v>
      </c>
      <c r="D1127" s="276"/>
      <c r="E1127" s="435"/>
      <c r="F1127" s="696">
        <f t="shared" si="946"/>
        <v>0</v>
      </c>
      <c r="G1127" s="276"/>
      <c r="H1127" s="278"/>
      <c r="I1127" s="352" t="str">
        <f t="shared" si="947"/>
        <v>-</v>
      </c>
      <c r="J1127" s="874">
        <f t="shared" si="948"/>
        <v>2745</v>
      </c>
      <c r="K1127" s="278">
        <f t="shared" si="942"/>
        <v>2305</v>
      </c>
      <c r="L1127" s="436">
        <f t="shared" si="943"/>
        <v>440</v>
      </c>
      <c r="M1127" s="337" t="str">
        <f t="shared" si="949"/>
        <v>-</v>
      </c>
      <c r="N1127" s="263">
        <f t="shared" si="950"/>
        <v>0.16029143897996356</v>
      </c>
      <c r="O1127" s="710">
        <v>58.836300000000001</v>
      </c>
      <c r="P1127" s="404">
        <f t="shared" si="944"/>
        <v>0</v>
      </c>
      <c r="Q1127" s="449">
        <f t="shared" si="945"/>
        <v>135617.6715</v>
      </c>
    </row>
    <row r="1128" spans="1:17" ht="24" thickBot="1" x14ac:dyDescent="0.45">
      <c r="A1128" s="248"/>
      <c r="B1128" s="1108"/>
      <c r="C1128" s="545" t="s">
        <v>361</v>
      </c>
      <c r="D1128" s="276"/>
      <c r="E1128" s="435"/>
      <c r="F1128" s="696">
        <f t="shared" si="946"/>
        <v>0</v>
      </c>
      <c r="G1128" s="276"/>
      <c r="H1128" s="278"/>
      <c r="I1128" s="352" t="str">
        <f t="shared" si="947"/>
        <v>-</v>
      </c>
      <c r="J1128" s="874">
        <f t="shared" si="948"/>
        <v>0</v>
      </c>
      <c r="K1128" s="278">
        <f t="shared" si="942"/>
        <v>0</v>
      </c>
      <c r="L1128" s="436">
        <f t="shared" si="943"/>
        <v>0</v>
      </c>
      <c r="M1128" s="337" t="str">
        <f t="shared" si="949"/>
        <v>-</v>
      </c>
      <c r="N1128" s="263" t="str">
        <f>IFERROR(L1128/J1128,"-")</f>
        <v>-</v>
      </c>
      <c r="O1128" s="508">
        <v>55.4758</v>
      </c>
      <c r="P1128" s="404">
        <f t="shared" si="944"/>
        <v>0</v>
      </c>
      <c r="Q1128" s="449">
        <f t="shared" si="945"/>
        <v>0</v>
      </c>
    </row>
    <row r="1129" spans="1:17" ht="23.4" x14ac:dyDescent="0.4">
      <c r="A1129" s="248" t="s">
        <v>101</v>
      </c>
      <c r="B1129" s="1106" t="s">
        <v>409</v>
      </c>
      <c r="C1129" s="543" t="s">
        <v>77</v>
      </c>
      <c r="D1129" s="276"/>
      <c r="E1129" s="436"/>
      <c r="F1129" s="690">
        <f t="shared" si="946"/>
        <v>0</v>
      </c>
      <c r="G1129" s="276"/>
      <c r="H1129" s="278"/>
      <c r="I1129" s="352" t="str">
        <f t="shared" si="947"/>
        <v>-</v>
      </c>
      <c r="J1129" s="874">
        <f t="shared" si="948"/>
        <v>24300</v>
      </c>
      <c r="K1129" s="719">
        <f t="shared" si="942"/>
        <v>23960</v>
      </c>
      <c r="L1129" s="815">
        <f t="shared" si="943"/>
        <v>340</v>
      </c>
      <c r="M1129" s="337" t="str">
        <f t="shared" si="949"/>
        <v>-</v>
      </c>
      <c r="N1129" s="263">
        <f t="shared" ref="N1129:N1157" si="951">IFERROR(L1129/J1129,"-")</f>
        <v>1.3991769547325103E-2</v>
      </c>
      <c r="O1129" s="508">
        <v>25.687200000000001</v>
      </c>
      <c r="P1129" s="404">
        <f t="shared" si="944"/>
        <v>0</v>
      </c>
      <c r="Q1129" s="449">
        <f t="shared" si="945"/>
        <v>615465.31200000003</v>
      </c>
    </row>
    <row r="1130" spans="1:17" ht="24" thickBot="1" x14ac:dyDescent="0.45">
      <c r="A1130" s="248" t="s">
        <v>101</v>
      </c>
      <c r="B1130" s="1108"/>
      <c r="C1130" s="543" t="s">
        <v>117</v>
      </c>
      <c r="D1130" s="276"/>
      <c r="E1130" s="436"/>
      <c r="F1130" s="690">
        <f t="shared" si="946"/>
        <v>0</v>
      </c>
      <c r="G1130" s="276"/>
      <c r="H1130" s="278"/>
      <c r="I1130" s="352" t="str">
        <f t="shared" si="947"/>
        <v>-</v>
      </c>
      <c r="J1130" s="874">
        <f t="shared" si="948"/>
        <v>0</v>
      </c>
      <c r="K1130" s="278">
        <f t="shared" si="942"/>
        <v>0</v>
      </c>
      <c r="L1130" s="436">
        <f t="shared" si="943"/>
        <v>0</v>
      </c>
      <c r="M1130" s="337" t="str">
        <f t="shared" si="949"/>
        <v>-</v>
      </c>
      <c r="N1130" s="263" t="str">
        <f t="shared" si="951"/>
        <v>-</v>
      </c>
      <c r="O1130" s="508">
        <v>25.033899999999999</v>
      </c>
      <c r="P1130" s="404">
        <f t="shared" si="944"/>
        <v>0</v>
      </c>
      <c r="Q1130" s="449">
        <f t="shared" si="945"/>
        <v>0</v>
      </c>
    </row>
    <row r="1131" spans="1:17" ht="23.4" x14ac:dyDescent="0.4">
      <c r="A1131" s="248"/>
      <c r="B1131" s="1106" t="s">
        <v>410</v>
      </c>
      <c r="C1131" s="543" t="s">
        <v>79</v>
      </c>
      <c r="D1131" s="276"/>
      <c r="E1131" s="436"/>
      <c r="F1131" s="690">
        <f t="shared" si="946"/>
        <v>0</v>
      </c>
      <c r="G1131" s="276">
        <v>0</v>
      </c>
      <c r="H1131" s="278">
        <v>0</v>
      </c>
      <c r="I1131" s="352" t="str">
        <f t="shared" si="947"/>
        <v>-</v>
      </c>
      <c r="J1131" s="874">
        <f t="shared" si="948"/>
        <v>20171</v>
      </c>
      <c r="K1131" s="278">
        <f t="shared" si="942"/>
        <v>19950</v>
      </c>
      <c r="L1131" s="436">
        <f t="shared" si="943"/>
        <v>221</v>
      </c>
      <c r="M1131" s="337" t="str">
        <f t="shared" si="949"/>
        <v>-</v>
      </c>
      <c r="N1131" s="263">
        <f t="shared" si="951"/>
        <v>1.095632343463388E-2</v>
      </c>
      <c r="O1131" s="508">
        <v>41.992699999999999</v>
      </c>
      <c r="P1131" s="404">
        <f t="shared" si="944"/>
        <v>0</v>
      </c>
      <c r="Q1131" s="449">
        <f t="shared" si="945"/>
        <v>837754.36499999999</v>
      </c>
    </row>
    <row r="1132" spans="1:17" ht="23.4" x14ac:dyDescent="0.4">
      <c r="A1132" s="248"/>
      <c r="B1132" s="1107"/>
      <c r="C1132" s="543" t="s">
        <v>72</v>
      </c>
      <c r="D1132" s="276"/>
      <c r="E1132" s="436"/>
      <c r="F1132" s="690">
        <f t="shared" si="946"/>
        <v>0</v>
      </c>
      <c r="G1132" s="276"/>
      <c r="H1132" s="278"/>
      <c r="I1132" s="352" t="str">
        <f t="shared" si="947"/>
        <v>-</v>
      </c>
      <c r="J1132" s="874">
        <f t="shared" si="948"/>
        <v>0</v>
      </c>
      <c r="K1132" s="278">
        <f t="shared" si="942"/>
        <v>0</v>
      </c>
      <c r="L1132" s="436">
        <f t="shared" si="943"/>
        <v>0</v>
      </c>
      <c r="M1132" s="337" t="str">
        <f t="shared" si="949"/>
        <v>-</v>
      </c>
      <c r="N1132" s="263" t="str">
        <f t="shared" si="951"/>
        <v>-</v>
      </c>
      <c r="O1132" s="508">
        <v>42.283799999999999</v>
      </c>
      <c r="P1132" s="404">
        <f t="shared" si="944"/>
        <v>0</v>
      </c>
      <c r="Q1132" s="449">
        <f t="shared" si="945"/>
        <v>0</v>
      </c>
    </row>
    <row r="1133" spans="1:17" ht="23.4" x14ac:dyDescent="0.4">
      <c r="A1133" s="248"/>
      <c r="B1133" s="1107"/>
      <c r="C1133" s="543" t="s">
        <v>380</v>
      </c>
      <c r="D1133" s="276"/>
      <c r="E1133" s="436"/>
      <c r="F1133" s="690">
        <f t="shared" si="946"/>
        <v>0</v>
      </c>
      <c r="G1133" s="276"/>
      <c r="H1133" s="278"/>
      <c r="I1133" s="352" t="str">
        <f t="shared" si="947"/>
        <v>-</v>
      </c>
      <c r="J1133" s="874">
        <f t="shared" si="948"/>
        <v>0</v>
      </c>
      <c r="K1133" s="278">
        <f t="shared" si="942"/>
        <v>0</v>
      </c>
      <c r="L1133" s="436">
        <f t="shared" si="943"/>
        <v>0</v>
      </c>
      <c r="M1133" s="337" t="str">
        <f t="shared" si="949"/>
        <v>-</v>
      </c>
      <c r="N1133" s="263" t="str">
        <f t="shared" si="951"/>
        <v>-</v>
      </c>
      <c r="O1133" s="710">
        <v>41.992699999999999</v>
      </c>
      <c r="P1133" s="404">
        <f t="shared" si="944"/>
        <v>0</v>
      </c>
      <c r="Q1133" s="449">
        <f t="shared" si="945"/>
        <v>0</v>
      </c>
    </row>
    <row r="1134" spans="1:17" ht="24" thickBot="1" x14ac:dyDescent="0.45">
      <c r="A1134" s="248"/>
      <c r="B1134" s="1108"/>
      <c r="C1134" s="543" t="s">
        <v>381</v>
      </c>
      <c r="D1134" s="276"/>
      <c r="E1134" s="436"/>
      <c r="F1134" s="690">
        <f t="shared" si="946"/>
        <v>0</v>
      </c>
      <c r="G1134" s="276"/>
      <c r="H1134" s="278"/>
      <c r="I1134" s="352" t="str">
        <f t="shared" si="947"/>
        <v>-</v>
      </c>
      <c r="J1134" s="874">
        <f t="shared" si="948"/>
        <v>0</v>
      </c>
      <c r="K1134" s="278">
        <f t="shared" si="942"/>
        <v>0</v>
      </c>
      <c r="L1134" s="436">
        <f t="shared" si="943"/>
        <v>0</v>
      </c>
      <c r="M1134" s="337" t="str">
        <f t="shared" si="949"/>
        <v>-</v>
      </c>
      <c r="N1134" s="263" t="str">
        <f t="shared" si="951"/>
        <v>-</v>
      </c>
      <c r="O1134" s="710">
        <v>42.283799999999999</v>
      </c>
      <c r="P1134" s="404">
        <f t="shared" si="944"/>
        <v>0</v>
      </c>
      <c r="Q1134" s="449">
        <f t="shared" si="945"/>
        <v>0</v>
      </c>
    </row>
    <row r="1135" spans="1:17" ht="24" thickBot="1" x14ac:dyDescent="0.45">
      <c r="A1135" s="248"/>
      <c r="B1135" s="717" t="s">
        <v>80</v>
      </c>
      <c r="C1135" s="543" t="s">
        <v>81</v>
      </c>
      <c r="D1135" s="276"/>
      <c r="E1135" s="436"/>
      <c r="F1135" s="690">
        <f t="shared" si="946"/>
        <v>0</v>
      </c>
      <c r="G1135" s="276"/>
      <c r="H1135" s="278"/>
      <c r="I1135" s="352" t="str">
        <f t="shared" si="947"/>
        <v>-</v>
      </c>
      <c r="J1135" s="874">
        <f t="shared" si="948"/>
        <v>23163</v>
      </c>
      <c r="K1135" s="278">
        <f t="shared" si="942"/>
        <v>22200</v>
      </c>
      <c r="L1135" s="687">
        <f t="shared" si="943"/>
        <v>963</v>
      </c>
      <c r="M1135" s="337" t="str">
        <f t="shared" si="949"/>
        <v>-</v>
      </c>
      <c r="N1135" s="263">
        <f t="shared" si="951"/>
        <v>4.1574925527781373E-2</v>
      </c>
      <c r="O1135" s="508">
        <v>4.3535000000000004</v>
      </c>
      <c r="P1135" s="404">
        <f t="shared" si="944"/>
        <v>0</v>
      </c>
      <c r="Q1135" s="449">
        <f t="shared" si="945"/>
        <v>96647.700000000012</v>
      </c>
    </row>
    <row r="1136" spans="1:17" ht="23.4" x14ac:dyDescent="0.4">
      <c r="A1136" s="248"/>
      <c r="B1136" s="1106" t="s">
        <v>253</v>
      </c>
      <c r="C1136" s="543" t="s">
        <v>77</v>
      </c>
      <c r="D1136" s="276"/>
      <c r="E1136" s="436"/>
      <c r="F1136" s="690">
        <f t="shared" si="946"/>
        <v>52279</v>
      </c>
      <c r="G1136" s="276">
        <f>28600+23100</f>
        <v>51700</v>
      </c>
      <c r="H1136" s="278">
        <f>340+239</f>
        <v>579</v>
      </c>
      <c r="I1136" s="352" t="str">
        <f t="shared" si="947"/>
        <v>-</v>
      </c>
      <c r="J1136" s="874">
        <f t="shared" si="948"/>
        <v>672916</v>
      </c>
      <c r="K1136" s="278">
        <f t="shared" si="942"/>
        <v>666300</v>
      </c>
      <c r="L1136" s="436">
        <f t="shared" si="943"/>
        <v>6616</v>
      </c>
      <c r="M1136" s="337" t="str">
        <f t="shared" si="949"/>
        <v>-</v>
      </c>
      <c r="N1136" s="263">
        <f t="shared" si="951"/>
        <v>9.8318363659059965E-3</v>
      </c>
      <c r="O1136" s="508">
        <v>4.6184000000000003</v>
      </c>
      <c r="P1136" s="404">
        <f t="shared" si="944"/>
        <v>238771.28000000003</v>
      </c>
      <c r="Q1136" s="449">
        <f t="shared" si="945"/>
        <v>3077239.9200000004</v>
      </c>
    </row>
    <row r="1137" spans="1:17" ht="23.4" x14ac:dyDescent="0.4">
      <c r="A1137" s="248"/>
      <c r="B1137" s="1107"/>
      <c r="C1137" s="543" t="s">
        <v>340</v>
      </c>
      <c r="D1137" s="276"/>
      <c r="E1137" s="436"/>
      <c r="F1137" s="690">
        <f t="shared" si="946"/>
        <v>0</v>
      </c>
      <c r="G1137" s="276"/>
      <c r="H1137" s="278"/>
      <c r="I1137" s="352" t="str">
        <f t="shared" si="947"/>
        <v>-</v>
      </c>
      <c r="J1137" s="874">
        <f t="shared" si="948"/>
        <v>0</v>
      </c>
      <c r="K1137" s="278">
        <f t="shared" si="942"/>
        <v>0</v>
      </c>
      <c r="L1137" s="436">
        <f t="shared" si="943"/>
        <v>0</v>
      </c>
      <c r="M1137" s="337" t="str">
        <f t="shared" si="949"/>
        <v>-</v>
      </c>
      <c r="N1137" s="263" t="str">
        <f t="shared" si="951"/>
        <v>-</v>
      </c>
      <c r="O1137" s="508">
        <v>4.6184000000000003</v>
      </c>
      <c r="P1137" s="404">
        <f t="shared" si="944"/>
        <v>0</v>
      </c>
      <c r="Q1137" s="449">
        <f t="shared" si="945"/>
        <v>0</v>
      </c>
    </row>
    <row r="1138" spans="1:17" ht="23.4" x14ac:dyDescent="0.4">
      <c r="A1138" s="248"/>
      <c r="B1138" s="1107"/>
      <c r="C1138" s="543" t="s">
        <v>252</v>
      </c>
      <c r="D1138" s="276"/>
      <c r="E1138" s="436"/>
      <c r="F1138" s="690">
        <f t="shared" si="946"/>
        <v>0</v>
      </c>
      <c r="G1138" s="276"/>
      <c r="H1138" s="278"/>
      <c r="I1138" s="352" t="str">
        <f t="shared" si="947"/>
        <v>-</v>
      </c>
      <c r="J1138" s="874">
        <f t="shared" si="948"/>
        <v>0</v>
      </c>
      <c r="K1138" s="278">
        <f t="shared" si="942"/>
        <v>0</v>
      </c>
      <c r="L1138" s="436">
        <f t="shared" si="943"/>
        <v>0</v>
      </c>
      <c r="M1138" s="337" t="str">
        <f t="shared" si="949"/>
        <v>-</v>
      </c>
      <c r="N1138" s="263" t="str">
        <f t="shared" si="951"/>
        <v>-</v>
      </c>
      <c r="O1138" s="508">
        <v>4.6184000000000003</v>
      </c>
      <c r="P1138" s="404">
        <f t="shared" si="944"/>
        <v>0</v>
      </c>
      <c r="Q1138" s="449">
        <f t="shared" si="945"/>
        <v>0</v>
      </c>
    </row>
    <row r="1139" spans="1:17" ht="23.4" x14ac:dyDescent="0.4">
      <c r="A1139" s="248"/>
      <c r="B1139" s="1107"/>
      <c r="C1139" s="543" t="s">
        <v>350</v>
      </c>
      <c r="D1139" s="276"/>
      <c r="E1139" s="436"/>
      <c r="F1139" s="690">
        <f t="shared" si="946"/>
        <v>0</v>
      </c>
      <c r="G1139" s="276"/>
      <c r="H1139" s="278"/>
      <c r="I1139" s="352" t="str">
        <f t="shared" si="947"/>
        <v>-</v>
      </c>
      <c r="J1139" s="874">
        <f t="shared" si="948"/>
        <v>0</v>
      </c>
      <c r="K1139" s="686">
        <f t="shared" si="942"/>
        <v>0</v>
      </c>
      <c r="L1139" s="687">
        <f t="shared" si="943"/>
        <v>0</v>
      </c>
      <c r="M1139" s="337" t="str">
        <f t="shared" si="949"/>
        <v>-</v>
      </c>
      <c r="N1139" s="263" t="str">
        <f t="shared" si="951"/>
        <v>-</v>
      </c>
      <c r="O1139" s="508">
        <v>4.7636000000000003</v>
      </c>
      <c r="P1139" s="404">
        <f t="shared" si="944"/>
        <v>0</v>
      </c>
      <c r="Q1139" s="449">
        <f t="shared" si="945"/>
        <v>0</v>
      </c>
    </row>
    <row r="1140" spans="1:17" ht="24" thickBot="1" x14ac:dyDescent="0.45">
      <c r="A1140" s="248"/>
      <c r="B1140" s="1108"/>
      <c r="C1140" s="543" t="s">
        <v>346</v>
      </c>
      <c r="D1140" s="276"/>
      <c r="E1140" s="436"/>
      <c r="F1140" s="690">
        <f t="shared" si="946"/>
        <v>0</v>
      </c>
      <c r="G1140" s="276"/>
      <c r="H1140" s="278"/>
      <c r="I1140" s="352" t="str">
        <f t="shared" si="947"/>
        <v>-</v>
      </c>
      <c r="J1140" s="874">
        <f t="shared" si="948"/>
        <v>0</v>
      </c>
      <c r="K1140" s="278">
        <f t="shared" si="942"/>
        <v>0</v>
      </c>
      <c r="L1140" s="436">
        <f t="shared" si="943"/>
        <v>0</v>
      </c>
      <c r="M1140" s="337" t="str">
        <f t="shared" si="949"/>
        <v>-</v>
      </c>
      <c r="N1140" s="263" t="str">
        <f t="shared" si="951"/>
        <v>-</v>
      </c>
      <c r="O1140" s="508">
        <v>4.8738000000000001</v>
      </c>
      <c r="P1140" s="404">
        <f t="shared" si="944"/>
        <v>0</v>
      </c>
      <c r="Q1140" s="449">
        <f t="shared" si="945"/>
        <v>0</v>
      </c>
    </row>
    <row r="1141" spans="1:17" ht="24" thickBot="1" x14ac:dyDescent="0.45">
      <c r="A1141" s="248"/>
      <c r="B1141" s="717" t="s">
        <v>254</v>
      </c>
      <c r="C1141" s="543" t="s">
        <v>520</v>
      </c>
      <c r="D1141" s="276"/>
      <c r="E1141" s="436"/>
      <c r="F1141" s="690">
        <f t="shared" si="946"/>
        <v>0</v>
      </c>
      <c r="G1141" s="276">
        <v>0</v>
      </c>
      <c r="H1141" s="278">
        <v>0</v>
      </c>
      <c r="I1141" s="352" t="str">
        <f t="shared" si="947"/>
        <v>-</v>
      </c>
      <c r="J1141" s="874">
        <f t="shared" si="948"/>
        <v>17752</v>
      </c>
      <c r="K1141" s="278">
        <f t="shared" si="942"/>
        <v>17600</v>
      </c>
      <c r="L1141" s="436">
        <f t="shared" si="943"/>
        <v>152</v>
      </c>
      <c r="M1141" s="337" t="str">
        <f t="shared" si="949"/>
        <v>-</v>
      </c>
      <c r="N1141" s="263">
        <f t="shared" si="951"/>
        <v>8.5624155024785938E-3</v>
      </c>
      <c r="O1141" s="508">
        <v>4.8738000000000001</v>
      </c>
      <c r="P1141" s="404">
        <f t="shared" si="944"/>
        <v>0</v>
      </c>
      <c r="Q1141" s="449">
        <f t="shared" si="945"/>
        <v>85778.880000000005</v>
      </c>
    </row>
    <row r="1142" spans="1:17" ht="23.4" x14ac:dyDescent="0.4">
      <c r="A1142" s="248"/>
      <c r="B1142" s="1106" t="s">
        <v>256</v>
      </c>
      <c r="C1142" s="543" t="s">
        <v>77</v>
      </c>
      <c r="D1142" s="276"/>
      <c r="E1142" s="436"/>
      <c r="F1142" s="690">
        <f t="shared" si="946"/>
        <v>54369</v>
      </c>
      <c r="G1142" s="276">
        <v>53480</v>
      </c>
      <c r="H1142" s="278">
        <v>889</v>
      </c>
      <c r="I1142" s="352" t="str">
        <f t="shared" si="947"/>
        <v>-</v>
      </c>
      <c r="J1142" s="874">
        <f t="shared" si="948"/>
        <v>755662</v>
      </c>
      <c r="K1142" s="719">
        <f t="shared" si="942"/>
        <v>742210</v>
      </c>
      <c r="L1142" s="815">
        <f t="shared" si="943"/>
        <v>13452</v>
      </c>
      <c r="M1142" s="337" t="str">
        <f t="shared" si="949"/>
        <v>-</v>
      </c>
      <c r="N1142" s="263">
        <f t="shared" si="951"/>
        <v>1.7801609714396118E-2</v>
      </c>
      <c r="O1142" s="508">
        <v>4.9344999999999999</v>
      </c>
      <c r="P1142" s="404">
        <f t="shared" si="944"/>
        <v>263897.06</v>
      </c>
      <c r="Q1142" s="449">
        <f t="shared" si="945"/>
        <v>3662435.2450000001</v>
      </c>
    </row>
    <row r="1143" spans="1:17" ht="23.4" x14ac:dyDescent="0.4">
      <c r="A1143" s="248"/>
      <c r="B1143" s="1107"/>
      <c r="C1143" s="543" t="s">
        <v>135</v>
      </c>
      <c r="D1143" s="276"/>
      <c r="E1143" s="436"/>
      <c r="F1143" s="690">
        <f t="shared" si="946"/>
        <v>0</v>
      </c>
      <c r="G1143" s="276"/>
      <c r="H1143" s="278"/>
      <c r="I1143" s="352" t="str">
        <f t="shared" si="947"/>
        <v>-</v>
      </c>
      <c r="J1143" s="874">
        <f t="shared" si="948"/>
        <v>0</v>
      </c>
      <c r="K1143" s="278">
        <f t="shared" si="942"/>
        <v>0</v>
      </c>
      <c r="L1143" s="436">
        <f t="shared" si="943"/>
        <v>0</v>
      </c>
      <c r="M1143" s="337" t="str">
        <f t="shared" si="949"/>
        <v>-</v>
      </c>
      <c r="N1143" s="263" t="str">
        <f t="shared" si="951"/>
        <v>-</v>
      </c>
      <c r="O1143" s="508">
        <v>4.9344999999999999</v>
      </c>
      <c r="P1143" s="404">
        <f t="shared" si="944"/>
        <v>0</v>
      </c>
      <c r="Q1143" s="449">
        <f t="shared" si="945"/>
        <v>0</v>
      </c>
    </row>
    <row r="1144" spans="1:17" ht="23.4" x14ac:dyDescent="0.4">
      <c r="A1144" s="248"/>
      <c r="B1144" s="1107"/>
      <c r="C1144" s="543" t="s">
        <v>129</v>
      </c>
      <c r="D1144" s="276"/>
      <c r="E1144" s="436"/>
      <c r="F1144" s="690">
        <f t="shared" si="946"/>
        <v>0</v>
      </c>
      <c r="G1144" s="276"/>
      <c r="H1144" s="278"/>
      <c r="I1144" s="352" t="str">
        <f t="shared" si="947"/>
        <v>-</v>
      </c>
      <c r="J1144" s="874">
        <f t="shared" si="948"/>
        <v>0</v>
      </c>
      <c r="K1144" s="278">
        <f t="shared" si="942"/>
        <v>0</v>
      </c>
      <c r="L1144" s="436">
        <f t="shared" si="943"/>
        <v>0</v>
      </c>
      <c r="M1144" s="337" t="str">
        <f t="shared" si="949"/>
        <v>-</v>
      </c>
      <c r="N1144" s="263" t="str">
        <f t="shared" si="951"/>
        <v>-</v>
      </c>
      <c r="O1144" s="508">
        <v>4.9344999999999999</v>
      </c>
      <c r="P1144" s="404">
        <f t="shared" si="944"/>
        <v>0</v>
      </c>
      <c r="Q1144" s="449">
        <f t="shared" si="945"/>
        <v>0</v>
      </c>
    </row>
    <row r="1145" spans="1:17" ht="24" thickBot="1" x14ac:dyDescent="0.45">
      <c r="A1145" s="248"/>
      <c r="B1145" s="1108"/>
      <c r="C1145" s="543" t="s">
        <v>255</v>
      </c>
      <c r="D1145" s="276"/>
      <c r="E1145" s="436"/>
      <c r="F1145" s="690">
        <f t="shared" si="946"/>
        <v>0</v>
      </c>
      <c r="G1145" s="276"/>
      <c r="H1145" s="278"/>
      <c r="I1145" s="352" t="str">
        <f t="shared" si="947"/>
        <v>-</v>
      </c>
      <c r="J1145" s="874">
        <f t="shared" si="948"/>
        <v>0</v>
      </c>
      <c r="K1145" s="278">
        <f t="shared" si="942"/>
        <v>0</v>
      </c>
      <c r="L1145" s="436">
        <f t="shared" si="943"/>
        <v>0</v>
      </c>
      <c r="M1145" s="337" t="str">
        <f t="shared" si="949"/>
        <v>-</v>
      </c>
      <c r="N1145" s="263" t="str">
        <f t="shared" si="951"/>
        <v>-</v>
      </c>
      <c r="O1145" s="508">
        <v>5.5069999999999997</v>
      </c>
      <c r="P1145" s="404">
        <f t="shared" si="944"/>
        <v>0</v>
      </c>
      <c r="Q1145" s="449">
        <f t="shared" si="945"/>
        <v>0</v>
      </c>
    </row>
    <row r="1146" spans="1:17" ht="23.4" x14ac:dyDescent="0.4">
      <c r="A1146" s="248"/>
      <c r="B1146" s="1106" t="s">
        <v>261</v>
      </c>
      <c r="C1146" s="543" t="s">
        <v>257</v>
      </c>
      <c r="D1146" s="276"/>
      <c r="E1146" s="436"/>
      <c r="F1146" s="690">
        <f t="shared" si="946"/>
        <v>54636</v>
      </c>
      <c r="G1146" s="276">
        <f>37100+16800</f>
        <v>53900</v>
      </c>
      <c r="H1146" s="278">
        <f>289+447</f>
        <v>736</v>
      </c>
      <c r="I1146" s="352" t="str">
        <f t="shared" si="947"/>
        <v>-</v>
      </c>
      <c r="J1146" s="874">
        <f t="shared" si="948"/>
        <v>683408</v>
      </c>
      <c r="K1146" s="686">
        <f t="shared" si="942"/>
        <v>674450</v>
      </c>
      <c r="L1146" s="687">
        <f t="shared" si="943"/>
        <v>8958</v>
      </c>
      <c r="M1146" s="337" t="str">
        <f t="shared" si="949"/>
        <v>-</v>
      </c>
      <c r="N1146" s="263">
        <f t="shared" si="951"/>
        <v>1.3107836021820056E-2</v>
      </c>
      <c r="O1146" s="710">
        <v>5.5069999999999997</v>
      </c>
      <c r="P1146" s="404">
        <f t="shared" si="944"/>
        <v>296827.3</v>
      </c>
      <c r="Q1146" s="449">
        <f t="shared" si="945"/>
        <v>3714196.15</v>
      </c>
    </row>
    <row r="1147" spans="1:17" ht="23.4" x14ac:dyDescent="0.4">
      <c r="A1147" s="248"/>
      <c r="B1147" s="1107"/>
      <c r="C1147" s="543" t="s">
        <v>258</v>
      </c>
      <c r="D1147" s="276"/>
      <c r="E1147" s="436"/>
      <c r="F1147" s="690">
        <f t="shared" si="946"/>
        <v>0</v>
      </c>
      <c r="G1147" s="276"/>
      <c r="H1147" s="278"/>
      <c r="I1147" s="352" t="str">
        <f t="shared" si="947"/>
        <v>-</v>
      </c>
      <c r="J1147" s="874">
        <f t="shared" si="948"/>
        <v>0</v>
      </c>
      <c r="K1147" s="278">
        <f t="shared" si="942"/>
        <v>0</v>
      </c>
      <c r="L1147" s="436">
        <f t="shared" si="943"/>
        <v>0</v>
      </c>
      <c r="M1147" s="337" t="str">
        <f t="shared" si="949"/>
        <v>-</v>
      </c>
      <c r="N1147" s="263" t="str">
        <f t="shared" si="951"/>
        <v>-</v>
      </c>
      <c r="O1147" s="508">
        <v>5.6550000000000002</v>
      </c>
      <c r="P1147" s="404">
        <f t="shared" si="944"/>
        <v>0</v>
      </c>
      <c r="Q1147" s="449">
        <f t="shared" si="945"/>
        <v>0</v>
      </c>
    </row>
    <row r="1148" spans="1:17" ht="23.4" x14ac:dyDescent="0.4">
      <c r="A1148" s="248"/>
      <c r="B1148" s="1107"/>
      <c r="C1148" s="543" t="s">
        <v>321</v>
      </c>
      <c r="D1148" s="276"/>
      <c r="E1148" s="436"/>
      <c r="F1148" s="690">
        <f t="shared" si="946"/>
        <v>0</v>
      </c>
      <c r="G1148" s="276"/>
      <c r="H1148" s="278"/>
      <c r="I1148" s="352" t="str">
        <f t="shared" si="947"/>
        <v>-</v>
      </c>
      <c r="J1148" s="874">
        <f t="shared" si="948"/>
        <v>0</v>
      </c>
      <c r="K1148" s="686">
        <f t="shared" si="942"/>
        <v>0</v>
      </c>
      <c r="L1148" s="687">
        <f t="shared" si="943"/>
        <v>0</v>
      </c>
      <c r="M1148" s="337" t="str">
        <f t="shared" si="949"/>
        <v>-</v>
      </c>
      <c r="N1148" s="263" t="str">
        <f t="shared" si="951"/>
        <v>-</v>
      </c>
      <c r="O1148" s="508">
        <v>5.6550000000000002</v>
      </c>
      <c r="P1148" s="404">
        <f t="shared" si="944"/>
        <v>0</v>
      </c>
      <c r="Q1148" s="449">
        <f t="shared" si="945"/>
        <v>0</v>
      </c>
    </row>
    <row r="1149" spans="1:17" ht="23.4" x14ac:dyDescent="0.4">
      <c r="A1149" s="248"/>
      <c r="B1149" s="1107"/>
      <c r="C1149" s="543" t="s">
        <v>259</v>
      </c>
      <c r="D1149" s="276"/>
      <c r="E1149" s="436"/>
      <c r="F1149" s="690">
        <f t="shared" si="946"/>
        <v>0</v>
      </c>
      <c r="G1149" s="276"/>
      <c r="H1149" s="278"/>
      <c r="I1149" s="352" t="str">
        <f t="shared" si="947"/>
        <v>-</v>
      </c>
      <c r="J1149" s="874">
        <f t="shared" si="948"/>
        <v>0</v>
      </c>
      <c r="K1149" s="278">
        <f t="shared" si="942"/>
        <v>0</v>
      </c>
      <c r="L1149" s="436">
        <f t="shared" si="943"/>
        <v>0</v>
      </c>
      <c r="M1149" s="337" t="str">
        <f t="shared" si="949"/>
        <v>-</v>
      </c>
      <c r="N1149" s="263" t="str">
        <f t="shared" si="951"/>
        <v>-</v>
      </c>
      <c r="O1149" s="508">
        <v>5.6550000000000002</v>
      </c>
      <c r="P1149" s="404">
        <f t="shared" si="944"/>
        <v>0</v>
      </c>
      <c r="Q1149" s="449">
        <f t="shared" si="945"/>
        <v>0</v>
      </c>
    </row>
    <row r="1150" spans="1:17" ht="23.4" x14ac:dyDescent="0.4">
      <c r="A1150" s="248" t="s">
        <v>101</v>
      </c>
      <c r="B1150" s="1107"/>
      <c r="C1150" s="543" t="s">
        <v>260</v>
      </c>
      <c r="D1150" s="276"/>
      <c r="E1150" s="436"/>
      <c r="F1150" s="690">
        <f t="shared" si="946"/>
        <v>0</v>
      </c>
      <c r="G1150" s="276"/>
      <c r="H1150" s="278"/>
      <c r="I1150" s="352" t="str">
        <f t="shared" si="947"/>
        <v>-</v>
      </c>
      <c r="J1150" s="874">
        <f t="shared" si="948"/>
        <v>0</v>
      </c>
      <c r="K1150" s="278">
        <f t="shared" si="942"/>
        <v>0</v>
      </c>
      <c r="L1150" s="436">
        <f t="shared" si="943"/>
        <v>0</v>
      </c>
      <c r="M1150" s="337" t="str">
        <f t="shared" si="949"/>
        <v>-</v>
      </c>
      <c r="N1150" s="263" t="str">
        <f t="shared" si="951"/>
        <v>-</v>
      </c>
      <c r="O1150" s="508">
        <v>3.2963</v>
      </c>
      <c r="P1150" s="404">
        <f t="shared" si="944"/>
        <v>0</v>
      </c>
      <c r="Q1150" s="449">
        <f t="shared" si="945"/>
        <v>0</v>
      </c>
    </row>
    <row r="1151" spans="1:17" ht="24" thickBot="1" x14ac:dyDescent="0.45">
      <c r="A1151" s="248" t="s">
        <v>101</v>
      </c>
      <c r="B1151" s="1108"/>
      <c r="C1151" s="998" t="s">
        <v>255</v>
      </c>
      <c r="D1151" s="276"/>
      <c r="E1151" s="436"/>
      <c r="F1151" s="690">
        <f t="shared" si="946"/>
        <v>0</v>
      </c>
      <c r="G1151" s="276"/>
      <c r="H1151" s="278"/>
      <c r="I1151" s="352" t="str">
        <f t="shared" si="947"/>
        <v>-</v>
      </c>
      <c r="J1151" s="874">
        <f t="shared" si="948"/>
        <v>0</v>
      </c>
      <c r="K1151" s="278">
        <f t="shared" si="942"/>
        <v>0</v>
      </c>
      <c r="L1151" s="436">
        <f t="shared" si="943"/>
        <v>0</v>
      </c>
      <c r="M1151" s="337" t="str">
        <f t="shared" si="949"/>
        <v>-</v>
      </c>
      <c r="N1151" s="263" t="str">
        <f t="shared" si="951"/>
        <v>-</v>
      </c>
      <c r="O1151" s="508">
        <v>3.2963</v>
      </c>
      <c r="P1151" s="404">
        <f t="shared" si="944"/>
        <v>0</v>
      </c>
      <c r="Q1151" s="449">
        <f t="shared" si="945"/>
        <v>0</v>
      </c>
    </row>
    <row r="1152" spans="1:17" ht="23.4" x14ac:dyDescent="0.4">
      <c r="A1152" s="248"/>
      <c r="B1152" s="991"/>
      <c r="C1152" s="542" t="s">
        <v>86</v>
      </c>
      <c r="D1152" s="511"/>
      <c r="E1152" s="436"/>
      <c r="F1152" s="690">
        <f t="shared" si="946"/>
        <v>0</v>
      </c>
      <c r="G1152" s="276"/>
      <c r="H1152" s="278"/>
      <c r="I1152" s="352"/>
      <c r="J1152" s="874">
        <f t="shared" si="948"/>
        <v>20012</v>
      </c>
      <c r="K1152" s="278">
        <f t="shared" ref="K1152:K1153" si="952">+G1152+K1086</f>
        <v>18200</v>
      </c>
      <c r="L1152" s="436">
        <f t="shared" ref="L1152:L1153" si="953">+H1152+L1086</f>
        <v>1812</v>
      </c>
      <c r="M1152" s="337"/>
      <c r="N1152" s="263"/>
      <c r="O1152" s="508">
        <v>3.2963</v>
      </c>
      <c r="P1152" s="404">
        <f t="shared" si="944"/>
        <v>0</v>
      </c>
      <c r="Q1152" s="449">
        <f t="shared" si="945"/>
        <v>59992.66</v>
      </c>
    </row>
    <row r="1153" spans="1:17" ht="23.4" x14ac:dyDescent="0.4">
      <c r="A1153" s="248"/>
      <c r="B1153" s="991"/>
      <c r="C1153" s="543" t="s">
        <v>585</v>
      </c>
      <c r="D1153" s="511"/>
      <c r="E1153" s="436"/>
      <c r="F1153" s="690">
        <f t="shared" si="946"/>
        <v>0</v>
      </c>
      <c r="G1153" s="276"/>
      <c r="H1153" s="278"/>
      <c r="I1153" s="352"/>
      <c r="J1153" s="874">
        <f t="shared" si="948"/>
        <v>19377</v>
      </c>
      <c r="K1153" s="278">
        <f t="shared" si="952"/>
        <v>18200</v>
      </c>
      <c r="L1153" s="436">
        <f t="shared" si="953"/>
        <v>1177</v>
      </c>
      <c r="M1153" s="337"/>
      <c r="N1153" s="263"/>
      <c r="O1153" s="508">
        <v>3.2963</v>
      </c>
      <c r="P1153" s="404">
        <f t="shared" si="944"/>
        <v>0</v>
      </c>
      <c r="Q1153" s="449">
        <f t="shared" si="945"/>
        <v>59992.66</v>
      </c>
    </row>
    <row r="1154" spans="1:17" ht="23.4" x14ac:dyDescent="0.4">
      <c r="A1154" s="248" t="s">
        <v>101</v>
      </c>
      <c r="B1154" s="546"/>
      <c r="C1154" s="543" t="s">
        <v>89</v>
      </c>
      <c r="D1154" s="511"/>
      <c r="E1154" s="436"/>
      <c r="F1154" s="690">
        <f t="shared" si="946"/>
        <v>0</v>
      </c>
      <c r="G1154" s="276"/>
      <c r="H1154" s="278"/>
      <c r="I1154" s="352" t="str">
        <f t="shared" si="947"/>
        <v>-</v>
      </c>
      <c r="J1154" s="874">
        <f t="shared" si="948"/>
        <v>83715</v>
      </c>
      <c r="K1154" s="278">
        <f>+G1154+K1088</f>
        <v>83400</v>
      </c>
      <c r="L1154" s="436">
        <f>+H1154+L1088</f>
        <v>315</v>
      </c>
      <c r="M1154" s="337" t="str">
        <f t="shared" si="949"/>
        <v>-</v>
      </c>
      <c r="N1154" s="263">
        <f t="shared" si="951"/>
        <v>3.7627665292958249E-3</v>
      </c>
      <c r="O1154" s="508">
        <v>2.3201000000000001</v>
      </c>
      <c r="P1154" s="404">
        <f t="shared" si="944"/>
        <v>0</v>
      </c>
      <c r="Q1154" s="449">
        <f t="shared" si="945"/>
        <v>193496.34</v>
      </c>
    </row>
    <row r="1155" spans="1:17" ht="24" thickBot="1" x14ac:dyDescent="0.35">
      <c r="A1155" s="248" t="s">
        <v>101</v>
      </c>
      <c r="B1155" s="997"/>
      <c r="C1155" s="668"/>
      <c r="D1155" s="913"/>
      <c r="E1155" s="462"/>
      <c r="F1155" s="691">
        <f t="shared" si="946"/>
        <v>0</v>
      </c>
      <c r="G1155" s="530"/>
      <c r="H1155" s="461"/>
      <c r="I1155" s="532" t="str">
        <f t="shared" si="947"/>
        <v>-</v>
      </c>
      <c r="J1155" s="875">
        <f t="shared" si="948"/>
        <v>0</v>
      </c>
      <c r="K1155" s="461">
        <f>+G1155+K1089</f>
        <v>0</v>
      </c>
      <c r="L1155" s="462">
        <f>+H1155+L1089</f>
        <v>0</v>
      </c>
      <c r="M1155" s="683" t="str">
        <f t="shared" si="949"/>
        <v>-</v>
      </c>
      <c r="N1155" s="264" t="str">
        <f t="shared" si="951"/>
        <v>-</v>
      </c>
      <c r="O1155" s="539"/>
      <c r="P1155" s="536">
        <f t="shared" si="944"/>
        <v>0</v>
      </c>
      <c r="Q1155" s="537">
        <f t="shared" si="945"/>
        <v>0</v>
      </c>
    </row>
    <row r="1156" spans="1:17" ht="24" thickBot="1" x14ac:dyDescent="0.35">
      <c r="A1156" s="274" t="s">
        <v>101</v>
      </c>
      <c r="B1156" s="1109" t="s">
        <v>25</v>
      </c>
      <c r="C1156" s="1110"/>
      <c r="D1156" s="513">
        <f>SUM(D1127:D1155)</f>
        <v>0</v>
      </c>
      <c r="E1156" s="526">
        <v>100000</v>
      </c>
      <c r="F1156" s="519">
        <f>SUM(F1122:F1155)</f>
        <v>172067</v>
      </c>
      <c r="G1156" s="519">
        <f>SUM(G1122:G1155)</f>
        <v>169760</v>
      </c>
      <c r="H1156" s="519">
        <f>SUM(H1122:H1155)</f>
        <v>2307</v>
      </c>
      <c r="I1156" s="520">
        <f>IFERROR(F1156/E1156,"-")</f>
        <v>1.7206699999999999</v>
      </c>
      <c r="J1156" s="513">
        <f>SUM(J1122:J1155)</f>
        <v>2457594</v>
      </c>
      <c r="K1156" s="513">
        <f t="shared" ref="K1156:L1156" si="954">SUM(K1122:K1155)</f>
        <v>2421064</v>
      </c>
      <c r="L1156" s="513">
        <f t="shared" si="954"/>
        <v>36530</v>
      </c>
      <c r="M1156" s="521" t="str">
        <f t="shared" si="949"/>
        <v>-</v>
      </c>
      <c r="N1156" s="520">
        <f t="shared" si="951"/>
        <v>1.4864131341466491E-2</v>
      </c>
      <c r="O1156" s="522"/>
      <c r="P1156" s="523">
        <f>SUM(P1122:P1155)</f>
        <v>1324388.6840000001</v>
      </c>
      <c r="Q1156" s="523">
        <f>SUM(Q1122:Q1155)</f>
        <v>18476578.049699999</v>
      </c>
    </row>
    <row r="1157" spans="1:17" ht="24" thickBot="1" x14ac:dyDescent="0.35">
      <c r="A1157" s="318" t="s">
        <v>101</v>
      </c>
      <c r="B1157" s="1111" t="s">
        <v>249</v>
      </c>
      <c r="C1157" s="1112"/>
      <c r="D1157" s="326">
        <f>+D1126+D1156</f>
        <v>0</v>
      </c>
      <c r="E1157" s="327">
        <f>+E1126+E1156</f>
        <v>100000</v>
      </c>
      <c r="F1157" s="326">
        <f>+F1156</f>
        <v>172067</v>
      </c>
      <c r="G1157" s="326">
        <f t="shared" ref="G1157:H1157" si="955">+G1156</f>
        <v>169760</v>
      </c>
      <c r="H1157" s="326">
        <f t="shared" si="955"/>
        <v>2307</v>
      </c>
      <c r="I1157" s="349">
        <f>IFERROR(F1157/E1157,"-")</f>
        <v>1.7206699999999999</v>
      </c>
      <c r="J1157" s="326">
        <f>+J1156</f>
        <v>2457594</v>
      </c>
      <c r="K1157" s="326">
        <f t="shared" ref="K1157:L1157" si="956">+K1156</f>
        <v>2421064</v>
      </c>
      <c r="L1157" s="326">
        <f t="shared" si="956"/>
        <v>36530</v>
      </c>
      <c r="M1157" s="341" t="str">
        <f t="shared" si="949"/>
        <v>-</v>
      </c>
      <c r="N1157" s="349">
        <f t="shared" si="951"/>
        <v>1.4864131341466491E-2</v>
      </c>
      <c r="O1157" s="394"/>
      <c r="P1157" s="410">
        <f>+P1156</f>
        <v>1324388.6840000001</v>
      </c>
      <c r="Q1157" s="428">
        <f>Q1156</f>
        <v>18476578.049699999</v>
      </c>
    </row>
    <row r="1158" spans="1:17" ht="24.6" thickBot="1" x14ac:dyDescent="0.35">
      <c r="A1158" s="319"/>
      <c r="B1158" s="1113" t="s">
        <v>174</v>
      </c>
      <c r="C1158" s="1114"/>
      <c r="D1158" s="374">
        <f>+D1157+D1121+D1112</f>
        <v>0</v>
      </c>
      <c r="E1158" s="374">
        <f>+E1157+E1121+E1112</f>
        <v>230000</v>
      </c>
      <c r="F1158" s="374">
        <f>+F1157+F1121+F1112</f>
        <v>381992</v>
      </c>
      <c r="G1158" s="374">
        <f>+G1157+G1121+G1112</f>
        <v>417704</v>
      </c>
      <c r="H1158" s="374">
        <f>+H1157+H1121+H1112</f>
        <v>11132</v>
      </c>
      <c r="I1158" s="375">
        <f>IFERROR(F1158/E1158,"-")</f>
        <v>1.6608347826086955</v>
      </c>
      <c r="J1158" s="374">
        <f>+J1157+J1121+J1112</f>
        <v>6260993</v>
      </c>
      <c r="K1158" s="374">
        <f>+K1157+K1121+K1112</f>
        <v>6133408</v>
      </c>
      <c r="L1158" s="374">
        <f>+L1157+L1121+L1112</f>
        <v>127585</v>
      </c>
      <c r="M1158" s="375" t="str">
        <f t="shared" si="949"/>
        <v>-</v>
      </c>
      <c r="N1158" s="375">
        <f>IFERROR(L1158/J1158,"-")</f>
        <v>2.0377757969063374E-2</v>
      </c>
      <c r="O1158" s="401"/>
      <c r="P1158" s="418">
        <f>+P1157+P1121+P1112</f>
        <v>2250226.2456</v>
      </c>
      <c r="Q1158" s="418">
        <f>+Q1157+Q1121+Q1112</f>
        <v>34509669.562299997</v>
      </c>
    </row>
    <row r="1159" spans="1:17" ht="14.4" thickBot="1" x14ac:dyDescent="0.35"/>
    <row r="1160" spans="1:17" ht="23.4" x14ac:dyDescent="0.3">
      <c r="A1160" s="1115" t="s">
        <v>1</v>
      </c>
      <c r="B1160" s="1118" t="s">
        <v>2</v>
      </c>
      <c r="C1160" s="1121" t="s">
        <v>396</v>
      </c>
      <c r="D1160" s="1066" t="s">
        <v>4</v>
      </c>
      <c r="E1160" s="1067"/>
      <c r="F1160" s="1067"/>
      <c r="G1160" s="1067"/>
      <c r="H1160" s="1067"/>
      <c r="I1160" s="1067"/>
      <c r="J1160" s="1067"/>
      <c r="K1160" s="1067"/>
      <c r="L1160" s="1067"/>
      <c r="M1160" s="1067"/>
      <c r="N1160" s="1068"/>
      <c r="O1160" s="1092" t="s">
        <v>167</v>
      </c>
      <c r="P1160" s="1093"/>
      <c r="Q1160" s="1124"/>
    </row>
    <row r="1161" spans="1:17" ht="23.4" x14ac:dyDescent="0.3">
      <c r="A1161" s="1116"/>
      <c r="B1161" s="1119"/>
      <c r="C1161" s="1122"/>
      <c r="D1161" s="1069" t="s">
        <v>7</v>
      </c>
      <c r="E1161" s="1071" t="s">
        <v>108</v>
      </c>
      <c r="F1161" s="1125" t="s">
        <v>591</v>
      </c>
      <c r="G1161" s="1074"/>
      <c r="H1161" s="1074"/>
      <c r="I1161" s="1075"/>
      <c r="J1161" s="1076" t="s">
        <v>8</v>
      </c>
      <c r="K1161" s="1077"/>
      <c r="L1161" s="1078"/>
      <c r="M1161" s="1079" t="s">
        <v>165</v>
      </c>
      <c r="N1161" s="1081" t="s">
        <v>164</v>
      </c>
      <c r="O1161" s="1126" t="s">
        <v>169</v>
      </c>
      <c r="P1161" s="1127"/>
      <c r="Q1161" s="1128"/>
    </row>
    <row r="1162" spans="1:17" ht="47.4" thickBot="1" x14ac:dyDescent="0.35">
      <c r="A1162" s="1117"/>
      <c r="B1162" s="1120"/>
      <c r="C1162" s="1123"/>
      <c r="D1162" s="1070"/>
      <c r="E1162" s="1072"/>
      <c r="F1162" s="452" t="s">
        <v>13</v>
      </c>
      <c r="G1162" s="453" t="s">
        <v>14</v>
      </c>
      <c r="H1162" s="453" t="s">
        <v>15</v>
      </c>
      <c r="I1162" s="454" t="s">
        <v>166</v>
      </c>
      <c r="J1162" s="680" t="s">
        <v>13</v>
      </c>
      <c r="K1162" s="678" t="s">
        <v>14</v>
      </c>
      <c r="L1162" s="679" t="s">
        <v>15</v>
      </c>
      <c r="M1162" s="1080"/>
      <c r="N1162" s="1082"/>
      <c r="O1162" s="444" t="s">
        <v>170</v>
      </c>
      <c r="P1162" s="445" t="s">
        <v>11</v>
      </c>
      <c r="Q1162" s="446" t="s">
        <v>12</v>
      </c>
    </row>
    <row r="1163" spans="1:17" ht="23.4" x14ac:dyDescent="0.3">
      <c r="A1163" s="268" t="s">
        <v>103</v>
      </c>
      <c r="B1163" s="439"/>
      <c r="C1163" s="269" t="s">
        <v>502</v>
      </c>
      <c r="D1163" s="270"/>
      <c r="E1163" s="271"/>
      <c r="F1163" s="332">
        <f>+G1163+H1163</f>
        <v>0</v>
      </c>
      <c r="G1163" s="272"/>
      <c r="H1163" s="272"/>
      <c r="I1163" s="351" t="str">
        <f>IFERROR(F1163/E1163,"-")</f>
        <v>-</v>
      </c>
      <c r="J1163" s="457">
        <f>+K1163+L1163</f>
        <v>128000</v>
      </c>
      <c r="K1163" s="458">
        <f t="shared" ref="K1163:L1168" si="957">+G1163+K1097</f>
        <v>128000</v>
      </c>
      <c r="L1163" s="459">
        <f t="shared" si="957"/>
        <v>0</v>
      </c>
      <c r="M1163" s="336" t="str">
        <f>IFERROR(J1163/D1163,"-")</f>
        <v>-</v>
      </c>
      <c r="N1163" s="343">
        <f t="shared" ref="N1163" si="958">IFERROR(L1163/J1163,"-")</f>
        <v>0</v>
      </c>
      <c r="O1163" s="786">
        <v>4.2525000000000004</v>
      </c>
      <c r="P1163" s="402">
        <f>+O1163*G1163</f>
        <v>0</v>
      </c>
      <c r="Q1163" s="447">
        <f>+O1163*K1163</f>
        <v>544320</v>
      </c>
    </row>
    <row r="1164" spans="1:17" ht="23.4" x14ac:dyDescent="0.3">
      <c r="A1164" s="274"/>
      <c r="B1164" s="439"/>
      <c r="C1164" s="269" t="s">
        <v>563</v>
      </c>
      <c r="D1164" s="270"/>
      <c r="E1164" s="271"/>
      <c r="F1164" s="332"/>
      <c r="G1164" s="272"/>
      <c r="H1164" s="272"/>
      <c r="I1164" s="351"/>
      <c r="J1164" s="332">
        <f>+K1164+L1164</f>
        <v>338188</v>
      </c>
      <c r="K1164" s="272">
        <f t="shared" si="957"/>
        <v>282624</v>
      </c>
      <c r="L1164" s="435">
        <f t="shared" si="957"/>
        <v>55564</v>
      </c>
      <c r="M1164" s="336"/>
      <c r="N1164" s="343"/>
      <c r="O1164" s="786">
        <v>1.5669</v>
      </c>
      <c r="P1164" s="402">
        <f t="shared" ref="P1164:P1168" si="959">+O1164*G1164</f>
        <v>0</v>
      </c>
      <c r="Q1164" s="447">
        <f t="shared" ref="Q1164:Q1168" si="960">+O1164*K1164</f>
        <v>442843.54560000001</v>
      </c>
    </row>
    <row r="1165" spans="1:17" ht="23.4" x14ac:dyDescent="0.3">
      <c r="A1165" s="274" t="s">
        <v>103</v>
      </c>
      <c r="B1165" s="438"/>
      <c r="C1165" s="275" t="s">
        <v>245</v>
      </c>
      <c r="D1165" s="276"/>
      <c r="E1165" s="277"/>
      <c r="F1165" s="333">
        <f t="shared" ref="F1165:F1168" si="961">+G1165+H1165</f>
        <v>0</v>
      </c>
      <c r="G1165" s="719"/>
      <c r="H1165" s="719"/>
      <c r="I1165" s="351" t="str">
        <f t="shared" ref="I1165:I1168" si="962">IFERROR(F1165/E1165,"-")</f>
        <v>-</v>
      </c>
      <c r="J1165" s="333">
        <f t="shared" ref="J1165:J1168" si="963">+K1165+L1165</f>
        <v>173944</v>
      </c>
      <c r="K1165" s="278">
        <f t="shared" si="957"/>
        <v>172500</v>
      </c>
      <c r="L1165" s="436">
        <f t="shared" si="957"/>
        <v>1444</v>
      </c>
      <c r="M1165" s="337" t="str">
        <f t="shared" ref="M1165:M1168" si="964">IFERROR(J1165/D1165,"-")</f>
        <v>-</v>
      </c>
      <c r="N1165" s="265">
        <f t="shared" ref="N1165" si="965">IFERROR(L1165/J1165,"-")</f>
        <v>8.301522329025434E-3</v>
      </c>
      <c r="O1165" s="508">
        <v>2.3978999999999999</v>
      </c>
      <c r="P1165" s="404">
        <f t="shared" si="959"/>
        <v>0</v>
      </c>
      <c r="Q1165" s="449">
        <f t="shared" si="960"/>
        <v>413637.75</v>
      </c>
    </row>
    <row r="1166" spans="1:17" ht="23.4" x14ac:dyDescent="0.3">
      <c r="A1166" s="274" t="s">
        <v>103</v>
      </c>
      <c r="B1166" s="438"/>
      <c r="C1166" s="275" t="s">
        <v>395</v>
      </c>
      <c r="D1166" s="276"/>
      <c r="E1166" s="277"/>
      <c r="F1166" s="333">
        <f t="shared" si="961"/>
        <v>57772</v>
      </c>
      <c r="G1166" s="278">
        <v>57500</v>
      </c>
      <c r="H1166" s="719">
        <v>272</v>
      </c>
      <c r="I1166" s="351" t="str">
        <f t="shared" si="962"/>
        <v>-</v>
      </c>
      <c r="J1166" s="333">
        <f t="shared" si="963"/>
        <v>1222257</v>
      </c>
      <c r="K1166" s="278">
        <f t="shared" si="957"/>
        <v>1210750</v>
      </c>
      <c r="L1166" s="436">
        <f t="shared" si="957"/>
        <v>11507</v>
      </c>
      <c r="M1166" s="337" t="str">
        <f t="shared" si="964"/>
        <v>-</v>
      </c>
      <c r="N1166" s="716">
        <f>IFERROR(L1166/J1166,"-")</f>
        <v>9.4145502950688763E-3</v>
      </c>
      <c r="O1166" s="718">
        <v>3.6777000000000002</v>
      </c>
      <c r="P1166" s="404">
        <f t="shared" si="959"/>
        <v>211467.75</v>
      </c>
      <c r="Q1166" s="449">
        <f t="shared" si="960"/>
        <v>4452775.2750000004</v>
      </c>
    </row>
    <row r="1167" spans="1:17" ht="23.4" x14ac:dyDescent="0.3">
      <c r="A1167" s="274"/>
      <c r="B1167" s="451"/>
      <c r="C1167" s="275" t="s">
        <v>319</v>
      </c>
      <c r="D1167" s="280"/>
      <c r="E1167" s="281"/>
      <c r="F1167" s="333">
        <f t="shared" si="961"/>
        <v>11112</v>
      </c>
      <c r="G1167" s="282">
        <v>11000</v>
      </c>
      <c r="H1167" s="282">
        <v>112</v>
      </c>
      <c r="I1167" s="351" t="str">
        <f t="shared" si="962"/>
        <v>-</v>
      </c>
      <c r="J1167" s="333">
        <f t="shared" si="963"/>
        <v>479064</v>
      </c>
      <c r="K1167" s="278">
        <f t="shared" si="957"/>
        <v>472800</v>
      </c>
      <c r="L1167" s="436">
        <f t="shared" si="957"/>
        <v>6264</v>
      </c>
      <c r="M1167" s="337" t="str">
        <f t="shared" si="964"/>
        <v>-</v>
      </c>
      <c r="N1167" s="265">
        <f>IFERROR(L1167/J1167,"-")</f>
        <v>1.3075497219578177E-2</v>
      </c>
      <c r="O1167" s="509">
        <v>12.284700000000001</v>
      </c>
      <c r="P1167" s="404">
        <f t="shared" si="959"/>
        <v>135131.70000000001</v>
      </c>
      <c r="Q1167" s="449">
        <f t="shared" si="960"/>
        <v>5808206.1600000001</v>
      </c>
    </row>
    <row r="1168" spans="1:17" ht="24" thickBot="1" x14ac:dyDescent="0.35">
      <c r="A1168" s="274" t="s">
        <v>103</v>
      </c>
      <c r="B1168" s="451"/>
      <c r="C1168" s="275" t="s">
        <v>365</v>
      </c>
      <c r="D1168" s="280"/>
      <c r="E1168" s="281"/>
      <c r="F1168" s="334">
        <f t="shared" si="961"/>
        <v>0</v>
      </c>
      <c r="G1168" s="282"/>
      <c r="H1168" s="282"/>
      <c r="I1168" s="351" t="str">
        <f t="shared" si="962"/>
        <v>-</v>
      </c>
      <c r="J1168" s="460">
        <f t="shared" si="963"/>
        <v>45034</v>
      </c>
      <c r="K1168" s="461">
        <f t="shared" si="957"/>
        <v>44250</v>
      </c>
      <c r="L1168" s="462">
        <f t="shared" si="957"/>
        <v>784</v>
      </c>
      <c r="M1168" s="338" t="str">
        <f t="shared" si="964"/>
        <v>-</v>
      </c>
      <c r="N1168" s="344">
        <f t="shared" ref="N1168:N1180" si="966">IFERROR(L1168/J1168,"-")</f>
        <v>1.7409068703646134E-2</v>
      </c>
      <c r="O1168" s="718">
        <v>7.0612000000000004</v>
      </c>
      <c r="P1168" s="405">
        <f t="shared" si="959"/>
        <v>0</v>
      </c>
      <c r="Q1168" s="450">
        <f t="shared" si="960"/>
        <v>312458.10000000003</v>
      </c>
    </row>
    <row r="1169" spans="1:17" ht="24" thickBot="1" x14ac:dyDescent="0.35">
      <c r="A1169" s="274" t="s">
        <v>103</v>
      </c>
      <c r="B1169" s="1109" t="s">
        <v>21</v>
      </c>
      <c r="C1169" s="1046"/>
      <c r="D1169" s="320">
        <f>SUM(D1163:D1168)</f>
        <v>0</v>
      </c>
      <c r="E1169" s="285">
        <v>15000</v>
      </c>
      <c r="F1169" s="320">
        <f>SUM(F1163:F1168)</f>
        <v>68884</v>
      </c>
      <c r="G1169" s="321">
        <f>SUM(G1163:G1168)</f>
        <v>68500</v>
      </c>
      <c r="H1169" s="321">
        <f>SUM(H1163:H1168)</f>
        <v>384</v>
      </c>
      <c r="I1169" s="345">
        <f>IFERROR(F1169/E1169,"-")</f>
        <v>4.5922666666666663</v>
      </c>
      <c r="J1169" s="320">
        <f>SUM(J1163:J1168)</f>
        <v>2386487</v>
      </c>
      <c r="K1169" s="321">
        <f>SUM(K1163:K1168)</f>
        <v>2310924</v>
      </c>
      <c r="L1169" s="322">
        <f>SUM(L1163:L1168)</f>
        <v>75563</v>
      </c>
      <c r="M1169" s="339" t="str">
        <f>IFERROR(J1169/D1169,"-")</f>
        <v>-</v>
      </c>
      <c r="N1169" s="345">
        <f t="shared" si="966"/>
        <v>3.1662858419090487E-2</v>
      </c>
      <c r="O1169" s="391"/>
      <c r="P1169" s="406">
        <f>SUM(P1163:P1168)</f>
        <v>346599.45</v>
      </c>
      <c r="Q1169" s="425">
        <f>SUM(Q1163:Q1168)</f>
        <v>11974240.830599999</v>
      </c>
    </row>
    <row r="1170" spans="1:17" ht="23.4" x14ac:dyDescent="0.3">
      <c r="A1170" s="274" t="s">
        <v>103</v>
      </c>
      <c r="B1170" s="439"/>
      <c r="C1170" s="269" t="s">
        <v>244</v>
      </c>
      <c r="D1170" s="270"/>
      <c r="E1170" s="271"/>
      <c r="F1170" s="332">
        <f t="shared" ref="F1170:F1176" si="967">+G1170+H1170</f>
        <v>4440</v>
      </c>
      <c r="G1170" s="272">
        <v>4320</v>
      </c>
      <c r="H1170" s="272">
        <v>120</v>
      </c>
      <c r="I1170" s="351" t="str">
        <f>IFERROR(F1170/E1170,"-")</f>
        <v>-</v>
      </c>
      <c r="J1170" s="457">
        <f t="shared" ref="J1170:J1176" si="968">+K1170+L1170</f>
        <v>53216</v>
      </c>
      <c r="K1170" s="458">
        <f t="shared" ref="K1170:L1176" si="969">+G1170+K1104</f>
        <v>51840</v>
      </c>
      <c r="L1170" s="459">
        <f t="shared" si="969"/>
        <v>1376</v>
      </c>
      <c r="M1170" s="336" t="str">
        <f t="shared" ref="M1170:M1178" si="970">IFERROR(J1170/D1170,"-")</f>
        <v>-</v>
      </c>
      <c r="N1170" s="346">
        <f t="shared" si="966"/>
        <v>2.5856885147324114E-2</v>
      </c>
      <c r="O1170" s="507">
        <v>18.2316</v>
      </c>
      <c r="P1170" s="402">
        <f t="shared" ref="P1170:P1176" si="971">+O1170*G1170</f>
        <v>78760.512000000002</v>
      </c>
      <c r="Q1170" s="447">
        <f t="shared" ref="Q1170:Q1176" si="972">+O1170*K1170</f>
        <v>945126.14399999997</v>
      </c>
    </row>
    <row r="1171" spans="1:17" ht="23.4" x14ac:dyDescent="0.3">
      <c r="A1171" s="274" t="s">
        <v>103</v>
      </c>
      <c r="B1171" s="438"/>
      <c r="C1171" s="275" t="s">
        <v>89</v>
      </c>
      <c r="D1171" s="276"/>
      <c r="E1171" s="277"/>
      <c r="F1171" s="333">
        <f t="shared" si="967"/>
        <v>0</v>
      </c>
      <c r="G1171" s="278"/>
      <c r="H1171" s="278"/>
      <c r="I1171" s="351" t="str">
        <f t="shared" ref="I1171:I1176" si="973">IFERROR(F1171/E1171,"-")</f>
        <v>-</v>
      </c>
      <c r="J1171" s="333">
        <f t="shared" si="968"/>
        <v>300000</v>
      </c>
      <c r="K1171" s="278">
        <f t="shared" si="969"/>
        <v>300000</v>
      </c>
      <c r="L1171" s="436">
        <f t="shared" si="969"/>
        <v>0</v>
      </c>
      <c r="M1171" s="337" t="str">
        <f t="shared" si="970"/>
        <v>-</v>
      </c>
      <c r="N1171" s="263">
        <f t="shared" si="966"/>
        <v>0</v>
      </c>
      <c r="O1171" s="508">
        <v>1.2824</v>
      </c>
      <c r="P1171" s="404">
        <f t="shared" si="971"/>
        <v>0</v>
      </c>
      <c r="Q1171" s="449">
        <f t="shared" si="972"/>
        <v>384720</v>
      </c>
    </row>
    <row r="1172" spans="1:17" ht="23.4" x14ac:dyDescent="0.3">
      <c r="A1172" s="274" t="s">
        <v>103</v>
      </c>
      <c r="B1172" s="438"/>
      <c r="C1172" s="275" t="s">
        <v>300</v>
      </c>
      <c r="D1172" s="276"/>
      <c r="E1172" s="277"/>
      <c r="F1172" s="333">
        <f t="shared" si="967"/>
        <v>0</v>
      </c>
      <c r="G1172" s="278"/>
      <c r="H1172" s="278"/>
      <c r="I1172" s="351" t="str">
        <f t="shared" si="973"/>
        <v>-</v>
      </c>
      <c r="J1172" s="333">
        <f t="shared" si="968"/>
        <v>0</v>
      </c>
      <c r="K1172" s="278">
        <f t="shared" si="969"/>
        <v>0</v>
      </c>
      <c r="L1172" s="436">
        <f t="shared" si="969"/>
        <v>0</v>
      </c>
      <c r="M1172" s="337" t="str">
        <f t="shared" si="970"/>
        <v>-</v>
      </c>
      <c r="N1172" s="263" t="str">
        <f t="shared" si="966"/>
        <v>-</v>
      </c>
      <c r="O1172" s="710">
        <v>5.7342000000000004</v>
      </c>
      <c r="P1172" s="404">
        <f t="shared" si="971"/>
        <v>0</v>
      </c>
      <c r="Q1172" s="449">
        <f t="shared" si="972"/>
        <v>0</v>
      </c>
    </row>
    <row r="1173" spans="1:17" ht="23.4" x14ac:dyDescent="0.3">
      <c r="A1173" s="274" t="s">
        <v>103</v>
      </c>
      <c r="B1173" s="438"/>
      <c r="C1173" s="275" t="s">
        <v>314</v>
      </c>
      <c r="D1173" s="276"/>
      <c r="E1173" s="277"/>
      <c r="F1173" s="333">
        <f t="shared" si="967"/>
        <v>0</v>
      </c>
      <c r="G1173" s="278"/>
      <c r="H1173" s="278"/>
      <c r="I1173" s="351" t="str">
        <f t="shared" si="973"/>
        <v>-</v>
      </c>
      <c r="J1173" s="333">
        <f t="shared" si="968"/>
        <v>0</v>
      </c>
      <c r="K1173" s="278">
        <f t="shared" si="969"/>
        <v>0</v>
      </c>
      <c r="L1173" s="436">
        <f t="shared" si="969"/>
        <v>0</v>
      </c>
      <c r="M1173" s="337" t="str">
        <f t="shared" si="970"/>
        <v>-</v>
      </c>
      <c r="N1173" s="263" t="str">
        <f t="shared" si="966"/>
        <v>-</v>
      </c>
      <c r="O1173" s="508"/>
      <c r="P1173" s="404">
        <f t="shared" si="971"/>
        <v>0</v>
      </c>
      <c r="Q1173" s="449">
        <f t="shared" si="972"/>
        <v>0</v>
      </c>
    </row>
    <row r="1174" spans="1:17" ht="23.4" x14ac:dyDescent="0.3">
      <c r="A1174" s="274" t="s">
        <v>103</v>
      </c>
      <c r="B1174" s="438"/>
      <c r="C1174" s="275" t="s">
        <v>320</v>
      </c>
      <c r="D1174" s="276"/>
      <c r="E1174" s="277"/>
      <c r="F1174" s="333">
        <f t="shared" si="967"/>
        <v>9025</v>
      </c>
      <c r="G1174" s="278">
        <v>9000</v>
      </c>
      <c r="H1174" s="278">
        <v>25</v>
      </c>
      <c r="I1174" s="351" t="str">
        <f t="shared" si="973"/>
        <v>-</v>
      </c>
      <c r="J1174" s="333">
        <f t="shared" si="968"/>
        <v>129924</v>
      </c>
      <c r="K1174" s="278">
        <f t="shared" si="969"/>
        <v>129400</v>
      </c>
      <c r="L1174" s="436">
        <f t="shared" si="969"/>
        <v>524</v>
      </c>
      <c r="M1174" s="337" t="str">
        <f t="shared" si="970"/>
        <v>-</v>
      </c>
      <c r="N1174" s="263">
        <f t="shared" si="966"/>
        <v>4.0331270588959698E-3</v>
      </c>
      <c r="O1174" s="508">
        <v>12.029500000000001</v>
      </c>
      <c r="P1174" s="404">
        <f t="shared" si="971"/>
        <v>108265.5</v>
      </c>
      <c r="Q1174" s="449">
        <f t="shared" si="972"/>
        <v>1556617.3</v>
      </c>
    </row>
    <row r="1175" spans="1:17" ht="23.4" x14ac:dyDescent="0.3">
      <c r="A1175" s="274" t="s">
        <v>103</v>
      </c>
      <c r="B1175" s="438"/>
      <c r="C1175" s="275"/>
      <c r="D1175" s="276"/>
      <c r="E1175" s="277"/>
      <c r="F1175" s="333">
        <f t="shared" si="967"/>
        <v>0</v>
      </c>
      <c r="G1175" s="278"/>
      <c r="H1175" s="278"/>
      <c r="I1175" s="351" t="str">
        <f t="shared" si="973"/>
        <v>-</v>
      </c>
      <c r="J1175" s="333">
        <f t="shared" si="968"/>
        <v>0</v>
      </c>
      <c r="K1175" s="278">
        <f t="shared" si="969"/>
        <v>0</v>
      </c>
      <c r="L1175" s="436">
        <f t="shared" si="969"/>
        <v>0</v>
      </c>
      <c r="M1175" s="337" t="str">
        <f t="shared" si="970"/>
        <v>-</v>
      </c>
      <c r="N1175" s="263" t="str">
        <f t="shared" si="966"/>
        <v>-</v>
      </c>
      <c r="O1175" s="508"/>
      <c r="P1175" s="404">
        <f t="shared" si="971"/>
        <v>0</v>
      </c>
      <c r="Q1175" s="449">
        <f t="shared" si="972"/>
        <v>0</v>
      </c>
    </row>
    <row r="1176" spans="1:17" ht="24" thickBot="1" x14ac:dyDescent="0.35">
      <c r="A1176" s="274" t="s">
        <v>103</v>
      </c>
      <c r="B1176" s="451"/>
      <c r="C1176" s="279"/>
      <c r="D1176" s="280">
        <v>0</v>
      </c>
      <c r="E1176" s="281"/>
      <c r="F1176" s="334">
        <f t="shared" si="967"/>
        <v>0</v>
      </c>
      <c r="G1176" s="282"/>
      <c r="H1176" s="282"/>
      <c r="I1176" s="351" t="str">
        <f t="shared" si="973"/>
        <v>-</v>
      </c>
      <c r="J1176" s="460">
        <f t="shared" si="968"/>
        <v>0</v>
      </c>
      <c r="K1176" s="461">
        <f t="shared" si="969"/>
        <v>0</v>
      </c>
      <c r="L1176" s="462">
        <f t="shared" si="969"/>
        <v>0</v>
      </c>
      <c r="M1176" s="338" t="str">
        <f t="shared" si="970"/>
        <v>-</v>
      </c>
      <c r="N1176" s="347" t="str">
        <f t="shared" si="966"/>
        <v>-</v>
      </c>
      <c r="O1176" s="509"/>
      <c r="P1176" s="405">
        <f t="shared" si="971"/>
        <v>0</v>
      </c>
      <c r="Q1176" s="450">
        <f t="shared" si="972"/>
        <v>0</v>
      </c>
    </row>
    <row r="1177" spans="1:17" ht="24" thickBot="1" x14ac:dyDescent="0.35">
      <c r="A1177" s="274" t="s">
        <v>103</v>
      </c>
      <c r="B1177" s="1109" t="s">
        <v>25</v>
      </c>
      <c r="C1177" s="1046"/>
      <c r="D1177" s="320">
        <f t="shared" ref="D1177" si="974">SUM(D1170:D1176)</f>
        <v>0</v>
      </c>
      <c r="E1177" s="285">
        <v>100000</v>
      </c>
      <c r="F1177" s="320">
        <f>SUM(F1170:F1176)</f>
        <v>13465</v>
      </c>
      <c r="G1177" s="321">
        <f t="shared" ref="G1177:H1177" si="975">SUM(G1170:G1176)</f>
        <v>13320</v>
      </c>
      <c r="H1177" s="321">
        <f t="shared" si="975"/>
        <v>145</v>
      </c>
      <c r="I1177" s="345">
        <f>IFERROR(F1177/E1177,"-")</f>
        <v>0.13464999999999999</v>
      </c>
      <c r="J1177" s="320">
        <f t="shared" ref="J1177:L1177" si="976">SUM(J1170:J1176)</f>
        <v>483140</v>
      </c>
      <c r="K1177" s="321">
        <f t="shared" si="976"/>
        <v>481240</v>
      </c>
      <c r="L1177" s="322">
        <f t="shared" si="976"/>
        <v>1900</v>
      </c>
      <c r="M1177" s="339" t="str">
        <f t="shared" si="970"/>
        <v>-</v>
      </c>
      <c r="N1177" s="345">
        <f t="shared" si="966"/>
        <v>3.9326075257689287E-3</v>
      </c>
      <c r="O1177" s="391"/>
      <c r="P1177" s="406">
        <f t="shared" ref="P1177:Q1177" si="977">SUM(P1170:P1176)</f>
        <v>187026.01199999999</v>
      </c>
      <c r="Q1177" s="425">
        <f t="shared" si="977"/>
        <v>2886463.4440000001</v>
      </c>
    </row>
    <row r="1178" spans="1:17" ht="24" thickBot="1" x14ac:dyDescent="0.35">
      <c r="A1178" s="274" t="s">
        <v>103</v>
      </c>
      <c r="B1178" s="1111" t="s">
        <v>172</v>
      </c>
      <c r="C1178" s="1112"/>
      <c r="D1178" s="326">
        <f>+D1169+D1177</f>
        <v>0</v>
      </c>
      <c r="E1178" s="327">
        <f t="shared" ref="E1178:H1178" si="978">+E1169+E1177</f>
        <v>115000</v>
      </c>
      <c r="F1178" s="512">
        <f t="shared" si="978"/>
        <v>82349</v>
      </c>
      <c r="G1178" s="514">
        <f t="shared" si="978"/>
        <v>81820</v>
      </c>
      <c r="H1178" s="514">
        <f t="shared" si="978"/>
        <v>529</v>
      </c>
      <c r="I1178" s="515">
        <f>IFERROR(F1178/E1178,"-")</f>
        <v>0.71607826086956516</v>
      </c>
      <c r="J1178" s="326">
        <f t="shared" ref="J1178:L1178" si="979">+J1169+J1177</f>
        <v>2869627</v>
      </c>
      <c r="K1178" s="324">
        <f t="shared" si="979"/>
        <v>2792164</v>
      </c>
      <c r="L1178" s="325">
        <f t="shared" si="979"/>
        <v>77463</v>
      </c>
      <c r="M1178" s="341" t="str">
        <f t="shared" si="970"/>
        <v>-</v>
      </c>
      <c r="N1178" s="349">
        <f t="shared" si="966"/>
        <v>2.6994100627015287E-2</v>
      </c>
      <c r="O1178" s="394"/>
      <c r="P1178" s="410">
        <f t="shared" ref="P1178:Q1178" si="980">+P1169+P1177</f>
        <v>533625.46200000006</v>
      </c>
      <c r="Q1178" s="428">
        <f t="shared" si="980"/>
        <v>14860704.274599999</v>
      </c>
    </row>
    <row r="1179" spans="1:17" ht="23.4" x14ac:dyDescent="0.3">
      <c r="A1179" s="244" t="s">
        <v>101</v>
      </c>
      <c r="B1179" s="581"/>
      <c r="C1179" s="582" t="s">
        <v>283</v>
      </c>
      <c r="D1179" s="527"/>
      <c r="E1179" s="459"/>
      <c r="F1179" s="457">
        <f>+G1179+H1179</f>
        <v>0</v>
      </c>
      <c r="G1179" s="458"/>
      <c r="H1179" s="838"/>
      <c r="I1179" s="531" t="str">
        <f>IFERROR(F1179/E1179,"-")</f>
        <v>-</v>
      </c>
      <c r="J1179" s="644">
        <f>+K1179+L1179</f>
        <v>0</v>
      </c>
      <c r="K1179" s="458">
        <f t="shared" ref="K1179:L1185" si="981">+G1179+K1113</f>
        <v>0</v>
      </c>
      <c r="L1179" s="459">
        <f t="shared" si="981"/>
        <v>0</v>
      </c>
      <c r="M1179" s="586" t="str">
        <f>IFERROR(J1179/D1179,"-")</f>
        <v>-</v>
      </c>
      <c r="N1179" s="533" t="str">
        <f t="shared" si="966"/>
        <v>-</v>
      </c>
      <c r="O1179" s="628">
        <v>4.8285999999999998</v>
      </c>
      <c r="P1179" s="534">
        <f t="shared" ref="P1179:P1185" si="982">+O1179*G1179</f>
        <v>0</v>
      </c>
      <c r="Q1179" s="535">
        <f t="shared" ref="Q1179:Q1185" si="983">+O1179*K1179</f>
        <v>0</v>
      </c>
    </row>
    <row r="1180" spans="1:17" ht="23.4" x14ac:dyDescent="0.3">
      <c r="A1180" s="248" t="s">
        <v>101</v>
      </c>
      <c r="B1180" s="583"/>
      <c r="C1180" s="275" t="s">
        <v>284</v>
      </c>
      <c r="D1180" s="276"/>
      <c r="E1180" s="436"/>
      <c r="F1180" s="333">
        <f t="shared" ref="F1180:F1185" si="984">+G1180+H1180</f>
        <v>0</v>
      </c>
      <c r="G1180" s="278"/>
      <c r="H1180" s="277"/>
      <c r="I1180" s="352" t="str">
        <f t="shared" ref="I1180:I1185" si="985">IFERROR(F1180/E1180,"-")</f>
        <v>-</v>
      </c>
      <c r="J1180" s="874">
        <f t="shared" ref="J1180:J1185" si="986">+K1180+L1180</f>
        <v>0</v>
      </c>
      <c r="K1180" s="278">
        <f t="shared" si="981"/>
        <v>0</v>
      </c>
      <c r="L1180" s="436">
        <f t="shared" si="981"/>
        <v>0</v>
      </c>
      <c r="M1180" s="337" t="str">
        <f t="shared" ref="M1180:M1185" si="987">IFERROR(J1180/D1180,"-")</f>
        <v>-</v>
      </c>
      <c r="N1180" s="265" t="str">
        <f t="shared" si="966"/>
        <v>-</v>
      </c>
      <c r="O1180" s="629">
        <v>1.4086000000000001</v>
      </c>
      <c r="P1180" s="404">
        <f t="shared" si="982"/>
        <v>0</v>
      </c>
      <c r="Q1180" s="449">
        <f t="shared" si="983"/>
        <v>0</v>
      </c>
    </row>
    <row r="1181" spans="1:17" ht="23.4" x14ac:dyDescent="0.3">
      <c r="A1181" s="248" t="s">
        <v>101</v>
      </c>
      <c r="B1181" s="583"/>
      <c r="C1181" s="275" t="s">
        <v>315</v>
      </c>
      <c r="D1181" s="276"/>
      <c r="E1181" s="436"/>
      <c r="F1181" s="333">
        <f t="shared" si="984"/>
        <v>0</v>
      </c>
      <c r="G1181" s="278"/>
      <c r="H1181" s="277"/>
      <c r="I1181" s="352" t="str">
        <f t="shared" si="985"/>
        <v>-</v>
      </c>
      <c r="J1181" s="874">
        <f t="shared" si="986"/>
        <v>0</v>
      </c>
      <c r="K1181" s="278">
        <f t="shared" si="981"/>
        <v>0</v>
      </c>
      <c r="L1181" s="436">
        <f t="shared" si="981"/>
        <v>0</v>
      </c>
      <c r="M1181" s="337" t="str">
        <f t="shared" si="987"/>
        <v>-</v>
      </c>
      <c r="N1181" s="265" t="str">
        <f>IFERROR(L1181/J1181,"-")</f>
        <v>-</v>
      </c>
      <c r="O1181" s="629">
        <v>2.2141000000000002</v>
      </c>
      <c r="P1181" s="404">
        <f t="shared" si="982"/>
        <v>0</v>
      </c>
      <c r="Q1181" s="449">
        <f t="shared" si="983"/>
        <v>0</v>
      </c>
    </row>
    <row r="1182" spans="1:17" ht="23.4" x14ac:dyDescent="0.3">
      <c r="A1182" s="248" t="s">
        <v>101</v>
      </c>
      <c r="B1182" s="584"/>
      <c r="C1182" s="275" t="s">
        <v>447</v>
      </c>
      <c r="D1182" s="280"/>
      <c r="E1182" s="528"/>
      <c r="F1182" s="334">
        <f t="shared" si="984"/>
        <v>0</v>
      </c>
      <c r="G1182" s="282"/>
      <c r="H1182" s="281"/>
      <c r="I1182" s="352" t="str">
        <f t="shared" si="985"/>
        <v>-</v>
      </c>
      <c r="J1182" s="874">
        <f t="shared" si="986"/>
        <v>998964</v>
      </c>
      <c r="K1182" s="278">
        <f t="shared" si="981"/>
        <v>985750</v>
      </c>
      <c r="L1182" s="436">
        <f t="shared" si="981"/>
        <v>13214</v>
      </c>
      <c r="M1182" s="338" t="str">
        <f t="shared" si="987"/>
        <v>-</v>
      </c>
      <c r="N1182" s="344">
        <f t="shared" ref="N1182:N1189" si="988">IFERROR(L1182/J1182,"-")</f>
        <v>1.3227703901241686E-2</v>
      </c>
      <c r="O1182" s="629">
        <v>2.2141000000000002</v>
      </c>
      <c r="P1182" s="405">
        <f t="shared" si="982"/>
        <v>0</v>
      </c>
      <c r="Q1182" s="450">
        <f t="shared" si="983"/>
        <v>2182549.0750000002</v>
      </c>
    </row>
    <row r="1183" spans="1:17" ht="23.4" x14ac:dyDescent="0.3">
      <c r="A1183" s="248" t="s">
        <v>101</v>
      </c>
      <c r="B1183" s="440"/>
      <c r="C1183" s="627" t="s">
        <v>353</v>
      </c>
      <c r="D1183" s="510"/>
      <c r="E1183" s="529"/>
      <c r="F1183" s="333">
        <f t="shared" si="984"/>
        <v>0</v>
      </c>
      <c r="G1183" s="547"/>
      <c r="H1183" s="873"/>
      <c r="I1183" s="352" t="str">
        <f t="shared" si="985"/>
        <v>-</v>
      </c>
      <c r="J1183" s="874">
        <f t="shared" si="986"/>
        <v>0</v>
      </c>
      <c r="K1183" s="278">
        <f t="shared" si="981"/>
        <v>0</v>
      </c>
      <c r="L1183" s="436">
        <f t="shared" si="981"/>
        <v>0</v>
      </c>
      <c r="M1183" s="338" t="str">
        <f t="shared" si="987"/>
        <v>-</v>
      </c>
      <c r="N1183" s="265" t="str">
        <f t="shared" si="988"/>
        <v>-</v>
      </c>
      <c r="O1183" s="540">
        <v>4.8285999999999998</v>
      </c>
      <c r="P1183" s="404">
        <f t="shared" si="982"/>
        <v>0</v>
      </c>
      <c r="Q1183" s="449">
        <f t="shared" si="983"/>
        <v>0</v>
      </c>
    </row>
    <row r="1184" spans="1:17" ht="23.4" x14ac:dyDescent="0.3">
      <c r="A1184" s="248" t="s">
        <v>101</v>
      </c>
      <c r="B1184" s="585"/>
      <c r="C1184" s="627" t="s">
        <v>349</v>
      </c>
      <c r="D1184" s="270"/>
      <c r="E1184" s="435"/>
      <c r="F1184" s="332">
        <f t="shared" si="984"/>
        <v>0</v>
      </c>
      <c r="G1184" s="272"/>
      <c r="H1184" s="271"/>
      <c r="I1184" s="352" t="str">
        <f t="shared" si="985"/>
        <v>-</v>
      </c>
      <c r="J1184" s="874">
        <f t="shared" si="986"/>
        <v>17157</v>
      </c>
      <c r="K1184" s="278">
        <f t="shared" si="981"/>
        <v>16250</v>
      </c>
      <c r="L1184" s="436">
        <f t="shared" si="981"/>
        <v>907</v>
      </c>
      <c r="M1184" s="336" t="str">
        <f t="shared" si="987"/>
        <v>-</v>
      </c>
      <c r="N1184" s="346">
        <f t="shared" si="988"/>
        <v>5.2864719939383339E-2</v>
      </c>
      <c r="O1184" s="507">
        <v>4.1712999999999996</v>
      </c>
      <c r="P1184" s="402">
        <f t="shared" si="982"/>
        <v>0</v>
      </c>
      <c r="Q1184" s="447">
        <f t="shared" si="983"/>
        <v>67783.625</v>
      </c>
    </row>
    <row r="1185" spans="1:17" ht="24" thickBot="1" x14ac:dyDescent="0.35">
      <c r="A1185" s="248" t="s">
        <v>101</v>
      </c>
      <c r="B1185" s="583"/>
      <c r="C1185" s="275"/>
      <c r="D1185" s="276"/>
      <c r="E1185" s="436"/>
      <c r="F1185" s="460">
        <f t="shared" si="984"/>
        <v>0</v>
      </c>
      <c r="G1185" s="461"/>
      <c r="H1185" s="839"/>
      <c r="I1185" s="532" t="str">
        <f t="shared" si="985"/>
        <v>-</v>
      </c>
      <c r="J1185" s="875">
        <f t="shared" si="986"/>
        <v>0</v>
      </c>
      <c r="K1185" s="461">
        <f t="shared" si="981"/>
        <v>0</v>
      </c>
      <c r="L1185" s="462">
        <f t="shared" si="981"/>
        <v>0</v>
      </c>
      <c r="M1185" s="337" t="str">
        <f t="shared" si="987"/>
        <v>-</v>
      </c>
      <c r="N1185" s="263" t="str">
        <f t="shared" si="988"/>
        <v>-</v>
      </c>
      <c r="O1185" s="448"/>
      <c r="P1185" s="404">
        <f t="shared" si="982"/>
        <v>0</v>
      </c>
      <c r="Q1185" s="449">
        <f t="shared" si="983"/>
        <v>0</v>
      </c>
    </row>
    <row r="1186" spans="1:17" ht="24" thickBot="1" x14ac:dyDescent="0.35">
      <c r="A1186" s="274" t="s">
        <v>101</v>
      </c>
      <c r="B1186" s="1109" t="s">
        <v>21</v>
      </c>
      <c r="C1186" s="1046"/>
      <c r="D1186" s="320">
        <v>0</v>
      </c>
      <c r="E1186" s="285">
        <v>15000</v>
      </c>
      <c r="F1186" s="513">
        <f>SUM(F1179:F1185)</f>
        <v>0</v>
      </c>
      <c r="G1186" s="519">
        <f t="shared" ref="G1186:H1186" si="989">SUM(G1179:G1185)</f>
        <v>0</v>
      </c>
      <c r="H1186" s="519">
        <f t="shared" si="989"/>
        <v>0</v>
      </c>
      <c r="I1186" s="520">
        <f>IFERROR(F1186/E1186,"-")</f>
        <v>0</v>
      </c>
      <c r="J1186" s="513">
        <f t="shared" ref="J1186" si="990">SUM(J1179:J1185)</f>
        <v>1016121</v>
      </c>
      <c r="K1186" s="519">
        <f>SUM(K1179:K1185)</f>
        <v>1002000</v>
      </c>
      <c r="L1186" s="519">
        <f>SUM(L1179:L1185)</f>
        <v>14121</v>
      </c>
      <c r="M1186" s="339" t="str">
        <f>IFERROR(J1186/D1186,"-")</f>
        <v>-</v>
      </c>
      <c r="N1186" s="345">
        <f t="shared" si="988"/>
        <v>1.3896966995072438E-2</v>
      </c>
      <c r="O1186" s="391"/>
      <c r="P1186" s="406">
        <f>SUM(P1179:P1185)</f>
        <v>0</v>
      </c>
      <c r="Q1186" s="425">
        <f>SUM(Q1179:Q1185)</f>
        <v>2250332.7000000002</v>
      </c>
    </row>
    <row r="1187" spans="1:17" ht="24" thickBot="1" x14ac:dyDescent="0.35">
      <c r="A1187" s="274" t="s">
        <v>101</v>
      </c>
      <c r="B1187" s="1111" t="s">
        <v>248</v>
      </c>
      <c r="C1187" s="1112"/>
      <c r="D1187" s="512">
        <f>+D1183+D1186</f>
        <v>0</v>
      </c>
      <c r="E1187" s="525">
        <f>+E1183+E1186</f>
        <v>15000</v>
      </c>
      <c r="F1187" s="512">
        <f>+F1183+F1186</f>
        <v>0</v>
      </c>
      <c r="G1187" s="514">
        <f>+G1183+G1186</f>
        <v>0</v>
      </c>
      <c r="H1187" s="514">
        <f>+H1183+H1186</f>
        <v>0</v>
      </c>
      <c r="I1187" s="515">
        <f>IFERROR(F1187/E1187,"-")</f>
        <v>0</v>
      </c>
      <c r="J1187" s="512">
        <f>+J1183+J1186</f>
        <v>1016121</v>
      </c>
      <c r="K1187" s="514">
        <f>+K1186</f>
        <v>1002000</v>
      </c>
      <c r="L1187" s="514">
        <f>+L1186</f>
        <v>14121</v>
      </c>
      <c r="M1187" s="516" t="str">
        <f t="shared" ref="M1187" si="991">IFERROR(J1187/D1187,"-")</f>
        <v>-</v>
      </c>
      <c r="N1187" s="515">
        <f t="shared" si="988"/>
        <v>1.3896966995072438E-2</v>
      </c>
      <c r="O1187" s="517"/>
      <c r="P1187" s="518">
        <f>+P1186</f>
        <v>0</v>
      </c>
      <c r="Q1187" s="518">
        <f>+Q1186</f>
        <v>2250332.7000000002</v>
      </c>
    </row>
    <row r="1188" spans="1:17" ht="23.4" x14ac:dyDescent="0.4">
      <c r="A1188" s="244" t="s">
        <v>101</v>
      </c>
      <c r="B1188" s="1106" t="s">
        <v>250</v>
      </c>
      <c r="C1188" s="542" t="s">
        <v>71</v>
      </c>
      <c r="D1188" s="527"/>
      <c r="E1188" s="459"/>
      <c r="F1188" s="694">
        <f>+G1188+H1188</f>
        <v>0</v>
      </c>
      <c r="G1188" s="527"/>
      <c r="H1188" s="458"/>
      <c r="I1188" s="531" t="str">
        <f>IFERROR(F1188/E1188,"-")</f>
        <v>-</v>
      </c>
      <c r="J1188" s="644">
        <f>+K1188+L1188</f>
        <v>44517</v>
      </c>
      <c r="K1188" s="458">
        <f t="shared" ref="K1188:K1217" si="992">+G1188+K1122</f>
        <v>44000</v>
      </c>
      <c r="L1188" s="459">
        <f t="shared" ref="L1188:L1217" si="993">+H1188+L1122</f>
        <v>517</v>
      </c>
      <c r="M1188" s="586" t="str">
        <f>IFERROR(J1188/D1188,"-")</f>
        <v>-</v>
      </c>
      <c r="N1188" s="533">
        <f t="shared" si="988"/>
        <v>1.1613540894489745E-2</v>
      </c>
      <c r="O1188" s="538">
        <v>32.946300000000001</v>
      </c>
      <c r="P1188" s="534">
        <f t="shared" ref="P1188:P1221" si="994">+O1188*G1188</f>
        <v>0</v>
      </c>
      <c r="Q1188" s="535">
        <f t="shared" ref="Q1188:Q1221" si="995">+O1188*K1188</f>
        <v>1449637.2</v>
      </c>
    </row>
    <row r="1189" spans="1:17" ht="23.4" x14ac:dyDescent="0.4">
      <c r="A1189" s="248" t="s">
        <v>101</v>
      </c>
      <c r="B1189" s="1107"/>
      <c r="C1189" s="543" t="s">
        <v>72</v>
      </c>
      <c r="D1189" s="511"/>
      <c r="E1189" s="436"/>
      <c r="F1189" s="690">
        <f t="shared" ref="F1189:F1221" si="996">+G1189+H1189</f>
        <v>0</v>
      </c>
      <c r="G1189" s="276"/>
      <c r="H1189" s="278"/>
      <c r="I1189" s="352" t="str">
        <f t="shared" ref="I1189:I1217" si="997">IFERROR(F1189/E1189,"-")</f>
        <v>-</v>
      </c>
      <c r="J1189" s="874">
        <f t="shared" ref="J1189:J1221" si="998">+K1189+L1189</f>
        <v>10595</v>
      </c>
      <c r="K1189" s="278">
        <f t="shared" si="992"/>
        <v>10500</v>
      </c>
      <c r="L1189" s="436">
        <f t="shared" si="993"/>
        <v>95</v>
      </c>
      <c r="M1189" s="337" t="str">
        <f t="shared" ref="M1189:M1217" si="999">IFERROR(J1189/D1189,"-")</f>
        <v>-</v>
      </c>
      <c r="N1189" s="265">
        <f t="shared" si="988"/>
        <v>8.9664936290703157E-3</v>
      </c>
      <c r="O1189" s="508">
        <v>35.398400000000002</v>
      </c>
      <c r="P1189" s="404">
        <f t="shared" si="994"/>
        <v>0</v>
      </c>
      <c r="Q1189" s="449">
        <f t="shared" si="995"/>
        <v>371683.2</v>
      </c>
    </row>
    <row r="1190" spans="1:17" ht="24" thickBot="1" x14ac:dyDescent="0.45">
      <c r="A1190" s="248" t="s">
        <v>101</v>
      </c>
      <c r="B1190" s="1108"/>
      <c r="C1190" s="543" t="s">
        <v>455</v>
      </c>
      <c r="D1190" s="276"/>
      <c r="E1190" s="436"/>
      <c r="F1190" s="690">
        <f t="shared" si="996"/>
        <v>0</v>
      </c>
      <c r="G1190" s="276"/>
      <c r="H1190" s="278"/>
      <c r="I1190" s="352" t="str">
        <f t="shared" si="997"/>
        <v>-</v>
      </c>
      <c r="J1190" s="874">
        <f t="shared" si="998"/>
        <v>10147</v>
      </c>
      <c r="K1190" s="278">
        <f t="shared" si="992"/>
        <v>9900</v>
      </c>
      <c r="L1190" s="436">
        <f t="shared" si="993"/>
        <v>247</v>
      </c>
      <c r="M1190" s="337" t="str">
        <f t="shared" si="999"/>
        <v>-</v>
      </c>
      <c r="N1190" s="265">
        <f>IFERROR(L1190/J1190,"-")</f>
        <v>2.4342170099536809E-2</v>
      </c>
      <c r="O1190" s="508">
        <v>35.398400000000002</v>
      </c>
      <c r="P1190" s="404">
        <f t="shared" si="994"/>
        <v>0</v>
      </c>
      <c r="Q1190" s="449">
        <f t="shared" si="995"/>
        <v>350444.16000000003</v>
      </c>
    </row>
    <row r="1191" spans="1:17" ht="23.4" x14ac:dyDescent="0.4">
      <c r="A1191" s="248" t="s">
        <v>101</v>
      </c>
      <c r="B1191" s="1106" t="s">
        <v>251</v>
      </c>
      <c r="C1191" s="545" t="s">
        <v>75</v>
      </c>
      <c r="D1191" s="276"/>
      <c r="E1191" s="528"/>
      <c r="F1191" s="696">
        <f t="shared" si="996"/>
        <v>2645</v>
      </c>
      <c r="G1191" s="276">
        <v>2590</v>
      </c>
      <c r="H1191" s="278">
        <v>55</v>
      </c>
      <c r="I1191" s="352" t="str">
        <f t="shared" si="997"/>
        <v>-</v>
      </c>
      <c r="J1191" s="874">
        <f t="shared" si="998"/>
        <v>71759</v>
      </c>
      <c r="K1191" s="278">
        <f t="shared" si="992"/>
        <v>70479</v>
      </c>
      <c r="L1191" s="436">
        <f t="shared" si="993"/>
        <v>1280</v>
      </c>
      <c r="M1191" s="337" t="str">
        <f t="shared" si="999"/>
        <v>-</v>
      </c>
      <c r="N1191" s="265">
        <f t="shared" ref="N1191:N1193" si="1000">IFERROR(L1191/J1191,"-")</f>
        <v>1.7837483799941472E-2</v>
      </c>
      <c r="O1191" s="508">
        <v>55.4758</v>
      </c>
      <c r="P1191" s="404">
        <f t="shared" si="994"/>
        <v>143682.32199999999</v>
      </c>
      <c r="Q1191" s="449">
        <f t="shared" si="995"/>
        <v>3909878.9081999999</v>
      </c>
    </row>
    <row r="1192" spans="1:17" ht="23.4" x14ac:dyDescent="0.4">
      <c r="A1192" s="248" t="s">
        <v>101</v>
      </c>
      <c r="B1192" s="1107"/>
      <c r="C1192" s="545" t="s">
        <v>72</v>
      </c>
      <c r="D1192" s="276"/>
      <c r="E1192" s="529"/>
      <c r="F1192" s="696">
        <f t="shared" si="996"/>
        <v>0</v>
      </c>
      <c r="G1192" s="276"/>
      <c r="H1192" s="278"/>
      <c r="I1192" s="352" t="str">
        <f t="shared" si="997"/>
        <v>-</v>
      </c>
      <c r="J1192" s="874">
        <f t="shared" si="998"/>
        <v>0</v>
      </c>
      <c r="K1192" s="278">
        <f t="shared" si="992"/>
        <v>0</v>
      </c>
      <c r="L1192" s="436">
        <f t="shared" si="993"/>
        <v>0</v>
      </c>
      <c r="M1192" s="337" t="str">
        <f t="shared" si="999"/>
        <v>-</v>
      </c>
      <c r="N1192" s="265" t="str">
        <f t="shared" si="1000"/>
        <v>-</v>
      </c>
      <c r="O1192" s="540">
        <v>58.836300000000001</v>
      </c>
      <c r="P1192" s="404">
        <f t="shared" si="994"/>
        <v>0</v>
      </c>
      <c r="Q1192" s="449">
        <f t="shared" si="995"/>
        <v>0</v>
      </c>
    </row>
    <row r="1193" spans="1:17" ht="23.4" x14ac:dyDescent="0.4">
      <c r="A1193" s="248" t="s">
        <v>101</v>
      </c>
      <c r="B1193" s="1107"/>
      <c r="C1193" s="545" t="s">
        <v>347</v>
      </c>
      <c r="D1193" s="276"/>
      <c r="E1193" s="435"/>
      <c r="F1193" s="696">
        <f t="shared" si="996"/>
        <v>0</v>
      </c>
      <c r="G1193" s="276"/>
      <c r="H1193" s="278"/>
      <c r="I1193" s="352" t="str">
        <f t="shared" si="997"/>
        <v>-</v>
      </c>
      <c r="J1193" s="874">
        <f t="shared" si="998"/>
        <v>2745</v>
      </c>
      <c r="K1193" s="278">
        <f t="shared" si="992"/>
        <v>2305</v>
      </c>
      <c r="L1193" s="436">
        <f t="shared" si="993"/>
        <v>440</v>
      </c>
      <c r="M1193" s="337" t="str">
        <f t="shared" si="999"/>
        <v>-</v>
      </c>
      <c r="N1193" s="263">
        <f t="shared" si="1000"/>
        <v>0.16029143897996356</v>
      </c>
      <c r="O1193" s="710">
        <v>58.836300000000001</v>
      </c>
      <c r="P1193" s="404">
        <f t="shared" si="994"/>
        <v>0</v>
      </c>
      <c r="Q1193" s="449">
        <f t="shared" si="995"/>
        <v>135617.6715</v>
      </c>
    </row>
    <row r="1194" spans="1:17" ht="24" thickBot="1" x14ac:dyDescent="0.45">
      <c r="A1194" s="248"/>
      <c r="B1194" s="1108"/>
      <c r="C1194" s="545" t="s">
        <v>361</v>
      </c>
      <c r="D1194" s="276"/>
      <c r="E1194" s="435"/>
      <c r="F1194" s="696">
        <f t="shared" si="996"/>
        <v>0</v>
      </c>
      <c r="G1194" s="276"/>
      <c r="H1194" s="278"/>
      <c r="I1194" s="352" t="str">
        <f t="shared" si="997"/>
        <v>-</v>
      </c>
      <c r="J1194" s="874">
        <f t="shared" si="998"/>
        <v>0</v>
      </c>
      <c r="K1194" s="278">
        <f t="shared" si="992"/>
        <v>0</v>
      </c>
      <c r="L1194" s="436">
        <f t="shared" si="993"/>
        <v>0</v>
      </c>
      <c r="M1194" s="337" t="str">
        <f t="shared" si="999"/>
        <v>-</v>
      </c>
      <c r="N1194" s="263" t="str">
        <f>IFERROR(L1194/J1194,"-")</f>
        <v>-</v>
      </c>
      <c r="O1194" s="508">
        <v>55.4758</v>
      </c>
      <c r="P1194" s="404">
        <f t="shared" si="994"/>
        <v>0</v>
      </c>
      <c r="Q1194" s="449">
        <f t="shared" si="995"/>
        <v>0</v>
      </c>
    </row>
    <row r="1195" spans="1:17" ht="23.4" x14ac:dyDescent="0.4">
      <c r="A1195" s="248" t="s">
        <v>101</v>
      </c>
      <c r="B1195" s="1106" t="s">
        <v>409</v>
      </c>
      <c r="C1195" s="543" t="s">
        <v>77</v>
      </c>
      <c r="D1195" s="276"/>
      <c r="E1195" s="436"/>
      <c r="F1195" s="690">
        <f t="shared" si="996"/>
        <v>0</v>
      </c>
      <c r="G1195" s="276"/>
      <c r="H1195" s="278"/>
      <c r="I1195" s="352" t="str">
        <f t="shared" si="997"/>
        <v>-</v>
      </c>
      <c r="J1195" s="874">
        <f t="shared" si="998"/>
        <v>24300</v>
      </c>
      <c r="K1195" s="719">
        <f t="shared" si="992"/>
        <v>23960</v>
      </c>
      <c r="L1195" s="815">
        <f t="shared" si="993"/>
        <v>340</v>
      </c>
      <c r="M1195" s="337" t="str">
        <f t="shared" si="999"/>
        <v>-</v>
      </c>
      <c r="N1195" s="263">
        <f t="shared" ref="N1195:N1217" si="1001">IFERROR(L1195/J1195,"-")</f>
        <v>1.3991769547325103E-2</v>
      </c>
      <c r="O1195" s="508">
        <v>25.687200000000001</v>
      </c>
      <c r="P1195" s="404">
        <f t="shared" si="994"/>
        <v>0</v>
      </c>
      <c r="Q1195" s="449">
        <f t="shared" si="995"/>
        <v>615465.31200000003</v>
      </c>
    </row>
    <row r="1196" spans="1:17" ht="24" thickBot="1" x14ac:dyDescent="0.45">
      <c r="A1196" s="248" t="s">
        <v>101</v>
      </c>
      <c r="B1196" s="1108"/>
      <c r="C1196" s="543" t="s">
        <v>117</v>
      </c>
      <c r="D1196" s="276"/>
      <c r="E1196" s="436"/>
      <c r="F1196" s="690">
        <f t="shared" si="996"/>
        <v>0</v>
      </c>
      <c r="G1196" s="276"/>
      <c r="H1196" s="278"/>
      <c r="I1196" s="352" t="str">
        <f t="shared" si="997"/>
        <v>-</v>
      </c>
      <c r="J1196" s="874">
        <f t="shared" si="998"/>
        <v>0</v>
      </c>
      <c r="K1196" s="278">
        <f t="shared" si="992"/>
        <v>0</v>
      </c>
      <c r="L1196" s="436">
        <f t="shared" si="993"/>
        <v>0</v>
      </c>
      <c r="M1196" s="337" t="str">
        <f t="shared" si="999"/>
        <v>-</v>
      </c>
      <c r="N1196" s="263" t="str">
        <f t="shared" si="1001"/>
        <v>-</v>
      </c>
      <c r="O1196" s="508">
        <v>25.033899999999999</v>
      </c>
      <c r="P1196" s="404">
        <f t="shared" si="994"/>
        <v>0</v>
      </c>
      <c r="Q1196" s="449">
        <f t="shared" si="995"/>
        <v>0</v>
      </c>
    </row>
    <row r="1197" spans="1:17" ht="23.4" x14ac:dyDescent="0.4">
      <c r="A1197" s="248"/>
      <c r="B1197" s="1106" t="s">
        <v>410</v>
      </c>
      <c r="C1197" s="543" t="s">
        <v>79</v>
      </c>
      <c r="D1197" s="276"/>
      <c r="E1197" s="436"/>
      <c r="F1197" s="690">
        <f t="shared" si="996"/>
        <v>4045</v>
      </c>
      <c r="G1197" s="276">
        <v>4000</v>
      </c>
      <c r="H1197" s="278">
        <v>45</v>
      </c>
      <c r="I1197" s="352" t="str">
        <f t="shared" si="997"/>
        <v>-</v>
      </c>
      <c r="J1197" s="874">
        <f t="shared" si="998"/>
        <v>24216</v>
      </c>
      <c r="K1197" s="278">
        <f t="shared" si="992"/>
        <v>23950</v>
      </c>
      <c r="L1197" s="436">
        <f t="shared" si="993"/>
        <v>266</v>
      </c>
      <c r="M1197" s="337" t="str">
        <f t="shared" si="999"/>
        <v>-</v>
      </c>
      <c r="N1197" s="263">
        <f t="shared" si="1001"/>
        <v>1.0984473075652462E-2</v>
      </c>
      <c r="O1197" s="508">
        <v>41.992699999999999</v>
      </c>
      <c r="P1197" s="404">
        <f t="shared" si="994"/>
        <v>167970.8</v>
      </c>
      <c r="Q1197" s="449">
        <f t="shared" si="995"/>
        <v>1005725.165</v>
      </c>
    </row>
    <row r="1198" spans="1:17" ht="23.4" x14ac:dyDescent="0.4">
      <c r="A1198" s="248"/>
      <c r="B1198" s="1107"/>
      <c r="C1198" s="543" t="s">
        <v>72</v>
      </c>
      <c r="D1198" s="276"/>
      <c r="E1198" s="436"/>
      <c r="F1198" s="690">
        <f t="shared" si="996"/>
        <v>0</v>
      </c>
      <c r="G1198" s="276"/>
      <c r="H1198" s="278"/>
      <c r="I1198" s="352" t="str">
        <f t="shared" si="997"/>
        <v>-</v>
      </c>
      <c r="J1198" s="874">
        <f t="shared" si="998"/>
        <v>0</v>
      </c>
      <c r="K1198" s="278">
        <f t="shared" si="992"/>
        <v>0</v>
      </c>
      <c r="L1198" s="436">
        <f t="shared" si="993"/>
        <v>0</v>
      </c>
      <c r="M1198" s="337" t="str">
        <f t="shared" si="999"/>
        <v>-</v>
      </c>
      <c r="N1198" s="263" t="str">
        <f t="shared" si="1001"/>
        <v>-</v>
      </c>
      <c r="O1198" s="508">
        <v>42.283799999999999</v>
      </c>
      <c r="P1198" s="404">
        <f t="shared" si="994"/>
        <v>0</v>
      </c>
      <c r="Q1198" s="449">
        <f t="shared" si="995"/>
        <v>0</v>
      </c>
    </row>
    <row r="1199" spans="1:17" ht="23.4" x14ac:dyDescent="0.4">
      <c r="A1199" s="248"/>
      <c r="B1199" s="1107"/>
      <c r="C1199" s="543" t="s">
        <v>380</v>
      </c>
      <c r="D1199" s="276"/>
      <c r="E1199" s="436"/>
      <c r="F1199" s="690">
        <f t="shared" si="996"/>
        <v>0</v>
      </c>
      <c r="G1199" s="276"/>
      <c r="H1199" s="278"/>
      <c r="I1199" s="352" t="str">
        <f t="shared" si="997"/>
        <v>-</v>
      </c>
      <c r="J1199" s="874">
        <f t="shared" si="998"/>
        <v>0</v>
      </c>
      <c r="K1199" s="278">
        <f t="shared" si="992"/>
        <v>0</v>
      </c>
      <c r="L1199" s="436">
        <f t="shared" si="993"/>
        <v>0</v>
      </c>
      <c r="M1199" s="337" t="str">
        <f t="shared" si="999"/>
        <v>-</v>
      </c>
      <c r="N1199" s="263" t="str">
        <f t="shared" si="1001"/>
        <v>-</v>
      </c>
      <c r="O1199" s="710">
        <v>41.992699999999999</v>
      </c>
      <c r="P1199" s="404">
        <f t="shared" si="994"/>
        <v>0</v>
      </c>
      <c r="Q1199" s="449">
        <f t="shared" si="995"/>
        <v>0</v>
      </c>
    </row>
    <row r="1200" spans="1:17" ht="24" thickBot="1" x14ac:dyDescent="0.45">
      <c r="A1200" s="248"/>
      <c r="B1200" s="1108"/>
      <c r="C1200" s="543" t="s">
        <v>381</v>
      </c>
      <c r="D1200" s="276"/>
      <c r="E1200" s="436"/>
      <c r="F1200" s="690">
        <f t="shared" si="996"/>
        <v>0</v>
      </c>
      <c r="G1200" s="276"/>
      <c r="H1200" s="278"/>
      <c r="I1200" s="352" t="str">
        <f t="shared" si="997"/>
        <v>-</v>
      </c>
      <c r="J1200" s="874">
        <f t="shared" si="998"/>
        <v>0</v>
      </c>
      <c r="K1200" s="278">
        <f t="shared" si="992"/>
        <v>0</v>
      </c>
      <c r="L1200" s="436">
        <f t="shared" si="993"/>
        <v>0</v>
      </c>
      <c r="M1200" s="337" t="str">
        <f t="shared" si="999"/>
        <v>-</v>
      </c>
      <c r="N1200" s="263" t="str">
        <f t="shared" si="1001"/>
        <v>-</v>
      </c>
      <c r="O1200" s="710">
        <v>42.283799999999999</v>
      </c>
      <c r="P1200" s="404">
        <f t="shared" si="994"/>
        <v>0</v>
      </c>
      <c r="Q1200" s="449">
        <f t="shared" si="995"/>
        <v>0</v>
      </c>
    </row>
    <row r="1201" spans="1:17" ht="24" thickBot="1" x14ac:dyDescent="0.45">
      <c r="A1201" s="248"/>
      <c r="B1201" s="717" t="s">
        <v>80</v>
      </c>
      <c r="C1201" s="543" t="s">
        <v>81</v>
      </c>
      <c r="D1201" s="276"/>
      <c r="E1201" s="436"/>
      <c r="F1201" s="690">
        <f t="shared" si="996"/>
        <v>0</v>
      </c>
      <c r="G1201" s="276"/>
      <c r="H1201" s="278"/>
      <c r="I1201" s="352" t="str">
        <f t="shared" si="997"/>
        <v>-</v>
      </c>
      <c r="J1201" s="874">
        <f t="shared" si="998"/>
        <v>23163</v>
      </c>
      <c r="K1201" s="278">
        <f t="shared" si="992"/>
        <v>22200</v>
      </c>
      <c r="L1201" s="687">
        <f t="shared" si="993"/>
        <v>963</v>
      </c>
      <c r="M1201" s="337" t="str">
        <f t="shared" si="999"/>
        <v>-</v>
      </c>
      <c r="N1201" s="263">
        <f t="shared" si="1001"/>
        <v>4.1574925527781373E-2</v>
      </c>
      <c r="O1201" s="508">
        <v>4.3535000000000004</v>
      </c>
      <c r="P1201" s="404">
        <f t="shared" si="994"/>
        <v>0</v>
      </c>
      <c r="Q1201" s="449">
        <f t="shared" si="995"/>
        <v>96647.700000000012</v>
      </c>
    </row>
    <row r="1202" spans="1:17" ht="23.4" x14ac:dyDescent="0.4">
      <c r="A1202" s="248"/>
      <c r="B1202" s="1106" t="s">
        <v>253</v>
      </c>
      <c r="C1202" s="543" t="s">
        <v>77</v>
      </c>
      <c r="D1202" s="276"/>
      <c r="E1202" s="436"/>
      <c r="F1202" s="690">
        <f t="shared" si="996"/>
        <v>47670</v>
      </c>
      <c r="G1202" s="276">
        <v>47300</v>
      </c>
      <c r="H1202" s="278">
        <v>370</v>
      </c>
      <c r="I1202" s="352" t="str">
        <f t="shared" si="997"/>
        <v>-</v>
      </c>
      <c r="J1202" s="874">
        <f t="shared" si="998"/>
        <v>720586</v>
      </c>
      <c r="K1202" s="278">
        <f t="shared" si="992"/>
        <v>713600</v>
      </c>
      <c r="L1202" s="436">
        <f t="shared" si="993"/>
        <v>6986</v>
      </c>
      <c r="M1202" s="337" t="str">
        <f t="shared" si="999"/>
        <v>-</v>
      </c>
      <c r="N1202" s="263">
        <f t="shared" si="1001"/>
        <v>9.6948872167929995E-3</v>
      </c>
      <c r="O1202" s="508">
        <v>4.6184000000000003</v>
      </c>
      <c r="P1202" s="404">
        <f t="shared" si="994"/>
        <v>218450.32</v>
      </c>
      <c r="Q1202" s="449">
        <f t="shared" si="995"/>
        <v>3295690.24</v>
      </c>
    </row>
    <row r="1203" spans="1:17" ht="23.4" x14ac:dyDescent="0.4">
      <c r="A1203" s="248"/>
      <c r="B1203" s="1107"/>
      <c r="C1203" s="543" t="s">
        <v>340</v>
      </c>
      <c r="D1203" s="276"/>
      <c r="E1203" s="436"/>
      <c r="F1203" s="690">
        <f t="shared" si="996"/>
        <v>0</v>
      </c>
      <c r="G1203" s="276"/>
      <c r="H1203" s="278"/>
      <c r="I1203" s="352" t="str">
        <f t="shared" si="997"/>
        <v>-</v>
      </c>
      <c r="J1203" s="874">
        <f t="shared" si="998"/>
        <v>0</v>
      </c>
      <c r="K1203" s="278">
        <f t="shared" si="992"/>
        <v>0</v>
      </c>
      <c r="L1203" s="436">
        <f t="shared" si="993"/>
        <v>0</v>
      </c>
      <c r="M1203" s="337" t="str">
        <f t="shared" si="999"/>
        <v>-</v>
      </c>
      <c r="N1203" s="263" t="str">
        <f t="shared" si="1001"/>
        <v>-</v>
      </c>
      <c r="O1203" s="508">
        <v>4.6184000000000003</v>
      </c>
      <c r="P1203" s="404">
        <f t="shared" si="994"/>
        <v>0</v>
      </c>
      <c r="Q1203" s="449">
        <f t="shared" si="995"/>
        <v>0</v>
      </c>
    </row>
    <row r="1204" spans="1:17" ht="23.4" x14ac:dyDescent="0.4">
      <c r="A1204" s="248"/>
      <c r="B1204" s="1107"/>
      <c r="C1204" s="543" t="s">
        <v>252</v>
      </c>
      <c r="D1204" s="276"/>
      <c r="E1204" s="436"/>
      <c r="F1204" s="690">
        <f t="shared" si="996"/>
        <v>0</v>
      </c>
      <c r="G1204" s="276"/>
      <c r="H1204" s="278"/>
      <c r="I1204" s="352" t="str">
        <f t="shared" si="997"/>
        <v>-</v>
      </c>
      <c r="J1204" s="874">
        <f t="shared" si="998"/>
        <v>0</v>
      </c>
      <c r="K1204" s="278">
        <f t="shared" si="992"/>
        <v>0</v>
      </c>
      <c r="L1204" s="436">
        <f t="shared" si="993"/>
        <v>0</v>
      </c>
      <c r="M1204" s="337" t="str">
        <f t="shared" si="999"/>
        <v>-</v>
      </c>
      <c r="N1204" s="263" t="str">
        <f t="shared" si="1001"/>
        <v>-</v>
      </c>
      <c r="O1204" s="508">
        <v>4.6184000000000003</v>
      </c>
      <c r="P1204" s="404">
        <f t="shared" si="994"/>
        <v>0</v>
      </c>
      <c r="Q1204" s="449">
        <f t="shared" si="995"/>
        <v>0</v>
      </c>
    </row>
    <row r="1205" spans="1:17" ht="23.4" x14ac:dyDescent="0.4">
      <c r="A1205" s="248"/>
      <c r="B1205" s="1107"/>
      <c r="C1205" s="543" t="s">
        <v>350</v>
      </c>
      <c r="D1205" s="276"/>
      <c r="E1205" s="436"/>
      <c r="F1205" s="690">
        <f t="shared" si="996"/>
        <v>0</v>
      </c>
      <c r="G1205" s="276"/>
      <c r="H1205" s="278"/>
      <c r="I1205" s="352" t="str">
        <f t="shared" si="997"/>
        <v>-</v>
      </c>
      <c r="J1205" s="874">
        <f t="shared" si="998"/>
        <v>0</v>
      </c>
      <c r="K1205" s="686">
        <f t="shared" si="992"/>
        <v>0</v>
      </c>
      <c r="L1205" s="687">
        <f t="shared" si="993"/>
        <v>0</v>
      </c>
      <c r="M1205" s="337" t="str">
        <f t="shared" si="999"/>
        <v>-</v>
      </c>
      <c r="N1205" s="263" t="str">
        <f t="shared" si="1001"/>
        <v>-</v>
      </c>
      <c r="O1205" s="508">
        <v>4.7636000000000003</v>
      </c>
      <c r="P1205" s="404">
        <f t="shared" si="994"/>
        <v>0</v>
      </c>
      <c r="Q1205" s="449">
        <f t="shared" si="995"/>
        <v>0</v>
      </c>
    </row>
    <row r="1206" spans="1:17" ht="24" thickBot="1" x14ac:dyDescent="0.45">
      <c r="A1206" s="248"/>
      <c r="B1206" s="1108"/>
      <c r="C1206" s="543" t="s">
        <v>346</v>
      </c>
      <c r="D1206" s="276"/>
      <c r="E1206" s="436"/>
      <c r="F1206" s="690">
        <f t="shared" si="996"/>
        <v>0</v>
      </c>
      <c r="G1206" s="276"/>
      <c r="H1206" s="278"/>
      <c r="I1206" s="352" t="str">
        <f t="shared" si="997"/>
        <v>-</v>
      </c>
      <c r="J1206" s="874">
        <f t="shared" si="998"/>
        <v>0</v>
      </c>
      <c r="K1206" s="278">
        <f t="shared" si="992"/>
        <v>0</v>
      </c>
      <c r="L1206" s="436">
        <f t="shared" si="993"/>
        <v>0</v>
      </c>
      <c r="M1206" s="337" t="str">
        <f t="shared" si="999"/>
        <v>-</v>
      </c>
      <c r="N1206" s="263" t="str">
        <f t="shared" si="1001"/>
        <v>-</v>
      </c>
      <c r="O1206" s="508">
        <v>4.8738000000000001</v>
      </c>
      <c r="P1206" s="404">
        <f t="shared" si="994"/>
        <v>0</v>
      </c>
      <c r="Q1206" s="449">
        <f t="shared" si="995"/>
        <v>0</v>
      </c>
    </row>
    <row r="1207" spans="1:17" ht="24" thickBot="1" x14ac:dyDescent="0.45">
      <c r="A1207" s="248"/>
      <c r="B1207" s="717" t="s">
        <v>254</v>
      </c>
      <c r="C1207" s="543" t="s">
        <v>520</v>
      </c>
      <c r="D1207" s="276"/>
      <c r="E1207" s="436"/>
      <c r="F1207" s="690">
        <f t="shared" si="996"/>
        <v>0</v>
      </c>
      <c r="G1207" s="276"/>
      <c r="H1207" s="278"/>
      <c r="I1207" s="352" t="str">
        <f t="shared" si="997"/>
        <v>-</v>
      </c>
      <c r="J1207" s="874">
        <f t="shared" si="998"/>
        <v>17752</v>
      </c>
      <c r="K1207" s="278">
        <f t="shared" si="992"/>
        <v>17600</v>
      </c>
      <c r="L1207" s="436">
        <f t="shared" si="993"/>
        <v>152</v>
      </c>
      <c r="M1207" s="337" t="str">
        <f t="shared" si="999"/>
        <v>-</v>
      </c>
      <c r="N1207" s="263">
        <f t="shared" si="1001"/>
        <v>8.5624155024785938E-3</v>
      </c>
      <c r="O1207" s="508">
        <v>4.8738000000000001</v>
      </c>
      <c r="P1207" s="404">
        <f t="shared" si="994"/>
        <v>0</v>
      </c>
      <c r="Q1207" s="449">
        <f t="shared" si="995"/>
        <v>85778.880000000005</v>
      </c>
    </row>
    <row r="1208" spans="1:17" ht="23.4" x14ac:dyDescent="0.4">
      <c r="A1208" s="248"/>
      <c r="B1208" s="1106" t="s">
        <v>256</v>
      </c>
      <c r="C1208" s="543" t="s">
        <v>77</v>
      </c>
      <c r="D1208" s="276"/>
      <c r="E1208" s="436"/>
      <c r="F1208" s="690">
        <f t="shared" si="996"/>
        <v>40650</v>
      </c>
      <c r="G1208" s="276">
        <v>39830</v>
      </c>
      <c r="H1208" s="278">
        <v>820</v>
      </c>
      <c r="I1208" s="352" t="str">
        <f t="shared" si="997"/>
        <v>-</v>
      </c>
      <c r="J1208" s="874">
        <f t="shared" si="998"/>
        <v>796312</v>
      </c>
      <c r="K1208" s="719">
        <f t="shared" si="992"/>
        <v>782040</v>
      </c>
      <c r="L1208" s="815">
        <f t="shared" si="993"/>
        <v>14272</v>
      </c>
      <c r="M1208" s="337" t="str">
        <f t="shared" si="999"/>
        <v>-</v>
      </c>
      <c r="N1208" s="263">
        <f t="shared" si="1001"/>
        <v>1.7922623293382494E-2</v>
      </c>
      <c r="O1208" s="508">
        <v>4.9344999999999999</v>
      </c>
      <c r="P1208" s="404">
        <f t="shared" si="994"/>
        <v>196541.13500000001</v>
      </c>
      <c r="Q1208" s="449">
        <f t="shared" si="995"/>
        <v>3858976.38</v>
      </c>
    </row>
    <row r="1209" spans="1:17" ht="23.4" x14ac:dyDescent="0.4">
      <c r="A1209" s="248"/>
      <c r="B1209" s="1107"/>
      <c r="C1209" s="543" t="s">
        <v>135</v>
      </c>
      <c r="D1209" s="276"/>
      <c r="E1209" s="436"/>
      <c r="F1209" s="690">
        <f t="shared" si="996"/>
        <v>0</v>
      </c>
      <c r="G1209" s="276"/>
      <c r="H1209" s="278"/>
      <c r="I1209" s="352" t="str">
        <f t="shared" si="997"/>
        <v>-</v>
      </c>
      <c r="J1209" s="874">
        <f t="shared" si="998"/>
        <v>0</v>
      </c>
      <c r="K1209" s="278">
        <f t="shared" si="992"/>
        <v>0</v>
      </c>
      <c r="L1209" s="436">
        <f t="shared" si="993"/>
        <v>0</v>
      </c>
      <c r="M1209" s="337" t="str">
        <f t="shared" si="999"/>
        <v>-</v>
      </c>
      <c r="N1209" s="263" t="str">
        <f t="shared" si="1001"/>
        <v>-</v>
      </c>
      <c r="O1209" s="508">
        <v>4.9344999999999999</v>
      </c>
      <c r="P1209" s="404">
        <f t="shared" si="994"/>
        <v>0</v>
      </c>
      <c r="Q1209" s="449">
        <f t="shared" si="995"/>
        <v>0</v>
      </c>
    </row>
    <row r="1210" spans="1:17" ht="23.4" x14ac:dyDescent="0.4">
      <c r="A1210" s="248"/>
      <c r="B1210" s="1107"/>
      <c r="C1210" s="543" t="s">
        <v>129</v>
      </c>
      <c r="D1210" s="276"/>
      <c r="E1210" s="436"/>
      <c r="F1210" s="690">
        <f t="shared" si="996"/>
        <v>0</v>
      </c>
      <c r="G1210" s="276"/>
      <c r="H1210" s="278"/>
      <c r="I1210" s="352" t="str">
        <f t="shared" si="997"/>
        <v>-</v>
      </c>
      <c r="J1210" s="874">
        <f t="shared" si="998"/>
        <v>0</v>
      </c>
      <c r="K1210" s="278">
        <f t="shared" si="992"/>
        <v>0</v>
      </c>
      <c r="L1210" s="436">
        <f t="shared" si="993"/>
        <v>0</v>
      </c>
      <c r="M1210" s="337" t="str">
        <f t="shared" si="999"/>
        <v>-</v>
      </c>
      <c r="N1210" s="263" t="str">
        <f t="shared" si="1001"/>
        <v>-</v>
      </c>
      <c r="O1210" s="508">
        <v>4.9344999999999999</v>
      </c>
      <c r="P1210" s="404">
        <f t="shared" si="994"/>
        <v>0</v>
      </c>
      <c r="Q1210" s="449">
        <f t="shared" si="995"/>
        <v>0</v>
      </c>
    </row>
    <row r="1211" spans="1:17" ht="24" thickBot="1" x14ac:dyDescent="0.45">
      <c r="A1211" s="248"/>
      <c r="B1211" s="1108"/>
      <c r="C1211" s="543" t="s">
        <v>255</v>
      </c>
      <c r="D1211" s="276"/>
      <c r="E1211" s="436"/>
      <c r="F1211" s="690">
        <f t="shared" si="996"/>
        <v>0</v>
      </c>
      <c r="G1211" s="276"/>
      <c r="H1211" s="278"/>
      <c r="I1211" s="352" t="str">
        <f t="shared" si="997"/>
        <v>-</v>
      </c>
      <c r="J1211" s="874">
        <f t="shared" si="998"/>
        <v>0</v>
      </c>
      <c r="K1211" s="278">
        <f t="shared" si="992"/>
        <v>0</v>
      </c>
      <c r="L1211" s="436">
        <f t="shared" si="993"/>
        <v>0</v>
      </c>
      <c r="M1211" s="337" t="str">
        <f t="shared" si="999"/>
        <v>-</v>
      </c>
      <c r="N1211" s="263" t="str">
        <f t="shared" si="1001"/>
        <v>-</v>
      </c>
      <c r="O1211" s="508">
        <v>5.5069999999999997</v>
      </c>
      <c r="P1211" s="404">
        <f t="shared" si="994"/>
        <v>0</v>
      </c>
      <c r="Q1211" s="449">
        <f t="shared" si="995"/>
        <v>0</v>
      </c>
    </row>
    <row r="1212" spans="1:17" ht="23.4" x14ac:dyDescent="0.4">
      <c r="A1212" s="248"/>
      <c r="B1212" s="1106" t="s">
        <v>261</v>
      </c>
      <c r="C1212" s="543" t="s">
        <v>257</v>
      </c>
      <c r="D1212" s="276"/>
      <c r="E1212" s="436"/>
      <c r="F1212" s="690">
        <f t="shared" si="996"/>
        <v>37256</v>
      </c>
      <c r="G1212" s="276">
        <v>37100</v>
      </c>
      <c r="H1212" s="278">
        <v>156</v>
      </c>
      <c r="I1212" s="352" t="str">
        <f t="shared" si="997"/>
        <v>-</v>
      </c>
      <c r="J1212" s="874">
        <f t="shared" si="998"/>
        <v>720664</v>
      </c>
      <c r="K1212" s="719">
        <f t="shared" si="992"/>
        <v>711550</v>
      </c>
      <c r="L1212" s="687">
        <f t="shared" si="993"/>
        <v>9114</v>
      </c>
      <c r="M1212" s="337" t="str">
        <f t="shared" si="999"/>
        <v>-</v>
      </c>
      <c r="N1212" s="263">
        <f t="shared" si="1001"/>
        <v>1.2646670292952055E-2</v>
      </c>
      <c r="O1212" s="710">
        <v>5.5069999999999997</v>
      </c>
      <c r="P1212" s="404">
        <f t="shared" si="994"/>
        <v>204309.69999999998</v>
      </c>
      <c r="Q1212" s="449">
        <f t="shared" si="995"/>
        <v>3918505.8499999996</v>
      </c>
    </row>
    <row r="1213" spans="1:17" ht="23.4" x14ac:dyDescent="0.4">
      <c r="A1213" s="248"/>
      <c r="B1213" s="1107"/>
      <c r="C1213" s="543" t="s">
        <v>258</v>
      </c>
      <c r="D1213" s="276"/>
      <c r="E1213" s="436"/>
      <c r="F1213" s="690">
        <f t="shared" si="996"/>
        <v>0</v>
      </c>
      <c r="G1213" s="276"/>
      <c r="H1213" s="278"/>
      <c r="I1213" s="352" t="str">
        <f t="shared" si="997"/>
        <v>-</v>
      </c>
      <c r="J1213" s="874">
        <f t="shared" si="998"/>
        <v>0</v>
      </c>
      <c r="K1213" s="278">
        <f t="shared" si="992"/>
        <v>0</v>
      </c>
      <c r="L1213" s="436">
        <f t="shared" si="993"/>
        <v>0</v>
      </c>
      <c r="M1213" s="337" t="str">
        <f t="shared" si="999"/>
        <v>-</v>
      </c>
      <c r="N1213" s="263" t="str">
        <f t="shared" si="1001"/>
        <v>-</v>
      </c>
      <c r="O1213" s="508">
        <v>5.6550000000000002</v>
      </c>
      <c r="P1213" s="404">
        <f t="shared" si="994"/>
        <v>0</v>
      </c>
      <c r="Q1213" s="449">
        <f t="shared" si="995"/>
        <v>0</v>
      </c>
    </row>
    <row r="1214" spans="1:17" ht="23.4" x14ac:dyDescent="0.4">
      <c r="A1214" s="248"/>
      <c r="B1214" s="1107"/>
      <c r="C1214" s="543" t="s">
        <v>321</v>
      </c>
      <c r="D1214" s="276"/>
      <c r="E1214" s="436"/>
      <c r="F1214" s="690">
        <f t="shared" si="996"/>
        <v>0</v>
      </c>
      <c r="G1214" s="276"/>
      <c r="H1214" s="278"/>
      <c r="I1214" s="352" t="str">
        <f t="shared" si="997"/>
        <v>-</v>
      </c>
      <c r="J1214" s="874">
        <f t="shared" si="998"/>
        <v>0</v>
      </c>
      <c r="K1214" s="686">
        <f t="shared" si="992"/>
        <v>0</v>
      </c>
      <c r="L1214" s="687">
        <f t="shared" si="993"/>
        <v>0</v>
      </c>
      <c r="M1214" s="337" t="str">
        <f t="shared" si="999"/>
        <v>-</v>
      </c>
      <c r="N1214" s="263" t="str">
        <f t="shared" si="1001"/>
        <v>-</v>
      </c>
      <c r="O1214" s="508">
        <v>5.6550000000000002</v>
      </c>
      <c r="P1214" s="404">
        <f t="shared" si="994"/>
        <v>0</v>
      </c>
      <c r="Q1214" s="449">
        <f t="shared" si="995"/>
        <v>0</v>
      </c>
    </row>
    <row r="1215" spans="1:17" ht="23.4" x14ac:dyDescent="0.4">
      <c r="A1215" s="248"/>
      <c r="B1215" s="1107"/>
      <c r="C1215" s="543" t="s">
        <v>259</v>
      </c>
      <c r="D1215" s="276"/>
      <c r="E1215" s="436"/>
      <c r="F1215" s="690">
        <f t="shared" si="996"/>
        <v>0</v>
      </c>
      <c r="G1215" s="276"/>
      <c r="H1215" s="278"/>
      <c r="I1215" s="352" t="str">
        <f t="shared" si="997"/>
        <v>-</v>
      </c>
      <c r="J1215" s="874">
        <f t="shared" si="998"/>
        <v>0</v>
      </c>
      <c r="K1215" s="278">
        <f t="shared" si="992"/>
        <v>0</v>
      </c>
      <c r="L1215" s="436">
        <f t="shared" si="993"/>
        <v>0</v>
      </c>
      <c r="M1215" s="337" t="str">
        <f t="shared" si="999"/>
        <v>-</v>
      </c>
      <c r="N1215" s="263" t="str">
        <f t="shared" si="1001"/>
        <v>-</v>
      </c>
      <c r="O1215" s="508">
        <v>5.6550000000000002</v>
      </c>
      <c r="P1215" s="404">
        <f t="shared" si="994"/>
        <v>0</v>
      </c>
      <c r="Q1215" s="449">
        <f t="shared" si="995"/>
        <v>0</v>
      </c>
    </row>
    <row r="1216" spans="1:17" ht="23.4" x14ac:dyDescent="0.4">
      <c r="A1216" s="248" t="s">
        <v>101</v>
      </c>
      <c r="B1216" s="1107"/>
      <c r="C1216" s="543" t="s">
        <v>260</v>
      </c>
      <c r="D1216" s="276"/>
      <c r="E1216" s="436"/>
      <c r="F1216" s="690">
        <f t="shared" si="996"/>
        <v>0</v>
      </c>
      <c r="G1216" s="276"/>
      <c r="H1216" s="278"/>
      <c r="I1216" s="352" t="str">
        <f t="shared" si="997"/>
        <v>-</v>
      </c>
      <c r="J1216" s="874">
        <f t="shared" si="998"/>
        <v>0</v>
      </c>
      <c r="K1216" s="278">
        <f t="shared" si="992"/>
        <v>0</v>
      </c>
      <c r="L1216" s="436">
        <f t="shared" si="993"/>
        <v>0</v>
      </c>
      <c r="M1216" s="337" t="str">
        <f t="shared" si="999"/>
        <v>-</v>
      </c>
      <c r="N1216" s="263" t="str">
        <f t="shared" si="1001"/>
        <v>-</v>
      </c>
      <c r="O1216" s="508">
        <v>3.2963</v>
      </c>
      <c r="P1216" s="404">
        <f t="shared" si="994"/>
        <v>0</v>
      </c>
      <c r="Q1216" s="449">
        <f t="shared" si="995"/>
        <v>0</v>
      </c>
    </row>
    <row r="1217" spans="1:17" ht="24" thickBot="1" x14ac:dyDescent="0.45">
      <c r="A1217" s="248" t="s">
        <v>101</v>
      </c>
      <c r="B1217" s="1108"/>
      <c r="C1217" s="998" t="s">
        <v>255</v>
      </c>
      <c r="D1217" s="276"/>
      <c r="E1217" s="436"/>
      <c r="F1217" s="690">
        <f t="shared" si="996"/>
        <v>0</v>
      </c>
      <c r="G1217" s="276"/>
      <c r="H1217" s="278"/>
      <c r="I1217" s="352" t="str">
        <f t="shared" si="997"/>
        <v>-</v>
      </c>
      <c r="J1217" s="874">
        <f t="shared" si="998"/>
        <v>0</v>
      </c>
      <c r="K1217" s="278">
        <f t="shared" si="992"/>
        <v>0</v>
      </c>
      <c r="L1217" s="436">
        <f t="shared" si="993"/>
        <v>0</v>
      </c>
      <c r="M1217" s="337" t="str">
        <f t="shared" si="999"/>
        <v>-</v>
      </c>
      <c r="N1217" s="263" t="str">
        <f t="shared" si="1001"/>
        <v>-</v>
      </c>
      <c r="O1217" s="508">
        <v>3.2963</v>
      </c>
      <c r="P1217" s="404">
        <f t="shared" si="994"/>
        <v>0</v>
      </c>
      <c r="Q1217" s="449">
        <f t="shared" si="995"/>
        <v>0</v>
      </c>
    </row>
    <row r="1218" spans="1:17" ht="23.4" x14ac:dyDescent="0.4">
      <c r="A1218" s="248"/>
      <c r="B1218" s="991"/>
      <c r="C1218" s="542" t="s">
        <v>86</v>
      </c>
      <c r="D1218" s="511"/>
      <c r="E1218" s="436"/>
      <c r="F1218" s="690">
        <f t="shared" si="996"/>
        <v>15000</v>
      </c>
      <c r="G1218" s="276">
        <v>15000</v>
      </c>
      <c r="H1218" s="278"/>
      <c r="I1218" s="352"/>
      <c r="J1218" s="874">
        <f t="shared" si="998"/>
        <v>35012</v>
      </c>
      <c r="K1218" s="278">
        <f t="shared" ref="K1218:K1219" si="1002">+G1218+K1152</f>
        <v>33200</v>
      </c>
      <c r="L1218" s="436">
        <f t="shared" ref="L1218:L1219" si="1003">+H1218+L1152</f>
        <v>1812</v>
      </c>
      <c r="M1218" s="337"/>
      <c r="N1218" s="263"/>
      <c r="O1218" s="508">
        <v>3.2963</v>
      </c>
      <c r="P1218" s="404">
        <f t="shared" si="994"/>
        <v>49444.5</v>
      </c>
      <c r="Q1218" s="449">
        <f t="shared" si="995"/>
        <v>109437.16</v>
      </c>
    </row>
    <row r="1219" spans="1:17" ht="23.4" x14ac:dyDescent="0.4">
      <c r="A1219" s="248"/>
      <c r="B1219" s="991"/>
      <c r="C1219" s="543" t="s">
        <v>585</v>
      </c>
      <c r="D1219" s="511"/>
      <c r="E1219" s="436"/>
      <c r="F1219" s="690">
        <f t="shared" si="996"/>
        <v>15000</v>
      </c>
      <c r="G1219" s="276">
        <v>15000</v>
      </c>
      <c r="H1219" s="278"/>
      <c r="I1219" s="352"/>
      <c r="J1219" s="874">
        <f t="shared" si="998"/>
        <v>34377</v>
      </c>
      <c r="K1219" s="278">
        <f t="shared" si="1002"/>
        <v>33200</v>
      </c>
      <c r="L1219" s="436">
        <f t="shared" si="1003"/>
        <v>1177</v>
      </c>
      <c r="M1219" s="337"/>
      <c r="N1219" s="263"/>
      <c r="O1219" s="508">
        <v>3.2963</v>
      </c>
      <c r="P1219" s="404">
        <f t="shared" si="994"/>
        <v>49444.5</v>
      </c>
      <c r="Q1219" s="449">
        <f t="shared" si="995"/>
        <v>109437.16</v>
      </c>
    </row>
    <row r="1220" spans="1:17" ht="23.4" x14ac:dyDescent="0.4">
      <c r="A1220" s="248" t="s">
        <v>101</v>
      </c>
      <c r="B1220" s="546"/>
      <c r="C1220" s="543" t="s">
        <v>89</v>
      </c>
      <c r="D1220" s="511"/>
      <c r="E1220" s="436"/>
      <c r="F1220" s="690">
        <f t="shared" si="996"/>
        <v>0</v>
      </c>
      <c r="G1220" s="276"/>
      <c r="H1220" s="278"/>
      <c r="I1220" s="352" t="str">
        <f t="shared" ref="I1220:I1221" si="1004">IFERROR(F1220/E1220,"-")</f>
        <v>-</v>
      </c>
      <c r="J1220" s="874">
        <f t="shared" si="998"/>
        <v>83715</v>
      </c>
      <c r="K1220" s="278">
        <f>+G1220+K1154</f>
        <v>83400</v>
      </c>
      <c r="L1220" s="436">
        <f>+H1220+L1154</f>
        <v>315</v>
      </c>
      <c r="M1220" s="337" t="str">
        <f t="shared" ref="M1220:M1224" si="1005">IFERROR(J1220/D1220,"-")</f>
        <v>-</v>
      </c>
      <c r="N1220" s="263">
        <f t="shared" ref="N1220:N1223" si="1006">IFERROR(L1220/J1220,"-")</f>
        <v>3.7627665292958249E-3</v>
      </c>
      <c r="O1220" s="508">
        <v>2.3201000000000001</v>
      </c>
      <c r="P1220" s="404">
        <f t="shared" si="994"/>
        <v>0</v>
      </c>
      <c r="Q1220" s="449">
        <f t="shared" si="995"/>
        <v>193496.34</v>
      </c>
    </row>
    <row r="1221" spans="1:17" ht="24" thickBot="1" x14ac:dyDescent="0.35">
      <c r="A1221" s="248" t="s">
        <v>101</v>
      </c>
      <c r="B1221" s="997"/>
      <c r="C1221" s="668"/>
      <c r="D1221" s="913"/>
      <c r="E1221" s="462"/>
      <c r="F1221" s="691">
        <f t="shared" si="996"/>
        <v>0</v>
      </c>
      <c r="G1221" s="530"/>
      <c r="H1221" s="461"/>
      <c r="I1221" s="532" t="str">
        <f t="shared" si="1004"/>
        <v>-</v>
      </c>
      <c r="J1221" s="875">
        <f t="shared" si="998"/>
        <v>0</v>
      </c>
      <c r="K1221" s="461">
        <f>+G1221+K1155</f>
        <v>0</v>
      </c>
      <c r="L1221" s="462">
        <f>+H1221+L1155</f>
        <v>0</v>
      </c>
      <c r="M1221" s="683" t="str">
        <f t="shared" si="1005"/>
        <v>-</v>
      </c>
      <c r="N1221" s="264" t="str">
        <f t="shared" si="1006"/>
        <v>-</v>
      </c>
      <c r="O1221" s="539"/>
      <c r="P1221" s="536">
        <f t="shared" si="994"/>
        <v>0</v>
      </c>
      <c r="Q1221" s="537">
        <f t="shared" si="995"/>
        <v>0</v>
      </c>
    </row>
    <row r="1222" spans="1:17" ht="24" thickBot="1" x14ac:dyDescent="0.35">
      <c r="A1222" s="274" t="s">
        <v>101</v>
      </c>
      <c r="B1222" s="1109" t="s">
        <v>25</v>
      </c>
      <c r="C1222" s="1110"/>
      <c r="D1222" s="513">
        <f>SUM(D1193:D1221)</f>
        <v>0</v>
      </c>
      <c r="E1222" s="526">
        <v>100000</v>
      </c>
      <c r="F1222" s="519">
        <f>SUM(F1188:F1221)</f>
        <v>162266</v>
      </c>
      <c r="G1222" s="519">
        <f>SUM(G1188:G1221)</f>
        <v>160820</v>
      </c>
      <c r="H1222" s="519">
        <f>SUM(H1188:H1221)</f>
        <v>1446</v>
      </c>
      <c r="I1222" s="520">
        <f>IFERROR(F1222/E1222,"-")</f>
        <v>1.62266</v>
      </c>
      <c r="J1222" s="513">
        <f>SUM(J1188:J1221)</f>
        <v>2619860</v>
      </c>
      <c r="K1222" s="513">
        <f t="shared" ref="K1222" si="1007">SUM(K1188:K1221)</f>
        <v>2581884</v>
      </c>
      <c r="L1222" s="513">
        <f>SUM(L1188:L1221)</f>
        <v>37976</v>
      </c>
      <c r="M1222" s="521" t="str">
        <f t="shared" si="1005"/>
        <v>-</v>
      </c>
      <c r="N1222" s="520">
        <f t="shared" si="1006"/>
        <v>1.4495431053567747E-2</v>
      </c>
      <c r="O1222" s="522"/>
      <c r="P1222" s="523">
        <f>SUM(P1188:P1221)</f>
        <v>1029843.277</v>
      </c>
      <c r="Q1222" s="523">
        <f>SUM(Q1188:Q1221)</f>
        <v>19506421.326699998</v>
      </c>
    </row>
    <row r="1223" spans="1:17" ht="24" thickBot="1" x14ac:dyDescent="0.35">
      <c r="A1223" s="318" t="s">
        <v>101</v>
      </c>
      <c r="B1223" s="1111" t="s">
        <v>249</v>
      </c>
      <c r="C1223" s="1112"/>
      <c r="D1223" s="326">
        <f>+D1192+D1222</f>
        <v>0</v>
      </c>
      <c r="E1223" s="327">
        <f>+E1192+E1222</f>
        <v>100000</v>
      </c>
      <c r="F1223" s="326">
        <f>+F1222</f>
        <v>162266</v>
      </c>
      <c r="G1223" s="326">
        <f t="shared" ref="G1223:H1223" si="1008">+G1222</f>
        <v>160820</v>
      </c>
      <c r="H1223" s="326">
        <f t="shared" si="1008"/>
        <v>1446</v>
      </c>
      <c r="I1223" s="349">
        <f>IFERROR(F1223/E1223,"-")</f>
        <v>1.62266</v>
      </c>
      <c r="J1223" s="326">
        <f>+J1222</f>
        <v>2619860</v>
      </c>
      <c r="K1223" s="326">
        <f t="shared" ref="K1223:L1223" si="1009">+K1222</f>
        <v>2581884</v>
      </c>
      <c r="L1223" s="326">
        <f t="shared" si="1009"/>
        <v>37976</v>
      </c>
      <c r="M1223" s="341" t="str">
        <f t="shared" si="1005"/>
        <v>-</v>
      </c>
      <c r="N1223" s="349">
        <f t="shared" si="1006"/>
        <v>1.4495431053567747E-2</v>
      </c>
      <c r="O1223" s="394"/>
      <c r="P1223" s="410">
        <f>+P1222</f>
        <v>1029843.277</v>
      </c>
      <c r="Q1223" s="428">
        <f>Q1222</f>
        <v>19506421.326699998</v>
      </c>
    </row>
    <row r="1224" spans="1:17" ht="24.6" thickBot="1" x14ac:dyDescent="0.35">
      <c r="A1224" s="319"/>
      <c r="B1224" s="1113" t="s">
        <v>174</v>
      </c>
      <c r="C1224" s="1114"/>
      <c r="D1224" s="374">
        <f>+D1223+D1187+D1178</f>
        <v>0</v>
      </c>
      <c r="E1224" s="374">
        <f>+E1223+E1187+E1178</f>
        <v>230000</v>
      </c>
      <c r="F1224" s="374">
        <f>+F1223+F1187+F1178</f>
        <v>244615</v>
      </c>
      <c r="G1224" s="374">
        <f>+G1223+G1187+G1178</f>
        <v>242640</v>
      </c>
      <c r="H1224" s="374">
        <f>+H1223+H1187+H1178</f>
        <v>1975</v>
      </c>
      <c r="I1224" s="375">
        <f>IFERROR(F1224/E1224,"-")</f>
        <v>1.0635434782608695</v>
      </c>
      <c r="J1224" s="374">
        <f>+J1223+J1187+J1178</f>
        <v>6505608</v>
      </c>
      <c r="K1224" s="374">
        <f>+K1223+K1187+K1178</f>
        <v>6376048</v>
      </c>
      <c r="L1224" s="374">
        <f>+L1223+L1187+L1178</f>
        <v>129560</v>
      </c>
      <c r="M1224" s="375" t="str">
        <f t="shared" si="1005"/>
        <v>-</v>
      </c>
      <c r="N1224" s="375">
        <f>IFERROR(L1224/J1224,"-")</f>
        <v>1.9915125534769387E-2</v>
      </c>
      <c r="O1224" s="401"/>
      <c r="P1224" s="418">
        <f>+P1223+P1187+P1178</f>
        <v>1563468.7390000001</v>
      </c>
      <c r="Q1224" s="418">
        <f>+Q1223+Q1187+Q1178</f>
        <v>36617458.301299997</v>
      </c>
    </row>
    <row r="1225" spans="1:17" ht="14.4" thickBot="1" x14ac:dyDescent="0.35"/>
    <row r="1226" spans="1:17" ht="23.4" x14ac:dyDescent="0.3">
      <c r="A1226" s="1115" t="s">
        <v>1</v>
      </c>
      <c r="B1226" s="1118" t="s">
        <v>2</v>
      </c>
      <c r="C1226" s="1121" t="s">
        <v>396</v>
      </c>
      <c r="D1226" s="1066" t="s">
        <v>4</v>
      </c>
      <c r="E1226" s="1067"/>
      <c r="F1226" s="1067"/>
      <c r="G1226" s="1067"/>
      <c r="H1226" s="1067"/>
      <c r="I1226" s="1067"/>
      <c r="J1226" s="1067"/>
      <c r="K1226" s="1067"/>
      <c r="L1226" s="1067"/>
      <c r="M1226" s="1067"/>
      <c r="N1226" s="1068"/>
      <c r="O1226" s="1092" t="s">
        <v>167</v>
      </c>
      <c r="P1226" s="1093"/>
      <c r="Q1226" s="1124"/>
    </row>
    <row r="1227" spans="1:17" ht="23.4" x14ac:dyDescent="0.3">
      <c r="A1227" s="1116"/>
      <c r="B1227" s="1119"/>
      <c r="C1227" s="1122"/>
      <c r="D1227" s="1069" t="s">
        <v>7</v>
      </c>
      <c r="E1227" s="1071" t="s">
        <v>108</v>
      </c>
      <c r="F1227" s="1125" t="s">
        <v>595</v>
      </c>
      <c r="G1227" s="1074"/>
      <c r="H1227" s="1074"/>
      <c r="I1227" s="1075"/>
      <c r="J1227" s="1076" t="s">
        <v>8</v>
      </c>
      <c r="K1227" s="1077"/>
      <c r="L1227" s="1078"/>
      <c r="M1227" s="1079" t="s">
        <v>165</v>
      </c>
      <c r="N1227" s="1081" t="s">
        <v>164</v>
      </c>
      <c r="O1227" s="1126" t="s">
        <v>169</v>
      </c>
      <c r="P1227" s="1127"/>
      <c r="Q1227" s="1128"/>
    </row>
    <row r="1228" spans="1:17" ht="47.4" thickBot="1" x14ac:dyDescent="0.35">
      <c r="A1228" s="1117"/>
      <c r="B1228" s="1120"/>
      <c r="C1228" s="1123"/>
      <c r="D1228" s="1070"/>
      <c r="E1228" s="1072"/>
      <c r="F1228" s="452" t="s">
        <v>13</v>
      </c>
      <c r="G1228" s="453" t="s">
        <v>14</v>
      </c>
      <c r="H1228" s="453" t="s">
        <v>15</v>
      </c>
      <c r="I1228" s="454" t="s">
        <v>166</v>
      </c>
      <c r="J1228" s="680" t="s">
        <v>13</v>
      </c>
      <c r="K1228" s="678" t="s">
        <v>14</v>
      </c>
      <c r="L1228" s="679" t="s">
        <v>15</v>
      </c>
      <c r="M1228" s="1080"/>
      <c r="N1228" s="1082"/>
      <c r="O1228" s="444" t="s">
        <v>170</v>
      </c>
      <c r="P1228" s="445" t="s">
        <v>11</v>
      </c>
      <c r="Q1228" s="446" t="s">
        <v>12</v>
      </c>
    </row>
    <row r="1229" spans="1:17" ht="23.4" x14ac:dyDescent="0.3">
      <c r="A1229" s="268" t="s">
        <v>103</v>
      </c>
      <c r="B1229" s="439"/>
      <c r="C1229" s="269" t="s">
        <v>502</v>
      </c>
      <c r="D1229" s="270"/>
      <c r="E1229" s="271"/>
      <c r="F1229" s="332">
        <f>+G1229+H1229</f>
        <v>20000</v>
      </c>
      <c r="G1229" s="272">
        <v>20000</v>
      </c>
      <c r="H1229" s="272"/>
      <c r="I1229" s="351" t="str">
        <f>IFERROR(F1229/E1229,"-")</f>
        <v>-</v>
      </c>
      <c r="J1229" s="457">
        <f>+K1229+L1229</f>
        <v>148000</v>
      </c>
      <c r="K1229" s="458">
        <f t="shared" ref="K1229:K1234" si="1010">+G1229+K1163</f>
        <v>148000</v>
      </c>
      <c r="L1229" s="459">
        <f t="shared" ref="L1229:L1234" si="1011">+H1229+L1163</f>
        <v>0</v>
      </c>
      <c r="M1229" s="336" t="str">
        <f>IFERROR(J1229/D1229,"-")</f>
        <v>-</v>
      </c>
      <c r="N1229" s="343">
        <f t="shared" ref="N1229" si="1012">IFERROR(L1229/J1229,"-")</f>
        <v>0</v>
      </c>
      <c r="O1229" s="786">
        <v>4.2525000000000004</v>
      </c>
      <c r="P1229" s="402">
        <f>+O1229*G1229</f>
        <v>85050.000000000015</v>
      </c>
      <c r="Q1229" s="447">
        <f>+O1229*K1229</f>
        <v>629370</v>
      </c>
    </row>
    <row r="1230" spans="1:17" ht="23.4" x14ac:dyDescent="0.3">
      <c r="A1230" s="274"/>
      <c r="B1230" s="439"/>
      <c r="C1230" s="269" t="s">
        <v>563</v>
      </c>
      <c r="D1230" s="270"/>
      <c r="E1230" s="271"/>
      <c r="F1230" s="332"/>
      <c r="G1230" s="272"/>
      <c r="H1230" s="272"/>
      <c r="I1230" s="351"/>
      <c r="J1230" s="332">
        <f>+K1230+L1230</f>
        <v>338188</v>
      </c>
      <c r="K1230" s="272">
        <f t="shared" si="1010"/>
        <v>282624</v>
      </c>
      <c r="L1230" s="435">
        <f t="shared" si="1011"/>
        <v>55564</v>
      </c>
      <c r="M1230" s="336"/>
      <c r="N1230" s="343"/>
      <c r="O1230" s="786">
        <v>1.5669</v>
      </c>
      <c r="P1230" s="402">
        <f t="shared" ref="P1230:P1234" si="1013">+O1230*G1230</f>
        <v>0</v>
      </c>
      <c r="Q1230" s="447">
        <f t="shared" ref="Q1230:Q1234" si="1014">+O1230*K1230</f>
        <v>442843.54560000001</v>
      </c>
    </row>
    <row r="1231" spans="1:17" ht="23.4" x14ac:dyDescent="0.3">
      <c r="A1231" s="274" t="s">
        <v>103</v>
      </c>
      <c r="B1231" s="438"/>
      <c r="C1231" s="275" t="s">
        <v>245</v>
      </c>
      <c r="D1231" s="276"/>
      <c r="E1231" s="277"/>
      <c r="F1231" s="333">
        <f t="shared" ref="F1231:F1234" si="1015">+G1231+H1231</f>
        <v>0</v>
      </c>
      <c r="G1231" s="719"/>
      <c r="H1231" s="719"/>
      <c r="I1231" s="351" t="str">
        <f t="shared" ref="I1231:I1234" si="1016">IFERROR(F1231/E1231,"-")</f>
        <v>-</v>
      </c>
      <c r="J1231" s="333">
        <f t="shared" ref="J1231:J1234" si="1017">+K1231+L1231</f>
        <v>173944</v>
      </c>
      <c r="K1231" s="278">
        <f t="shared" si="1010"/>
        <v>172500</v>
      </c>
      <c r="L1231" s="436">
        <f t="shared" si="1011"/>
        <v>1444</v>
      </c>
      <c r="M1231" s="337" t="str">
        <f t="shared" ref="M1231:M1234" si="1018">IFERROR(J1231/D1231,"-")</f>
        <v>-</v>
      </c>
      <c r="N1231" s="265">
        <f t="shared" ref="N1231" si="1019">IFERROR(L1231/J1231,"-")</f>
        <v>8.301522329025434E-3</v>
      </c>
      <c r="O1231" s="508">
        <v>2.3978999999999999</v>
      </c>
      <c r="P1231" s="404">
        <f t="shared" si="1013"/>
        <v>0</v>
      </c>
      <c r="Q1231" s="449">
        <f t="shared" si="1014"/>
        <v>413637.75</v>
      </c>
    </row>
    <row r="1232" spans="1:17" ht="23.4" x14ac:dyDescent="0.3">
      <c r="A1232" s="274" t="s">
        <v>103</v>
      </c>
      <c r="B1232" s="438"/>
      <c r="C1232" s="275" t="s">
        <v>395</v>
      </c>
      <c r="D1232" s="276"/>
      <c r="E1232" s="277"/>
      <c r="F1232" s="333">
        <f t="shared" si="1015"/>
        <v>0</v>
      </c>
      <c r="G1232" s="278"/>
      <c r="H1232" s="719"/>
      <c r="I1232" s="351" t="str">
        <f t="shared" si="1016"/>
        <v>-</v>
      </c>
      <c r="J1232" s="333">
        <f t="shared" si="1017"/>
        <v>1222257</v>
      </c>
      <c r="K1232" s="278">
        <f t="shared" si="1010"/>
        <v>1210750</v>
      </c>
      <c r="L1232" s="436">
        <f t="shared" si="1011"/>
        <v>11507</v>
      </c>
      <c r="M1232" s="337" t="str">
        <f t="shared" si="1018"/>
        <v>-</v>
      </c>
      <c r="N1232" s="716">
        <f>IFERROR(L1232/J1232,"-")</f>
        <v>9.4145502950688763E-3</v>
      </c>
      <c r="O1232" s="718">
        <v>3.6777000000000002</v>
      </c>
      <c r="P1232" s="404">
        <f t="shared" si="1013"/>
        <v>0</v>
      </c>
      <c r="Q1232" s="449">
        <f t="shared" si="1014"/>
        <v>4452775.2750000004</v>
      </c>
    </row>
    <row r="1233" spans="1:17" ht="23.4" x14ac:dyDescent="0.3">
      <c r="A1233" s="274"/>
      <c r="B1233" s="451"/>
      <c r="C1233" s="275" t="s">
        <v>319</v>
      </c>
      <c r="D1233" s="280"/>
      <c r="E1233" s="281"/>
      <c r="F1233" s="333">
        <f t="shared" si="1015"/>
        <v>0</v>
      </c>
      <c r="G1233" s="282"/>
      <c r="H1233" s="282"/>
      <c r="I1233" s="351" t="str">
        <f t="shared" si="1016"/>
        <v>-</v>
      </c>
      <c r="J1233" s="333">
        <f t="shared" si="1017"/>
        <v>479064</v>
      </c>
      <c r="K1233" s="278">
        <f t="shared" si="1010"/>
        <v>472800</v>
      </c>
      <c r="L1233" s="436">
        <f t="shared" si="1011"/>
        <v>6264</v>
      </c>
      <c r="M1233" s="337" t="str">
        <f t="shared" si="1018"/>
        <v>-</v>
      </c>
      <c r="N1233" s="265">
        <f>IFERROR(L1233/J1233,"-")</f>
        <v>1.3075497219578177E-2</v>
      </c>
      <c r="O1233" s="509">
        <v>12.284700000000001</v>
      </c>
      <c r="P1233" s="404">
        <f t="shared" si="1013"/>
        <v>0</v>
      </c>
      <c r="Q1233" s="449">
        <f t="shared" si="1014"/>
        <v>5808206.1600000001</v>
      </c>
    </row>
    <row r="1234" spans="1:17" ht="24" thickBot="1" x14ac:dyDescent="0.35">
      <c r="A1234" s="274" t="s">
        <v>103</v>
      </c>
      <c r="B1234" s="451"/>
      <c r="C1234" s="275" t="s">
        <v>365</v>
      </c>
      <c r="D1234" s="280"/>
      <c r="E1234" s="281"/>
      <c r="F1234" s="334">
        <f t="shared" si="1015"/>
        <v>0</v>
      </c>
      <c r="G1234" s="282"/>
      <c r="H1234" s="282"/>
      <c r="I1234" s="351" t="str">
        <f t="shared" si="1016"/>
        <v>-</v>
      </c>
      <c r="J1234" s="460">
        <f t="shared" si="1017"/>
        <v>45034</v>
      </c>
      <c r="K1234" s="461">
        <f t="shared" si="1010"/>
        <v>44250</v>
      </c>
      <c r="L1234" s="462">
        <f t="shared" si="1011"/>
        <v>784</v>
      </c>
      <c r="M1234" s="338" t="str">
        <f t="shared" si="1018"/>
        <v>-</v>
      </c>
      <c r="N1234" s="344">
        <f t="shared" ref="N1234:N1246" si="1020">IFERROR(L1234/J1234,"-")</f>
        <v>1.7409068703646134E-2</v>
      </c>
      <c r="O1234" s="718">
        <v>7.0612000000000004</v>
      </c>
      <c r="P1234" s="405">
        <f t="shared" si="1013"/>
        <v>0</v>
      </c>
      <c r="Q1234" s="450">
        <f t="shared" si="1014"/>
        <v>312458.10000000003</v>
      </c>
    </row>
    <row r="1235" spans="1:17" ht="24" thickBot="1" x14ac:dyDescent="0.35">
      <c r="A1235" s="274" t="s">
        <v>103</v>
      </c>
      <c r="B1235" s="1109" t="s">
        <v>21</v>
      </c>
      <c r="C1235" s="1046"/>
      <c r="D1235" s="320">
        <f>SUM(D1229:D1234)</f>
        <v>0</v>
      </c>
      <c r="E1235" s="285">
        <v>15000</v>
      </c>
      <c r="F1235" s="320">
        <f>SUM(F1229:F1234)</f>
        <v>20000</v>
      </c>
      <c r="G1235" s="321">
        <f>SUM(G1229:G1234)</f>
        <v>20000</v>
      </c>
      <c r="H1235" s="321">
        <f>SUM(H1229:H1234)</f>
        <v>0</v>
      </c>
      <c r="I1235" s="345">
        <f>IFERROR(F1235/E1235,"-")</f>
        <v>1.3333333333333333</v>
      </c>
      <c r="J1235" s="320">
        <f>SUM(J1229:J1234)</f>
        <v>2406487</v>
      </c>
      <c r="K1235" s="321">
        <f>SUM(K1229:K1234)</f>
        <v>2330924</v>
      </c>
      <c r="L1235" s="322">
        <f>SUM(L1229:L1234)</f>
        <v>75563</v>
      </c>
      <c r="M1235" s="339" t="str">
        <f>IFERROR(J1235/D1235,"-")</f>
        <v>-</v>
      </c>
      <c r="N1235" s="345">
        <f t="shared" si="1020"/>
        <v>3.1399712527015518E-2</v>
      </c>
      <c r="O1235" s="391"/>
      <c r="P1235" s="406">
        <f>SUM(P1229:P1234)</f>
        <v>85050.000000000015</v>
      </c>
      <c r="Q1235" s="425">
        <f>SUM(Q1229:Q1234)</f>
        <v>12059290.830599999</v>
      </c>
    </row>
    <row r="1236" spans="1:17" ht="23.4" x14ac:dyDescent="0.3">
      <c r="A1236" s="274" t="s">
        <v>103</v>
      </c>
      <c r="B1236" s="439"/>
      <c r="C1236" s="269" t="s">
        <v>244</v>
      </c>
      <c r="D1236" s="270"/>
      <c r="E1236" s="271"/>
      <c r="F1236" s="332">
        <f t="shared" ref="F1236:F1242" si="1021">+G1236+H1236</f>
        <v>0</v>
      </c>
      <c r="G1236" s="272"/>
      <c r="H1236" s="272"/>
      <c r="I1236" s="351" t="str">
        <f>IFERROR(F1236/E1236,"-")</f>
        <v>-</v>
      </c>
      <c r="J1236" s="457">
        <f t="shared" ref="J1236:J1242" si="1022">+K1236+L1236</f>
        <v>53216</v>
      </c>
      <c r="K1236" s="458">
        <f t="shared" ref="K1236:K1242" si="1023">+G1236+K1170</f>
        <v>51840</v>
      </c>
      <c r="L1236" s="459">
        <f t="shared" ref="L1236:L1242" si="1024">+H1236+L1170</f>
        <v>1376</v>
      </c>
      <c r="M1236" s="336" t="str">
        <f t="shared" ref="M1236:M1244" si="1025">IFERROR(J1236/D1236,"-")</f>
        <v>-</v>
      </c>
      <c r="N1236" s="346">
        <f t="shared" si="1020"/>
        <v>2.5856885147324114E-2</v>
      </c>
      <c r="O1236" s="507">
        <v>18.2316</v>
      </c>
      <c r="P1236" s="402">
        <f t="shared" ref="P1236:P1242" si="1026">+O1236*G1236</f>
        <v>0</v>
      </c>
      <c r="Q1236" s="447">
        <f t="shared" ref="Q1236:Q1242" si="1027">+O1236*K1236</f>
        <v>945126.14399999997</v>
      </c>
    </row>
    <row r="1237" spans="1:17" ht="23.4" x14ac:dyDescent="0.3">
      <c r="A1237" s="274" t="s">
        <v>103</v>
      </c>
      <c r="B1237" s="438"/>
      <c r="C1237" s="275" t="s">
        <v>89</v>
      </c>
      <c r="D1237" s="276"/>
      <c r="E1237" s="277"/>
      <c r="F1237" s="333">
        <f t="shared" si="1021"/>
        <v>0</v>
      </c>
      <c r="G1237" s="278"/>
      <c r="H1237" s="278"/>
      <c r="I1237" s="351" t="str">
        <f t="shared" ref="I1237:I1242" si="1028">IFERROR(F1237/E1237,"-")</f>
        <v>-</v>
      </c>
      <c r="J1237" s="333">
        <f t="shared" si="1022"/>
        <v>300000</v>
      </c>
      <c r="K1237" s="278">
        <f t="shared" si="1023"/>
        <v>300000</v>
      </c>
      <c r="L1237" s="436">
        <f t="shared" si="1024"/>
        <v>0</v>
      </c>
      <c r="M1237" s="337" t="str">
        <f t="shared" si="1025"/>
        <v>-</v>
      </c>
      <c r="N1237" s="263">
        <f t="shared" si="1020"/>
        <v>0</v>
      </c>
      <c r="O1237" s="508">
        <v>1.2824</v>
      </c>
      <c r="P1237" s="404">
        <f t="shared" si="1026"/>
        <v>0</v>
      </c>
      <c r="Q1237" s="449">
        <f t="shared" si="1027"/>
        <v>384720</v>
      </c>
    </row>
    <row r="1238" spans="1:17" ht="23.4" x14ac:dyDescent="0.3">
      <c r="A1238" s="274" t="s">
        <v>103</v>
      </c>
      <c r="B1238" s="438"/>
      <c r="C1238" s="275" t="s">
        <v>300</v>
      </c>
      <c r="D1238" s="276"/>
      <c r="E1238" s="277"/>
      <c r="F1238" s="333">
        <f t="shared" si="1021"/>
        <v>0</v>
      </c>
      <c r="G1238" s="278"/>
      <c r="H1238" s="278"/>
      <c r="I1238" s="351" t="str">
        <f t="shared" si="1028"/>
        <v>-</v>
      </c>
      <c r="J1238" s="333">
        <f t="shared" si="1022"/>
        <v>0</v>
      </c>
      <c r="K1238" s="278">
        <f t="shared" si="1023"/>
        <v>0</v>
      </c>
      <c r="L1238" s="436">
        <f t="shared" si="1024"/>
        <v>0</v>
      </c>
      <c r="M1238" s="337" t="str">
        <f t="shared" si="1025"/>
        <v>-</v>
      </c>
      <c r="N1238" s="263" t="str">
        <f t="shared" si="1020"/>
        <v>-</v>
      </c>
      <c r="O1238" s="710">
        <v>5.7342000000000004</v>
      </c>
      <c r="P1238" s="404">
        <f t="shared" si="1026"/>
        <v>0</v>
      </c>
      <c r="Q1238" s="449">
        <f t="shared" si="1027"/>
        <v>0</v>
      </c>
    </row>
    <row r="1239" spans="1:17" ht="23.4" x14ac:dyDescent="0.3">
      <c r="A1239" s="274" t="s">
        <v>103</v>
      </c>
      <c r="B1239" s="438"/>
      <c r="C1239" s="275" t="s">
        <v>314</v>
      </c>
      <c r="D1239" s="276"/>
      <c r="E1239" s="277"/>
      <c r="F1239" s="333">
        <f t="shared" si="1021"/>
        <v>0</v>
      </c>
      <c r="G1239" s="278"/>
      <c r="H1239" s="278"/>
      <c r="I1239" s="351" t="str">
        <f t="shared" si="1028"/>
        <v>-</v>
      </c>
      <c r="J1239" s="333">
        <f t="shared" si="1022"/>
        <v>0</v>
      </c>
      <c r="K1239" s="278">
        <f t="shared" si="1023"/>
        <v>0</v>
      </c>
      <c r="L1239" s="436">
        <f t="shared" si="1024"/>
        <v>0</v>
      </c>
      <c r="M1239" s="337" t="str">
        <f t="shared" si="1025"/>
        <v>-</v>
      </c>
      <c r="N1239" s="263" t="str">
        <f t="shared" si="1020"/>
        <v>-</v>
      </c>
      <c r="O1239" s="508"/>
      <c r="P1239" s="404">
        <f t="shared" si="1026"/>
        <v>0</v>
      </c>
      <c r="Q1239" s="449">
        <f t="shared" si="1027"/>
        <v>0</v>
      </c>
    </row>
    <row r="1240" spans="1:17" ht="23.4" x14ac:dyDescent="0.3">
      <c r="A1240" s="274" t="s">
        <v>103</v>
      </c>
      <c r="B1240" s="438"/>
      <c r="C1240" s="275" t="s">
        <v>320</v>
      </c>
      <c r="D1240" s="276"/>
      <c r="E1240" s="277"/>
      <c r="F1240" s="333">
        <f t="shared" si="1021"/>
        <v>0</v>
      </c>
      <c r="G1240" s="278"/>
      <c r="H1240" s="278"/>
      <c r="I1240" s="351" t="str">
        <f t="shared" si="1028"/>
        <v>-</v>
      </c>
      <c r="J1240" s="333">
        <f t="shared" si="1022"/>
        <v>129924</v>
      </c>
      <c r="K1240" s="278">
        <f t="shared" si="1023"/>
        <v>129400</v>
      </c>
      <c r="L1240" s="436">
        <f t="shared" si="1024"/>
        <v>524</v>
      </c>
      <c r="M1240" s="337" t="str">
        <f t="shared" si="1025"/>
        <v>-</v>
      </c>
      <c r="N1240" s="263">
        <f t="shared" si="1020"/>
        <v>4.0331270588959698E-3</v>
      </c>
      <c r="O1240" s="508">
        <v>12.029500000000001</v>
      </c>
      <c r="P1240" s="404">
        <f t="shared" si="1026"/>
        <v>0</v>
      </c>
      <c r="Q1240" s="449">
        <f t="shared" si="1027"/>
        <v>1556617.3</v>
      </c>
    </row>
    <row r="1241" spans="1:17" ht="23.4" x14ac:dyDescent="0.3">
      <c r="A1241" s="274" t="s">
        <v>103</v>
      </c>
      <c r="B1241" s="438"/>
      <c r="C1241" s="275"/>
      <c r="D1241" s="276"/>
      <c r="E1241" s="277"/>
      <c r="F1241" s="333">
        <f t="shared" si="1021"/>
        <v>0</v>
      </c>
      <c r="G1241" s="278"/>
      <c r="H1241" s="278"/>
      <c r="I1241" s="351" t="str">
        <f t="shared" si="1028"/>
        <v>-</v>
      </c>
      <c r="J1241" s="333">
        <f t="shared" si="1022"/>
        <v>0</v>
      </c>
      <c r="K1241" s="278">
        <f t="shared" si="1023"/>
        <v>0</v>
      </c>
      <c r="L1241" s="436">
        <f t="shared" si="1024"/>
        <v>0</v>
      </c>
      <c r="M1241" s="337" t="str">
        <f t="shared" si="1025"/>
        <v>-</v>
      </c>
      <c r="N1241" s="263" t="str">
        <f t="shared" si="1020"/>
        <v>-</v>
      </c>
      <c r="O1241" s="508"/>
      <c r="P1241" s="404">
        <f t="shared" si="1026"/>
        <v>0</v>
      </c>
      <c r="Q1241" s="449">
        <f t="shared" si="1027"/>
        <v>0</v>
      </c>
    </row>
    <row r="1242" spans="1:17" ht="24" thickBot="1" x14ac:dyDescent="0.35">
      <c r="A1242" s="274" t="s">
        <v>103</v>
      </c>
      <c r="B1242" s="451"/>
      <c r="C1242" s="279"/>
      <c r="D1242" s="280">
        <v>0</v>
      </c>
      <c r="E1242" s="281"/>
      <c r="F1242" s="334">
        <f t="shared" si="1021"/>
        <v>0</v>
      </c>
      <c r="G1242" s="282"/>
      <c r="H1242" s="282"/>
      <c r="I1242" s="351" t="str">
        <f t="shared" si="1028"/>
        <v>-</v>
      </c>
      <c r="J1242" s="460">
        <f t="shared" si="1022"/>
        <v>0</v>
      </c>
      <c r="K1242" s="461">
        <f t="shared" si="1023"/>
        <v>0</v>
      </c>
      <c r="L1242" s="462">
        <f t="shared" si="1024"/>
        <v>0</v>
      </c>
      <c r="M1242" s="338" t="str">
        <f t="shared" si="1025"/>
        <v>-</v>
      </c>
      <c r="N1242" s="347" t="str">
        <f t="shared" si="1020"/>
        <v>-</v>
      </c>
      <c r="O1242" s="509"/>
      <c r="P1242" s="405">
        <f t="shared" si="1026"/>
        <v>0</v>
      </c>
      <c r="Q1242" s="450">
        <f t="shared" si="1027"/>
        <v>0</v>
      </c>
    </row>
    <row r="1243" spans="1:17" ht="24" thickBot="1" x14ac:dyDescent="0.35">
      <c r="A1243" s="274" t="s">
        <v>103</v>
      </c>
      <c r="B1243" s="1109" t="s">
        <v>25</v>
      </c>
      <c r="C1243" s="1046"/>
      <c r="D1243" s="320">
        <f t="shared" ref="D1243" si="1029">SUM(D1236:D1242)</f>
        <v>0</v>
      </c>
      <c r="E1243" s="285">
        <v>100000</v>
      </c>
      <c r="F1243" s="320">
        <f>SUM(F1236:F1242)</f>
        <v>0</v>
      </c>
      <c r="G1243" s="321">
        <f t="shared" ref="G1243:H1243" si="1030">SUM(G1236:G1242)</f>
        <v>0</v>
      </c>
      <c r="H1243" s="321">
        <f t="shared" si="1030"/>
        <v>0</v>
      </c>
      <c r="I1243" s="345">
        <f>IFERROR(F1243/E1243,"-")</f>
        <v>0</v>
      </c>
      <c r="J1243" s="320">
        <f t="shared" ref="J1243:L1243" si="1031">SUM(J1236:J1242)</f>
        <v>483140</v>
      </c>
      <c r="K1243" s="321">
        <f t="shared" si="1031"/>
        <v>481240</v>
      </c>
      <c r="L1243" s="322">
        <f t="shared" si="1031"/>
        <v>1900</v>
      </c>
      <c r="M1243" s="339" t="str">
        <f t="shared" si="1025"/>
        <v>-</v>
      </c>
      <c r="N1243" s="345">
        <f t="shared" si="1020"/>
        <v>3.9326075257689287E-3</v>
      </c>
      <c r="O1243" s="391"/>
      <c r="P1243" s="406">
        <f t="shared" ref="P1243:Q1243" si="1032">SUM(P1236:P1242)</f>
        <v>0</v>
      </c>
      <c r="Q1243" s="425">
        <f t="shared" si="1032"/>
        <v>2886463.4440000001</v>
      </c>
    </row>
    <row r="1244" spans="1:17" ht="24" thickBot="1" x14ac:dyDescent="0.35">
      <c r="A1244" s="274" t="s">
        <v>103</v>
      </c>
      <c r="B1244" s="1111" t="s">
        <v>172</v>
      </c>
      <c r="C1244" s="1112"/>
      <c r="D1244" s="326">
        <f>+D1235+D1243</f>
        <v>0</v>
      </c>
      <c r="E1244" s="327">
        <f t="shared" ref="E1244:H1244" si="1033">+E1235+E1243</f>
        <v>115000</v>
      </c>
      <c r="F1244" s="512">
        <f t="shared" si="1033"/>
        <v>20000</v>
      </c>
      <c r="G1244" s="514">
        <f t="shared" si="1033"/>
        <v>20000</v>
      </c>
      <c r="H1244" s="514">
        <f t="shared" si="1033"/>
        <v>0</v>
      </c>
      <c r="I1244" s="515">
        <f>IFERROR(F1244/E1244,"-")</f>
        <v>0.17391304347826086</v>
      </c>
      <c r="J1244" s="326">
        <f t="shared" ref="J1244:L1244" si="1034">+J1235+J1243</f>
        <v>2889627</v>
      </c>
      <c r="K1244" s="324">
        <f t="shared" si="1034"/>
        <v>2812164</v>
      </c>
      <c r="L1244" s="325">
        <f t="shared" si="1034"/>
        <v>77463</v>
      </c>
      <c r="M1244" s="341" t="str">
        <f t="shared" si="1025"/>
        <v>-</v>
      </c>
      <c r="N1244" s="349">
        <f t="shared" si="1020"/>
        <v>2.680726612811965E-2</v>
      </c>
      <c r="O1244" s="394"/>
      <c r="P1244" s="410">
        <f t="shared" ref="P1244:Q1244" si="1035">+P1235+P1243</f>
        <v>85050.000000000015</v>
      </c>
      <c r="Q1244" s="428">
        <f t="shared" si="1035"/>
        <v>14945754.274599999</v>
      </c>
    </row>
    <row r="1245" spans="1:17" ht="23.4" x14ac:dyDescent="0.3">
      <c r="A1245" s="244" t="s">
        <v>101</v>
      </c>
      <c r="B1245" s="581"/>
      <c r="C1245" s="582" t="s">
        <v>283</v>
      </c>
      <c r="D1245" s="527"/>
      <c r="E1245" s="459"/>
      <c r="F1245" s="457">
        <f>+G1245+H1245</f>
        <v>0</v>
      </c>
      <c r="G1245" s="458"/>
      <c r="H1245" s="838"/>
      <c r="I1245" s="531" t="str">
        <f>IFERROR(F1245/E1245,"-")</f>
        <v>-</v>
      </c>
      <c r="J1245" s="644">
        <f>+K1245+L1245</f>
        <v>0</v>
      </c>
      <c r="K1245" s="458">
        <f t="shared" ref="K1245:K1251" si="1036">+G1245+K1179</f>
        <v>0</v>
      </c>
      <c r="L1245" s="459">
        <f t="shared" ref="L1245:L1251" si="1037">+H1245+L1179</f>
        <v>0</v>
      </c>
      <c r="M1245" s="586" t="str">
        <f>IFERROR(J1245/D1245,"-")</f>
        <v>-</v>
      </c>
      <c r="N1245" s="533" t="str">
        <f t="shared" si="1020"/>
        <v>-</v>
      </c>
      <c r="O1245" s="628">
        <v>4.8285999999999998</v>
      </c>
      <c r="P1245" s="534">
        <f t="shared" ref="P1245:P1251" si="1038">+O1245*G1245</f>
        <v>0</v>
      </c>
      <c r="Q1245" s="535">
        <f t="shared" ref="Q1245:Q1251" si="1039">+O1245*K1245</f>
        <v>0</v>
      </c>
    </row>
    <row r="1246" spans="1:17" ht="23.4" x14ac:dyDescent="0.3">
      <c r="A1246" s="248" t="s">
        <v>101</v>
      </c>
      <c r="B1246" s="583"/>
      <c r="C1246" s="275" t="s">
        <v>284</v>
      </c>
      <c r="D1246" s="276"/>
      <c r="E1246" s="436"/>
      <c r="F1246" s="333">
        <f t="shared" ref="F1246:F1251" si="1040">+G1246+H1246</f>
        <v>0</v>
      </c>
      <c r="G1246" s="278"/>
      <c r="H1246" s="277"/>
      <c r="I1246" s="352" t="str">
        <f t="shared" ref="I1246:I1251" si="1041">IFERROR(F1246/E1246,"-")</f>
        <v>-</v>
      </c>
      <c r="J1246" s="874">
        <f t="shared" ref="J1246:J1251" si="1042">+K1246+L1246</f>
        <v>0</v>
      </c>
      <c r="K1246" s="278">
        <f t="shared" si="1036"/>
        <v>0</v>
      </c>
      <c r="L1246" s="436">
        <f t="shared" si="1037"/>
        <v>0</v>
      </c>
      <c r="M1246" s="337" t="str">
        <f t="shared" ref="M1246:M1251" si="1043">IFERROR(J1246/D1246,"-")</f>
        <v>-</v>
      </c>
      <c r="N1246" s="265" t="str">
        <f t="shared" si="1020"/>
        <v>-</v>
      </c>
      <c r="O1246" s="629">
        <v>1.4086000000000001</v>
      </c>
      <c r="P1246" s="404">
        <f t="shared" si="1038"/>
        <v>0</v>
      </c>
      <c r="Q1246" s="449">
        <f t="shared" si="1039"/>
        <v>0</v>
      </c>
    </row>
    <row r="1247" spans="1:17" ht="23.4" x14ac:dyDescent="0.3">
      <c r="A1247" s="248" t="s">
        <v>101</v>
      </c>
      <c r="B1247" s="583"/>
      <c r="C1247" s="275" t="s">
        <v>315</v>
      </c>
      <c r="D1247" s="276"/>
      <c r="E1247" s="436"/>
      <c r="F1247" s="333">
        <f t="shared" si="1040"/>
        <v>0</v>
      </c>
      <c r="G1247" s="278"/>
      <c r="H1247" s="277"/>
      <c r="I1247" s="352" t="str">
        <f t="shared" si="1041"/>
        <v>-</v>
      </c>
      <c r="J1247" s="874">
        <f t="shared" si="1042"/>
        <v>0</v>
      </c>
      <c r="K1247" s="278">
        <f t="shared" si="1036"/>
        <v>0</v>
      </c>
      <c r="L1247" s="436">
        <f t="shared" si="1037"/>
        <v>0</v>
      </c>
      <c r="M1247" s="337" t="str">
        <f t="shared" si="1043"/>
        <v>-</v>
      </c>
      <c r="N1247" s="265" t="str">
        <f>IFERROR(L1247/J1247,"-")</f>
        <v>-</v>
      </c>
      <c r="O1247" s="629">
        <v>2.2141000000000002</v>
      </c>
      <c r="P1247" s="404">
        <f t="shared" si="1038"/>
        <v>0</v>
      </c>
      <c r="Q1247" s="449">
        <f t="shared" si="1039"/>
        <v>0</v>
      </c>
    </row>
    <row r="1248" spans="1:17" ht="23.4" x14ac:dyDescent="0.3">
      <c r="A1248" s="248" t="s">
        <v>101</v>
      </c>
      <c r="B1248" s="584"/>
      <c r="C1248" s="275" t="s">
        <v>447</v>
      </c>
      <c r="D1248" s="280"/>
      <c r="E1248" s="528"/>
      <c r="F1248" s="334">
        <f t="shared" si="1040"/>
        <v>100975</v>
      </c>
      <c r="G1248" s="282">
        <v>100000</v>
      </c>
      <c r="H1248" s="281">
        <v>975</v>
      </c>
      <c r="I1248" s="352" t="str">
        <f t="shared" si="1041"/>
        <v>-</v>
      </c>
      <c r="J1248" s="874">
        <f t="shared" si="1042"/>
        <v>1099939</v>
      </c>
      <c r="K1248" s="278">
        <f t="shared" si="1036"/>
        <v>1085750</v>
      </c>
      <c r="L1248" s="436">
        <f t="shared" si="1037"/>
        <v>14189</v>
      </c>
      <c r="M1248" s="338" t="str">
        <f t="shared" si="1043"/>
        <v>-</v>
      </c>
      <c r="N1248" s="344">
        <f t="shared" ref="N1248:N1255" si="1044">IFERROR(L1248/J1248,"-")</f>
        <v>1.2899806261983619E-2</v>
      </c>
      <c r="O1248" s="629">
        <v>2.2141000000000002</v>
      </c>
      <c r="P1248" s="405">
        <f t="shared" si="1038"/>
        <v>221410.00000000003</v>
      </c>
      <c r="Q1248" s="450">
        <f t="shared" si="1039"/>
        <v>2403959.0750000002</v>
      </c>
    </row>
    <row r="1249" spans="1:17" ht="23.4" x14ac:dyDescent="0.3">
      <c r="A1249" s="248" t="s">
        <v>101</v>
      </c>
      <c r="B1249" s="440"/>
      <c r="C1249" s="627" t="s">
        <v>353</v>
      </c>
      <c r="D1249" s="510"/>
      <c r="E1249" s="529"/>
      <c r="F1249" s="333">
        <f t="shared" si="1040"/>
        <v>0</v>
      </c>
      <c r="G1249" s="547"/>
      <c r="H1249" s="873"/>
      <c r="I1249" s="352" t="str">
        <f t="shared" si="1041"/>
        <v>-</v>
      </c>
      <c r="J1249" s="874">
        <f t="shared" si="1042"/>
        <v>0</v>
      </c>
      <c r="K1249" s="278">
        <f t="shared" si="1036"/>
        <v>0</v>
      </c>
      <c r="L1249" s="436">
        <f t="shared" si="1037"/>
        <v>0</v>
      </c>
      <c r="M1249" s="338" t="str">
        <f t="shared" si="1043"/>
        <v>-</v>
      </c>
      <c r="N1249" s="265" t="str">
        <f t="shared" si="1044"/>
        <v>-</v>
      </c>
      <c r="O1249" s="540">
        <v>4.8285999999999998</v>
      </c>
      <c r="P1249" s="404">
        <f t="shared" si="1038"/>
        <v>0</v>
      </c>
      <c r="Q1249" s="449">
        <f t="shared" si="1039"/>
        <v>0</v>
      </c>
    </row>
    <row r="1250" spans="1:17" ht="23.4" x14ac:dyDescent="0.3">
      <c r="A1250" s="248" t="s">
        <v>101</v>
      </c>
      <c r="B1250" s="585"/>
      <c r="C1250" s="627" t="s">
        <v>349</v>
      </c>
      <c r="D1250" s="270"/>
      <c r="E1250" s="435"/>
      <c r="F1250" s="332">
        <f t="shared" si="1040"/>
        <v>0</v>
      </c>
      <c r="G1250" s="272"/>
      <c r="H1250" s="271"/>
      <c r="I1250" s="352" t="str">
        <f t="shared" si="1041"/>
        <v>-</v>
      </c>
      <c r="J1250" s="874">
        <f t="shared" si="1042"/>
        <v>17157</v>
      </c>
      <c r="K1250" s="278">
        <f t="shared" si="1036"/>
        <v>16250</v>
      </c>
      <c r="L1250" s="436">
        <f t="shared" si="1037"/>
        <v>907</v>
      </c>
      <c r="M1250" s="336" t="str">
        <f t="shared" si="1043"/>
        <v>-</v>
      </c>
      <c r="N1250" s="346">
        <f t="shared" si="1044"/>
        <v>5.2864719939383339E-2</v>
      </c>
      <c r="O1250" s="507">
        <v>4.1712999999999996</v>
      </c>
      <c r="P1250" s="402">
        <f t="shared" si="1038"/>
        <v>0</v>
      </c>
      <c r="Q1250" s="447">
        <f t="shared" si="1039"/>
        <v>67783.625</v>
      </c>
    </row>
    <row r="1251" spans="1:17" ht="24" thickBot="1" x14ac:dyDescent="0.35">
      <c r="A1251" s="248" t="s">
        <v>101</v>
      </c>
      <c r="B1251" s="583"/>
      <c r="C1251" s="275"/>
      <c r="D1251" s="276"/>
      <c r="E1251" s="436"/>
      <c r="F1251" s="460">
        <f t="shared" si="1040"/>
        <v>0</v>
      </c>
      <c r="G1251" s="461"/>
      <c r="H1251" s="839"/>
      <c r="I1251" s="532" t="str">
        <f t="shared" si="1041"/>
        <v>-</v>
      </c>
      <c r="J1251" s="875">
        <f t="shared" si="1042"/>
        <v>0</v>
      </c>
      <c r="K1251" s="461">
        <f t="shared" si="1036"/>
        <v>0</v>
      </c>
      <c r="L1251" s="462">
        <f t="shared" si="1037"/>
        <v>0</v>
      </c>
      <c r="M1251" s="337" t="str">
        <f t="shared" si="1043"/>
        <v>-</v>
      </c>
      <c r="N1251" s="263" t="str">
        <f t="shared" si="1044"/>
        <v>-</v>
      </c>
      <c r="O1251" s="448"/>
      <c r="P1251" s="404">
        <f t="shared" si="1038"/>
        <v>0</v>
      </c>
      <c r="Q1251" s="449">
        <f t="shared" si="1039"/>
        <v>0</v>
      </c>
    </row>
    <row r="1252" spans="1:17" ht="24" thickBot="1" x14ac:dyDescent="0.35">
      <c r="A1252" s="274" t="s">
        <v>101</v>
      </c>
      <c r="B1252" s="1109" t="s">
        <v>21</v>
      </c>
      <c r="C1252" s="1046"/>
      <c r="D1252" s="320">
        <v>0</v>
      </c>
      <c r="E1252" s="285">
        <v>15000</v>
      </c>
      <c r="F1252" s="513">
        <f>SUM(F1245:F1251)</f>
        <v>100975</v>
      </c>
      <c r="G1252" s="519">
        <f t="shared" ref="G1252:H1252" si="1045">SUM(G1245:G1251)</f>
        <v>100000</v>
      </c>
      <c r="H1252" s="519">
        <f t="shared" si="1045"/>
        <v>975</v>
      </c>
      <c r="I1252" s="520">
        <f>IFERROR(F1252/E1252,"-")</f>
        <v>6.7316666666666665</v>
      </c>
      <c r="J1252" s="513">
        <f t="shared" ref="J1252" si="1046">SUM(J1245:J1251)</f>
        <v>1117096</v>
      </c>
      <c r="K1252" s="519">
        <f>SUM(K1245:K1251)</f>
        <v>1102000</v>
      </c>
      <c r="L1252" s="519">
        <f>SUM(L1245:L1251)</f>
        <v>15096</v>
      </c>
      <c r="M1252" s="339" t="str">
        <f>IFERROR(J1252/D1252,"-")</f>
        <v>-</v>
      </c>
      <c r="N1252" s="345">
        <f t="shared" si="1044"/>
        <v>1.3513610289536441E-2</v>
      </c>
      <c r="O1252" s="391"/>
      <c r="P1252" s="406">
        <f>SUM(P1245:P1251)</f>
        <v>221410.00000000003</v>
      </c>
      <c r="Q1252" s="425">
        <f>SUM(Q1245:Q1251)</f>
        <v>2471742.7000000002</v>
      </c>
    </row>
    <row r="1253" spans="1:17" ht="24" thickBot="1" x14ac:dyDescent="0.35">
      <c r="A1253" s="274" t="s">
        <v>101</v>
      </c>
      <c r="B1253" s="1111" t="s">
        <v>248</v>
      </c>
      <c r="C1253" s="1112"/>
      <c r="D1253" s="512">
        <f>+D1249+D1252</f>
        <v>0</v>
      </c>
      <c r="E1253" s="525">
        <f>+E1249+E1252</f>
        <v>15000</v>
      </c>
      <c r="F1253" s="512">
        <f>+F1249+F1252</f>
        <v>100975</v>
      </c>
      <c r="G1253" s="514">
        <f>+G1249+G1252</f>
        <v>100000</v>
      </c>
      <c r="H1253" s="514">
        <f>+H1249+H1252</f>
        <v>975</v>
      </c>
      <c r="I1253" s="515">
        <f>IFERROR(F1253/E1253,"-")</f>
        <v>6.7316666666666665</v>
      </c>
      <c r="J1253" s="512">
        <f>+J1249+J1252</f>
        <v>1117096</v>
      </c>
      <c r="K1253" s="514">
        <f>+K1252</f>
        <v>1102000</v>
      </c>
      <c r="L1253" s="514">
        <f>+L1252</f>
        <v>15096</v>
      </c>
      <c r="M1253" s="516" t="str">
        <f t="shared" ref="M1253" si="1047">IFERROR(J1253/D1253,"-")</f>
        <v>-</v>
      </c>
      <c r="N1253" s="515">
        <f t="shared" si="1044"/>
        <v>1.3513610289536441E-2</v>
      </c>
      <c r="O1253" s="517"/>
      <c r="P1253" s="518">
        <f>+P1252</f>
        <v>221410.00000000003</v>
      </c>
      <c r="Q1253" s="518">
        <f>+Q1252</f>
        <v>2471742.7000000002</v>
      </c>
    </row>
    <row r="1254" spans="1:17" ht="23.4" x14ac:dyDescent="0.4">
      <c r="A1254" s="244" t="s">
        <v>101</v>
      </c>
      <c r="B1254" s="1106" t="s">
        <v>250</v>
      </c>
      <c r="C1254" s="542" t="s">
        <v>71</v>
      </c>
      <c r="D1254" s="527"/>
      <c r="E1254" s="459"/>
      <c r="F1254" s="694">
        <f>+G1254+H1254</f>
        <v>0</v>
      </c>
      <c r="G1254" s="527"/>
      <c r="H1254" s="458"/>
      <c r="I1254" s="531" t="str">
        <f>IFERROR(F1254/E1254,"-")</f>
        <v>-</v>
      </c>
      <c r="J1254" s="644">
        <f>+K1254+L1254</f>
        <v>44517</v>
      </c>
      <c r="K1254" s="458">
        <f t="shared" ref="K1254:K1285" si="1048">+G1254+K1188</f>
        <v>44000</v>
      </c>
      <c r="L1254" s="459">
        <f t="shared" ref="L1254:L1285" si="1049">+H1254+L1188</f>
        <v>517</v>
      </c>
      <c r="M1254" s="586" t="str">
        <f>IFERROR(J1254/D1254,"-")</f>
        <v>-</v>
      </c>
      <c r="N1254" s="533">
        <f t="shared" si="1044"/>
        <v>1.1613540894489745E-2</v>
      </c>
      <c r="O1254" s="538">
        <v>32.946300000000001</v>
      </c>
      <c r="P1254" s="534">
        <f t="shared" ref="P1254:P1287" si="1050">+O1254*G1254</f>
        <v>0</v>
      </c>
      <c r="Q1254" s="535">
        <f t="shared" ref="Q1254:Q1287" si="1051">+O1254*K1254</f>
        <v>1449637.2</v>
      </c>
    </row>
    <row r="1255" spans="1:17" ht="23.4" x14ac:dyDescent="0.4">
      <c r="A1255" s="248" t="s">
        <v>101</v>
      </c>
      <c r="B1255" s="1107"/>
      <c r="C1255" s="543" t="s">
        <v>72</v>
      </c>
      <c r="D1255" s="511"/>
      <c r="E1255" s="436"/>
      <c r="F1255" s="690">
        <f t="shared" ref="F1255:F1287" si="1052">+G1255+H1255</f>
        <v>0</v>
      </c>
      <c r="G1255" s="276"/>
      <c r="H1255" s="278"/>
      <c r="I1255" s="352" t="str">
        <f t="shared" ref="I1255:I1283" si="1053">IFERROR(F1255/E1255,"-")</f>
        <v>-</v>
      </c>
      <c r="J1255" s="874">
        <f t="shared" ref="J1255:J1287" si="1054">+K1255+L1255</f>
        <v>10595</v>
      </c>
      <c r="K1255" s="278">
        <f t="shared" si="1048"/>
        <v>10500</v>
      </c>
      <c r="L1255" s="436">
        <f t="shared" si="1049"/>
        <v>95</v>
      </c>
      <c r="M1255" s="337" t="str">
        <f t="shared" ref="M1255:M1283" si="1055">IFERROR(J1255/D1255,"-")</f>
        <v>-</v>
      </c>
      <c r="N1255" s="265">
        <f t="shared" si="1044"/>
        <v>8.9664936290703157E-3</v>
      </c>
      <c r="O1255" s="508">
        <v>35.398400000000002</v>
      </c>
      <c r="P1255" s="404">
        <f t="shared" si="1050"/>
        <v>0</v>
      </c>
      <c r="Q1255" s="449">
        <f t="shared" si="1051"/>
        <v>371683.2</v>
      </c>
    </row>
    <row r="1256" spans="1:17" ht="24" thickBot="1" x14ac:dyDescent="0.45">
      <c r="A1256" s="248" t="s">
        <v>101</v>
      </c>
      <c r="B1256" s="1108"/>
      <c r="C1256" s="543" t="s">
        <v>455</v>
      </c>
      <c r="D1256" s="276"/>
      <c r="E1256" s="436"/>
      <c r="F1256" s="690">
        <f t="shared" si="1052"/>
        <v>0</v>
      </c>
      <c r="G1256" s="276"/>
      <c r="H1256" s="278"/>
      <c r="I1256" s="352" t="str">
        <f t="shared" si="1053"/>
        <v>-</v>
      </c>
      <c r="J1256" s="874">
        <f t="shared" si="1054"/>
        <v>10147</v>
      </c>
      <c r="K1256" s="278">
        <f t="shared" si="1048"/>
        <v>9900</v>
      </c>
      <c r="L1256" s="436">
        <f t="shared" si="1049"/>
        <v>247</v>
      </c>
      <c r="M1256" s="337" t="str">
        <f t="shared" si="1055"/>
        <v>-</v>
      </c>
      <c r="N1256" s="265">
        <f>IFERROR(L1256/J1256,"-")</f>
        <v>2.4342170099536809E-2</v>
      </c>
      <c r="O1256" s="508">
        <v>35.398400000000002</v>
      </c>
      <c r="P1256" s="404">
        <f t="shared" si="1050"/>
        <v>0</v>
      </c>
      <c r="Q1256" s="449">
        <f t="shared" si="1051"/>
        <v>350444.16000000003</v>
      </c>
    </row>
    <row r="1257" spans="1:17" ht="23.4" x14ac:dyDescent="0.4">
      <c r="A1257" s="248" t="s">
        <v>101</v>
      </c>
      <c r="B1257" s="1106" t="s">
        <v>251</v>
      </c>
      <c r="C1257" s="545" t="s">
        <v>75</v>
      </c>
      <c r="D1257" s="276"/>
      <c r="E1257" s="528"/>
      <c r="F1257" s="696">
        <f t="shared" si="1052"/>
        <v>5560</v>
      </c>
      <c r="G1257" s="276">
        <v>5440</v>
      </c>
      <c r="H1257" s="278">
        <v>120</v>
      </c>
      <c r="I1257" s="352" t="str">
        <f t="shared" si="1053"/>
        <v>-</v>
      </c>
      <c r="J1257" s="874">
        <f t="shared" si="1054"/>
        <v>77319</v>
      </c>
      <c r="K1257" s="278">
        <f t="shared" si="1048"/>
        <v>75919</v>
      </c>
      <c r="L1257" s="436">
        <f t="shared" si="1049"/>
        <v>1400</v>
      </c>
      <c r="M1257" s="337" t="str">
        <f t="shared" si="1055"/>
        <v>-</v>
      </c>
      <c r="N1257" s="265">
        <f t="shared" ref="N1257:N1259" si="1056">IFERROR(L1257/J1257,"-")</f>
        <v>1.8106804278379181E-2</v>
      </c>
      <c r="O1257" s="508">
        <v>55.4758</v>
      </c>
      <c r="P1257" s="404">
        <f t="shared" si="1050"/>
        <v>301788.35200000001</v>
      </c>
      <c r="Q1257" s="449">
        <f t="shared" si="1051"/>
        <v>4211667.2602000004</v>
      </c>
    </row>
    <row r="1258" spans="1:17" ht="23.4" x14ac:dyDescent="0.4">
      <c r="A1258" s="248" t="s">
        <v>101</v>
      </c>
      <c r="B1258" s="1107"/>
      <c r="C1258" s="545" t="s">
        <v>72</v>
      </c>
      <c r="D1258" s="276"/>
      <c r="E1258" s="529"/>
      <c r="F1258" s="696">
        <f t="shared" si="1052"/>
        <v>0</v>
      </c>
      <c r="G1258" s="276"/>
      <c r="H1258" s="278"/>
      <c r="I1258" s="352" t="str">
        <f t="shared" si="1053"/>
        <v>-</v>
      </c>
      <c r="J1258" s="874">
        <f t="shared" si="1054"/>
        <v>0</v>
      </c>
      <c r="K1258" s="278">
        <f t="shared" si="1048"/>
        <v>0</v>
      </c>
      <c r="L1258" s="436">
        <f t="shared" si="1049"/>
        <v>0</v>
      </c>
      <c r="M1258" s="337" t="str">
        <f t="shared" si="1055"/>
        <v>-</v>
      </c>
      <c r="N1258" s="265" t="str">
        <f t="shared" si="1056"/>
        <v>-</v>
      </c>
      <c r="O1258" s="540">
        <v>58.836300000000001</v>
      </c>
      <c r="P1258" s="404">
        <f t="shared" si="1050"/>
        <v>0</v>
      </c>
      <c r="Q1258" s="449">
        <f t="shared" si="1051"/>
        <v>0</v>
      </c>
    </row>
    <row r="1259" spans="1:17" ht="23.4" x14ac:dyDescent="0.4">
      <c r="A1259" s="248" t="s">
        <v>101</v>
      </c>
      <c r="B1259" s="1107"/>
      <c r="C1259" s="545" t="s">
        <v>347</v>
      </c>
      <c r="D1259" s="276"/>
      <c r="E1259" s="435"/>
      <c r="F1259" s="696">
        <f t="shared" si="1052"/>
        <v>0</v>
      </c>
      <c r="G1259" s="276"/>
      <c r="H1259" s="278"/>
      <c r="I1259" s="352" t="str">
        <f t="shared" si="1053"/>
        <v>-</v>
      </c>
      <c r="J1259" s="874">
        <f t="shared" si="1054"/>
        <v>2745</v>
      </c>
      <c r="K1259" s="278">
        <f t="shared" si="1048"/>
        <v>2305</v>
      </c>
      <c r="L1259" s="436">
        <f t="shared" si="1049"/>
        <v>440</v>
      </c>
      <c r="M1259" s="337" t="str">
        <f t="shared" si="1055"/>
        <v>-</v>
      </c>
      <c r="N1259" s="263">
        <f t="shared" si="1056"/>
        <v>0.16029143897996356</v>
      </c>
      <c r="O1259" s="710">
        <v>58.836300000000001</v>
      </c>
      <c r="P1259" s="404">
        <f t="shared" si="1050"/>
        <v>0</v>
      </c>
      <c r="Q1259" s="449">
        <f t="shared" si="1051"/>
        <v>135617.6715</v>
      </c>
    </row>
    <row r="1260" spans="1:17" ht="24" thickBot="1" x14ac:dyDescent="0.45">
      <c r="A1260" s="248"/>
      <c r="B1260" s="1108"/>
      <c r="C1260" s="545" t="s">
        <v>361</v>
      </c>
      <c r="D1260" s="276"/>
      <c r="E1260" s="435"/>
      <c r="F1260" s="696">
        <f t="shared" si="1052"/>
        <v>0</v>
      </c>
      <c r="G1260" s="276"/>
      <c r="H1260" s="278"/>
      <c r="I1260" s="352" t="str">
        <f t="shared" si="1053"/>
        <v>-</v>
      </c>
      <c r="J1260" s="874">
        <f t="shared" si="1054"/>
        <v>0</v>
      </c>
      <c r="K1260" s="278">
        <f t="shared" si="1048"/>
        <v>0</v>
      </c>
      <c r="L1260" s="436">
        <f t="shared" si="1049"/>
        <v>0</v>
      </c>
      <c r="M1260" s="337" t="str">
        <f t="shared" si="1055"/>
        <v>-</v>
      </c>
      <c r="N1260" s="263" t="str">
        <f>IFERROR(L1260/J1260,"-")</f>
        <v>-</v>
      </c>
      <c r="O1260" s="508">
        <v>55.4758</v>
      </c>
      <c r="P1260" s="404">
        <f t="shared" si="1050"/>
        <v>0</v>
      </c>
      <c r="Q1260" s="449">
        <f t="shared" si="1051"/>
        <v>0</v>
      </c>
    </row>
    <row r="1261" spans="1:17" ht="23.4" x14ac:dyDescent="0.4">
      <c r="A1261" s="248" t="s">
        <v>101</v>
      </c>
      <c r="B1261" s="1106" t="s">
        <v>409</v>
      </c>
      <c r="C1261" s="543" t="s">
        <v>77</v>
      </c>
      <c r="D1261" s="276"/>
      <c r="E1261" s="436"/>
      <c r="F1261" s="690">
        <f t="shared" si="1052"/>
        <v>0</v>
      </c>
      <c r="G1261" s="276"/>
      <c r="H1261" s="278"/>
      <c r="I1261" s="352" t="str">
        <f t="shared" si="1053"/>
        <v>-</v>
      </c>
      <c r="J1261" s="874">
        <f t="shared" si="1054"/>
        <v>24300</v>
      </c>
      <c r="K1261" s="719">
        <f t="shared" si="1048"/>
        <v>23960</v>
      </c>
      <c r="L1261" s="815">
        <f t="shared" si="1049"/>
        <v>340</v>
      </c>
      <c r="M1261" s="337" t="str">
        <f t="shared" si="1055"/>
        <v>-</v>
      </c>
      <c r="N1261" s="263">
        <f t="shared" ref="N1261:N1283" si="1057">IFERROR(L1261/J1261,"-")</f>
        <v>1.3991769547325103E-2</v>
      </c>
      <c r="O1261" s="508">
        <v>25.687200000000001</v>
      </c>
      <c r="P1261" s="404">
        <f t="shared" si="1050"/>
        <v>0</v>
      </c>
      <c r="Q1261" s="449">
        <f t="shared" si="1051"/>
        <v>615465.31200000003</v>
      </c>
    </row>
    <row r="1262" spans="1:17" ht="24" thickBot="1" x14ac:dyDescent="0.45">
      <c r="A1262" s="248" t="s">
        <v>101</v>
      </c>
      <c r="B1262" s="1108"/>
      <c r="C1262" s="543" t="s">
        <v>117</v>
      </c>
      <c r="D1262" s="276"/>
      <c r="E1262" s="436"/>
      <c r="F1262" s="690">
        <f t="shared" si="1052"/>
        <v>0</v>
      </c>
      <c r="G1262" s="276"/>
      <c r="H1262" s="278"/>
      <c r="I1262" s="352" t="str">
        <f t="shared" si="1053"/>
        <v>-</v>
      </c>
      <c r="J1262" s="874">
        <f t="shared" si="1054"/>
        <v>0</v>
      </c>
      <c r="K1262" s="278">
        <f t="shared" si="1048"/>
        <v>0</v>
      </c>
      <c r="L1262" s="436">
        <f t="shared" si="1049"/>
        <v>0</v>
      </c>
      <c r="M1262" s="337" t="str">
        <f t="shared" si="1055"/>
        <v>-</v>
      </c>
      <c r="N1262" s="263" t="str">
        <f t="shared" si="1057"/>
        <v>-</v>
      </c>
      <c r="O1262" s="508">
        <v>25.033899999999999</v>
      </c>
      <c r="P1262" s="404">
        <f t="shared" si="1050"/>
        <v>0</v>
      </c>
      <c r="Q1262" s="449">
        <f t="shared" si="1051"/>
        <v>0</v>
      </c>
    </row>
    <row r="1263" spans="1:17" ht="23.4" x14ac:dyDescent="0.4">
      <c r="A1263" s="248"/>
      <c r="B1263" s="1106" t="s">
        <v>410</v>
      </c>
      <c r="C1263" s="543" t="s">
        <v>79</v>
      </c>
      <c r="D1263" s="276"/>
      <c r="E1263" s="436"/>
      <c r="F1263" s="690">
        <f t="shared" si="1052"/>
        <v>2362</v>
      </c>
      <c r="G1263" s="276">
        <v>2330</v>
      </c>
      <c r="H1263" s="278">
        <v>32</v>
      </c>
      <c r="I1263" s="352" t="str">
        <f t="shared" si="1053"/>
        <v>-</v>
      </c>
      <c r="J1263" s="874">
        <f t="shared" si="1054"/>
        <v>26578</v>
      </c>
      <c r="K1263" s="278">
        <f t="shared" si="1048"/>
        <v>26280</v>
      </c>
      <c r="L1263" s="436">
        <f t="shared" si="1049"/>
        <v>298</v>
      </c>
      <c r="M1263" s="337" t="str">
        <f t="shared" si="1055"/>
        <v>-</v>
      </c>
      <c r="N1263" s="263">
        <f t="shared" si="1057"/>
        <v>1.1212280833772292E-2</v>
      </c>
      <c r="O1263" s="508">
        <v>41.992699999999999</v>
      </c>
      <c r="P1263" s="404">
        <f t="shared" si="1050"/>
        <v>97842.990999999995</v>
      </c>
      <c r="Q1263" s="449">
        <f t="shared" si="1051"/>
        <v>1103568.156</v>
      </c>
    </row>
    <row r="1264" spans="1:17" ht="23.4" x14ac:dyDescent="0.4">
      <c r="A1264" s="248"/>
      <c r="B1264" s="1107"/>
      <c r="C1264" s="543" t="s">
        <v>72</v>
      </c>
      <c r="D1264" s="276"/>
      <c r="E1264" s="436"/>
      <c r="F1264" s="690">
        <f t="shared" si="1052"/>
        <v>0</v>
      </c>
      <c r="G1264" s="276"/>
      <c r="H1264" s="278"/>
      <c r="I1264" s="352" t="str">
        <f t="shared" si="1053"/>
        <v>-</v>
      </c>
      <c r="J1264" s="874">
        <f t="shared" si="1054"/>
        <v>0</v>
      </c>
      <c r="K1264" s="278">
        <f t="shared" si="1048"/>
        <v>0</v>
      </c>
      <c r="L1264" s="436">
        <f t="shared" si="1049"/>
        <v>0</v>
      </c>
      <c r="M1264" s="337" t="str">
        <f t="shared" si="1055"/>
        <v>-</v>
      </c>
      <c r="N1264" s="263" t="str">
        <f t="shared" si="1057"/>
        <v>-</v>
      </c>
      <c r="O1264" s="508">
        <v>42.283799999999999</v>
      </c>
      <c r="P1264" s="404">
        <f t="shared" si="1050"/>
        <v>0</v>
      </c>
      <c r="Q1264" s="449">
        <f t="shared" si="1051"/>
        <v>0</v>
      </c>
    </row>
    <row r="1265" spans="1:17" ht="23.4" x14ac:dyDescent="0.4">
      <c r="A1265" s="248"/>
      <c r="B1265" s="1107"/>
      <c r="C1265" s="543" t="s">
        <v>380</v>
      </c>
      <c r="D1265" s="276"/>
      <c r="E1265" s="436"/>
      <c r="F1265" s="690">
        <f t="shared" si="1052"/>
        <v>0</v>
      </c>
      <c r="G1265" s="276"/>
      <c r="H1265" s="278"/>
      <c r="I1265" s="352" t="str">
        <f t="shared" si="1053"/>
        <v>-</v>
      </c>
      <c r="J1265" s="874">
        <f t="shared" si="1054"/>
        <v>0</v>
      </c>
      <c r="K1265" s="278">
        <f t="shared" si="1048"/>
        <v>0</v>
      </c>
      <c r="L1265" s="436">
        <f t="shared" si="1049"/>
        <v>0</v>
      </c>
      <c r="M1265" s="337" t="str">
        <f t="shared" si="1055"/>
        <v>-</v>
      </c>
      <c r="N1265" s="263" t="str">
        <f t="shared" si="1057"/>
        <v>-</v>
      </c>
      <c r="O1265" s="710">
        <v>41.992699999999999</v>
      </c>
      <c r="P1265" s="404">
        <f t="shared" si="1050"/>
        <v>0</v>
      </c>
      <c r="Q1265" s="449">
        <f t="shared" si="1051"/>
        <v>0</v>
      </c>
    </row>
    <row r="1266" spans="1:17" ht="24" thickBot="1" x14ac:dyDescent="0.45">
      <c r="A1266" s="248"/>
      <c r="B1266" s="1108"/>
      <c r="C1266" s="543" t="s">
        <v>381</v>
      </c>
      <c r="D1266" s="276"/>
      <c r="E1266" s="436"/>
      <c r="F1266" s="690">
        <f t="shared" si="1052"/>
        <v>0</v>
      </c>
      <c r="G1266" s="276"/>
      <c r="H1266" s="278"/>
      <c r="I1266" s="352" t="str">
        <f t="shared" si="1053"/>
        <v>-</v>
      </c>
      <c r="J1266" s="874">
        <f t="shared" si="1054"/>
        <v>0</v>
      </c>
      <c r="K1266" s="278">
        <f t="shared" si="1048"/>
        <v>0</v>
      </c>
      <c r="L1266" s="436">
        <f t="shared" si="1049"/>
        <v>0</v>
      </c>
      <c r="M1266" s="337" t="str">
        <f t="shared" si="1055"/>
        <v>-</v>
      </c>
      <c r="N1266" s="263" t="str">
        <f t="shared" si="1057"/>
        <v>-</v>
      </c>
      <c r="O1266" s="710">
        <v>42.283799999999999</v>
      </c>
      <c r="P1266" s="404">
        <f t="shared" si="1050"/>
        <v>0</v>
      </c>
      <c r="Q1266" s="449">
        <f t="shared" si="1051"/>
        <v>0</v>
      </c>
    </row>
    <row r="1267" spans="1:17" ht="24" thickBot="1" x14ac:dyDescent="0.45">
      <c r="A1267" s="248"/>
      <c r="B1267" s="717" t="s">
        <v>80</v>
      </c>
      <c r="C1267" s="543" t="s">
        <v>81</v>
      </c>
      <c r="D1267" s="276"/>
      <c r="E1267" s="436"/>
      <c r="F1267" s="690">
        <f t="shared" si="1052"/>
        <v>0</v>
      </c>
      <c r="G1267" s="276"/>
      <c r="H1267" s="278"/>
      <c r="I1267" s="352" t="str">
        <f t="shared" si="1053"/>
        <v>-</v>
      </c>
      <c r="J1267" s="874">
        <f t="shared" si="1054"/>
        <v>23163</v>
      </c>
      <c r="K1267" s="278">
        <f t="shared" si="1048"/>
        <v>22200</v>
      </c>
      <c r="L1267" s="687">
        <f t="shared" si="1049"/>
        <v>963</v>
      </c>
      <c r="M1267" s="337" t="str">
        <f t="shared" si="1055"/>
        <v>-</v>
      </c>
      <c r="N1267" s="263">
        <f t="shared" si="1057"/>
        <v>4.1574925527781373E-2</v>
      </c>
      <c r="O1267" s="508">
        <v>4.3535000000000004</v>
      </c>
      <c r="P1267" s="404">
        <f t="shared" si="1050"/>
        <v>0</v>
      </c>
      <c r="Q1267" s="449">
        <f t="shared" si="1051"/>
        <v>96647.700000000012</v>
      </c>
    </row>
    <row r="1268" spans="1:17" ht="23.4" x14ac:dyDescent="0.4">
      <c r="A1268" s="248"/>
      <c r="B1268" s="1106" t="s">
        <v>253</v>
      </c>
      <c r="C1268" s="543" t="s">
        <v>77</v>
      </c>
      <c r="D1268" s="276"/>
      <c r="E1268" s="436"/>
      <c r="F1268" s="690">
        <f t="shared" si="1052"/>
        <v>42020</v>
      </c>
      <c r="G1268" s="276">
        <v>41800</v>
      </c>
      <c r="H1268" s="278">
        <v>220</v>
      </c>
      <c r="I1268" s="352" t="str">
        <f t="shared" si="1053"/>
        <v>-</v>
      </c>
      <c r="J1268" s="874">
        <f t="shared" si="1054"/>
        <v>762606</v>
      </c>
      <c r="K1268" s="278">
        <f t="shared" si="1048"/>
        <v>755400</v>
      </c>
      <c r="L1268" s="436">
        <f t="shared" si="1049"/>
        <v>7206</v>
      </c>
      <c r="M1268" s="337" t="str">
        <f t="shared" si="1055"/>
        <v>-</v>
      </c>
      <c r="N1268" s="263">
        <f t="shared" si="1057"/>
        <v>9.4491782126025752E-3</v>
      </c>
      <c r="O1268" s="508">
        <v>4.6184000000000003</v>
      </c>
      <c r="P1268" s="404">
        <f t="shared" si="1050"/>
        <v>193049.12000000002</v>
      </c>
      <c r="Q1268" s="449">
        <f t="shared" si="1051"/>
        <v>3488739.3600000003</v>
      </c>
    </row>
    <row r="1269" spans="1:17" ht="23.4" x14ac:dyDescent="0.4">
      <c r="A1269" s="248"/>
      <c r="B1269" s="1107"/>
      <c r="C1269" s="543" t="s">
        <v>340</v>
      </c>
      <c r="D1269" s="276"/>
      <c r="E1269" s="436"/>
      <c r="F1269" s="690">
        <f t="shared" si="1052"/>
        <v>0</v>
      </c>
      <c r="G1269" s="276"/>
      <c r="H1269" s="278"/>
      <c r="I1269" s="352" t="str">
        <f t="shared" si="1053"/>
        <v>-</v>
      </c>
      <c r="J1269" s="874">
        <f t="shared" si="1054"/>
        <v>0</v>
      </c>
      <c r="K1269" s="278">
        <f t="shared" si="1048"/>
        <v>0</v>
      </c>
      <c r="L1269" s="436">
        <f t="shared" si="1049"/>
        <v>0</v>
      </c>
      <c r="M1269" s="337" t="str">
        <f t="shared" si="1055"/>
        <v>-</v>
      </c>
      <c r="N1269" s="263" t="str">
        <f t="shared" si="1057"/>
        <v>-</v>
      </c>
      <c r="O1269" s="508">
        <v>4.6184000000000003</v>
      </c>
      <c r="P1269" s="404">
        <f t="shared" si="1050"/>
        <v>0</v>
      </c>
      <c r="Q1269" s="449">
        <f t="shared" si="1051"/>
        <v>0</v>
      </c>
    </row>
    <row r="1270" spans="1:17" ht="23.4" x14ac:dyDescent="0.4">
      <c r="A1270" s="248"/>
      <c r="B1270" s="1107"/>
      <c r="C1270" s="543" t="s">
        <v>252</v>
      </c>
      <c r="D1270" s="276"/>
      <c r="E1270" s="436"/>
      <c r="F1270" s="690">
        <f t="shared" si="1052"/>
        <v>0</v>
      </c>
      <c r="G1270" s="276"/>
      <c r="H1270" s="278"/>
      <c r="I1270" s="352" t="str">
        <f t="shared" si="1053"/>
        <v>-</v>
      </c>
      <c r="J1270" s="874">
        <f t="shared" si="1054"/>
        <v>0</v>
      </c>
      <c r="K1270" s="278">
        <f t="shared" si="1048"/>
        <v>0</v>
      </c>
      <c r="L1270" s="436">
        <f t="shared" si="1049"/>
        <v>0</v>
      </c>
      <c r="M1270" s="337" t="str">
        <f t="shared" si="1055"/>
        <v>-</v>
      </c>
      <c r="N1270" s="263" t="str">
        <f t="shared" si="1057"/>
        <v>-</v>
      </c>
      <c r="O1270" s="508">
        <v>4.6184000000000003</v>
      </c>
      <c r="P1270" s="404">
        <f t="shared" si="1050"/>
        <v>0</v>
      </c>
      <c r="Q1270" s="449">
        <f t="shared" si="1051"/>
        <v>0</v>
      </c>
    </row>
    <row r="1271" spans="1:17" ht="23.4" x14ac:dyDescent="0.4">
      <c r="A1271" s="248"/>
      <c r="B1271" s="1107"/>
      <c r="C1271" s="543" t="s">
        <v>350</v>
      </c>
      <c r="D1271" s="276"/>
      <c r="E1271" s="436"/>
      <c r="F1271" s="690">
        <f t="shared" si="1052"/>
        <v>0</v>
      </c>
      <c r="G1271" s="276"/>
      <c r="H1271" s="278"/>
      <c r="I1271" s="352" t="str">
        <f t="shared" si="1053"/>
        <v>-</v>
      </c>
      <c r="J1271" s="874">
        <f t="shared" si="1054"/>
        <v>0</v>
      </c>
      <c r="K1271" s="686">
        <f t="shared" si="1048"/>
        <v>0</v>
      </c>
      <c r="L1271" s="687">
        <f t="shared" si="1049"/>
        <v>0</v>
      </c>
      <c r="M1271" s="337" t="str">
        <f t="shared" si="1055"/>
        <v>-</v>
      </c>
      <c r="N1271" s="263" t="str">
        <f t="shared" si="1057"/>
        <v>-</v>
      </c>
      <c r="O1271" s="508">
        <v>4.7636000000000003</v>
      </c>
      <c r="P1271" s="404">
        <f t="shared" si="1050"/>
        <v>0</v>
      </c>
      <c r="Q1271" s="449">
        <f t="shared" si="1051"/>
        <v>0</v>
      </c>
    </row>
    <row r="1272" spans="1:17" ht="24" thickBot="1" x14ac:dyDescent="0.45">
      <c r="A1272" s="248"/>
      <c r="B1272" s="1108"/>
      <c r="C1272" s="543" t="s">
        <v>346</v>
      </c>
      <c r="D1272" s="276"/>
      <c r="E1272" s="436"/>
      <c r="F1272" s="690">
        <f t="shared" si="1052"/>
        <v>0</v>
      </c>
      <c r="G1272" s="276"/>
      <c r="H1272" s="278"/>
      <c r="I1272" s="352" t="str">
        <f t="shared" si="1053"/>
        <v>-</v>
      </c>
      <c r="J1272" s="874">
        <f t="shared" si="1054"/>
        <v>0</v>
      </c>
      <c r="K1272" s="278">
        <f t="shared" si="1048"/>
        <v>0</v>
      </c>
      <c r="L1272" s="436">
        <f t="shared" si="1049"/>
        <v>0</v>
      </c>
      <c r="M1272" s="337" t="str">
        <f t="shared" si="1055"/>
        <v>-</v>
      </c>
      <c r="N1272" s="263" t="str">
        <f t="shared" si="1057"/>
        <v>-</v>
      </c>
      <c r="O1272" s="508">
        <v>4.8738000000000001</v>
      </c>
      <c r="P1272" s="404">
        <f t="shared" si="1050"/>
        <v>0</v>
      </c>
      <c r="Q1272" s="449">
        <f t="shared" si="1051"/>
        <v>0</v>
      </c>
    </row>
    <row r="1273" spans="1:17" ht="24" thickBot="1" x14ac:dyDescent="0.45">
      <c r="A1273" s="248"/>
      <c r="B1273" s="717" t="s">
        <v>254</v>
      </c>
      <c r="C1273" s="543" t="s">
        <v>520</v>
      </c>
      <c r="D1273" s="276"/>
      <c r="E1273" s="436"/>
      <c r="F1273" s="690">
        <f t="shared" si="1052"/>
        <v>0</v>
      </c>
      <c r="G1273" s="276"/>
      <c r="H1273" s="278"/>
      <c r="I1273" s="352" t="str">
        <f t="shared" si="1053"/>
        <v>-</v>
      </c>
      <c r="J1273" s="874">
        <f t="shared" si="1054"/>
        <v>17752</v>
      </c>
      <c r="K1273" s="278">
        <f t="shared" si="1048"/>
        <v>17600</v>
      </c>
      <c r="L1273" s="436">
        <f t="shared" si="1049"/>
        <v>152</v>
      </c>
      <c r="M1273" s="337" t="str">
        <f t="shared" si="1055"/>
        <v>-</v>
      </c>
      <c r="N1273" s="263">
        <f t="shared" si="1057"/>
        <v>8.5624155024785938E-3</v>
      </c>
      <c r="O1273" s="508">
        <v>4.8738000000000001</v>
      </c>
      <c r="P1273" s="404">
        <f t="shared" si="1050"/>
        <v>0</v>
      </c>
      <c r="Q1273" s="449">
        <f t="shared" si="1051"/>
        <v>85778.880000000005</v>
      </c>
    </row>
    <row r="1274" spans="1:17" ht="23.4" x14ac:dyDescent="0.4">
      <c r="A1274" s="248"/>
      <c r="B1274" s="1106" t="s">
        <v>256</v>
      </c>
      <c r="C1274" s="543" t="s">
        <v>77</v>
      </c>
      <c r="D1274" s="276"/>
      <c r="E1274" s="436"/>
      <c r="F1274" s="690">
        <f t="shared" si="1052"/>
        <v>50252</v>
      </c>
      <c r="G1274" s="276">
        <v>49350</v>
      </c>
      <c r="H1274" s="278">
        <v>902</v>
      </c>
      <c r="I1274" s="352" t="str">
        <f t="shared" si="1053"/>
        <v>-</v>
      </c>
      <c r="J1274" s="874">
        <f t="shared" si="1054"/>
        <v>846564</v>
      </c>
      <c r="K1274" s="719">
        <f t="shared" si="1048"/>
        <v>831390</v>
      </c>
      <c r="L1274" s="815">
        <f t="shared" si="1049"/>
        <v>15174</v>
      </c>
      <c r="M1274" s="337" t="str">
        <f t="shared" si="1055"/>
        <v>-</v>
      </c>
      <c r="N1274" s="263">
        <f t="shared" si="1057"/>
        <v>1.7924220732277771E-2</v>
      </c>
      <c r="O1274" s="508">
        <v>4.9344999999999999</v>
      </c>
      <c r="P1274" s="404">
        <f t="shared" si="1050"/>
        <v>243517.57499999998</v>
      </c>
      <c r="Q1274" s="449">
        <f t="shared" si="1051"/>
        <v>4102493.9550000001</v>
      </c>
    </row>
    <row r="1275" spans="1:17" ht="23.4" x14ac:dyDescent="0.4">
      <c r="A1275" s="248"/>
      <c r="B1275" s="1107"/>
      <c r="C1275" s="543" t="s">
        <v>135</v>
      </c>
      <c r="D1275" s="276"/>
      <c r="E1275" s="436"/>
      <c r="F1275" s="690">
        <f t="shared" si="1052"/>
        <v>0</v>
      </c>
      <c r="G1275" s="276"/>
      <c r="H1275" s="278"/>
      <c r="I1275" s="352" t="str">
        <f t="shared" si="1053"/>
        <v>-</v>
      </c>
      <c r="J1275" s="874">
        <f t="shared" si="1054"/>
        <v>0</v>
      </c>
      <c r="K1275" s="278">
        <f t="shared" si="1048"/>
        <v>0</v>
      </c>
      <c r="L1275" s="436">
        <f t="shared" si="1049"/>
        <v>0</v>
      </c>
      <c r="M1275" s="337" t="str">
        <f t="shared" si="1055"/>
        <v>-</v>
      </c>
      <c r="N1275" s="263" t="str">
        <f t="shared" si="1057"/>
        <v>-</v>
      </c>
      <c r="O1275" s="508">
        <v>4.9344999999999999</v>
      </c>
      <c r="P1275" s="404">
        <f t="shared" si="1050"/>
        <v>0</v>
      </c>
      <c r="Q1275" s="449">
        <f t="shared" si="1051"/>
        <v>0</v>
      </c>
    </row>
    <row r="1276" spans="1:17" ht="23.4" x14ac:dyDescent="0.4">
      <c r="A1276" s="248"/>
      <c r="B1276" s="1107"/>
      <c r="C1276" s="543" t="s">
        <v>129</v>
      </c>
      <c r="D1276" s="276"/>
      <c r="E1276" s="436"/>
      <c r="F1276" s="690">
        <f t="shared" si="1052"/>
        <v>0</v>
      </c>
      <c r="G1276" s="276"/>
      <c r="H1276" s="278"/>
      <c r="I1276" s="352" t="str">
        <f t="shared" si="1053"/>
        <v>-</v>
      </c>
      <c r="J1276" s="874">
        <f t="shared" si="1054"/>
        <v>0</v>
      </c>
      <c r="K1276" s="278">
        <f t="shared" si="1048"/>
        <v>0</v>
      </c>
      <c r="L1276" s="436">
        <f t="shared" si="1049"/>
        <v>0</v>
      </c>
      <c r="M1276" s="337" t="str">
        <f t="shared" si="1055"/>
        <v>-</v>
      </c>
      <c r="N1276" s="263" t="str">
        <f t="shared" si="1057"/>
        <v>-</v>
      </c>
      <c r="O1276" s="508">
        <v>4.9344999999999999</v>
      </c>
      <c r="P1276" s="404">
        <f t="shared" si="1050"/>
        <v>0</v>
      </c>
      <c r="Q1276" s="449">
        <f t="shared" si="1051"/>
        <v>0</v>
      </c>
    </row>
    <row r="1277" spans="1:17" ht="24" thickBot="1" x14ac:dyDescent="0.45">
      <c r="A1277" s="248"/>
      <c r="B1277" s="1108"/>
      <c r="C1277" s="543" t="s">
        <v>255</v>
      </c>
      <c r="D1277" s="276"/>
      <c r="E1277" s="436"/>
      <c r="F1277" s="690">
        <f t="shared" si="1052"/>
        <v>0</v>
      </c>
      <c r="G1277" s="276"/>
      <c r="H1277" s="278"/>
      <c r="I1277" s="352" t="str">
        <f t="shared" si="1053"/>
        <v>-</v>
      </c>
      <c r="J1277" s="874">
        <f t="shared" si="1054"/>
        <v>0</v>
      </c>
      <c r="K1277" s="278">
        <f t="shared" si="1048"/>
        <v>0</v>
      </c>
      <c r="L1277" s="436">
        <f t="shared" si="1049"/>
        <v>0</v>
      </c>
      <c r="M1277" s="337" t="str">
        <f t="shared" si="1055"/>
        <v>-</v>
      </c>
      <c r="N1277" s="263" t="str">
        <f t="shared" si="1057"/>
        <v>-</v>
      </c>
      <c r="O1277" s="508">
        <v>5.5069999999999997</v>
      </c>
      <c r="P1277" s="404">
        <f t="shared" si="1050"/>
        <v>0</v>
      </c>
      <c r="Q1277" s="449">
        <f t="shared" si="1051"/>
        <v>0</v>
      </c>
    </row>
    <row r="1278" spans="1:17" ht="23.4" x14ac:dyDescent="0.4">
      <c r="A1278" s="248"/>
      <c r="B1278" s="1106" t="s">
        <v>261</v>
      </c>
      <c r="C1278" s="543" t="s">
        <v>257</v>
      </c>
      <c r="D1278" s="276"/>
      <c r="E1278" s="436"/>
      <c r="F1278" s="690">
        <f t="shared" si="1052"/>
        <v>27820</v>
      </c>
      <c r="G1278" s="276">
        <v>27650</v>
      </c>
      <c r="H1278" s="278">
        <v>170</v>
      </c>
      <c r="I1278" s="352" t="str">
        <f t="shared" si="1053"/>
        <v>-</v>
      </c>
      <c r="J1278" s="874">
        <f t="shared" si="1054"/>
        <v>748484</v>
      </c>
      <c r="K1278" s="719">
        <f t="shared" si="1048"/>
        <v>739200</v>
      </c>
      <c r="L1278" s="687">
        <f t="shared" si="1049"/>
        <v>9284</v>
      </c>
      <c r="M1278" s="337" t="str">
        <f t="shared" si="1055"/>
        <v>-</v>
      </c>
      <c r="N1278" s="263">
        <f t="shared" si="1057"/>
        <v>1.2403738757274704E-2</v>
      </c>
      <c r="O1278" s="710">
        <v>5.5069999999999997</v>
      </c>
      <c r="P1278" s="404">
        <f t="shared" si="1050"/>
        <v>152268.54999999999</v>
      </c>
      <c r="Q1278" s="449">
        <f t="shared" si="1051"/>
        <v>4070774.4</v>
      </c>
    </row>
    <row r="1279" spans="1:17" ht="23.4" x14ac:dyDescent="0.4">
      <c r="A1279" s="248"/>
      <c r="B1279" s="1107"/>
      <c r="C1279" s="543" t="s">
        <v>258</v>
      </c>
      <c r="D1279" s="276"/>
      <c r="E1279" s="436"/>
      <c r="F1279" s="690">
        <f t="shared" si="1052"/>
        <v>0</v>
      </c>
      <c r="G1279" s="276"/>
      <c r="H1279" s="278"/>
      <c r="I1279" s="352" t="str">
        <f t="shared" si="1053"/>
        <v>-</v>
      </c>
      <c r="J1279" s="874">
        <f t="shared" si="1054"/>
        <v>0</v>
      </c>
      <c r="K1279" s="278">
        <f t="shared" si="1048"/>
        <v>0</v>
      </c>
      <c r="L1279" s="436">
        <f t="shared" si="1049"/>
        <v>0</v>
      </c>
      <c r="M1279" s="337" t="str">
        <f t="shared" si="1055"/>
        <v>-</v>
      </c>
      <c r="N1279" s="263" t="str">
        <f t="shared" si="1057"/>
        <v>-</v>
      </c>
      <c r="O1279" s="508">
        <v>5.6550000000000002</v>
      </c>
      <c r="P1279" s="404">
        <f t="shared" si="1050"/>
        <v>0</v>
      </c>
      <c r="Q1279" s="449">
        <f t="shared" si="1051"/>
        <v>0</v>
      </c>
    </row>
    <row r="1280" spans="1:17" ht="23.4" x14ac:dyDescent="0.4">
      <c r="A1280" s="248"/>
      <c r="B1280" s="1107"/>
      <c r="C1280" s="543" t="s">
        <v>321</v>
      </c>
      <c r="D1280" s="276"/>
      <c r="E1280" s="436"/>
      <c r="F1280" s="690">
        <f t="shared" si="1052"/>
        <v>0</v>
      </c>
      <c r="G1280" s="276"/>
      <c r="H1280" s="278"/>
      <c r="I1280" s="352" t="str">
        <f t="shared" si="1053"/>
        <v>-</v>
      </c>
      <c r="J1280" s="874">
        <f t="shared" si="1054"/>
        <v>0</v>
      </c>
      <c r="K1280" s="686">
        <f t="shared" si="1048"/>
        <v>0</v>
      </c>
      <c r="L1280" s="687">
        <f t="shared" si="1049"/>
        <v>0</v>
      </c>
      <c r="M1280" s="337" t="str">
        <f t="shared" si="1055"/>
        <v>-</v>
      </c>
      <c r="N1280" s="263" t="str">
        <f t="shared" si="1057"/>
        <v>-</v>
      </c>
      <c r="O1280" s="508">
        <v>5.6550000000000002</v>
      </c>
      <c r="P1280" s="404">
        <f t="shared" si="1050"/>
        <v>0</v>
      </c>
      <c r="Q1280" s="449">
        <f t="shared" si="1051"/>
        <v>0</v>
      </c>
    </row>
    <row r="1281" spans="1:17" ht="23.4" x14ac:dyDescent="0.4">
      <c r="A1281" s="248"/>
      <c r="B1281" s="1107"/>
      <c r="C1281" s="543" t="s">
        <v>259</v>
      </c>
      <c r="D1281" s="276"/>
      <c r="E1281" s="436"/>
      <c r="F1281" s="690">
        <f t="shared" si="1052"/>
        <v>0</v>
      </c>
      <c r="G1281" s="276"/>
      <c r="H1281" s="278"/>
      <c r="I1281" s="352" t="str">
        <f t="shared" si="1053"/>
        <v>-</v>
      </c>
      <c r="J1281" s="874">
        <f t="shared" si="1054"/>
        <v>0</v>
      </c>
      <c r="K1281" s="278">
        <f t="shared" si="1048"/>
        <v>0</v>
      </c>
      <c r="L1281" s="436">
        <f t="shared" si="1049"/>
        <v>0</v>
      </c>
      <c r="M1281" s="337" t="str">
        <f t="shared" si="1055"/>
        <v>-</v>
      </c>
      <c r="N1281" s="263" t="str">
        <f t="shared" si="1057"/>
        <v>-</v>
      </c>
      <c r="O1281" s="508">
        <v>5.6550000000000002</v>
      </c>
      <c r="P1281" s="404">
        <f t="shared" si="1050"/>
        <v>0</v>
      </c>
      <c r="Q1281" s="449">
        <f t="shared" si="1051"/>
        <v>0</v>
      </c>
    </row>
    <row r="1282" spans="1:17" ht="23.4" x14ac:dyDescent="0.4">
      <c r="A1282" s="248" t="s">
        <v>101</v>
      </c>
      <c r="B1282" s="1107"/>
      <c r="C1282" s="543" t="s">
        <v>260</v>
      </c>
      <c r="D1282" s="276"/>
      <c r="E1282" s="436"/>
      <c r="F1282" s="690">
        <f t="shared" si="1052"/>
        <v>0</v>
      </c>
      <c r="G1282" s="276"/>
      <c r="H1282" s="278"/>
      <c r="I1282" s="352" t="str">
        <f t="shared" si="1053"/>
        <v>-</v>
      </c>
      <c r="J1282" s="874">
        <f t="shared" si="1054"/>
        <v>0</v>
      </c>
      <c r="K1282" s="278">
        <f t="shared" si="1048"/>
        <v>0</v>
      </c>
      <c r="L1282" s="436">
        <f t="shared" si="1049"/>
        <v>0</v>
      </c>
      <c r="M1282" s="337" t="str">
        <f t="shared" si="1055"/>
        <v>-</v>
      </c>
      <c r="N1282" s="263" t="str">
        <f t="shared" si="1057"/>
        <v>-</v>
      </c>
      <c r="O1282" s="508">
        <v>3.2963</v>
      </c>
      <c r="P1282" s="404">
        <f t="shared" si="1050"/>
        <v>0</v>
      </c>
      <c r="Q1282" s="449">
        <f t="shared" si="1051"/>
        <v>0</v>
      </c>
    </row>
    <row r="1283" spans="1:17" ht="24" thickBot="1" x14ac:dyDescent="0.45">
      <c r="A1283" s="248" t="s">
        <v>101</v>
      </c>
      <c r="B1283" s="1108"/>
      <c r="C1283" s="998" t="s">
        <v>255</v>
      </c>
      <c r="D1283" s="276"/>
      <c r="E1283" s="436"/>
      <c r="F1283" s="690">
        <f t="shared" si="1052"/>
        <v>0</v>
      </c>
      <c r="G1283" s="276"/>
      <c r="H1283" s="278"/>
      <c r="I1283" s="352" t="str">
        <f t="shared" si="1053"/>
        <v>-</v>
      </c>
      <c r="J1283" s="874">
        <f t="shared" si="1054"/>
        <v>0</v>
      </c>
      <c r="K1283" s="278">
        <f t="shared" si="1048"/>
        <v>0</v>
      </c>
      <c r="L1283" s="436">
        <f t="shared" si="1049"/>
        <v>0</v>
      </c>
      <c r="M1283" s="337" t="str">
        <f t="shared" si="1055"/>
        <v>-</v>
      </c>
      <c r="N1283" s="263" t="str">
        <f t="shared" si="1057"/>
        <v>-</v>
      </c>
      <c r="O1283" s="508">
        <v>3.2963</v>
      </c>
      <c r="P1283" s="404">
        <f t="shared" si="1050"/>
        <v>0</v>
      </c>
      <c r="Q1283" s="449">
        <f t="shared" si="1051"/>
        <v>0</v>
      </c>
    </row>
    <row r="1284" spans="1:17" ht="23.4" x14ac:dyDescent="0.4">
      <c r="A1284" s="248"/>
      <c r="B1284" s="1015"/>
      <c r="C1284" s="542" t="s">
        <v>86</v>
      </c>
      <c r="D1284" s="511"/>
      <c r="E1284" s="436"/>
      <c r="F1284" s="690">
        <f t="shared" si="1052"/>
        <v>14150</v>
      </c>
      <c r="G1284" s="276">
        <v>12000</v>
      </c>
      <c r="H1284" s="278">
        <v>2150</v>
      </c>
      <c r="I1284" s="352"/>
      <c r="J1284" s="874">
        <f t="shared" si="1054"/>
        <v>49162</v>
      </c>
      <c r="K1284" s="278">
        <f t="shared" si="1048"/>
        <v>45200</v>
      </c>
      <c r="L1284" s="436">
        <f t="shared" si="1049"/>
        <v>3962</v>
      </c>
      <c r="M1284" s="337"/>
      <c r="N1284" s="263"/>
      <c r="O1284" s="508">
        <v>3.2963</v>
      </c>
      <c r="P1284" s="404">
        <f t="shared" si="1050"/>
        <v>39555.599999999999</v>
      </c>
      <c r="Q1284" s="449">
        <f t="shared" si="1051"/>
        <v>148992.76</v>
      </c>
    </row>
    <row r="1285" spans="1:17" ht="23.4" x14ac:dyDescent="0.4">
      <c r="A1285" s="248"/>
      <c r="B1285" s="1015"/>
      <c r="C1285" s="543" t="s">
        <v>585</v>
      </c>
      <c r="D1285" s="511"/>
      <c r="E1285" s="436"/>
      <c r="F1285" s="690">
        <f t="shared" si="1052"/>
        <v>13450</v>
      </c>
      <c r="G1285" s="276">
        <v>12000</v>
      </c>
      <c r="H1285" s="278">
        <v>1450</v>
      </c>
      <c r="I1285" s="352"/>
      <c r="J1285" s="874">
        <f t="shared" si="1054"/>
        <v>47827</v>
      </c>
      <c r="K1285" s="278">
        <f t="shared" si="1048"/>
        <v>45200</v>
      </c>
      <c r="L1285" s="436">
        <f t="shared" si="1049"/>
        <v>2627</v>
      </c>
      <c r="M1285" s="337"/>
      <c r="N1285" s="263"/>
      <c r="O1285" s="508">
        <v>3.2963</v>
      </c>
      <c r="P1285" s="404">
        <f t="shared" si="1050"/>
        <v>39555.599999999999</v>
      </c>
      <c r="Q1285" s="449">
        <f t="shared" si="1051"/>
        <v>148992.76</v>
      </c>
    </row>
    <row r="1286" spans="1:17" ht="23.4" x14ac:dyDescent="0.4">
      <c r="A1286" s="248" t="s">
        <v>101</v>
      </c>
      <c r="B1286" s="546"/>
      <c r="C1286" s="543" t="s">
        <v>89</v>
      </c>
      <c r="D1286" s="511"/>
      <c r="E1286" s="436"/>
      <c r="F1286" s="690">
        <f t="shared" si="1052"/>
        <v>74377</v>
      </c>
      <c r="G1286" s="276">
        <v>74300</v>
      </c>
      <c r="H1286" s="278">
        <v>77</v>
      </c>
      <c r="I1286" s="352" t="str">
        <f t="shared" ref="I1286:I1287" si="1058">IFERROR(F1286/E1286,"-")</f>
        <v>-</v>
      </c>
      <c r="J1286" s="874">
        <f t="shared" si="1054"/>
        <v>158092</v>
      </c>
      <c r="K1286" s="278">
        <f>+G1286+K1220</f>
        <v>157700</v>
      </c>
      <c r="L1286" s="436">
        <f>+H1286+L1220</f>
        <v>392</v>
      </c>
      <c r="M1286" s="337" t="str">
        <f t="shared" ref="M1286:M1290" si="1059">IFERROR(J1286/D1286,"-")</f>
        <v>-</v>
      </c>
      <c r="N1286" s="263">
        <f t="shared" ref="N1286:N1289" si="1060">IFERROR(L1286/J1286,"-")</f>
        <v>2.4795688586392735E-3</v>
      </c>
      <c r="O1286" s="508">
        <v>2.3201000000000001</v>
      </c>
      <c r="P1286" s="404">
        <f t="shared" si="1050"/>
        <v>172383.43</v>
      </c>
      <c r="Q1286" s="449">
        <f t="shared" si="1051"/>
        <v>365879.77</v>
      </c>
    </row>
    <row r="1287" spans="1:17" ht="24" thickBot="1" x14ac:dyDescent="0.35">
      <c r="A1287" s="248" t="s">
        <v>101</v>
      </c>
      <c r="B1287" s="997"/>
      <c r="C1287" s="668"/>
      <c r="D1287" s="913"/>
      <c r="E1287" s="462"/>
      <c r="F1287" s="691">
        <f t="shared" si="1052"/>
        <v>0</v>
      </c>
      <c r="G1287" s="530"/>
      <c r="H1287" s="461"/>
      <c r="I1287" s="532" t="str">
        <f t="shared" si="1058"/>
        <v>-</v>
      </c>
      <c r="J1287" s="875">
        <f t="shared" si="1054"/>
        <v>0</v>
      </c>
      <c r="K1287" s="461">
        <f>+G1287+K1221</f>
        <v>0</v>
      </c>
      <c r="L1287" s="462">
        <f>+H1287+L1221</f>
        <v>0</v>
      </c>
      <c r="M1287" s="683" t="str">
        <f t="shared" si="1059"/>
        <v>-</v>
      </c>
      <c r="N1287" s="264" t="str">
        <f t="shared" si="1060"/>
        <v>-</v>
      </c>
      <c r="O1287" s="539"/>
      <c r="P1287" s="536">
        <f t="shared" si="1050"/>
        <v>0</v>
      </c>
      <c r="Q1287" s="537">
        <f t="shared" si="1051"/>
        <v>0</v>
      </c>
    </row>
    <row r="1288" spans="1:17" ht="24" thickBot="1" x14ac:dyDescent="0.35">
      <c r="A1288" s="274" t="s">
        <v>101</v>
      </c>
      <c r="B1288" s="1109" t="s">
        <v>25</v>
      </c>
      <c r="C1288" s="1110"/>
      <c r="D1288" s="513">
        <f>SUM(D1259:D1287)</f>
        <v>0</v>
      </c>
      <c r="E1288" s="526">
        <v>100000</v>
      </c>
      <c r="F1288" s="519">
        <f>SUM(F1254:F1287)</f>
        <v>229991</v>
      </c>
      <c r="G1288" s="519">
        <f>SUM(G1254:G1287)</f>
        <v>224870</v>
      </c>
      <c r="H1288" s="519">
        <f>SUM(H1254:H1287)</f>
        <v>5121</v>
      </c>
      <c r="I1288" s="520">
        <f>IFERROR(F1288/E1288,"-")</f>
        <v>2.2999100000000001</v>
      </c>
      <c r="J1288" s="513">
        <f>SUM(J1254:J1287)</f>
        <v>2849851</v>
      </c>
      <c r="K1288" s="513">
        <f t="shared" ref="K1288" si="1061">SUM(K1254:K1287)</f>
        <v>2806754</v>
      </c>
      <c r="L1288" s="513">
        <f>SUM(L1254:L1287)</f>
        <v>43097</v>
      </c>
      <c r="M1288" s="521" t="str">
        <f t="shared" si="1059"/>
        <v>-</v>
      </c>
      <c r="N1288" s="520">
        <f t="shared" si="1060"/>
        <v>1.5122545003229994E-2</v>
      </c>
      <c r="O1288" s="522"/>
      <c r="P1288" s="523">
        <f>SUM(P1254:P1287)</f>
        <v>1239961.2179999999</v>
      </c>
      <c r="Q1288" s="523">
        <f>SUM(Q1254:Q1287)</f>
        <v>20746382.544700004</v>
      </c>
    </row>
    <row r="1289" spans="1:17" ht="24" thickBot="1" x14ac:dyDescent="0.35">
      <c r="A1289" s="318" t="s">
        <v>101</v>
      </c>
      <c r="B1289" s="1111" t="s">
        <v>249</v>
      </c>
      <c r="C1289" s="1112"/>
      <c r="D1289" s="326">
        <f>+D1258+D1288</f>
        <v>0</v>
      </c>
      <c r="E1289" s="327">
        <f>+E1258+E1288</f>
        <v>100000</v>
      </c>
      <c r="F1289" s="326">
        <f>+F1288</f>
        <v>229991</v>
      </c>
      <c r="G1289" s="326">
        <f t="shared" ref="G1289:H1289" si="1062">+G1288</f>
        <v>224870</v>
      </c>
      <c r="H1289" s="326">
        <f t="shared" si="1062"/>
        <v>5121</v>
      </c>
      <c r="I1289" s="349">
        <f>IFERROR(F1289/E1289,"-")</f>
        <v>2.2999100000000001</v>
      </c>
      <c r="J1289" s="326">
        <f>+J1288</f>
        <v>2849851</v>
      </c>
      <c r="K1289" s="326">
        <f t="shared" ref="K1289:L1289" si="1063">+K1288</f>
        <v>2806754</v>
      </c>
      <c r="L1289" s="326">
        <f t="shared" si="1063"/>
        <v>43097</v>
      </c>
      <c r="M1289" s="341" t="str">
        <f t="shared" si="1059"/>
        <v>-</v>
      </c>
      <c r="N1289" s="349">
        <f t="shared" si="1060"/>
        <v>1.5122545003229994E-2</v>
      </c>
      <c r="O1289" s="394"/>
      <c r="P1289" s="410">
        <f>+P1288</f>
        <v>1239961.2179999999</v>
      </c>
      <c r="Q1289" s="428">
        <f>Q1288</f>
        <v>20746382.544700004</v>
      </c>
    </row>
    <row r="1290" spans="1:17" ht="24.6" thickBot="1" x14ac:dyDescent="0.35">
      <c r="A1290" s="319"/>
      <c r="B1290" s="1113" t="s">
        <v>174</v>
      </c>
      <c r="C1290" s="1114"/>
      <c r="D1290" s="374">
        <f>+D1289+D1253+D1244</f>
        <v>0</v>
      </c>
      <c r="E1290" s="374">
        <f>+E1289+E1253+E1244</f>
        <v>230000</v>
      </c>
      <c r="F1290" s="374">
        <f>+F1289+F1253+F1244</f>
        <v>350966</v>
      </c>
      <c r="G1290" s="374">
        <f>+G1289+G1253+G1244</f>
        <v>344870</v>
      </c>
      <c r="H1290" s="374">
        <f>+H1289+H1253+H1244</f>
        <v>6096</v>
      </c>
      <c r="I1290" s="375">
        <f>IFERROR(F1290/E1290,"-")</f>
        <v>1.5259391304347827</v>
      </c>
      <c r="J1290" s="374">
        <f>+J1289+J1253+J1244</f>
        <v>6856574</v>
      </c>
      <c r="K1290" s="374">
        <f>+K1289+K1253+K1244</f>
        <v>6720918</v>
      </c>
      <c r="L1290" s="374">
        <f>+L1289+L1253+L1244</f>
        <v>135656</v>
      </c>
      <c r="M1290" s="375" t="str">
        <f t="shared" si="1059"/>
        <v>-</v>
      </c>
      <c r="N1290" s="375">
        <f>IFERROR(L1290/J1290,"-")</f>
        <v>1.9784807981362122E-2</v>
      </c>
      <c r="O1290" s="401"/>
      <c r="P1290" s="418">
        <f>+P1289+P1253+P1244</f>
        <v>1546421.2179999999</v>
      </c>
      <c r="Q1290" s="418">
        <f>+Q1289+Q1253+Q1244</f>
        <v>38163879.519299999</v>
      </c>
    </row>
    <row r="1292" spans="1:17" x14ac:dyDescent="0.3">
      <c r="F1292" s="222"/>
      <c r="I1292" s="222"/>
      <c r="J1292" s="222"/>
      <c r="M1292" s="222"/>
      <c r="N1292" s="222"/>
      <c r="O1292" s="222"/>
      <c r="P1292" s="222"/>
      <c r="Q1292" s="222"/>
    </row>
  </sheetData>
  <mergeCells count="541">
    <mergeCell ref="B1268:B1272"/>
    <mergeCell ref="B1274:B1277"/>
    <mergeCell ref="B1278:B1283"/>
    <mergeCell ref="B1288:C1288"/>
    <mergeCell ref="B1289:C1289"/>
    <mergeCell ref="B1290:C1290"/>
    <mergeCell ref="B1235:C1235"/>
    <mergeCell ref="B1243:C1243"/>
    <mergeCell ref="B1244:C1244"/>
    <mergeCell ref="B1252:C1252"/>
    <mergeCell ref="B1253:C1253"/>
    <mergeCell ref="B1254:B1256"/>
    <mergeCell ref="B1257:B1260"/>
    <mergeCell ref="B1261:B1262"/>
    <mergeCell ref="B1263:B1266"/>
    <mergeCell ref="A1226:A1228"/>
    <mergeCell ref="B1226:B1228"/>
    <mergeCell ref="C1226:C1228"/>
    <mergeCell ref="D1226:N1226"/>
    <mergeCell ref="O1226:Q1226"/>
    <mergeCell ref="D1227:D1228"/>
    <mergeCell ref="E1227:E1228"/>
    <mergeCell ref="F1227:I1227"/>
    <mergeCell ref="J1227:L1227"/>
    <mergeCell ref="M1227:M1228"/>
    <mergeCell ref="N1227:N1228"/>
    <mergeCell ref="O1227:Q1227"/>
    <mergeCell ref="B1070:B1074"/>
    <mergeCell ref="B1076:B1079"/>
    <mergeCell ref="B1080:B1085"/>
    <mergeCell ref="B1090:C1090"/>
    <mergeCell ref="B1091:C1091"/>
    <mergeCell ref="B1092:C1092"/>
    <mergeCell ref="B1037:C1037"/>
    <mergeCell ref="B1045:C1045"/>
    <mergeCell ref="B1046:C1046"/>
    <mergeCell ref="B1054:C1054"/>
    <mergeCell ref="B1055:C1055"/>
    <mergeCell ref="B1056:B1058"/>
    <mergeCell ref="B1059:B1062"/>
    <mergeCell ref="B1063:B1064"/>
    <mergeCell ref="B1065:B1068"/>
    <mergeCell ref="A1028:A1030"/>
    <mergeCell ref="B1028:B1030"/>
    <mergeCell ref="C1028:C1030"/>
    <mergeCell ref="D1028:N1028"/>
    <mergeCell ref="O1028:Q1028"/>
    <mergeCell ref="D1029:D1030"/>
    <mergeCell ref="E1029:E1030"/>
    <mergeCell ref="F1029:I1029"/>
    <mergeCell ref="J1029:L1029"/>
    <mergeCell ref="M1029:M1030"/>
    <mergeCell ref="N1029:N1030"/>
    <mergeCell ref="O1029:Q1029"/>
    <mergeCell ref="B1004:B1008"/>
    <mergeCell ref="B1010:B1013"/>
    <mergeCell ref="B1014:B1019"/>
    <mergeCell ref="B1024:C1024"/>
    <mergeCell ref="B1025:C1025"/>
    <mergeCell ref="B1026:C1026"/>
    <mergeCell ref="B971:C971"/>
    <mergeCell ref="B979:C979"/>
    <mergeCell ref="B980:C980"/>
    <mergeCell ref="B988:C988"/>
    <mergeCell ref="B989:C989"/>
    <mergeCell ref="B990:B992"/>
    <mergeCell ref="B993:B996"/>
    <mergeCell ref="B997:B998"/>
    <mergeCell ref="B999:B1002"/>
    <mergeCell ref="A962:A964"/>
    <mergeCell ref="B962:B964"/>
    <mergeCell ref="C962:C964"/>
    <mergeCell ref="D962:N962"/>
    <mergeCell ref="O962:Q962"/>
    <mergeCell ref="D963:D964"/>
    <mergeCell ref="E963:E964"/>
    <mergeCell ref="F963:I963"/>
    <mergeCell ref="J963:L963"/>
    <mergeCell ref="M963:M964"/>
    <mergeCell ref="N963:N964"/>
    <mergeCell ref="O963:Q963"/>
    <mergeCell ref="B810:B814"/>
    <mergeCell ref="B816:B819"/>
    <mergeCell ref="B820:B825"/>
    <mergeCell ref="B828:C828"/>
    <mergeCell ref="B829:C829"/>
    <mergeCell ref="B830:C830"/>
    <mergeCell ref="B777:C777"/>
    <mergeCell ref="B785:C785"/>
    <mergeCell ref="B786:C786"/>
    <mergeCell ref="B794:C794"/>
    <mergeCell ref="B795:C795"/>
    <mergeCell ref="B796:B798"/>
    <mergeCell ref="B799:B802"/>
    <mergeCell ref="B803:B804"/>
    <mergeCell ref="B805:B808"/>
    <mergeCell ref="A768:A770"/>
    <mergeCell ref="B768:B770"/>
    <mergeCell ref="C768:C770"/>
    <mergeCell ref="D768:N768"/>
    <mergeCell ref="O768:Q768"/>
    <mergeCell ref="D769:D770"/>
    <mergeCell ref="E769:E770"/>
    <mergeCell ref="F769:I769"/>
    <mergeCell ref="J769:L769"/>
    <mergeCell ref="M769:M770"/>
    <mergeCell ref="N769:N770"/>
    <mergeCell ref="O769:Q769"/>
    <mergeCell ref="B746:B750"/>
    <mergeCell ref="B752:B755"/>
    <mergeCell ref="B756:B761"/>
    <mergeCell ref="B764:C764"/>
    <mergeCell ref="B765:C765"/>
    <mergeCell ref="B766:C766"/>
    <mergeCell ref="B713:C713"/>
    <mergeCell ref="B721:C721"/>
    <mergeCell ref="B722:C722"/>
    <mergeCell ref="B730:C730"/>
    <mergeCell ref="B731:C731"/>
    <mergeCell ref="B732:B734"/>
    <mergeCell ref="B735:B738"/>
    <mergeCell ref="B739:B740"/>
    <mergeCell ref="B741:B744"/>
    <mergeCell ref="A704:A706"/>
    <mergeCell ref="B704:B706"/>
    <mergeCell ref="C704:C706"/>
    <mergeCell ref="D704:N704"/>
    <mergeCell ref="O704:Q704"/>
    <mergeCell ref="D705:D706"/>
    <mergeCell ref="E705:E706"/>
    <mergeCell ref="F705:I705"/>
    <mergeCell ref="J705:L705"/>
    <mergeCell ref="M705:M706"/>
    <mergeCell ref="N705:N706"/>
    <mergeCell ref="O705:Q705"/>
    <mergeCell ref="B682:B686"/>
    <mergeCell ref="B688:B691"/>
    <mergeCell ref="B692:B697"/>
    <mergeCell ref="B700:C700"/>
    <mergeCell ref="B701:C701"/>
    <mergeCell ref="B702:C702"/>
    <mergeCell ref="B649:C649"/>
    <mergeCell ref="B657:C657"/>
    <mergeCell ref="B658:C658"/>
    <mergeCell ref="B666:C666"/>
    <mergeCell ref="B667:C667"/>
    <mergeCell ref="B668:B670"/>
    <mergeCell ref="B671:B674"/>
    <mergeCell ref="B675:B676"/>
    <mergeCell ref="B677:B680"/>
    <mergeCell ref="A641:A643"/>
    <mergeCell ref="B641:B643"/>
    <mergeCell ref="C641:C643"/>
    <mergeCell ref="D641:N641"/>
    <mergeCell ref="O641:Q641"/>
    <mergeCell ref="D642:D643"/>
    <mergeCell ref="E642:E643"/>
    <mergeCell ref="F642:I642"/>
    <mergeCell ref="J642:L642"/>
    <mergeCell ref="M642:M643"/>
    <mergeCell ref="N642:N643"/>
    <mergeCell ref="O642:Q642"/>
    <mergeCell ref="B556:B560"/>
    <mergeCell ref="B562:B565"/>
    <mergeCell ref="B566:B571"/>
    <mergeCell ref="B574:C574"/>
    <mergeCell ref="B575:C575"/>
    <mergeCell ref="B576:C576"/>
    <mergeCell ref="B523:C523"/>
    <mergeCell ref="B531:C531"/>
    <mergeCell ref="B532:C532"/>
    <mergeCell ref="B540:C540"/>
    <mergeCell ref="B541:C541"/>
    <mergeCell ref="B542:B544"/>
    <mergeCell ref="B545:B548"/>
    <mergeCell ref="B549:B550"/>
    <mergeCell ref="B551:B554"/>
    <mergeCell ref="A515:A517"/>
    <mergeCell ref="B515:B517"/>
    <mergeCell ref="C515:C517"/>
    <mergeCell ref="D515:N515"/>
    <mergeCell ref="O515:Q515"/>
    <mergeCell ref="D516:D517"/>
    <mergeCell ref="E516:E517"/>
    <mergeCell ref="F516:I516"/>
    <mergeCell ref="J516:L516"/>
    <mergeCell ref="M516:M517"/>
    <mergeCell ref="N516:N517"/>
    <mergeCell ref="O516:Q516"/>
    <mergeCell ref="B493:B497"/>
    <mergeCell ref="B499:B502"/>
    <mergeCell ref="B503:B508"/>
    <mergeCell ref="B511:C511"/>
    <mergeCell ref="B512:C512"/>
    <mergeCell ref="B513:C513"/>
    <mergeCell ref="B460:C460"/>
    <mergeCell ref="B468:C468"/>
    <mergeCell ref="B469:C469"/>
    <mergeCell ref="B477:C477"/>
    <mergeCell ref="B478:C478"/>
    <mergeCell ref="B479:B481"/>
    <mergeCell ref="B482:B485"/>
    <mergeCell ref="B486:B487"/>
    <mergeCell ref="B488:B491"/>
    <mergeCell ref="A452:A454"/>
    <mergeCell ref="B452:B454"/>
    <mergeCell ref="C452:C454"/>
    <mergeCell ref="D452:N452"/>
    <mergeCell ref="O452:Q452"/>
    <mergeCell ref="D453:D454"/>
    <mergeCell ref="E453:E454"/>
    <mergeCell ref="F453:I453"/>
    <mergeCell ref="J453:L453"/>
    <mergeCell ref="M453:M454"/>
    <mergeCell ref="N453:N454"/>
    <mergeCell ref="O453:Q453"/>
    <mergeCell ref="B430:B434"/>
    <mergeCell ref="B436:B439"/>
    <mergeCell ref="B440:B445"/>
    <mergeCell ref="B448:C448"/>
    <mergeCell ref="B449:C449"/>
    <mergeCell ref="B450:C450"/>
    <mergeCell ref="B397:C397"/>
    <mergeCell ref="B405:C405"/>
    <mergeCell ref="B406:C406"/>
    <mergeCell ref="B414:C414"/>
    <mergeCell ref="B415:C415"/>
    <mergeCell ref="B416:B418"/>
    <mergeCell ref="B419:B422"/>
    <mergeCell ref="B423:B424"/>
    <mergeCell ref="B425:B428"/>
    <mergeCell ref="A389:A391"/>
    <mergeCell ref="B389:B391"/>
    <mergeCell ref="C389:C391"/>
    <mergeCell ref="D389:N389"/>
    <mergeCell ref="O389:Q389"/>
    <mergeCell ref="D390:D391"/>
    <mergeCell ref="E390:E391"/>
    <mergeCell ref="F390:I390"/>
    <mergeCell ref="J390:L390"/>
    <mergeCell ref="M390:M391"/>
    <mergeCell ref="N390:N391"/>
    <mergeCell ref="O390:Q390"/>
    <mergeCell ref="B367:B371"/>
    <mergeCell ref="B373:B376"/>
    <mergeCell ref="B377:B382"/>
    <mergeCell ref="B385:C385"/>
    <mergeCell ref="B386:C386"/>
    <mergeCell ref="B387:C387"/>
    <mergeCell ref="B334:C334"/>
    <mergeCell ref="B342:C342"/>
    <mergeCell ref="B343:C343"/>
    <mergeCell ref="B351:C351"/>
    <mergeCell ref="B352:C352"/>
    <mergeCell ref="B353:B355"/>
    <mergeCell ref="B356:B359"/>
    <mergeCell ref="B360:B361"/>
    <mergeCell ref="B362:B365"/>
    <mergeCell ref="A326:A328"/>
    <mergeCell ref="B326:B328"/>
    <mergeCell ref="C326:C328"/>
    <mergeCell ref="D326:N326"/>
    <mergeCell ref="O326:Q326"/>
    <mergeCell ref="D327:D328"/>
    <mergeCell ref="E327:E328"/>
    <mergeCell ref="F327:I327"/>
    <mergeCell ref="J327:L327"/>
    <mergeCell ref="M327:M328"/>
    <mergeCell ref="N327:N328"/>
    <mergeCell ref="O327:Q327"/>
    <mergeCell ref="B304:B308"/>
    <mergeCell ref="B310:B313"/>
    <mergeCell ref="B314:B319"/>
    <mergeCell ref="B322:C322"/>
    <mergeCell ref="B323:C323"/>
    <mergeCell ref="B324:C324"/>
    <mergeCell ref="B271:C271"/>
    <mergeCell ref="B279:C279"/>
    <mergeCell ref="B280:C280"/>
    <mergeCell ref="B288:C288"/>
    <mergeCell ref="B289:C289"/>
    <mergeCell ref="B290:B292"/>
    <mergeCell ref="B293:B296"/>
    <mergeCell ref="B297:B298"/>
    <mergeCell ref="B299:B302"/>
    <mergeCell ref="A263:A265"/>
    <mergeCell ref="B263:B265"/>
    <mergeCell ref="C263:C265"/>
    <mergeCell ref="D263:N263"/>
    <mergeCell ref="O263:Q263"/>
    <mergeCell ref="D264:D265"/>
    <mergeCell ref="E264:E265"/>
    <mergeCell ref="F264:I264"/>
    <mergeCell ref="J264:L264"/>
    <mergeCell ref="M264:M265"/>
    <mergeCell ref="N264:N265"/>
    <mergeCell ref="O264:Q264"/>
    <mergeCell ref="B261:C261"/>
    <mergeCell ref="N201:N202"/>
    <mergeCell ref="O201:Q201"/>
    <mergeCell ref="B208:C208"/>
    <mergeCell ref="B217:C217"/>
    <mergeCell ref="B226:C226"/>
    <mergeCell ref="D201:D202"/>
    <mergeCell ref="E201:E202"/>
    <mergeCell ref="F201:I201"/>
    <mergeCell ref="J201:L201"/>
    <mergeCell ref="M201:M202"/>
    <mergeCell ref="B259:C259"/>
    <mergeCell ref="B260:C260"/>
    <mergeCell ref="B247:B250"/>
    <mergeCell ref="B251:B256"/>
    <mergeCell ref="B227:B229"/>
    <mergeCell ref="B230:B233"/>
    <mergeCell ref="B234:B235"/>
    <mergeCell ref="B236:B239"/>
    <mergeCell ref="B241:B245"/>
    <mergeCell ref="B216:C216"/>
    <mergeCell ref="B225:C225"/>
    <mergeCell ref="O200:Q200"/>
    <mergeCell ref="A200:A202"/>
    <mergeCell ref="B200:B202"/>
    <mergeCell ref="C200:C202"/>
    <mergeCell ref="D200:N200"/>
    <mergeCell ref="B72:C72"/>
    <mergeCell ref="B19:C19"/>
    <mergeCell ref="B27:C27"/>
    <mergeCell ref="B28:C28"/>
    <mergeCell ref="B36:C36"/>
    <mergeCell ref="B37:C37"/>
    <mergeCell ref="B38:B40"/>
    <mergeCell ref="B41:B44"/>
    <mergeCell ref="B45:B46"/>
    <mergeCell ref="B47:B50"/>
    <mergeCell ref="B52:B56"/>
    <mergeCell ref="B58:B61"/>
    <mergeCell ref="B62:B67"/>
    <mergeCell ref="B70:C70"/>
    <mergeCell ref="B71:C71"/>
    <mergeCell ref="A74:A76"/>
    <mergeCell ref="B74:B76"/>
    <mergeCell ref="C74:C76"/>
    <mergeCell ref="D74:N74"/>
    <mergeCell ref="A9:Q9"/>
    <mergeCell ref="A11:A13"/>
    <mergeCell ref="B11:B13"/>
    <mergeCell ref="C11:C13"/>
    <mergeCell ref="D11:N11"/>
    <mergeCell ref="O11:Q11"/>
    <mergeCell ref="D12:D13"/>
    <mergeCell ref="E12:E13"/>
    <mergeCell ref="F12:I12"/>
    <mergeCell ref="J12:L12"/>
    <mergeCell ref="M12:M13"/>
    <mergeCell ref="N12:N13"/>
    <mergeCell ref="O12:Q12"/>
    <mergeCell ref="O74:Q74"/>
    <mergeCell ref="D75:D76"/>
    <mergeCell ref="E75:E76"/>
    <mergeCell ref="F75:I75"/>
    <mergeCell ref="J75:L75"/>
    <mergeCell ref="M75:M76"/>
    <mergeCell ref="N75:N76"/>
    <mergeCell ref="O75:Q75"/>
    <mergeCell ref="B82:C82"/>
    <mergeCell ref="B90:C90"/>
    <mergeCell ref="B91:C91"/>
    <mergeCell ref="B99:C99"/>
    <mergeCell ref="B100:C100"/>
    <mergeCell ref="B101:B103"/>
    <mergeCell ref="B104:B107"/>
    <mergeCell ref="B108:B109"/>
    <mergeCell ref="B110:B113"/>
    <mergeCell ref="B115:B119"/>
    <mergeCell ref="B121:B124"/>
    <mergeCell ref="B125:B130"/>
    <mergeCell ref="B133:C133"/>
    <mergeCell ref="B134:C134"/>
    <mergeCell ref="B135:C135"/>
    <mergeCell ref="A137:A139"/>
    <mergeCell ref="B137:B139"/>
    <mergeCell ref="C137:C139"/>
    <mergeCell ref="D137:N137"/>
    <mergeCell ref="O137:Q137"/>
    <mergeCell ref="D138:D139"/>
    <mergeCell ref="E138:E139"/>
    <mergeCell ref="F138:I138"/>
    <mergeCell ref="J138:L138"/>
    <mergeCell ref="M138:M139"/>
    <mergeCell ref="N138:N139"/>
    <mergeCell ref="O138:Q138"/>
    <mergeCell ref="B145:C145"/>
    <mergeCell ref="B184:B187"/>
    <mergeCell ref="B188:B193"/>
    <mergeCell ref="B196:C196"/>
    <mergeCell ref="B197:C197"/>
    <mergeCell ref="B198:C198"/>
    <mergeCell ref="B153:C153"/>
    <mergeCell ref="B154:C154"/>
    <mergeCell ref="B162:C162"/>
    <mergeCell ref="B163:C163"/>
    <mergeCell ref="B164:B166"/>
    <mergeCell ref="B167:B170"/>
    <mergeCell ref="B171:B172"/>
    <mergeCell ref="B173:B176"/>
    <mergeCell ref="B178:B182"/>
    <mergeCell ref="O578:Q578"/>
    <mergeCell ref="D578:N578"/>
    <mergeCell ref="D579:D580"/>
    <mergeCell ref="E579:E580"/>
    <mergeCell ref="F579:I579"/>
    <mergeCell ref="J579:L579"/>
    <mergeCell ref="M579:M580"/>
    <mergeCell ref="N579:N580"/>
    <mergeCell ref="O579:Q579"/>
    <mergeCell ref="B639:C639"/>
    <mergeCell ref="B637:C637"/>
    <mergeCell ref="B638:C638"/>
    <mergeCell ref="A578:A580"/>
    <mergeCell ref="B578:B580"/>
    <mergeCell ref="C578:C580"/>
    <mergeCell ref="B586:C586"/>
    <mergeCell ref="B595:C595"/>
    <mergeCell ref="B604:C604"/>
    <mergeCell ref="B605:B607"/>
    <mergeCell ref="B608:B611"/>
    <mergeCell ref="B612:B613"/>
    <mergeCell ref="B614:B617"/>
    <mergeCell ref="B619:B623"/>
    <mergeCell ref="B625:B628"/>
    <mergeCell ref="B629:B634"/>
    <mergeCell ref="B594:C594"/>
    <mergeCell ref="B603:C603"/>
    <mergeCell ref="A832:A834"/>
    <mergeCell ref="B832:B834"/>
    <mergeCell ref="C832:C834"/>
    <mergeCell ref="D832:N832"/>
    <mergeCell ref="O832:Q832"/>
    <mergeCell ref="D833:D834"/>
    <mergeCell ref="E833:E834"/>
    <mergeCell ref="F833:I833"/>
    <mergeCell ref="J833:L833"/>
    <mergeCell ref="M833:M834"/>
    <mergeCell ref="N833:N834"/>
    <mergeCell ref="O833:Q833"/>
    <mergeCell ref="B874:B878"/>
    <mergeCell ref="B880:B883"/>
    <mergeCell ref="B884:B889"/>
    <mergeCell ref="B892:C892"/>
    <mergeCell ref="B893:C893"/>
    <mergeCell ref="B894:C894"/>
    <mergeCell ref="B841:C841"/>
    <mergeCell ref="B849:C849"/>
    <mergeCell ref="B850:C850"/>
    <mergeCell ref="B858:C858"/>
    <mergeCell ref="B859:C859"/>
    <mergeCell ref="B860:B862"/>
    <mergeCell ref="B863:B866"/>
    <mergeCell ref="B867:B868"/>
    <mergeCell ref="B869:B872"/>
    <mergeCell ref="A896:A898"/>
    <mergeCell ref="B896:B898"/>
    <mergeCell ref="C896:C898"/>
    <mergeCell ref="D896:N896"/>
    <mergeCell ref="O896:Q896"/>
    <mergeCell ref="D897:D898"/>
    <mergeCell ref="E897:E898"/>
    <mergeCell ref="F897:I897"/>
    <mergeCell ref="J897:L897"/>
    <mergeCell ref="M897:M898"/>
    <mergeCell ref="N897:N898"/>
    <mergeCell ref="O897:Q897"/>
    <mergeCell ref="B938:B942"/>
    <mergeCell ref="B944:B947"/>
    <mergeCell ref="B948:B953"/>
    <mergeCell ref="B958:C958"/>
    <mergeCell ref="B959:C959"/>
    <mergeCell ref="B960:C960"/>
    <mergeCell ref="B905:C905"/>
    <mergeCell ref="B913:C913"/>
    <mergeCell ref="B914:C914"/>
    <mergeCell ref="B922:C922"/>
    <mergeCell ref="B923:C923"/>
    <mergeCell ref="B924:B926"/>
    <mergeCell ref="B927:B930"/>
    <mergeCell ref="B931:B932"/>
    <mergeCell ref="B933:B936"/>
    <mergeCell ref="A1094:A1096"/>
    <mergeCell ref="B1094:B1096"/>
    <mergeCell ref="C1094:C1096"/>
    <mergeCell ref="D1094:N1094"/>
    <mergeCell ref="O1094:Q1094"/>
    <mergeCell ref="D1095:D1096"/>
    <mergeCell ref="E1095:E1096"/>
    <mergeCell ref="F1095:I1095"/>
    <mergeCell ref="J1095:L1095"/>
    <mergeCell ref="M1095:M1096"/>
    <mergeCell ref="N1095:N1096"/>
    <mergeCell ref="O1095:Q1095"/>
    <mergeCell ref="B1136:B1140"/>
    <mergeCell ref="B1142:B1145"/>
    <mergeCell ref="B1146:B1151"/>
    <mergeCell ref="B1156:C1156"/>
    <mergeCell ref="B1157:C1157"/>
    <mergeCell ref="B1158:C1158"/>
    <mergeCell ref="B1103:C1103"/>
    <mergeCell ref="B1111:C1111"/>
    <mergeCell ref="B1112:C1112"/>
    <mergeCell ref="B1120:C1120"/>
    <mergeCell ref="B1121:C1121"/>
    <mergeCell ref="B1122:B1124"/>
    <mergeCell ref="B1125:B1128"/>
    <mergeCell ref="B1129:B1130"/>
    <mergeCell ref="B1131:B1134"/>
    <mergeCell ref="A1160:A1162"/>
    <mergeCell ref="B1160:B1162"/>
    <mergeCell ref="C1160:C1162"/>
    <mergeCell ref="D1160:N1160"/>
    <mergeCell ref="O1160:Q1160"/>
    <mergeCell ref="D1161:D1162"/>
    <mergeCell ref="E1161:E1162"/>
    <mergeCell ref="F1161:I1161"/>
    <mergeCell ref="J1161:L1161"/>
    <mergeCell ref="M1161:M1162"/>
    <mergeCell ref="N1161:N1162"/>
    <mergeCell ref="O1161:Q1161"/>
    <mergeCell ref="B1202:B1206"/>
    <mergeCell ref="B1208:B1211"/>
    <mergeCell ref="B1212:B1217"/>
    <mergeCell ref="B1222:C1222"/>
    <mergeCell ref="B1223:C1223"/>
    <mergeCell ref="B1224:C1224"/>
    <mergeCell ref="B1169:C1169"/>
    <mergeCell ref="B1177:C1177"/>
    <mergeCell ref="B1178:C1178"/>
    <mergeCell ref="B1186:C1186"/>
    <mergeCell ref="B1187:C1187"/>
    <mergeCell ref="B1188:B1190"/>
    <mergeCell ref="B1191:B1194"/>
    <mergeCell ref="B1195:B1196"/>
    <mergeCell ref="B1197:B1200"/>
  </mergeCells>
  <pageMargins left="0.19685039370078741" right="0.19685039370078741" top="0.19685039370078741" bottom="0.19685039370078741" header="0.19685039370078741" footer="0.19685039370078741"/>
  <pageSetup paperSize="9" scale="26" orientation="portrait" verticalDpi="300" r:id="rId1"/>
  <rowBreaks count="18" manualBreakCount="18">
    <brk id="72" max="16" man="1"/>
    <brk id="135" max="16" man="1"/>
    <brk id="198" max="16" man="1"/>
    <brk id="261" max="16" man="1"/>
    <brk id="324" max="16" man="1"/>
    <brk id="387" max="16" man="1"/>
    <brk id="450" max="16" man="1"/>
    <brk id="576" max="16" man="1"/>
    <brk id="639" max="16" man="1"/>
    <brk id="702" max="16" man="1"/>
    <brk id="766" max="16" man="1"/>
    <brk id="830" max="16" man="1"/>
    <brk id="894" max="16" man="1"/>
    <brk id="960" max="16" man="1"/>
    <brk id="1026" max="16" man="1"/>
    <brk id="1092" max="16" man="1"/>
    <brk id="1158" max="16" man="1"/>
    <brk id="1224" max="16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B0F0"/>
  </sheetPr>
  <dimension ref="A7:M1935"/>
  <sheetViews>
    <sheetView view="pageBreakPreview" topLeftCell="A1882" zoomScale="50" zoomScaleNormal="70" zoomScaleSheetLayoutView="50" workbookViewId="0">
      <selection activeCell="E1876" sqref="E1876"/>
    </sheetView>
  </sheetViews>
  <sheetFormatPr defaultColWidth="9.109375" defaultRowHeight="13.8" x14ac:dyDescent="0.3"/>
  <cols>
    <col min="1" max="1" width="10.109375" style="229" customWidth="1"/>
    <col min="2" max="2" width="14.44140625" style="266" customWidth="1"/>
    <col min="3" max="3" width="86" style="266" customWidth="1"/>
    <col min="4" max="4" width="38.6640625" style="229" customWidth="1"/>
    <col min="5" max="6" width="24" style="222" customWidth="1"/>
    <col min="7" max="7" width="24" style="223" customWidth="1"/>
    <col min="8" max="8" width="30.44140625" style="223" bestFit="1" customWidth="1"/>
    <col min="9" max="9" width="32.33203125" style="222" customWidth="1"/>
    <col min="10" max="10" width="0.33203125" style="224" customWidth="1"/>
    <col min="11" max="11" width="15.33203125" style="229" bestFit="1" customWidth="1"/>
    <col min="12" max="12" width="17.5546875" style="229" customWidth="1"/>
    <col min="13" max="13" width="14.109375" style="229" bestFit="1" customWidth="1"/>
    <col min="14" max="16384" width="9.109375" style="229"/>
  </cols>
  <sheetData>
    <row r="7" spans="1:10" ht="67.2" customHeight="1" x14ac:dyDescent="0.3">
      <c r="A7" s="220" t="s">
        <v>0</v>
      </c>
    </row>
    <row r="9" spans="1:10" ht="81" customHeight="1" x14ac:dyDescent="0.3">
      <c r="A9" s="1088" t="s">
        <v>476</v>
      </c>
      <c r="B9" s="1089"/>
      <c r="C9" s="1089"/>
      <c r="D9" s="1089"/>
      <c r="E9" s="1089"/>
      <c r="F9" s="1089"/>
      <c r="G9" s="1089"/>
      <c r="H9" s="1089"/>
      <c r="I9" s="1089"/>
      <c r="J9" s="1089"/>
    </row>
    <row r="10" spans="1:10" ht="24.6" customHeight="1" thickBot="1" x14ac:dyDescent="0.35">
      <c r="A10" s="230"/>
      <c r="B10" s="230"/>
      <c r="C10" s="230"/>
      <c r="D10" s="230"/>
      <c r="E10" s="232"/>
      <c r="F10" s="232"/>
      <c r="G10" s="232"/>
      <c r="H10" s="232"/>
      <c r="I10" s="267"/>
      <c r="J10" s="234"/>
    </row>
    <row r="11" spans="1:10" ht="35.25" customHeight="1" x14ac:dyDescent="0.3">
      <c r="A11" s="1057" t="s">
        <v>1</v>
      </c>
      <c r="B11" s="1060" t="s">
        <v>2</v>
      </c>
      <c r="C11" s="1138" t="s">
        <v>396</v>
      </c>
      <c r="D11" s="1115" t="s">
        <v>397</v>
      </c>
      <c r="E11" s="1142" t="s">
        <v>474</v>
      </c>
      <c r="F11" s="1067"/>
      <c r="G11" s="1067"/>
      <c r="H11" s="1067"/>
      <c r="I11" s="1067"/>
      <c r="J11" s="1068"/>
    </row>
    <row r="12" spans="1:10" ht="35.25" customHeight="1" x14ac:dyDescent="0.3">
      <c r="A12" s="1136"/>
      <c r="B12" s="1137"/>
      <c r="C12" s="1139"/>
      <c r="D12" s="1116"/>
      <c r="E12" s="1143" t="s">
        <v>412</v>
      </c>
      <c r="F12" s="1144"/>
      <c r="G12" s="1143" t="s">
        <v>411</v>
      </c>
      <c r="H12" s="1145"/>
      <c r="I12" s="1145"/>
      <c r="J12" s="1144"/>
    </row>
    <row r="13" spans="1:10" ht="35.25" customHeight="1" x14ac:dyDescent="0.3">
      <c r="A13" s="1058"/>
      <c r="B13" s="1061"/>
      <c r="C13" s="1140"/>
      <c r="D13" s="1116"/>
      <c r="E13" s="1069" t="s">
        <v>413</v>
      </c>
      <c r="F13" s="1071" t="s">
        <v>414</v>
      </c>
      <c r="G13" s="1147" t="s">
        <v>90</v>
      </c>
      <c r="H13" s="1149" t="s">
        <v>91</v>
      </c>
      <c r="I13" s="1149" t="s">
        <v>91</v>
      </c>
      <c r="J13" s="1151" t="s">
        <v>12</v>
      </c>
    </row>
    <row r="14" spans="1:10" ht="35.25" customHeight="1" thickBot="1" x14ac:dyDescent="0.35">
      <c r="A14" s="1059"/>
      <c r="B14" s="1062"/>
      <c r="C14" s="1141"/>
      <c r="D14" s="1117"/>
      <c r="E14" s="1070"/>
      <c r="F14" s="1146"/>
      <c r="G14" s="1148"/>
      <c r="H14" s="1150"/>
      <c r="I14" s="1150"/>
      <c r="J14" s="1152"/>
    </row>
    <row r="15" spans="1:10" ht="35.25" customHeight="1" x14ac:dyDescent="0.3">
      <c r="A15" s="1133" t="s">
        <v>103</v>
      </c>
      <c r="B15" s="439"/>
      <c r="C15" s="577" t="s">
        <v>442</v>
      </c>
      <c r="D15" s="665" t="s">
        <v>374</v>
      </c>
      <c r="E15" s="699"/>
      <c r="F15" s="674">
        <f>+E15</f>
        <v>0</v>
      </c>
      <c r="G15" s="732">
        <v>107.85</v>
      </c>
      <c r="H15" s="591">
        <f t="shared" ref="H15:H30" si="0">E15*G15</f>
        <v>0</v>
      </c>
      <c r="I15" s="594">
        <f>+G15*F15</f>
        <v>0</v>
      </c>
      <c r="J15" s="351"/>
    </row>
    <row r="16" spans="1:10" ht="35.25" customHeight="1" x14ac:dyDescent="0.3">
      <c r="A16" s="1134"/>
      <c r="B16" s="438"/>
      <c r="C16" s="441" t="s">
        <v>264</v>
      </c>
      <c r="D16" s="666" t="s">
        <v>265</v>
      </c>
      <c r="E16" s="700"/>
      <c r="F16" s="701">
        <f t="shared" ref="F16:F30" si="1">+E16</f>
        <v>0</v>
      </c>
      <c r="G16" s="697">
        <v>11</v>
      </c>
      <c r="H16" s="592">
        <f t="shared" si="0"/>
        <v>0</v>
      </c>
      <c r="I16" s="595">
        <f>+G16*F16</f>
        <v>0</v>
      </c>
      <c r="J16" s="352"/>
    </row>
    <row r="17" spans="1:10" ht="35.25" customHeight="1" x14ac:dyDescent="0.3">
      <c r="A17" s="1134"/>
      <c r="B17" s="438"/>
      <c r="C17" s="441" t="s">
        <v>295</v>
      </c>
      <c r="D17" s="666" t="s">
        <v>453</v>
      </c>
      <c r="E17" s="700"/>
      <c r="F17" s="701">
        <f t="shared" si="1"/>
        <v>0</v>
      </c>
      <c r="G17" s="697">
        <v>139.04</v>
      </c>
      <c r="H17" s="592">
        <f t="shared" si="0"/>
        <v>0</v>
      </c>
      <c r="I17" s="595">
        <f t="shared" ref="I17:I30" si="2">+G17*F17</f>
        <v>0</v>
      </c>
      <c r="J17" s="352"/>
    </row>
    <row r="18" spans="1:10" ht="35.25" customHeight="1" x14ac:dyDescent="0.3">
      <c r="A18" s="1134"/>
      <c r="B18" s="438"/>
      <c r="C18" s="441" t="s">
        <v>357</v>
      </c>
      <c r="D18" s="666" t="s">
        <v>358</v>
      </c>
      <c r="E18" s="700"/>
      <c r="F18" s="701">
        <f t="shared" si="1"/>
        <v>0</v>
      </c>
      <c r="G18" s="715">
        <v>20.5</v>
      </c>
      <c r="H18" s="592">
        <f t="shared" si="0"/>
        <v>0</v>
      </c>
      <c r="I18" s="595">
        <f t="shared" si="2"/>
        <v>0</v>
      </c>
      <c r="J18" s="352"/>
    </row>
    <row r="19" spans="1:10" ht="35.25" customHeight="1" x14ac:dyDescent="0.3">
      <c r="A19" s="1134"/>
      <c r="B19" s="438"/>
      <c r="C19" s="441" t="s">
        <v>288</v>
      </c>
      <c r="D19" s="666" t="s">
        <v>177</v>
      </c>
      <c r="E19" s="700"/>
      <c r="F19" s="701">
        <f t="shared" si="1"/>
        <v>0</v>
      </c>
      <c r="G19" s="697">
        <v>14.79</v>
      </c>
      <c r="H19" s="592">
        <f t="shared" si="0"/>
        <v>0</v>
      </c>
      <c r="I19" s="595">
        <f t="shared" si="2"/>
        <v>0</v>
      </c>
      <c r="J19" s="352"/>
    </row>
    <row r="20" spans="1:10" ht="35.25" customHeight="1" x14ac:dyDescent="0.3">
      <c r="A20" s="1134"/>
      <c r="B20" s="438"/>
      <c r="C20" s="441" t="s">
        <v>295</v>
      </c>
      <c r="D20" s="666" t="s">
        <v>265</v>
      </c>
      <c r="E20" s="700"/>
      <c r="F20" s="701">
        <f t="shared" si="1"/>
        <v>0</v>
      </c>
      <c r="G20" s="697">
        <v>139.04</v>
      </c>
      <c r="H20" s="592">
        <f t="shared" si="0"/>
        <v>0</v>
      </c>
      <c r="I20" s="595">
        <f t="shared" si="2"/>
        <v>0</v>
      </c>
      <c r="J20" s="352"/>
    </row>
    <row r="21" spans="1:10" ht="35.25" customHeight="1" x14ac:dyDescent="0.3">
      <c r="A21" s="1134"/>
      <c r="B21" s="438"/>
      <c r="C21" s="441" t="s">
        <v>391</v>
      </c>
      <c r="D21" s="667" t="s">
        <v>356</v>
      </c>
      <c r="E21" s="700"/>
      <c r="F21" s="701">
        <f t="shared" si="1"/>
        <v>0</v>
      </c>
      <c r="G21" s="697">
        <v>147.58000000000001</v>
      </c>
      <c r="H21" s="592">
        <f t="shared" si="0"/>
        <v>0</v>
      </c>
      <c r="I21" s="595">
        <f t="shared" si="2"/>
        <v>0</v>
      </c>
      <c r="J21" s="352"/>
    </row>
    <row r="22" spans="1:10" ht="35.25" customHeight="1" x14ac:dyDescent="0.3">
      <c r="A22" s="1134"/>
      <c r="B22" s="438"/>
      <c r="C22" s="441" t="s">
        <v>313</v>
      </c>
      <c r="D22" s="667" t="s">
        <v>445</v>
      </c>
      <c r="E22" s="700"/>
      <c r="F22" s="701">
        <f t="shared" si="1"/>
        <v>0</v>
      </c>
      <c r="G22" s="697">
        <v>18.84</v>
      </c>
      <c r="H22" s="592">
        <f t="shared" si="0"/>
        <v>0</v>
      </c>
      <c r="I22" s="595">
        <f t="shared" si="2"/>
        <v>0</v>
      </c>
      <c r="J22" s="352"/>
    </row>
    <row r="23" spans="1:10" ht="35.25" customHeight="1" x14ac:dyDescent="0.3">
      <c r="A23" s="1134"/>
      <c r="B23" s="438"/>
      <c r="C23" s="441" t="s">
        <v>313</v>
      </c>
      <c r="D23" s="667" t="s">
        <v>265</v>
      </c>
      <c r="E23" s="700"/>
      <c r="F23" s="701">
        <f t="shared" si="1"/>
        <v>0</v>
      </c>
      <c r="G23" s="697">
        <v>18.84</v>
      </c>
      <c r="H23" s="592">
        <f t="shared" si="0"/>
        <v>0</v>
      </c>
      <c r="I23" s="595">
        <f t="shared" si="2"/>
        <v>0</v>
      </c>
      <c r="J23" s="352"/>
    </row>
    <row r="24" spans="1:10" ht="35.25" customHeight="1" x14ac:dyDescent="0.3">
      <c r="A24" s="1134"/>
      <c r="B24" s="438"/>
      <c r="C24" s="441" t="s">
        <v>322</v>
      </c>
      <c r="D24" s="667" t="s">
        <v>232</v>
      </c>
      <c r="E24" s="700"/>
      <c r="F24" s="701">
        <f t="shared" si="1"/>
        <v>0</v>
      </c>
      <c r="G24" s="697">
        <v>21.18</v>
      </c>
      <c r="H24" s="592">
        <f t="shared" si="0"/>
        <v>0</v>
      </c>
      <c r="I24" s="595">
        <f t="shared" si="2"/>
        <v>0</v>
      </c>
      <c r="J24" s="352"/>
    </row>
    <row r="25" spans="1:10" ht="35.25" customHeight="1" x14ac:dyDescent="0.3">
      <c r="A25" s="1134"/>
      <c r="B25" s="438"/>
      <c r="C25" s="441" t="s">
        <v>324</v>
      </c>
      <c r="D25" s="667" t="s">
        <v>325</v>
      </c>
      <c r="E25" s="700"/>
      <c r="F25" s="701">
        <f t="shared" si="1"/>
        <v>0</v>
      </c>
      <c r="G25" s="697">
        <v>21.28</v>
      </c>
      <c r="H25" s="592">
        <f t="shared" si="0"/>
        <v>0</v>
      </c>
      <c r="I25" s="595">
        <f t="shared" si="2"/>
        <v>0</v>
      </c>
      <c r="J25" s="352"/>
    </row>
    <row r="26" spans="1:10" ht="35.25" customHeight="1" x14ac:dyDescent="0.3">
      <c r="A26" s="1134"/>
      <c r="B26" s="438"/>
      <c r="C26" s="441" t="s">
        <v>378</v>
      </c>
      <c r="D26" s="667" t="s">
        <v>374</v>
      </c>
      <c r="E26" s="700"/>
      <c r="F26" s="701">
        <f t="shared" si="1"/>
        <v>0</v>
      </c>
      <c r="G26" s="697">
        <v>143.28</v>
      </c>
      <c r="H26" s="592">
        <f t="shared" si="0"/>
        <v>0</v>
      </c>
      <c r="I26" s="595">
        <f t="shared" si="2"/>
        <v>0</v>
      </c>
      <c r="J26" s="352"/>
    </row>
    <row r="27" spans="1:10" ht="35.25" customHeight="1" x14ac:dyDescent="0.3">
      <c r="A27" s="1134"/>
      <c r="B27" s="438"/>
      <c r="C27" s="441" t="s">
        <v>472</v>
      </c>
      <c r="D27" s="667"/>
      <c r="E27" s="700"/>
      <c r="F27" s="701">
        <f t="shared" si="1"/>
        <v>0</v>
      </c>
      <c r="G27" s="697">
        <v>14.79</v>
      </c>
      <c r="H27" s="592">
        <f t="shared" si="0"/>
        <v>0</v>
      </c>
      <c r="I27" s="595">
        <f t="shared" si="2"/>
        <v>0</v>
      </c>
      <c r="J27" s="352"/>
    </row>
    <row r="28" spans="1:10" ht="35.25" customHeight="1" x14ac:dyDescent="0.3">
      <c r="A28" s="1134"/>
      <c r="B28" s="438"/>
      <c r="C28" s="441" t="s">
        <v>451</v>
      </c>
      <c r="D28" s="666" t="s">
        <v>177</v>
      </c>
      <c r="E28" s="700"/>
      <c r="F28" s="701">
        <f t="shared" si="1"/>
        <v>0</v>
      </c>
      <c r="G28" s="697">
        <v>14.55</v>
      </c>
      <c r="H28" s="592">
        <f t="shared" si="0"/>
        <v>0</v>
      </c>
      <c r="I28" s="595">
        <f t="shared" si="2"/>
        <v>0</v>
      </c>
      <c r="J28" s="352"/>
    </row>
    <row r="29" spans="1:10" ht="35.25" customHeight="1" x14ac:dyDescent="0.3">
      <c r="A29" s="1134"/>
      <c r="B29" s="438"/>
      <c r="C29" s="441" t="s">
        <v>327</v>
      </c>
      <c r="D29" s="667" t="s">
        <v>188</v>
      </c>
      <c r="E29" s="700"/>
      <c r="F29" s="701">
        <f t="shared" si="1"/>
        <v>0</v>
      </c>
      <c r="G29" s="697">
        <v>21.28</v>
      </c>
      <c r="H29" s="592">
        <f t="shared" si="0"/>
        <v>0</v>
      </c>
      <c r="I29" s="595">
        <f t="shared" si="2"/>
        <v>0</v>
      </c>
      <c r="J29" s="352"/>
    </row>
    <row r="30" spans="1:10" ht="35.25" customHeight="1" thickBot="1" x14ac:dyDescent="0.35">
      <c r="A30" s="1134"/>
      <c r="B30" s="438"/>
      <c r="C30" s="441" t="s">
        <v>336</v>
      </c>
      <c r="D30" s="668" t="s">
        <v>178</v>
      </c>
      <c r="E30" s="700"/>
      <c r="F30" s="676">
        <f t="shared" si="1"/>
        <v>0</v>
      </c>
      <c r="G30" s="697">
        <v>36.44</v>
      </c>
      <c r="H30" s="592">
        <f t="shared" si="0"/>
        <v>0</v>
      </c>
      <c r="I30" s="595">
        <f t="shared" si="2"/>
        <v>0</v>
      </c>
      <c r="J30" s="352"/>
    </row>
    <row r="31" spans="1:10" ht="35.25" customHeight="1" thickBot="1" x14ac:dyDescent="0.35">
      <c r="A31" s="1134"/>
      <c r="B31" s="1129" t="s">
        <v>266</v>
      </c>
      <c r="C31" s="1130"/>
      <c r="D31" s="738"/>
      <c r="E31" s="326">
        <f>SUM(E15:E30)</f>
        <v>0</v>
      </c>
      <c r="F31" s="698">
        <f>SUM(F15:F30)</f>
        <v>0</v>
      </c>
      <c r="G31" s="326"/>
      <c r="H31" s="587">
        <f>SUM(H15:H30)</f>
        <v>0</v>
      </c>
      <c r="I31" s="580">
        <f>SUM(I15:I30)</f>
        <v>0</v>
      </c>
      <c r="J31" s="349"/>
    </row>
    <row r="32" spans="1:10" ht="35.25" customHeight="1" x14ac:dyDescent="0.3">
      <c r="A32" s="1134"/>
      <c r="B32" s="739"/>
      <c r="C32" s="279" t="s">
        <v>271</v>
      </c>
      <c r="D32" s="434" t="s">
        <v>238</v>
      </c>
      <c r="E32" s="280"/>
      <c r="F32" s="435">
        <f t="shared" ref="F32:F45" si="3">+E32</f>
        <v>0</v>
      </c>
      <c r="G32" s="578">
        <v>160.44999999999999</v>
      </c>
      <c r="H32" s="593">
        <f t="shared" ref="H32:H45" si="4">E32*G32</f>
        <v>0</v>
      </c>
      <c r="I32" s="596">
        <f t="shared" ref="I32:I45" si="5">+G32*F32</f>
        <v>0</v>
      </c>
      <c r="J32" s="373"/>
    </row>
    <row r="33" spans="1:10" ht="35.25" customHeight="1" x14ac:dyDescent="0.3">
      <c r="A33" s="1134"/>
      <c r="B33" s="739"/>
      <c r="C33" s="279" t="s">
        <v>286</v>
      </c>
      <c r="D33" s="434" t="s">
        <v>238</v>
      </c>
      <c r="E33" s="280"/>
      <c r="F33" s="435">
        <f t="shared" si="3"/>
        <v>0</v>
      </c>
      <c r="G33" s="578">
        <v>160.44999999999999</v>
      </c>
      <c r="H33" s="593">
        <f t="shared" si="4"/>
        <v>0</v>
      </c>
      <c r="I33" s="596">
        <f t="shared" si="5"/>
        <v>0</v>
      </c>
      <c r="J33" s="373"/>
    </row>
    <row r="34" spans="1:10" ht="35.25" customHeight="1" x14ac:dyDescent="0.3">
      <c r="A34" s="1134"/>
      <c r="B34" s="739"/>
      <c r="C34" s="279" t="s">
        <v>388</v>
      </c>
      <c r="D34" s="434" t="s">
        <v>238</v>
      </c>
      <c r="E34" s="280"/>
      <c r="F34" s="435">
        <f t="shared" si="3"/>
        <v>0</v>
      </c>
      <c r="G34" s="578">
        <v>160.44999999999999</v>
      </c>
      <c r="H34" s="593">
        <f t="shared" si="4"/>
        <v>0</v>
      </c>
      <c r="I34" s="596">
        <f t="shared" si="5"/>
        <v>0</v>
      </c>
      <c r="J34" s="373"/>
    </row>
    <row r="35" spans="1:10" ht="35.25" customHeight="1" x14ac:dyDescent="0.3">
      <c r="A35" s="1134"/>
      <c r="B35" s="739"/>
      <c r="C35" s="279" t="s">
        <v>287</v>
      </c>
      <c r="D35" s="434" t="s">
        <v>93</v>
      </c>
      <c r="E35" s="280">
        <v>37620</v>
      </c>
      <c r="F35" s="435">
        <f t="shared" si="3"/>
        <v>37620</v>
      </c>
      <c r="G35" s="578">
        <v>27</v>
      </c>
      <c r="H35" s="593">
        <f t="shared" si="4"/>
        <v>1015740</v>
      </c>
      <c r="I35" s="596">
        <f t="shared" si="5"/>
        <v>1015740</v>
      </c>
      <c r="J35" s="373"/>
    </row>
    <row r="36" spans="1:10" ht="35.25" customHeight="1" x14ac:dyDescent="0.3">
      <c r="A36" s="1134"/>
      <c r="B36" s="739"/>
      <c r="C36" s="279" t="s">
        <v>287</v>
      </c>
      <c r="D36" s="434" t="s">
        <v>292</v>
      </c>
      <c r="E36" s="280"/>
      <c r="F36" s="435">
        <f t="shared" si="3"/>
        <v>0</v>
      </c>
      <c r="G36" s="578">
        <v>27.5</v>
      </c>
      <c r="H36" s="593">
        <f t="shared" si="4"/>
        <v>0</v>
      </c>
      <c r="I36" s="596">
        <f t="shared" si="5"/>
        <v>0</v>
      </c>
      <c r="J36" s="373"/>
    </row>
    <row r="37" spans="1:10" ht="35.25" customHeight="1" x14ac:dyDescent="0.3">
      <c r="A37" s="1134"/>
      <c r="B37" s="739"/>
      <c r="C37" s="279" t="s">
        <v>276</v>
      </c>
      <c r="D37" s="434" t="s">
        <v>292</v>
      </c>
      <c r="E37" s="280"/>
      <c r="F37" s="435">
        <f t="shared" si="3"/>
        <v>0</v>
      </c>
      <c r="G37" s="578">
        <v>34.5</v>
      </c>
      <c r="H37" s="593">
        <f t="shared" si="4"/>
        <v>0</v>
      </c>
      <c r="I37" s="596">
        <f t="shared" si="5"/>
        <v>0</v>
      </c>
      <c r="J37" s="373"/>
    </row>
    <row r="38" spans="1:10" ht="35.25" customHeight="1" x14ac:dyDescent="0.3">
      <c r="A38" s="1134"/>
      <c r="B38" s="739"/>
      <c r="C38" s="279" t="s">
        <v>473</v>
      </c>
      <c r="D38" s="434" t="s">
        <v>440</v>
      </c>
      <c r="E38" s="280"/>
      <c r="F38" s="435">
        <f t="shared" si="3"/>
        <v>0</v>
      </c>
      <c r="G38" s="578">
        <v>10.57</v>
      </c>
      <c r="H38" s="593">
        <f t="shared" si="4"/>
        <v>0</v>
      </c>
      <c r="I38" s="596">
        <f t="shared" si="5"/>
        <v>0</v>
      </c>
      <c r="J38" s="373"/>
    </row>
    <row r="39" spans="1:10" ht="35.25" customHeight="1" x14ac:dyDescent="0.3">
      <c r="A39" s="1134"/>
      <c r="B39" s="739"/>
      <c r="C39" s="279" t="s">
        <v>276</v>
      </c>
      <c r="D39" s="434" t="s">
        <v>440</v>
      </c>
      <c r="E39" s="280"/>
      <c r="F39" s="435">
        <f t="shared" si="3"/>
        <v>0</v>
      </c>
      <c r="G39" s="578">
        <v>55.76</v>
      </c>
      <c r="H39" s="593">
        <f t="shared" si="4"/>
        <v>0</v>
      </c>
      <c r="I39" s="596">
        <f t="shared" si="5"/>
        <v>0</v>
      </c>
      <c r="J39" s="373"/>
    </row>
    <row r="40" spans="1:10" ht="35.25" customHeight="1" x14ac:dyDescent="0.3">
      <c r="A40" s="1134"/>
      <c r="B40" s="739"/>
      <c r="C40" s="279" t="s">
        <v>421</v>
      </c>
      <c r="D40" s="434" t="s">
        <v>238</v>
      </c>
      <c r="E40" s="280"/>
      <c r="F40" s="435">
        <f t="shared" si="3"/>
        <v>0</v>
      </c>
      <c r="G40" s="578">
        <v>160.44999999999999</v>
      </c>
      <c r="H40" s="593">
        <f t="shared" si="4"/>
        <v>0</v>
      </c>
      <c r="I40" s="596">
        <f t="shared" si="5"/>
        <v>0</v>
      </c>
      <c r="J40" s="373"/>
    </row>
    <row r="41" spans="1:10" ht="35.25" customHeight="1" x14ac:dyDescent="0.3">
      <c r="A41" s="1134"/>
      <c r="B41" s="739"/>
      <c r="C41" s="279" t="s">
        <v>348</v>
      </c>
      <c r="D41" s="434" t="s">
        <v>238</v>
      </c>
      <c r="E41" s="280"/>
      <c r="F41" s="435">
        <f t="shared" si="3"/>
        <v>0</v>
      </c>
      <c r="G41" s="578">
        <v>160.44999999999999</v>
      </c>
      <c r="H41" s="593">
        <f t="shared" si="4"/>
        <v>0</v>
      </c>
      <c r="I41" s="596">
        <f t="shared" si="5"/>
        <v>0</v>
      </c>
      <c r="J41" s="373"/>
    </row>
    <row r="42" spans="1:10" ht="35.25" customHeight="1" x14ac:dyDescent="0.3">
      <c r="A42" s="1134"/>
      <c r="B42" s="739"/>
      <c r="C42" s="279" t="s">
        <v>387</v>
      </c>
      <c r="D42" s="434" t="s">
        <v>238</v>
      </c>
      <c r="E42" s="280"/>
      <c r="F42" s="435">
        <f t="shared" si="3"/>
        <v>0</v>
      </c>
      <c r="G42" s="578">
        <v>160.44999999999999</v>
      </c>
      <c r="H42" s="593">
        <f t="shared" si="4"/>
        <v>0</v>
      </c>
      <c r="I42" s="596">
        <f t="shared" si="5"/>
        <v>0</v>
      </c>
      <c r="J42" s="373"/>
    </row>
    <row r="43" spans="1:10" ht="35.25" customHeight="1" x14ac:dyDescent="0.3">
      <c r="A43" s="1134"/>
      <c r="B43" s="739"/>
      <c r="C43" s="279" t="s">
        <v>441</v>
      </c>
      <c r="D43" s="434" t="s">
        <v>238</v>
      </c>
      <c r="E43" s="280"/>
      <c r="F43" s="435">
        <f t="shared" si="3"/>
        <v>0</v>
      </c>
      <c r="G43" s="578">
        <v>160.44999999999999</v>
      </c>
      <c r="H43" s="593">
        <f t="shared" si="4"/>
        <v>0</v>
      </c>
      <c r="I43" s="596">
        <f t="shared" si="5"/>
        <v>0</v>
      </c>
      <c r="J43" s="373"/>
    </row>
    <row r="44" spans="1:10" ht="35.25" customHeight="1" x14ac:dyDescent="0.3">
      <c r="A44" s="1134"/>
      <c r="B44" s="739"/>
      <c r="C44" s="279" t="s">
        <v>302</v>
      </c>
      <c r="D44" s="434" t="s">
        <v>238</v>
      </c>
      <c r="E44" s="280"/>
      <c r="F44" s="435">
        <f t="shared" si="3"/>
        <v>0</v>
      </c>
      <c r="G44" s="578">
        <v>160.44999999999999</v>
      </c>
      <c r="H44" s="593">
        <f t="shared" si="4"/>
        <v>0</v>
      </c>
      <c r="I44" s="596">
        <f t="shared" si="5"/>
        <v>0</v>
      </c>
      <c r="J44" s="373"/>
    </row>
    <row r="45" spans="1:10" ht="35.25" customHeight="1" thickBot="1" x14ac:dyDescent="0.35">
      <c r="A45" s="1134"/>
      <c r="B45" s="739"/>
      <c r="C45" s="279" t="s">
        <v>310</v>
      </c>
      <c r="D45" s="434" t="s">
        <v>238</v>
      </c>
      <c r="E45" s="280"/>
      <c r="F45" s="435">
        <f t="shared" si="3"/>
        <v>0</v>
      </c>
      <c r="G45" s="578">
        <v>160.44999999999999</v>
      </c>
      <c r="H45" s="593">
        <f t="shared" si="4"/>
        <v>0</v>
      </c>
      <c r="I45" s="596">
        <f t="shared" si="5"/>
        <v>0</v>
      </c>
      <c r="J45" s="373"/>
    </row>
    <row r="46" spans="1:10" ht="35.25" customHeight="1" thickBot="1" x14ac:dyDescent="0.35">
      <c r="A46" s="1134"/>
      <c r="B46" s="1129" t="s">
        <v>267</v>
      </c>
      <c r="C46" s="1130"/>
      <c r="D46" s="738"/>
      <c r="E46" s="326">
        <f>SUM(E32:E45)</f>
        <v>37620</v>
      </c>
      <c r="F46" s="326">
        <f>SUM(F32:F45)</f>
        <v>37620</v>
      </c>
      <c r="G46" s="326"/>
      <c r="H46" s="587">
        <f>SUM(H32:H45)</f>
        <v>1015740</v>
      </c>
      <c r="I46" s="580">
        <f>SUM(I32:I45)</f>
        <v>1015740</v>
      </c>
      <c r="J46" s="349"/>
    </row>
    <row r="47" spans="1:10" ht="35.25" customHeight="1" x14ac:dyDescent="0.3">
      <c r="A47" s="1134"/>
      <c r="B47" s="739"/>
      <c r="C47" s="279" t="s">
        <v>372</v>
      </c>
      <c r="D47" s="434" t="s">
        <v>373</v>
      </c>
      <c r="E47" s="280"/>
      <c r="F47" s="435">
        <f t="shared" ref="F47:F52" si="6">+E47</f>
        <v>0</v>
      </c>
      <c r="G47" s="578">
        <v>5.34</v>
      </c>
      <c r="H47" s="593">
        <f t="shared" ref="H47:H53" si="7">E47*G47</f>
        <v>0</v>
      </c>
      <c r="I47" s="596">
        <f t="shared" ref="I47" si="8">+G47*F47</f>
        <v>0</v>
      </c>
      <c r="J47" s="373"/>
    </row>
    <row r="48" spans="1:10" ht="35.25" customHeight="1" x14ac:dyDescent="0.3">
      <c r="A48" s="1134"/>
      <c r="B48" s="739"/>
      <c r="C48" s="279" t="s">
        <v>389</v>
      </c>
      <c r="D48" s="434" t="s">
        <v>265</v>
      </c>
      <c r="E48" s="280"/>
      <c r="F48" s="435">
        <f t="shared" si="6"/>
        <v>0</v>
      </c>
      <c r="G48" s="578">
        <v>31.73</v>
      </c>
      <c r="H48" s="593">
        <f t="shared" si="7"/>
        <v>0</v>
      </c>
      <c r="I48" s="596">
        <f>+G48*F48</f>
        <v>0</v>
      </c>
      <c r="J48" s="373"/>
    </row>
    <row r="49" spans="1:13" ht="35.25" customHeight="1" x14ac:dyDescent="0.3">
      <c r="A49" s="1134"/>
      <c r="B49" s="739"/>
      <c r="C49" s="279" t="s">
        <v>392</v>
      </c>
      <c r="D49" s="434" t="s">
        <v>393</v>
      </c>
      <c r="E49" s="280"/>
      <c r="F49" s="435">
        <f t="shared" si="6"/>
        <v>0</v>
      </c>
      <c r="G49" s="578">
        <v>10.58</v>
      </c>
      <c r="H49" s="593">
        <f t="shared" si="7"/>
        <v>0</v>
      </c>
      <c r="I49" s="596">
        <f>+G49*F49</f>
        <v>0</v>
      </c>
      <c r="J49" s="373"/>
    </row>
    <row r="50" spans="1:13" ht="35.25" customHeight="1" x14ac:dyDescent="0.3">
      <c r="A50" s="1134"/>
      <c r="B50" s="739"/>
      <c r="C50" s="279" t="s">
        <v>277</v>
      </c>
      <c r="D50" s="434" t="s">
        <v>278</v>
      </c>
      <c r="E50" s="280"/>
      <c r="F50" s="435">
        <f t="shared" si="6"/>
        <v>0</v>
      </c>
      <c r="G50" s="578">
        <v>2500</v>
      </c>
      <c r="H50" s="593">
        <f t="shared" si="7"/>
        <v>0</v>
      </c>
      <c r="I50" s="596">
        <f>+G50*F50</f>
        <v>0</v>
      </c>
      <c r="J50" s="373"/>
    </row>
    <row r="51" spans="1:13" ht="35.25" customHeight="1" x14ac:dyDescent="0.3">
      <c r="A51" s="1134"/>
      <c r="B51" s="739"/>
      <c r="C51" s="279" t="s">
        <v>454</v>
      </c>
      <c r="D51" s="434"/>
      <c r="E51" s="280"/>
      <c r="F51" s="435">
        <f t="shared" si="6"/>
        <v>0</v>
      </c>
      <c r="G51" s="578">
        <v>30000</v>
      </c>
      <c r="H51" s="593">
        <f t="shared" si="7"/>
        <v>0</v>
      </c>
      <c r="I51" s="596">
        <f>+G51*F51</f>
        <v>0</v>
      </c>
      <c r="J51" s="373"/>
    </row>
    <row r="52" spans="1:13" ht="35.25" customHeight="1" x14ac:dyDescent="0.3">
      <c r="A52" s="1134"/>
      <c r="B52" s="739"/>
      <c r="C52" s="279" t="s">
        <v>379</v>
      </c>
      <c r="D52" s="434" t="s">
        <v>304</v>
      </c>
      <c r="E52" s="280"/>
      <c r="F52" s="435">
        <f t="shared" si="6"/>
        <v>0</v>
      </c>
      <c r="G52" s="578">
        <v>360</v>
      </c>
      <c r="H52" s="593">
        <f t="shared" si="7"/>
        <v>0</v>
      </c>
      <c r="I52" s="596">
        <f>+G52*F52</f>
        <v>0</v>
      </c>
      <c r="J52" s="373"/>
    </row>
    <row r="53" spans="1:13" ht="35.25" customHeight="1" thickBot="1" x14ac:dyDescent="0.35">
      <c r="A53" s="1134"/>
      <c r="B53" s="739"/>
      <c r="C53" s="279" t="s">
        <v>427</v>
      </c>
      <c r="D53" s="434" t="s">
        <v>304</v>
      </c>
      <c r="E53" s="280"/>
      <c r="F53" s="435">
        <f>+E53</f>
        <v>0</v>
      </c>
      <c r="G53" s="579">
        <v>10</v>
      </c>
      <c r="H53" s="593">
        <f t="shared" si="7"/>
        <v>0</v>
      </c>
      <c r="I53" s="596">
        <f t="shared" ref="I53" si="9">+G53*F53</f>
        <v>0</v>
      </c>
      <c r="J53" s="373"/>
    </row>
    <row r="54" spans="1:13" ht="35.25" customHeight="1" thickBot="1" x14ac:dyDescent="0.35">
      <c r="A54" s="1134"/>
      <c r="B54" s="1129" t="s">
        <v>272</v>
      </c>
      <c r="C54" s="1130"/>
      <c r="D54" s="738"/>
      <c r="E54" s="326">
        <f>SUM(E47:E53)</f>
        <v>0</v>
      </c>
      <c r="F54" s="326">
        <f>SUM(F47:F53)</f>
        <v>0</v>
      </c>
      <c r="G54" s="326"/>
      <c r="H54" s="587">
        <f>SUM(H47:H53)</f>
        <v>0</v>
      </c>
      <c r="I54" s="580">
        <f>SUM(I47:I53)</f>
        <v>0</v>
      </c>
      <c r="J54" s="373"/>
    </row>
    <row r="55" spans="1:13" ht="35.25" customHeight="1" thickBot="1" x14ac:dyDescent="0.35">
      <c r="A55" s="1134"/>
      <c r="B55" s="739"/>
      <c r="C55" s="279"/>
      <c r="D55" s="434"/>
      <c r="E55" s="280"/>
      <c r="F55" s="317"/>
      <c r="G55" s="579"/>
      <c r="H55" s="588"/>
      <c r="I55" s="282">
        <f t="shared" ref="I55" si="10">+G55*F55</f>
        <v>0</v>
      </c>
      <c r="J55" s="373"/>
    </row>
    <row r="56" spans="1:13" ht="35.25" customHeight="1" thickBot="1" x14ac:dyDescent="0.35">
      <c r="A56" s="1135"/>
      <c r="B56" s="1129" t="s">
        <v>269</v>
      </c>
      <c r="C56" s="1130"/>
      <c r="D56" s="740"/>
      <c r="E56" s="326">
        <f>+E54+E46+E31</f>
        <v>37620</v>
      </c>
      <c r="F56" s="326">
        <f>+F54+F46+F31</f>
        <v>37620</v>
      </c>
      <c r="G56" s="326"/>
      <c r="H56" s="580">
        <f>+H46+H31+H54</f>
        <v>1015740</v>
      </c>
      <c r="I56" s="580">
        <f>+I46+I31+I54</f>
        <v>1015740</v>
      </c>
      <c r="J56" s="373"/>
      <c r="K56" s="704"/>
      <c r="M56" s="704"/>
    </row>
    <row r="57" spans="1:13" ht="35.25" customHeight="1" x14ac:dyDescent="0.3">
      <c r="A57" s="1133" t="s">
        <v>101</v>
      </c>
      <c r="B57" s="739"/>
      <c r="C57" s="279" t="s">
        <v>281</v>
      </c>
      <c r="D57" s="434" t="s">
        <v>178</v>
      </c>
      <c r="E57" s="280"/>
      <c r="F57" s="435">
        <f t="shared" ref="F57:F88" si="11">+E57</f>
        <v>0</v>
      </c>
      <c r="G57" s="602">
        <v>13.25</v>
      </c>
      <c r="H57" s="597">
        <f t="shared" ref="H57:H88" si="12">E57*G57</f>
        <v>0</v>
      </c>
      <c r="I57" s="596">
        <f t="shared" ref="I57:I88" si="13">+G57*F57</f>
        <v>0</v>
      </c>
      <c r="J57" s="373"/>
      <c r="K57" s="704"/>
    </row>
    <row r="58" spans="1:13" ht="35.25" customHeight="1" x14ac:dyDescent="0.3">
      <c r="A58" s="1134"/>
      <c r="B58" s="739"/>
      <c r="C58" s="279" t="s">
        <v>282</v>
      </c>
      <c r="D58" s="434"/>
      <c r="E58" s="280"/>
      <c r="F58" s="435">
        <f t="shared" si="11"/>
        <v>0</v>
      </c>
      <c r="G58" s="603">
        <v>5000</v>
      </c>
      <c r="H58" s="597">
        <f t="shared" si="12"/>
        <v>0</v>
      </c>
      <c r="I58" s="596">
        <f t="shared" si="13"/>
        <v>0</v>
      </c>
      <c r="J58" s="373"/>
      <c r="K58" s="704"/>
    </row>
    <row r="59" spans="1:13" ht="35.25" customHeight="1" x14ac:dyDescent="0.3">
      <c r="A59" s="1134"/>
      <c r="B59" s="739"/>
      <c r="C59" s="279" t="s">
        <v>282</v>
      </c>
      <c r="D59" s="434"/>
      <c r="E59" s="280"/>
      <c r="F59" s="435">
        <f t="shared" si="11"/>
        <v>0</v>
      </c>
      <c r="G59" s="603">
        <v>18000</v>
      </c>
      <c r="H59" s="597">
        <f t="shared" si="12"/>
        <v>0</v>
      </c>
      <c r="I59" s="596">
        <f t="shared" si="13"/>
        <v>0</v>
      </c>
      <c r="J59" s="373"/>
    </row>
    <row r="60" spans="1:13" ht="35.25" customHeight="1" x14ac:dyDescent="0.3">
      <c r="A60" s="1134"/>
      <c r="B60" s="739"/>
      <c r="C60" s="279" t="s">
        <v>465</v>
      </c>
      <c r="D60" s="434" t="s">
        <v>464</v>
      </c>
      <c r="E60" s="280"/>
      <c r="F60" s="435">
        <f t="shared" si="11"/>
        <v>0</v>
      </c>
      <c r="G60" s="602">
        <v>21.01</v>
      </c>
      <c r="H60" s="597">
        <f t="shared" si="12"/>
        <v>0</v>
      </c>
      <c r="I60" s="596">
        <f t="shared" si="13"/>
        <v>0</v>
      </c>
      <c r="J60" s="373"/>
    </row>
    <row r="61" spans="1:13" ht="35.25" customHeight="1" x14ac:dyDescent="0.3">
      <c r="A61" s="1134"/>
      <c r="B61" s="739"/>
      <c r="C61" s="279" t="s">
        <v>465</v>
      </c>
      <c r="D61" s="434" t="s">
        <v>338</v>
      </c>
      <c r="E61" s="280"/>
      <c r="F61" s="435">
        <f t="shared" si="11"/>
        <v>0</v>
      </c>
      <c r="G61" s="602">
        <v>24.93</v>
      </c>
      <c r="H61" s="597">
        <f t="shared" si="12"/>
        <v>0</v>
      </c>
      <c r="I61" s="596">
        <f t="shared" si="13"/>
        <v>0</v>
      </c>
      <c r="J61" s="373"/>
    </row>
    <row r="62" spans="1:13" ht="35.25" customHeight="1" x14ac:dyDescent="0.3">
      <c r="A62" s="1134"/>
      <c r="B62" s="739"/>
      <c r="C62" s="279" t="s">
        <v>465</v>
      </c>
      <c r="D62" s="434" t="s">
        <v>92</v>
      </c>
      <c r="E62" s="280"/>
      <c r="F62" s="435">
        <f t="shared" si="11"/>
        <v>0</v>
      </c>
      <c r="G62" s="602">
        <v>24.93</v>
      </c>
      <c r="H62" s="597">
        <f t="shared" si="12"/>
        <v>0</v>
      </c>
      <c r="I62" s="596">
        <f t="shared" si="13"/>
        <v>0</v>
      </c>
      <c r="J62" s="373"/>
    </row>
    <row r="63" spans="1:13" ht="35.25" customHeight="1" x14ac:dyDescent="0.3">
      <c r="A63" s="1134"/>
      <c r="B63" s="739"/>
      <c r="C63" s="746" t="s">
        <v>466</v>
      </c>
      <c r="D63" s="747" t="s">
        <v>92</v>
      </c>
      <c r="E63" s="280"/>
      <c r="F63" s="435">
        <f t="shared" si="11"/>
        <v>0</v>
      </c>
      <c r="G63" s="602">
        <v>20.8</v>
      </c>
      <c r="H63" s="597">
        <f t="shared" si="12"/>
        <v>0</v>
      </c>
      <c r="I63" s="596">
        <f t="shared" si="13"/>
        <v>0</v>
      </c>
      <c r="J63" s="373"/>
    </row>
    <row r="64" spans="1:13" ht="35.25" customHeight="1" x14ac:dyDescent="0.3">
      <c r="A64" s="1134"/>
      <c r="B64" s="739"/>
      <c r="C64" s="746" t="s">
        <v>467</v>
      </c>
      <c r="D64" s="747" t="s">
        <v>468</v>
      </c>
      <c r="E64" s="280"/>
      <c r="F64" s="435">
        <f t="shared" si="11"/>
        <v>0</v>
      </c>
      <c r="G64" s="602">
        <v>24.93</v>
      </c>
      <c r="H64" s="597">
        <f t="shared" si="12"/>
        <v>0</v>
      </c>
      <c r="I64" s="596">
        <f t="shared" si="13"/>
        <v>0</v>
      </c>
      <c r="J64" s="373"/>
    </row>
    <row r="65" spans="1:10" ht="35.25" customHeight="1" x14ac:dyDescent="0.3">
      <c r="A65" s="1134"/>
      <c r="B65" s="739"/>
      <c r="C65" s="746" t="s">
        <v>467</v>
      </c>
      <c r="D65" s="747" t="s">
        <v>468</v>
      </c>
      <c r="E65" s="280"/>
      <c r="F65" s="435">
        <f t="shared" si="11"/>
        <v>0</v>
      </c>
      <c r="G65" s="602">
        <v>25.49</v>
      </c>
      <c r="H65" s="597">
        <f t="shared" si="12"/>
        <v>0</v>
      </c>
      <c r="I65" s="596">
        <f t="shared" si="13"/>
        <v>0</v>
      </c>
      <c r="J65" s="373"/>
    </row>
    <row r="66" spans="1:10" s="757" customFormat="1" ht="35.25" customHeight="1" x14ac:dyDescent="0.3">
      <c r="A66" s="1134"/>
      <c r="B66" s="748"/>
      <c r="C66" s="749" t="s">
        <v>469</v>
      </c>
      <c r="D66" s="750" t="s">
        <v>309</v>
      </c>
      <c r="E66" s="751"/>
      <c r="F66" s="752">
        <f t="shared" si="11"/>
        <v>0</v>
      </c>
      <c r="G66" s="753">
        <v>24.41</v>
      </c>
      <c r="H66" s="754">
        <f t="shared" si="12"/>
        <v>0</v>
      </c>
      <c r="I66" s="755">
        <f t="shared" si="13"/>
        <v>0</v>
      </c>
      <c r="J66" s="756"/>
    </row>
    <row r="67" spans="1:10" ht="35.25" customHeight="1" x14ac:dyDescent="0.3">
      <c r="A67" s="1134"/>
      <c r="B67" s="739"/>
      <c r="C67" s="279" t="s">
        <v>444</v>
      </c>
      <c r="D67" s="434" t="s">
        <v>423</v>
      </c>
      <c r="E67" s="280"/>
      <c r="F67" s="435">
        <f t="shared" si="11"/>
        <v>0</v>
      </c>
      <c r="G67" s="602">
        <v>20.76</v>
      </c>
      <c r="H67" s="597">
        <f t="shared" si="12"/>
        <v>0</v>
      </c>
      <c r="I67" s="596">
        <f t="shared" si="13"/>
        <v>0</v>
      </c>
      <c r="J67" s="373"/>
    </row>
    <row r="68" spans="1:10" ht="35.25" customHeight="1" x14ac:dyDescent="0.3">
      <c r="A68" s="1134"/>
      <c r="B68" s="739"/>
      <c r="C68" s="279" t="s">
        <v>298</v>
      </c>
      <c r="D68" s="434" t="s">
        <v>107</v>
      </c>
      <c r="E68" s="280"/>
      <c r="F68" s="435">
        <f t="shared" si="11"/>
        <v>0</v>
      </c>
      <c r="G68" s="602">
        <v>24.93</v>
      </c>
      <c r="H68" s="597">
        <f t="shared" si="12"/>
        <v>0</v>
      </c>
      <c r="I68" s="596">
        <f t="shared" si="13"/>
        <v>0</v>
      </c>
      <c r="J68" s="373"/>
    </row>
    <row r="69" spans="1:10" ht="35.25" customHeight="1" x14ac:dyDescent="0.3">
      <c r="A69" s="1134"/>
      <c r="B69" s="739"/>
      <c r="C69" s="279" t="s">
        <v>299</v>
      </c>
      <c r="D69" s="434" t="s">
        <v>280</v>
      </c>
      <c r="E69" s="280"/>
      <c r="F69" s="435">
        <f t="shared" si="11"/>
        <v>0</v>
      </c>
      <c r="G69" s="602">
        <v>24.93</v>
      </c>
      <c r="H69" s="597">
        <f t="shared" si="12"/>
        <v>0</v>
      </c>
      <c r="I69" s="596">
        <f t="shared" si="13"/>
        <v>0</v>
      </c>
      <c r="J69" s="373"/>
    </row>
    <row r="70" spans="1:10" ht="35.25" customHeight="1" x14ac:dyDescent="0.3">
      <c r="A70" s="1134"/>
      <c r="B70" s="739"/>
      <c r="C70" s="279" t="s">
        <v>425</v>
      </c>
      <c r="D70" s="434" t="s">
        <v>360</v>
      </c>
      <c r="E70" s="280"/>
      <c r="F70" s="435">
        <f t="shared" si="11"/>
        <v>0</v>
      </c>
      <c r="G70" s="602">
        <v>23.78</v>
      </c>
      <c r="H70" s="597">
        <f t="shared" si="12"/>
        <v>0</v>
      </c>
      <c r="I70" s="596">
        <f t="shared" si="13"/>
        <v>0</v>
      </c>
      <c r="J70" s="373"/>
    </row>
    <row r="71" spans="1:10" ht="35.25" customHeight="1" x14ac:dyDescent="0.3">
      <c r="A71" s="1134"/>
      <c r="B71" s="739"/>
      <c r="C71" s="279" t="s">
        <v>425</v>
      </c>
      <c r="D71" s="434" t="s">
        <v>309</v>
      </c>
      <c r="E71" s="280"/>
      <c r="F71" s="435">
        <f t="shared" si="11"/>
        <v>0</v>
      </c>
      <c r="G71" s="602">
        <v>23.78</v>
      </c>
      <c r="H71" s="597">
        <f t="shared" si="12"/>
        <v>0</v>
      </c>
      <c r="I71" s="596">
        <f t="shared" si="13"/>
        <v>0</v>
      </c>
      <c r="J71" s="373"/>
    </row>
    <row r="72" spans="1:10" ht="35.25" customHeight="1" x14ac:dyDescent="0.3">
      <c r="A72" s="1134"/>
      <c r="B72" s="739"/>
      <c r="C72" s="279" t="s">
        <v>354</v>
      </c>
      <c r="D72" s="434" t="s">
        <v>309</v>
      </c>
      <c r="E72" s="280"/>
      <c r="F72" s="435">
        <f t="shared" si="11"/>
        <v>0</v>
      </c>
      <c r="G72" s="602">
        <v>37.4566666666</v>
      </c>
      <c r="H72" s="597">
        <f t="shared" si="12"/>
        <v>0</v>
      </c>
      <c r="I72" s="596">
        <f t="shared" si="13"/>
        <v>0</v>
      </c>
      <c r="J72" s="373"/>
    </row>
    <row r="73" spans="1:10" ht="35.25" customHeight="1" x14ac:dyDescent="0.3">
      <c r="A73" s="1134"/>
      <c r="B73" s="739"/>
      <c r="C73" s="279" t="s">
        <v>355</v>
      </c>
      <c r="D73" s="434" t="s">
        <v>309</v>
      </c>
      <c r="E73" s="280"/>
      <c r="F73" s="435">
        <f t="shared" si="11"/>
        <v>0</v>
      </c>
      <c r="G73" s="602">
        <v>37.89</v>
      </c>
      <c r="H73" s="597">
        <f t="shared" si="12"/>
        <v>0</v>
      </c>
      <c r="I73" s="596">
        <f t="shared" si="13"/>
        <v>0</v>
      </c>
      <c r="J73" s="373"/>
    </row>
    <row r="74" spans="1:10" ht="35.25" customHeight="1" x14ac:dyDescent="0.3">
      <c r="A74" s="1134"/>
      <c r="B74" s="739"/>
      <c r="C74" s="279" t="s">
        <v>461</v>
      </c>
      <c r="D74" s="434" t="s">
        <v>92</v>
      </c>
      <c r="E74" s="280"/>
      <c r="F74" s="435">
        <f t="shared" si="11"/>
        <v>0</v>
      </c>
      <c r="G74" s="602">
        <v>28.31</v>
      </c>
      <c r="H74" s="597">
        <f t="shared" si="12"/>
        <v>0</v>
      </c>
      <c r="I74" s="596">
        <f t="shared" si="13"/>
        <v>0</v>
      </c>
      <c r="J74" s="373"/>
    </row>
    <row r="75" spans="1:10" ht="35.25" customHeight="1" x14ac:dyDescent="0.3">
      <c r="A75" s="1134"/>
      <c r="B75" s="739"/>
      <c r="C75" s="279" t="s">
        <v>461</v>
      </c>
      <c r="D75" s="434" t="s">
        <v>423</v>
      </c>
      <c r="E75" s="280"/>
      <c r="F75" s="435">
        <f t="shared" si="11"/>
        <v>0</v>
      </c>
      <c r="G75" s="602">
        <v>28.88</v>
      </c>
      <c r="H75" s="597">
        <f t="shared" si="12"/>
        <v>0</v>
      </c>
      <c r="I75" s="596">
        <f t="shared" si="13"/>
        <v>0</v>
      </c>
      <c r="J75" s="373"/>
    </row>
    <row r="76" spans="1:10" ht="35.25" customHeight="1" x14ac:dyDescent="0.3">
      <c r="A76" s="1134"/>
      <c r="B76" s="739"/>
      <c r="C76" s="279" t="s">
        <v>462</v>
      </c>
      <c r="D76" s="434" t="s">
        <v>423</v>
      </c>
      <c r="E76" s="280"/>
      <c r="F76" s="435">
        <f t="shared" si="11"/>
        <v>0</v>
      </c>
      <c r="G76" s="602">
        <v>28.21</v>
      </c>
      <c r="H76" s="597">
        <f t="shared" si="12"/>
        <v>0</v>
      </c>
      <c r="I76" s="596">
        <f t="shared" si="13"/>
        <v>0</v>
      </c>
      <c r="J76" s="373"/>
    </row>
    <row r="77" spans="1:10" ht="35.25" customHeight="1" x14ac:dyDescent="0.3">
      <c r="A77" s="1134"/>
      <c r="B77" s="739"/>
      <c r="C77" s="279" t="s">
        <v>463</v>
      </c>
      <c r="D77" s="434" t="s">
        <v>338</v>
      </c>
      <c r="E77" s="280"/>
      <c r="F77" s="435">
        <f t="shared" si="11"/>
        <v>0</v>
      </c>
      <c r="G77" s="602">
        <v>39</v>
      </c>
      <c r="H77" s="597">
        <f t="shared" ref="H77:H79" si="14">E77*G77</f>
        <v>0</v>
      </c>
      <c r="I77" s="596">
        <f t="shared" ref="I77:I79" si="15">+G77*F77</f>
        <v>0</v>
      </c>
      <c r="J77" s="373"/>
    </row>
    <row r="78" spans="1:10" ht="35.25" customHeight="1" x14ac:dyDescent="0.3">
      <c r="A78" s="1134"/>
      <c r="B78" s="739"/>
      <c r="C78" s="279" t="s">
        <v>463</v>
      </c>
      <c r="D78" s="434" t="s">
        <v>92</v>
      </c>
      <c r="E78" s="280"/>
      <c r="F78" s="435">
        <f t="shared" si="11"/>
        <v>0</v>
      </c>
      <c r="G78" s="602">
        <v>32.65</v>
      </c>
      <c r="H78" s="597">
        <f t="shared" si="14"/>
        <v>0</v>
      </c>
      <c r="I78" s="596">
        <f t="shared" si="15"/>
        <v>0</v>
      </c>
      <c r="J78" s="373"/>
    </row>
    <row r="79" spans="1:10" ht="35.25" customHeight="1" x14ac:dyDescent="0.3">
      <c r="A79" s="1134"/>
      <c r="B79" s="739"/>
      <c r="C79" s="279" t="s">
        <v>463</v>
      </c>
      <c r="D79" s="434" t="s">
        <v>423</v>
      </c>
      <c r="E79" s="280"/>
      <c r="F79" s="435">
        <f t="shared" si="11"/>
        <v>0</v>
      </c>
      <c r="G79" s="602">
        <v>33.299999999999997</v>
      </c>
      <c r="H79" s="597">
        <f t="shared" si="14"/>
        <v>0</v>
      </c>
      <c r="I79" s="596">
        <f t="shared" si="15"/>
        <v>0</v>
      </c>
      <c r="J79" s="373"/>
    </row>
    <row r="80" spans="1:10" ht="35.25" customHeight="1" x14ac:dyDescent="0.3">
      <c r="A80" s="1134"/>
      <c r="B80" s="739"/>
      <c r="C80" s="279" t="s">
        <v>299</v>
      </c>
      <c r="D80" s="434" t="s">
        <v>279</v>
      </c>
      <c r="E80" s="280"/>
      <c r="F80" s="435">
        <f t="shared" si="11"/>
        <v>0</v>
      </c>
      <c r="G80" s="602">
        <v>24.93</v>
      </c>
      <c r="H80" s="597">
        <f t="shared" si="12"/>
        <v>0</v>
      </c>
      <c r="I80" s="596">
        <f t="shared" si="13"/>
        <v>0</v>
      </c>
      <c r="J80" s="373"/>
    </row>
    <row r="81" spans="1:10" ht="35.25" customHeight="1" x14ac:dyDescent="0.3">
      <c r="A81" s="1134"/>
      <c r="B81" s="739"/>
      <c r="C81" s="279" t="s">
        <v>299</v>
      </c>
      <c r="D81" s="434"/>
      <c r="E81" s="280"/>
      <c r="F81" s="435">
        <f t="shared" si="11"/>
        <v>0</v>
      </c>
      <c r="G81" s="602">
        <v>24.93</v>
      </c>
      <c r="H81" s="597">
        <f t="shared" si="12"/>
        <v>0</v>
      </c>
      <c r="I81" s="596">
        <f t="shared" si="13"/>
        <v>0</v>
      </c>
      <c r="J81" s="373"/>
    </row>
    <row r="82" spans="1:10" ht="35.25" customHeight="1" x14ac:dyDescent="0.3">
      <c r="A82" s="1134"/>
      <c r="B82" s="739"/>
      <c r="C82" s="279" t="s">
        <v>316</v>
      </c>
      <c r="D82" s="434" t="s">
        <v>289</v>
      </c>
      <c r="E82" s="280"/>
      <c r="F82" s="435">
        <f t="shared" si="11"/>
        <v>0</v>
      </c>
      <c r="G82" s="602">
        <v>34.26</v>
      </c>
      <c r="H82" s="597">
        <f t="shared" si="12"/>
        <v>0</v>
      </c>
      <c r="I82" s="596">
        <f t="shared" si="13"/>
        <v>0</v>
      </c>
      <c r="J82" s="373"/>
    </row>
    <row r="83" spans="1:10" ht="35.25" customHeight="1" x14ac:dyDescent="0.3">
      <c r="A83" s="1134"/>
      <c r="B83" s="739"/>
      <c r="C83" s="279" t="s">
        <v>328</v>
      </c>
      <c r="D83" s="434" t="s">
        <v>360</v>
      </c>
      <c r="E83" s="280"/>
      <c r="F83" s="435">
        <f t="shared" si="11"/>
        <v>0</v>
      </c>
      <c r="G83" s="602">
        <v>37.89</v>
      </c>
      <c r="H83" s="597">
        <f t="shared" si="12"/>
        <v>0</v>
      </c>
      <c r="I83" s="596">
        <f t="shared" si="13"/>
        <v>0</v>
      </c>
      <c r="J83" s="373"/>
    </row>
    <row r="84" spans="1:10" ht="35.25" customHeight="1" x14ac:dyDescent="0.3">
      <c r="A84" s="1134"/>
      <c r="B84" s="739"/>
      <c r="C84" s="279" t="s">
        <v>363</v>
      </c>
      <c r="D84" s="434" t="s">
        <v>338</v>
      </c>
      <c r="E84" s="280"/>
      <c r="F84" s="435">
        <f t="shared" si="11"/>
        <v>0</v>
      </c>
      <c r="G84" s="602">
        <v>39</v>
      </c>
      <c r="H84" s="597">
        <f t="shared" si="12"/>
        <v>0</v>
      </c>
      <c r="I84" s="596">
        <f t="shared" si="13"/>
        <v>0</v>
      </c>
      <c r="J84" s="373"/>
    </row>
    <row r="85" spans="1:10" ht="35.25" customHeight="1" x14ac:dyDescent="0.3">
      <c r="A85" s="1134"/>
      <c r="B85" s="739"/>
      <c r="C85" s="279" t="s">
        <v>299</v>
      </c>
      <c r="D85" s="434" t="s">
        <v>177</v>
      </c>
      <c r="E85" s="280"/>
      <c r="F85" s="435">
        <f t="shared" si="11"/>
        <v>0</v>
      </c>
      <c r="G85" s="602">
        <v>21.22</v>
      </c>
      <c r="H85" s="597">
        <f t="shared" si="12"/>
        <v>0</v>
      </c>
      <c r="I85" s="596">
        <f t="shared" si="13"/>
        <v>0</v>
      </c>
      <c r="J85" s="373"/>
    </row>
    <row r="86" spans="1:10" ht="35.25" customHeight="1" x14ac:dyDescent="0.3">
      <c r="A86" s="1134"/>
      <c r="B86" s="739"/>
      <c r="C86" s="279" t="s">
        <v>298</v>
      </c>
      <c r="D86" s="434" t="s">
        <v>177</v>
      </c>
      <c r="E86" s="280"/>
      <c r="F86" s="435">
        <f t="shared" si="11"/>
        <v>0</v>
      </c>
      <c r="G86" s="602">
        <v>21.22</v>
      </c>
      <c r="H86" s="597">
        <f t="shared" si="12"/>
        <v>0</v>
      </c>
      <c r="I86" s="596">
        <f t="shared" si="13"/>
        <v>0</v>
      </c>
      <c r="J86" s="373"/>
    </row>
    <row r="87" spans="1:10" ht="35.25" customHeight="1" x14ac:dyDescent="0.3">
      <c r="A87" s="1134"/>
      <c r="B87" s="739"/>
      <c r="C87" s="279" t="s">
        <v>339</v>
      </c>
      <c r="D87" s="434" t="s">
        <v>304</v>
      </c>
      <c r="E87" s="280"/>
      <c r="F87" s="435">
        <f t="shared" si="11"/>
        <v>0</v>
      </c>
      <c r="G87" s="602">
        <v>10000</v>
      </c>
      <c r="H87" s="597">
        <f t="shared" si="12"/>
        <v>0</v>
      </c>
      <c r="I87" s="596">
        <f t="shared" si="13"/>
        <v>0</v>
      </c>
      <c r="J87" s="373"/>
    </row>
    <row r="88" spans="1:10" ht="35.25" customHeight="1" thickBot="1" x14ac:dyDescent="0.35">
      <c r="A88" s="1134"/>
      <c r="B88" s="739"/>
      <c r="C88" s="279" t="s">
        <v>303</v>
      </c>
      <c r="D88" s="434" t="s">
        <v>304</v>
      </c>
      <c r="E88" s="280"/>
      <c r="F88" s="435">
        <f t="shared" si="11"/>
        <v>0</v>
      </c>
      <c r="G88" s="602">
        <v>360</v>
      </c>
      <c r="H88" s="597">
        <f t="shared" si="12"/>
        <v>0</v>
      </c>
      <c r="I88" s="596">
        <f t="shared" si="13"/>
        <v>0</v>
      </c>
      <c r="J88" s="373"/>
    </row>
    <row r="89" spans="1:10" ht="35.25" customHeight="1" thickBot="1" x14ac:dyDescent="0.35">
      <c r="A89" s="1135"/>
      <c r="B89" s="1129" t="s">
        <v>268</v>
      </c>
      <c r="C89" s="1130"/>
      <c r="D89" s="738"/>
      <c r="E89" s="326">
        <f>SUM(E57:E88)</f>
        <v>0</v>
      </c>
      <c r="F89" s="326">
        <f>SUM(F57:F88)</f>
        <v>0</v>
      </c>
      <c r="G89" s="326"/>
      <c r="H89" s="587">
        <f>SUM(H57:H88)</f>
        <v>0</v>
      </c>
      <c r="I89" s="580">
        <f>SUM(I57:I88)</f>
        <v>0</v>
      </c>
      <c r="J89" s="373"/>
    </row>
    <row r="90" spans="1:10" ht="35.25" customHeight="1" x14ac:dyDescent="0.3">
      <c r="A90" s="1133" t="s">
        <v>102</v>
      </c>
      <c r="B90" s="739"/>
      <c r="C90" s="279" t="s">
        <v>273</v>
      </c>
      <c r="D90" s="434" t="s">
        <v>238</v>
      </c>
      <c r="E90" s="280"/>
      <c r="F90" s="435">
        <f t="shared" ref="F90:F114" si="16">+E90</f>
        <v>0</v>
      </c>
      <c r="G90" s="602">
        <v>430.02</v>
      </c>
      <c r="H90" s="593">
        <f>E90*G90</f>
        <v>0</v>
      </c>
      <c r="I90" s="596">
        <f t="shared" ref="I90:I114" si="17">+G90*F90</f>
        <v>0</v>
      </c>
      <c r="J90" s="373"/>
    </row>
    <row r="91" spans="1:10" ht="35.25" customHeight="1" x14ac:dyDescent="0.3">
      <c r="A91" s="1134"/>
      <c r="B91" s="739"/>
      <c r="C91" s="279" t="s">
        <v>274</v>
      </c>
      <c r="D91" s="434" t="s">
        <v>238</v>
      </c>
      <c r="E91" s="280"/>
      <c r="F91" s="435">
        <f t="shared" si="16"/>
        <v>0</v>
      </c>
      <c r="G91" s="602">
        <v>445.38</v>
      </c>
      <c r="H91" s="593">
        <f t="shared" ref="H91:H114" si="18">E91*G91</f>
        <v>0</v>
      </c>
      <c r="I91" s="596">
        <f t="shared" si="17"/>
        <v>0</v>
      </c>
      <c r="J91" s="373"/>
    </row>
    <row r="92" spans="1:10" ht="35.25" customHeight="1" x14ac:dyDescent="0.3">
      <c r="A92" s="1134"/>
      <c r="B92" s="739"/>
      <c r="C92" s="279" t="s">
        <v>390</v>
      </c>
      <c r="D92" s="434" t="s">
        <v>238</v>
      </c>
      <c r="E92" s="280"/>
      <c r="F92" s="435">
        <f t="shared" si="16"/>
        <v>0</v>
      </c>
      <c r="G92" s="602">
        <v>445.38</v>
      </c>
      <c r="H92" s="593">
        <f t="shared" si="18"/>
        <v>0</v>
      </c>
      <c r="I92" s="596">
        <f t="shared" si="17"/>
        <v>0</v>
      </c>
      <c r="J92" s="373"/>
    </row>
    <row r="93" spans="1:10" ht="35.25" customHeight="1" x14ac:dyDescent="0.3">
      <c r="A93" s="1134"/>
      <c r="B93" s="739"/>
      <c r="C93" s="279" t="s">
        <v>301</v>
      </c>
      <c r="D93" s="434" t="s">
        <v>238</v>
      </c>
      <c r="E93" s="280"/>
      <c r="F93" s="435">
        <f t="shared" si="16"/>
        <v>0</v>
      </c>
      <c r="G93" s="602">
        <v>63.55</v>
      </c>
      <c r="H93" s="593">
        <f t="shared" si="18"/>
        <v>0</v>
      </c>
      <c r="I93" s="596">
        <f t="shared" si="17"/>
        <v>0</v>
      </c>
      <c r="J93" s="373"/>
    </row>
    <row r="94" spans="1:10" ht="35.25" customHeight="1" x14ac:dyDescent="0.3">
      <c r="A94" s="1134"/>
      <c r="B94" s="739"/>
      <c r="C94" s="279" t="s">
        <v>275</v>
      </c>
      <c r="D94" s="434" t="s">
        <v>238</v>
      </c>
      <c r="E94" s="280"/>
      <c r="F94" s="435">
        <f t="shared" si="16"/>
        <v>0</v>
      </c>
      <c r="G94" s="602">
        <v>71.44</v>
      </c>
      <c r="H94" s="593">
        <f t="shared" si="18"/>
        <v>0</v>
      </c>
      <c r="I94" s="596">
        <f t="shared" si="17"/>
        <v>0</v>
      </c>
      <c r="J94" s="373"/>
    </row>
    <row r="95" spans="1:10" ht="35.25" customHeight="1" x14ac:dyDescent="0.3">
      <c r="A95" s="1134"/>
      <c r="B95" s="739"/>
      <c r="C95" s="279" t="s">
        <v>276</v>
      </c>
      <c r="D95" s="434" t="s">
        <v>238</v>
      </c>
      <c r="E95" s="280"/>
      <c r="F95" s="435">
        <f t="shared" si="16"/>
        <v>0</v>
      </c>
      <c r="G95" s="602">
        <v>36.5</v>
      </c>
      <c r="H95" s="593">
        <f t="shared" si="18"/>
        <v>0</v>
      </c>
      <c r="I95" s="596">
        <f t="shared" si="17"/>
        <v>0</v>
      </c>
      <c r="J95" s="373"/>
    </row>
    <row r="96" spans="1:10" ht="35.25" customHeight="1" x14ac:dyDescent="0.3">
      <c r="A96" s="1134"/>
      <c r="B96" s="739"/>
      <c r="C96" s="279" t="s">
        <v>426</v>
      </c>
      <c r="D96" s="434" t="s">
        <v>238</v>
      </c>
      <c r="E96" s="280"/>
      <c r="F96" s="435">
        <f t="shared" si="16"/>
        <v>0</v>
      </c>
      <c r="G96" s="602">
        <v>320.35000000000002</v>
      </c>
      <c r="H96" s="593">
        <f t="shared" si="18"/>
        <v>0</v>
      </c>
      <c r="I96" s="596">
        <f t="shared" si="17"/>
        <v>0</v>
      </c>
      <c r="J96" s="373"/>
    </row>
    <row r="97" spans="1:10" ht="35.25" customHeight="1" x14ac:dyDescent="0.3">
      <c r="A97" s="1134"/>
      <c r="B97" s="739"/>
      <c r="C97" s="279" t="s">
        <v>285</v>
      </c>
      <c r="D97" s="434" t="s">
        <v>238</v>
      </c>
      <c r="E97" s="280"/>
      <c r="F97" s="435">
        <f t="shared" si="16"/>
        <v>0</v>
      </c>
      <c r="G97" s="602">
        <v>320.35000000000002</v>
      </c>
      <c r="H97" s="593">
        <f t="shared" si="18"/>
        <v>0</v>
      </c>
      <c r="I97" s="596">
        <f t="shared" si="17"/>
        <v>0</v>
      </c>
      <c r="J97" s="373"/>
    </row>
    <row r="98" spans="1:10" ht="35.25" customHeight="1" x14ac:dyDescent="0.3">
      <c r="A98" s="1134"/>
      <c r="B98" s="739"/>
      <c r="C98" s="279" t="s">
        <v>296</v>
      </c>
      <c r="D98" s="434" t="s">
        <v>238</v>
      </c>
      <c r="E98" s="280"/>
      <c r="F98" s="435">
        <f t="shared" si="16"/>
        <v>0</v>
      </c>
      <c r="G98" s="602">
        <v>434.41</v>
      </c>
      <c r="H98" s="593">
        <f t="shared" si="18"/>
        <v>0</v>
      </c>
      <c r="I98" s="596">
        <f t="shared" si="17"/>
        <v>0</v>
      </c>
      <c r="J98" s="373"/>
    </row>
    <row r="99" spans="1:10" ht="35.25" customHeight="1" x14ac:dyDescent="0.3">
      <c r="A99" s="1134"/>
      <c r="B99" s="739"/>
      <c r="C99" s="279" t="s">
        <v>282</v>
      </c>
      <c r="D99" s="434" t="s">
        <v>238</v>
      </c>
      <c r="E99" s="280"/>
      <c r="F99" s="435">
        <f t="shared" si="16"/>
        <v>0</v>
      </c>
      <c r="G99" s="602">
        <v>29690</v>
      </c>
      <c r="H99" s="593">
        <f t="shared" si="18"/>
        <v>0</v>
      </c>
      <c r="I99" s="596">
        <f t="shared" si="17"/>
        <v>0</v>
      </c>
      <c r="J99" s="373"/>
    </row>
    <row r="100" spans="1:10" ht="35.25" customHeight="1" x14ac:dyDescent="0.3">
      <c r="A100" s="1134"/>
      <c r="B100" s="739"/>
      <c r="C100" s="279" t="s">
        <v>282</v>
      </c>
      <c r="D100" s="434" t="s">
        <v>238</v>
      </c>
      <c r="E100" s="280"/>
      <c r="F100" s="435">
        <f t="shared" si="16"/>
        <v>0</v>
      </c>
      <c r="G100" s="602">
        <v>26445</v>
      </c>
      <c r="H100" s="593">
        <f t="shared" si="18"/>
        <v>0</v>
      </c>
      <c r="I100" s="596">
        <f t="shared" si="17"/>
        <v>0</v>
      </c>
      <c r="J100" s="373"/>
    </row>
    <row r="101" spans="1:10" ht="35.25" customHeight="1" x14ac:dyDescent="0.3">
      <c r="A101" s="1134"/>
      <c r="B101" s="739"/>
      <c r="C101" s="279" t="s">
        <v>282</v>
      </c>
      <c r="D101" s="434"/>
      <c r="E101" s="280"/>
      <c r="F101" s="435">
        <f t="shared" si="16"/>
        <v>0</v>
      </c>
      <c r="G101" s="602">
        <v>33947.884599999998</v>
      </c>
      <c r="H101" s="593">
        <f t="shared" si="18"/>
        <v>0</v>
      </c>
      <c r="I101" s="596">
        <f t="shared" si="17"/>
        <v>0</v>
      </c>
      <c r="J101" s="373"/>
    </row>
    <row r="102" spans="1:10" ht="35.25" customHeight="1" x14ac:dyDescent="0.3">
      <c r="A102" s="1134"/>
      <c r="B102" s="739"/>
      <c r="C102" s="279" t="s">
        <v>311</v>
      </c>
      <c r="D102" s="434" t="s">
        <v>337</v>
      </c>
      <c r="E102" s="280"/>
      <c r="F102" s="435">
        <f t="shared" si="16"/>
        <v>0</v>
      </c>
      <c r="G102" s="602">
        <v>50</v>
      </c>
      <c r="H102" s="593">
        <f t="shared" si="18"/>
        <v>0</v>
      </c>
      <c r="I102" s="596">
        <f t="shared" si="17"/>
        <v>0</v>
      </c>
      <c r="J102" s="373"/>
    </row>
    <row r="103" spans="1:10" ht="35.25" customHeight="1" x14ac:dyDescent="0.3">
      <c r="A103" s="1134"/>
      <c r="B103" s="739"/>
      <c r="C103" s="279" t="s">
        <v>311</v>
      </c>
      <c r="D103" s="434"/>
      <c r="E103" s="280"/>
      <c r="F103" s="435">
        <f t="shared" si="16"/>
        <v>0</v>
      </c>
      <c r="G103" s="602">
        <v>10</v>
      </c>
      <c r="H103" s="593">
        <f t="shared" si="18"/>
        <v>0</v>
      </c>
      <c r="I103" s="596">
        <f t="shared" si="17"/>
        <v>0</v>
      </c>
      <c r="J103" s="373"/>
    </row>
    <row r="104" spans="1:10" ht="35.25" customHeight="1" x14ac:dyDescent="0.3">
      <c r="A104" s="1134"/>
      <c r="B104" s="739"/>
      <c r="C104" s="279" t="s">
        <v>329</v>
      </c>
      <c r="D104" s="434" t="s">
        <v>370</v>
      </c>
      <c r="E104" s="280"/>
      <c r="F104" s="435">
        <f t="shared" si="16"/>
        <v>0</v>
      </c>
      <c r="G104" s="602">
        <v>57.64</v>
      </c>
      <c r="H104" s="593">
        <f t="shared" si="18"/>
        <v>0</v>
      </c>
      <c r="I104" s="596">
        <f t="shared" si="17"/>
        <v>0</v>
      </c>
      <c r="J104" s="373"/>
    </row>
    <row r="105" spans="1:10" ht="35.25" customHeight="1" x14ac:dyDescent="0.3">
      <c r="A105" s="1134"/>
      <c r="B105" s="739"/>
      <c r="C105" s="279" t="s">
        <v>329</v>
      </c>
      <c r="D105" s="434" t="s">
        <v>364</v>
      </c>
      <c r="E105" s="280"/>
      <c r="F105" s="435">
        <f t="shared" si="16"/>
        <v>0</v>
      </c>
      <c r="G105" s="602">
        <v>57.64</v>
      </c>
      <c r="H105" s="593">
        <f t="shared" si="18"/>
        <v>0</v>
      </c>
      <c r="I105" s="596">
        <f t="shared" si="17"/>
        <v>0</v>
      </c>
      <c r="J105" s="373"/>
    </row>
    <row r="106" spans="1:10" ht="35.25" customHeight="1" x14ac:dyDescent="0.3">
      <c r="A106" s="1134"/>
      <c r="B106" s="739"/>
      <c r="C106" s="279" t="s">
        <v>330</v>
      </c>
      <c r="D106" s="434" t="s">
        <v>331</v>
      </c>
      <c r="E106" s="280"/>
      <c r="F106" s="435">
        <f t="shared" si="16"/>
        <v>0</v>
      </c>
      <c r="G106" s="602">
        <v>434.41</v>
      </c>
      <c r="H106" s="593">
        <f t="shared" si="18"/>
        <v>0</v>
      </c>
      <c r="I106" s="596">
        <f t="shared" si="17"/>
        <v>0</v>
      </c>
      <c r="J106" s="373"/>
    </row>
    <row r="107" spans="1:10" ht="35.25" customHeight="1" x14ac:dyDescent="0.3">
      <c r="A107" s="1134"/>
      <c r="B107" s="739"/>
      <c r="C107" s="279" t="s">
        <v>343</v>
      </c>
      <c r="D107" s="434" t="s">
        <v>238</v>
      </c>
      <c r="E107" s="280"/>
      <c r="F107" s="435">
        <f t="shared" si="16"/>
        <v>0</v>
      </c>
      <c r="G107" s="602">
        <v>624.26</v>
      </c>
      <c r="H107" s="593">
        <f t="shared" si="18"/>
        <v>0</v>
      </c>
      <c r="I107" s="596">
        <f t="shared" si="17"/>
        <v>0</v>
      </c>
      <c r="J107" s="373"/>
    </row>
    <row r="108" spans="1:10" ht="35.25" customHeight="1" x14ac:dyDescent="0.3">
      <c r="A108" s="1134"/>
      <c r="B108" s="739"/>
      <c r="C108" s="279" t="s">
        <v>332</v>
      </c>
      <c r="D108" s="434" t="s">
        <v>331</v>
      </c>
      <c r="E108" s="280"/>
      <c r="F108" s="435">
        <f t="shared" si="16"/>
        <v>0</v>
      </c>
      <c r="G108" s="602">
        <v>63.55</v>
      </c>
      <c r="H108" s="593">
        <f t="shared" si="18"/>
        <v>0</v>
      </c>
      <c r="I108" s="596">
        <f t="shared" si="17"/>
        <v>0</v>
      </c>
      <c r="J108" s="373"/>
    </row>
    <row r="109" spans="1:10" ht="35.25" customHeight="1" x14ac:dyDescent="0.3">
      <c r="A109" s="1134"/>
      <c r="B109" s="739"/>
      <c r="C109" s="279" t="s">
        <v>371</v>
      </c>
      <c r="D109" s="434" t="s">
        <v>238</v>
      </c>
      <c r="E109" s="280"/>
      <c r="F109" s="435">
        <f t="shared" si="16"/>
        <v>0</v>
      </c>
      <c r="G109" s="602">
        <v>59.96</v>
      </c>
      <c r="H109" s="593">
        <f t="shared" si="18"/>
        <v>0</v>
      </c>
      <c r="I109" s="596">
        <f t="shared" si="17"/>
        <v>0</v>
      </c>
      <c r="J109" s="373"/>
    </row>
    <row r="110" spans="1:10" ht="35.25" customHeight="1" x14ac:dyDescent="0.3">
      <c r="A110" s="1134"/>
      <c r="B110" s="739"/>
      <c r="C110" s="279" t="s">
        <v>419</v>
      </c>
      <c r="D110" s="434" t="s">
        <v>331</v>
      </c>
      <c r="E110" s="280"/>
      <c r="F110" s="435">
        <f t="shared" si="16"/>
        <v>0</v>
      </c>
      <c r="G110" s="602">
        <v>53.86</v>
      </c>
      <c r="H110" s="593">
        <f t="shared" si="18"/>
        <v>0</v>
      </c>
      <c r="I110" s="596">
        <f t="shared" si="17"/>
        <v>0</v>
      </c>
      <c r="J110" s="373"/>
    </row>
    <row r="111" spans="1:10" ht="35.25" customHeight="1" x14ac:dyDescent="0.3">
      <c r="A111" s="1134"/>
      <c r="B111" s="739"/>
      <c r="C111" s="279" t="s">
        <v>379</v>
      </c>
      <c r="D111" s="434"/>
      <c r="E111" s="280"/>
      <c r="F111" s="435">
        <f t="shared" si="16"/>
        <v>0</v>
      </c>
      <c r="G111" s="602">
        <v>360</v>
      </c>
      <c r="H111" s="593">
        <f t="shared" si="18"/>
        <v>0</v>
      </c>
      <c r="I111" s="596">
        <f t="shared" si="17"/>
        <v>0</v>
      </c>
      <c r="J111" s="373"/>
    </row>
    <row r="112" spans="1:10" ht="35.25" customHeight="1" x14ac:dyDescent="0.3">
      <c r="A112" s="1134"/>
      <c r="B112" s="739"/>
      <c r="C112" s="279" t="s">
        <v>471</v>
      </c>
      <c r="D112" s="434"/>
      <c r="E112" s="280"/>
      <c r="F112" s="435">
        <f t="shared" si="16"/>
        <v>0</v>
      </c>
      <c r="G112" s="602"/>
      <c r="H112" s="593">
        <f>+E112</f>
        <v>0</v>
      </c>
      <c r="I112" s="596">
        <f>+H112</f>
        <v>0</v>
      </c>
      <c r="J112" s="373"/>
    </row>
    <row r="113" spans="1:10" ht="35.25" customHeight="1" x14ac:dyDescent="0.3">
      <c r="A113" s="1134"/>
      <c r="B113" s="739"/>
      <c r="C113" s="279" t="s">
        <v>282</v>
      </c>
      <c r="D113" s="434"/>
      <c r="E113" s="280"/>
      <c r="F113" s="435">
        <f t="shared" si="16"/>
        <v>0</v>
      </c>
      <c r="G113" s="602">
        <v>39450</v>
      </c>
      <c r="H113" s="593">
        <f t="shared" si="18"/>
        <v>0</v>
      </c>
      <c r="I113" s="596">
        <f t="shared" si="17"/>
        <v>0</v>
      </c>
      <c r="J113" s="373"/>
    </row>
    <row r="114" spans="1:10" ht="35.25" customHeight="1" thickBot="1" x14ac:dyDescent="0.35">
      <c r="A114" s="1134"/>
      <c r="B114" s="739"/>
      <c r="C114" s="279" t="s">
        <v>329</v>
      </c>
      <c r="D114" s="434" t="s">
        <v>443</v>
      </c>
      <c r="E114" s="280"/>
      <c r="F114" s="435">
        <f t="shared" si="16"/>
        <v>0</v>
      </c>
      <c r="G114" s="602">
        <v>57.64</v>
      </c>
      <c r="H114" s="593">
        <f t="shared" si="18"/>
        <v>0</v>
      </c>
      <c r="I114" s="596">
        <f t="shared" si="17"/>
        <v>0</v>
      </c>
      <c r="J114" s="373"/>
    </row>
    <row r="115" spans="1:10" ht="35.25" customHeight="1" thickBot="1" x14ac:dyDescent="0.35">
      <c r="A115" s="1135"/>
      <c r="B115" s="1129" t="s">
        <v>270</v>
      </c>
      <c r="C115" s="1130"/>
      <c r="D115" s="738"/>
      <c r="E115" s="326">
        <f>SUM(E90:E114)</f>
        <v>0</v>
      </c>
      <c r="F115" s="326">
        <f>SUM(F90:F114)</f>
        <v>0</v>
      </c>
      <c r="G115" s="326"/>
      <c r="H115" s="590">
        <f>SUM(H90:H114)</f>
        <v>0</v>
      </c>
      <c r="I115" s="580">
        <f>SUM(I90:I114)</f>
        <v>0</v>
      </c>
      <c r="J115" s="372"/>
    </row>
    <row r="116" spans="1:10" ht="35.25" customHeight="1" thickBot="1" x14ac:dyDescent="0.35">
      <c r="A116" s="744"/>
      <c r="B116" s="437"/>
      <c r="C116" s="279" t="s">
        <v>379</v>
      </c>
      <c r="D116" s="434"/>
      <c r="E116" s="280"/>
      <c r="F116" s="281">
        <f>+E116</f>
        <v>0</v>
      </c>
      <c r="G116" s="334"/>
      <c r="H116" s="589">
        <f t="shared" ref="H116" si="19">E116*G116</f>
        <v>0</v>
      </c>
      <c r="I116" s="282">
        <f t="shared" ref="I116" si="20">+G116*F116</f>
        <v>0</v>
      </c>
      <c r="J116" s="373"/>
    </row>
    <row r="117" spans="1:10" ht="35.25" customHeight="1" thickBot="1" x14ac:dyDescent="0.35">
      <c r="A117" s="744"/>
      <c r="B117" s="1129" t="s">
        <v>224</v>
      </c>
      <c r="C117" s="1130"/>
      <c r="D117" s="740"/>
      <c r="E117" s="326"/>
      <c r="F117" s="327"/>
      <c r="G117" s="326"/>
      <c r="H117" s="587"/>
      <c r="I117" s="324">
        <f>SUM(I116)</f>
        <v>0</v>
      </c>
      <c r="J117" s="349"/>
    </row>
    <row r="118" spans="1:10" ht="35.25" customHeight="1" thickBot="1" x14ac:dyDescent="0.35">
      <c r="A118" s="319"/>
      <c r="B118" s="1131" t="s">
        <v>174</v>
      </c>
      <c r="C118" s="1132"/>
      <c r="D118" s="741"/>
      <c r="E118" s="374">
        <f>+E115+E89+E56+E54</f>
        <v>37620</v>
      </c>
      <c r="F118" s="374">
        <f>+F115+F89+F56+F54</f>
        <v>37620</v>
      </c>
      <c r="G118" s="374"/>
      <c r="H118" s="374"/>
      <c r="I118" s="374">
        <f>+I115+I89+I56+I117</f>
        <v>1015740</v>
      </c>
      <c r="J118" s="375"/>
    </row>
    <row r="119" spans="1:10" ht="35.25" customHeight="1" x14ac:dyDescent="0.3">
      <c r="A119" s="1057" t="s">
        <v>1</v>
      </c>
      <c r="B119" s="1060" t="s">
        <v>2</v>
      </c>
      <c r="C119" s="1138" t="s">
        <v>396</v>
      </c>
      <c r="D119" s="1115" t="s">
        <v>397</v>
      </c>
      <c r="E119" s="1142" t="s">
        <v>483</v>
      </c>
      <c r="F119" s="1067"/>
      <c r="G119" s="1067"/>
      <c r="H119" s="1067"/>
      <c r="I119" s="1067"/>
      <c r="J119" s="1068"/>
    </row>
    <row r="120" spans="1:10" ht="35.25" customHeight="1" x14ac:dyDescent="0.3">
      <c r="A120" s="1136"/>
      <c r="B120" s="1137"/>
      <c r="C120" s="1139"/>
      <c r="D120" s="1116"/>
      <c r="E120" s="1143" t="s">
        <v>412</v>
      </c>
      <c r="F120" s="1144"/>
      <c r="G120" s="1143" t="s">
        <v>411</v>
      </c>
      <c r="H120" s="1145"/>
      <c r="I120" s="1145"/>
      <c r="J120" s="1144"/>
    </row>
    <row r="121" spans="1:10" ht="35.25" customHeight="1" x14ac:dyDescent="0.3">
      <c r="A121" s="1058"/>
      <c r="B121" s="1061"/>
      <c r="C121" s="1140"/>
      <c r="D121" s="1116"/>
      <c r="E121" s="1069" t="s">
        <v>413</v>
      </c>
      <c r="F121" s="1071" t="s">
        <v>414</v>
      </c>
      <c r="G121" s="1147" t="s">
        <v>90</v>
      </c>
      <c r="H121" s="1149" t="s">
        <v>91</v>
      </c>
      <c r="I121" s="1149" t="s">
        <v>91</v>
      </c>
      <c r="J121" s="1151" t="s">
        <v>12</v>
      </c>
    </row>
    <row r="122" spans="1:10" ht="35.25" customHeight="1" thickBot="1" x14ac:dyDescent="0.35">
      <c r="A122" s="1059"/>
      <c r="B122" s="1062"/>
      <c r="C122" s="1141"/>
      <c r="D122" s="1117"/>
      <c r="E122" s="1070"/>
      <c r="F122" s="1146"/>
      <c r="G122" s="1148"/>
      <c r="H122" s="1150"/>
      <c r="I122" s="1150"/>
      <c r="J122" s="1152"/>
    </row>
    <row r="123" spans="1:10" ht="35.25" customHeight="1" x14ac:dyDescent="0.3">
      <c r="A123" s="1133" t="s">
        <v>103</v>
      </c>
      <c r="B123" s="439"/>
      <c r="C123" s="577" t="s">
        <v>442</v>
      </c>
      <c r="D123" s="665" t="s">
        <v>374</v>
      </c>
      <c r="E123" s="699"/>
      <c r="F123" s="674">
        <f>+E123+F15</f>
        <v>0</v>
      </c>
      <c r="G123" s="732">
        <v>107.85</v>
      </c>
      <c r="H123" s="591">
        <f t="shared" ref="H123:H138" si="21">E123*G123</f>
        <v>0</v>
      </c>
      <c r="I123" s="594">
        <f>+G123*F123</f>
        <v>0</v>
      </c>
      <c r="J123" s="351"/>
    </row>
    <row r="124" spans="1:10" ht="35.25" customHeight="1" x14ac:dyDescent="0.3">
      <c r="A124" s="1134"/>
      <c r="B124" s="438"/>
      <c r="C124" s="441" t="s">
        <v>264</v>
      </c>
      <c r="D124" s="666" t="s">
        <v>265</v>
      </c>
      <c r="E124" s="700"/>
      <c r="F124" s="701">
        <f t="shared" ref="F124:F138" si="22">+E124+F16</f>
        <v>0</v>
      </c>
      <c r="G124" s="697">
        <v>11</v>
      </c>
      <c r="H124" s="592">
        <f t="shared" si="21"/>
        <v>0</v>
      </c>
      <c r="I124" s="595">
        <f>+G124*F124</f>
        <v>0</v>
      </c>
      <c r="J124" s="352"/>
    </row>
    <row r="125" spans="1:10" ht="35.25" customHeight="1" x14ac:dyDescent="0.3">
      <c r="A125" s="1134"/>
      <c r="B125" s="438"/>
      <c r="C125" s="441" t="s">
        <v>295</v>
      </c>
      <c r="D125" s="666" t="s">
        <v>453</v>
      </c>
      <c r="E125" s="700"/>
      <c r="F125" s="701">
        <f t="shared" si="22"/>
        <v>0</v>
      </c>
      <c r="G125" s="697">
        <v>139.04</v>
      </c>
      <c r="H125" s="592">
        <f t="shared" si="21"/>
        <v>0</v>
      </c>
      <c r="I125" s="595">
        <f t="shared" ref="I125:I138" si="23">+G125*F125</f>
        <v>0</v>
      </c>
      <c r="J125" s="352"/>
    </row>
    <row r="126" spans="1:10" ht="35.25" customHeight="1" x14ac:dyDescent="0.3">
      <c r="A126" s="1134"/>
      <c r="B126" s="438"/>
      <c r="C126" s="441" t="s">
        <v>357</v>
      </c>
      <c r="D126" s="666" t="s">
        <v>358</v>
      </c>
      <c r="E126" s="700"/>
      <c r="F126" s="701">
        <f t="shared" si="22"/>
        <v>0</v>
      </c>
      <c r="G126" s="715">
        <v>20.5</v>
      </c>
      <c r="H126" s="592">
        <f t="shared" si="21"/>
        <v>0</v>
      </c>
      <c r="I126" s="595">
        <f t="shared" si="23"/>
        <v>0</v>
      </c>
      <c r="J126" s="352"/>
    </row>
    <row r="127" spans="1:10" ht="35.25" customHeight="1" x14ac:dyDescent="0.3">
      <c r="A127" s="1134"/>
      <c r="B127" s="438"/>
      <c r="C127" s="441" t="s">
        <v>288</v>
      </c>
      <c r="D127" s="666" t="s">
        <v>177</v>
      </c>
      <c r="E127" s="700"/>
      <c r="F127" s="701">
        <f t="shared" si="22"/>
        <v>0</v>
      </c>
      <c r="G127" s="697">
        <v>14.79</v>
      </c>
      <c r="H127" s="592">
        <f t="shared" si="21"/>
        <v>0</v>
      </c>
      <c r="I127" s="595">
        <f t="shared" si="23"/>
        <v>0</v>
      </c>
      <c r="J127" s="352"/>
    </row>
    <row r="128" spans="1:10" ht="35.25" customHeight="1" x14ac:dyDescent="0.3">
      <c r="A128" s="1134"/>
      <c r="B128" s="438"/>
      <c r="C128" s="441" t="s">
        <v>295</v>
      </c>
      <c r="D128" s="666" t="s">
        <v>265</v>
      </c>
      <c r="E128" s="700"/>
      <c r="F128" s="701">
        <f t="shared" si="22"/>
        <v>0</v>
      </c>
      <c r="G128" s="697">
        <v>139.04</v>
      </c>
      <c r="H128" s="592">
        <f t="shared" si="21"/>
        <v>0</v>
      </c>
      <c r="I128" s="595">
        <f t="shared" si="23"/>
        <v>0</v>
      </c>
      <c r="J128" s="352"/>
    </row>
    <row r="129" spans="1:10" ht="35.25" customHeight="1" x14ac:dyDescent="0.3">
      <c r="A129" s="1134"/>
      <c r="B129" s="438"/>
      <c r="C129" s="441" t="s">
        <v>391</v>
      </c>
      <c r="D129" s="667" t="s">
        <v>356</v>
      </c>
      <c r="E129" s="700"/>
      <c r="F129" s="701">
        <f t="shared" si="22"/>
        <v>0</v>
      </c>
      <c r="G129" s="697">
        <v>147.58000000000001</v>
      </c>
      <c r="H129" s="592">
        <f t="shared" si="21"/>
        <v>0</v>
      </c>
      <c r="I129" s="595">
        <f t="shared" si="23"/>
        <v>0</v>
      </c>
      <c r="J129" s="352"/>
    </row>
    <row r="130" spans="1:10" ht="35.25" customHeight="1" x14ac:dyDescent="0.3">
      <c r="A130" s="1134"/>
      <c r="B130" s="438"/>
      <c r="C130" s="441" t="s">
        <v>313</v>
      </c>
      <c r="D130" s="667" t="s">
        <v>445</v>
      </c>
      <c r="E130" s="700"/>
      <c r="F130" s="701">
        <f t="shared" si="22"/>
        <v>0</v>
      </c>
      <c r="G130" s="697">
        <v>18.84</v>
      </c>
      <c r="H130" s="592">
        <f t="shared" si="21"/>
        <v>0</v>
      </c>
      <c r="I130" s="595">
        <f t="shared" si="23"/>
        <v>0</v>
      </c>
      <c r="J130" s="352"/>
    </row>
    <row r="131" spans="1:10" ht="35.25" customHeight="1" x14ac:dyDescent="0.3">
      <c r="A131" s="1134"/>
      <c r="B131" s="438"/>
      <c r="C131" s="441" t="s">
        <v>313</v>
      </c>
      <c r="D131" s="667" t="s">
        <v>265</v>
      </c>
      <c r="E131" s="700">
        <v>18360</v>
      </c>
      <c r="F131" s="701">
        <f t="shared" si="22"/>
        <v>18360</v>
      </c>
      <c r="G131" s="697">
        <v>18.84</v>
      </c>
      <c r="H131" s="592">
        <f t="shared" si="21"/>
        <v>345902.4</v>
      </c>
      <c r="I131" s="595">
        <f t="shared" si="23"/>
        <v>345902.4</v>
      </c>
      <c r="J131" s="352"/>
    </row>
    <row r="132" spans="1:10" ht="35.25" customHeight="1" x14ac:dyDescent="0.3">
      <c r="A132" s="1134"/>
      <c r="B132" s="438"/>
      <c r="C132" s="441" t="s">
        <v>322</v>
      </c>
      <c r="D132" s="667" t="s">
        <v>232</v>
      </c>
      <c r="E132" s="700"/>
      <c r="F132" s="701">
        <f t="shared" si="22"/>
        <v>0</v>
      </c>
      <c r="G132" s="697">
        <v>21.18</v>
      </c>
      <c r="H132" s="592">
        <f t="shared" si="21"/>
        <v>0</v>
      </c>
      <c r="I132" s="595">
        <f t="shared" si="23"/>
        <v>0</v>
      </c>
      <c r="J132" s="352"/>
    </row>
    <row r="133" spans="1:10" ht="35.25" customHeight="1" x14ac:dyDescent="0.3">
      <c r="A133" s="1134"/>
      <c r="B133" s="438"/>
      <c r="C133" s="441" t="s">
        <v>324</v>
      </c>
      <c r="D133" s="667" t="s">
        <v>325</v>
      </c>
      <c r="E133" s="700"/>
      <c r="F133" s="701">
        <f t="shared" si="22"/>
        <v>0</v>
      </c>
      <c r="G133" s="697">
        <v>21.28</v>
      </c>
      <c r="H133" s="592">
        <f t="shared" si="21"/>
        <v>0</v>
      </c>
      <c r="I133" s="595">
        <f t="shared" si="23"/>
        <v>0</v>
      </c>
      <c r="J133" s="352"/>
    </row>
    <row r="134" spans="1:10" ht="35.25" customHeight="1" x14ac:dyDescent="0.3">
      <c r="A134" s="1134"/>
      <c r="B134" s="438"/>
      <c r="C134" s="441" t="s">
        <v>378</v>
      </c>
      <c r="D134" s="667" t="s">
        <v>374</v>
      </c>
      <c r="E134" s="700"/>
      <c r="F134" s="701">
        <f t="shared" si="22"/>
        <v>0</v>
      </c>
      <c r="G134" s="697">
        <v>143.28</v>
      </c>
      <c r="H134" s="592">
        <f t="shared" si="21"/>
        <v>0</v>
      </c>
      <c r="I134" s="595">
        <f t="shared" si="23"/>
        <v>0</v>
      </c>
      <c r="J134" s="352"/>
    </row>
    <row r="135" spans="1:10" ht="35.25" customHeight="1" x14ac:dyDescent="0.3">
      <c r="A135" s="1134"/>
      <c r="B135" s="438"/>
      <c r="C135" s="441" t="s">
        <v>472</v>
      </c>
      <c r="D135" s="667"/>
      <c r="E135" s="700"/>
      <c r="F135" s="701">
        <f t="shared" si="22"/>
        <v>0</v>
      </c>
      <c r="G135" s="697">
        <v>14.79</v>
      </c>
      <c r="H135" s="592">
        <f t="shared" si="21"/>
        <v>0</v>
      </c>
      <c r="I135" s="595">
        <f t="shared" si="23"/>
        <v>0</v>
      </c>
      <c r="J135" s="352"/>
    </row>
    <row r="136" spans="1:10" ht="35.25" customHeight="1" x14ac:dyDescent="0.3">
      <c r="A136" s="1134"/>
      <c r="B136" s="438"/>
      <c r="C136" s="441" t="s">
        <v>451</v>
      </c>
      <c r="D136" s="666" t="s">
        <v>177</v>
      </c>
      <c r="E136" s="700"/>
      <c r="F136" s="701">
        <f t="shared" si="22"/>
        <v>0</v>
      </c>
      <c r="G136" s="697">
        <v>14.55</v>
      </c>
      <c r="H136" s="592">
        <f t="shared" si="21"/>
        <v>0</v>
      </c>
      <c r="I136" s="595">
        <f t="shared" si="23"/>
        <v>0</v>
      </c>
      <c r="J136" s="352"/>
    </row>
    <row r="137" spans="1:10" ht="35.25" customHeight="1" x14ac:dyDescent="0.3">
      <c r="A137" s="1134"/>
      <c r="B137" s="438"/>
      <c r="C137" s="441" t="s">
        <v>327</v>
      </c>
      <c r="D137" s="667" t="s">
        <v>188</v>
      </c>
      <c r="E137" s="700"/>
      <c r="F137" s="701">
        <f t="shared" si="22"/>
        <v>0</v>
      </c>
      <c r="G137" s="697">
        <v>21.28</v>
      </c>
      <c r="H137" s="592">
        <f t="shared" si="21"/>
        <v>0</v>
      </c>
      <c r="I137" s="595">
        <f t="shared" si="23"/>
        <v>0</v>
      </c>
      <c r="J137" s="352"/>
    </row>
    <row r="138" spans="1:10" ht="35.25" customHeight="1" thickBot="1" x14ac:dyDescent="0.35">
      <c r="A138" s="1134"/>
      <c r="B138" s="438"/>
      <c r="C138" s="441" t="s">
        <v>336</v>
      </c>
      <c r="D138" s="668" t="s">
        <v>178</v>
      </c>
      <c r="E138" s="700"/>
      <c r="F138" s="676">
        <f t="shared" si="22"/>
        <v>0</v>
      </c>
      <c r="G138" s="697">
        <v>36.44</v>
      </c>
      <c r="H138" s="592">
        <f t="shared" si="21"/>
        <v>0</v>
      </c>
      <c r="I138" s="595">
        <f t="shared" si="23"/>
        <v>0</v>
      </c>
      <c r="J138" s="352"/>
    </row>
    <row r="139" spans="1:10" ht="35.25" customHeight="1" thickBot="1" x14ac:dyDescent="0.35">
      <c r="A139" s="1134"/>
      <c r="B139" s="1129" t="s">
        <v>266</v>
      </c>
      <c r="C139" s="1130"/>
      <c r="D139" s="763"/>
      <c r="E139" s="326">
        <f>SUM(E123:E138)</f>
        <v>18360</v>
      </c>
      <c r="F139" s="698">
        <f>SUM(F123:F138)</f>
        <v>18360</v>
      </c>
      <c r="G139" s="326"/>
      <c r="H139" s="587">
        <f>SUM(H123:H138)</f>
        <v>345902.4</v>
      </c>
      <c r="I139" s="580">
        <f>SUM(I123:I138)</f>
        <v>345902.4</v>
      </c>
      <c r="J139" s="349"/>
    </row>
    <row r="140" spans="1:10" ht="35.25" customHeight="1" x14ac:dyDescent="0.3">
      <c r="A140" s="1134"/>
      <c r="B140" s="764"/>
      <c r="C140" s="279" t="s">
        <v>271</v>
      </c>
      <c r="D140" s="434" t="s">
        <v>238</v>
      </c>
      <c r="E140" s="280"/>
      <c r="F140" s="435">
        <f t="shared" ref="F140:F153" si="24">+E140+F32</f>
        <v>0</v>
      </c>
      <c r="G140" s="578">
        <v>160.44999999999999</v>
      </c>
      <c r="H140" s="593">
        <f t="shared" ref="H140:H153" si="25">E140*G140</f>
        <v>0</v>
      </c>
      <c r="I140" s="596">
        <f t="shared" ref="I140:I153" si="26">+G140*F140</f>
        <v>0</v>
      </c>
      <c r="J140" s="373"/>
    </row>
    <row r="141" spans="1:10" ht="35.25" customHeight="1" x14ac:dyDescent="0.3">
      <c r="A141" s="1134"/>
      <c r="B141" s="764"/>
      <c r="C141" s="279" t="s">
        <v>286</v>
      </c>
      <c r="D141" s="434" t="s">
        <v>238</v>
      </c>
      <c r="E141" s="280"/>
      <c r="F141" s="435">
        <f t="shared" si="24"/>
        <v>0</v>
      </c>
      <c r="G141" s="578">
        <v>160.44999999999999</v>
      </c>
      <c r="H141" s="593">
        <f t="shared" si="25"/>
        <v>0</v>
      </c>
      <c r="I141" s="596">
        <f t="shared" si="26"/>
        <v>0</v>
      </c>
      <c r="J141" s="373"/>
    </row>
    <row r="142" spans="1:10" ht="35.25" customHeight="1" x14ac:dyDescent="0.3">
      <c r="A142" s="1134"/>
      <c r="B142" s="764"/>
      <c r="C142" s="279" t="s">
        <v>388</v>
      </c>
      <c r="D142" s="434" t="s">
        <v>238</v>
      </c>
      <c r="E142" s="280"/>
      <c r="F142" s="435">
        <f t="shared" si="24"/>
        <v>0</v>
      </c>
      <c r="G142" s="578">
        <v>160.44999999999999</v>
      </c>
      <c r="H142" s="593">
        <f t="shared" si="25"/>
        <v>0</v>
      </c>
      <c r="I142" s="596">
        <f t="shared" si="26"/>
        <v>0</v>
      </c>
      <c r="J142" s="373"/>
    </row>
    <row r="143" spans="1:10" ht="35.25" customHeight="1" x14ac:dyDescent="0.3">
      <c r="A143" s="1134"/>
      <c r="B143" s="764"/>
      <c r="C143" s="279" t="s">
        <v>287</v>
      </c>
      <c r="D143" s="434" t="s">
        <v>93</v>
      </c>
      <c r="E143" s="280"/>
      <c r="F143" s="435">
        <f t="shared" si="24"/>
        <v>37620</v>
      </c>
      <c r="G143" s="578">
        <v>27</v>
      </c>
      <c r="H143" s="593">
        <f t="shared" si="25"/>
        <v>0</v>
      </c>
      <c r="I143" s="596">
        <f t="shared" si="26"/>
        <v>1015740</v>
      </c>
      <c r="J143" s="373"/>
    </row>
    <row r="144" spans="1:10" ht="35.25" customHeight="1" x14ac:dyDescent="0.3">
      <c r="A144" s="1134"/>
      <c r="B144" s="764"/>
      <c r="C144" s="279" t="s">
        <v>287</v>
      </c>
      <c r="D144" s="434" t="s">
        <v>292</v>
      </c>
      <c r="E144" s="280"/>
      <c r="F144" s="435">
        <f t="shared" si="24"/>
        <v>0</v>
      </c>
      <c r="G144" s="578">
        <v>27.5</v>
      </c>
      <c r="H144" s="593">
        <f t="shared" si="25"/>
        <v>0</v>
      </c>
      <c r="I144" s="596">
        <f t="shared" si="26"/>
        <v>0</v>
      </c>
      <c r="J144" s="373"/>
    </row>
    <row r="145" spans="1:10" ht="35.25" customHeight="1" x14ac:dyDescent="0.3">
      <c r="A145" s="1134"/>
      <c r="B145" s="764"/>
      <c r="C145" s="279" t="s">
        <v>276</v>
      </c>
      <c r="D145" s="434" t="s">
        <v>292</v>
      </c>
      <c r="E145" s="280"/>
      <c r="F145" s="435">
        <f t="shared" si="24"/>
        <v>0</v>
      </c>
      <c r="G145" s="578">
        <v>34.5</v>
      </c>
      <c r="H145" s="593">
        <f t="shared" si="25"/>
        <v>0</v>
      </c>
      <c r="I145" s="596">
        <f t="shared" si="26"/>
        <v>0</v>
      </c>
      <c r="J145" s="373"/>
    </row>
    <row r="146" spans="1:10" ht="35.25" customHeight="1" x14ac:dyDescent="0.3">
      <c r="A146" s="1134"/>
      <c r="B146" s="764"/>
      <c r="C146" s="279" t="s">
        <v>473</v>
      </c>
      <c r="D146" s="434" t="s">
        <v>440</v>
      </c>
      <c r="E146" s="280"/>
      <c r="F146" s="435">
        <f t="shared" si="24"/>
        <v>0</v>
      </c>
      <c r="G146" s="578">
        <v>10.57</v>
      </c>
      <c r="H146" s="593">
        <f t="shared" si="25"/>
        <v>0</v>
      </c>
      <c r="I146" s="596">
        <f t="shared" si="26"/>
        <v>0</v>
      </c>
      <c r="J146" s="373"/>
    </row>
    <row r="147" spans="1:10" ht="35.25" customHeight="1" x14ac:dyDescent="0.3">
      <c r="A147" s="1134"/>
      <c r="B147" s="764"/>
      <c r="C147" s="279" t="s">
        <v>276</v>
      </c>
      <c r="D147" s="434" t="s">
        <v>440</v>
      </c>
      <c r="E147" s="280"/>
      <c r="F147" s="435">
        <f t="shared" si="24"/>
        <v>0</v>
      </c>
      <c r="G147" s="578">
        <v>55.76</v>
      </c>
      <c r="H147" s="593">
        <f t="shared" si="25"/>
        <v>0</v>
      </c>
      <c r="I147" s="596">
        <f t="shared" si="26"/>
        <v>0</v>
      </c>
      <c r="J147" s="373"/>
    </row>
    <row r="148" spans="1:10" ht="35.25" customHeight="1" x14ac:dyDescent="0.3">
      <c r="A148" s="1134"/>
      <c r="B148" s="764"/>
      <c r="C148" s="279" t="s">
        <v>421</v>
      </c>
      <c r="D148" s="434" t="s">
        <v>238</v>
      </c>
      <c r="E148" s="280"/>
      <c r="F148" s="435">
        <f t="shared" si="24"/>
        <v>0</v>
      </c>
      <c r="G148" s="578">
        <v>160.44999999999999</v>
      </c>
      <c r="H148" s="593">
        <f t="shared" si="25"/>
        <v>0</v>
      </c>
      <c r="I148" s="596">
        <f t="shared" si="26"/>
        <v>0</v>
      </c>
      <c r="J148" s="373"/>
    </row>
    <row r="149" spans="1:10" ht="35.25" customHeight="1" x14ac:dyDescent="0.3">
      <c r="A149" s="1134"/>
      <c r="B149" s="764"/>
      <c r="C149" s="279" t="s">
        <v>348</v>
      </c>
      <c r="D149" s="434" t="s">
        <v>238</v>
      </c>
      <c r="E149" s="280"/>
      <c r="F149" s="435">
        <f t="shared" si="24"/>
        <v>0</v>
      </c>
      <c r="G149" s="578">
        <v>160.44999999999999</v>
      </c>
      <c r="H149" s="593">
        <f t="shared" si="25"/>
        <v>0</v>
      </c>
      <c r="I149" s="596">
        <f t="shared" si="26"/>
        <v>0</v>
      </c>
      <c r="J149" s="373"/>
    </row>
    <row r="150" spans="1:10" ht="35.25" customHeight="1" x14ac:dyDescent="0.3">
      <c r="A150" s="1134"/>
      <c r="B150" s="764"/>
      <c r="C150" s="279" t="s">
        <v>387</v>
      </c>
      <c r="D150" s="434" t="s">
        <v>238</v>
      </c>
      <c r="E150" s="280"/>
      <c r="F150" s="435">
        <f t="shared" si="24"/>
        <v>0</v>
      </c>
      <c r="G150" s="578">
        <v>160.44999999999999</v>
      </c>
      <c r="H150" s="593">
        <f t="shared" si="25"/>
        <v>0</v>
      </c>
      <c r="I150" s="596">
        <f t="shared" si="26"/>
        <v>0</v>
      </c>
      <c r="J150" s="373"/>
    </row>
    <row r="151" spans="1:10" ht="35.25" customHeight="1" x14ac:dyDescent="0.3">
      <c r="A151" s="1134"/>
      <c r="B151" s="764"/>
      <c r="C151" s="279" t="s">
        <v>441</v>
      </c>
      <c r="D151" s="434" t="s">
        <v>238</v>
      </c>
      <c r="E151" s="280"/>
      <c r="F151" s="435">
        <f t="shared" si="24"/>
        <v>0</v>
      </c>
      <c r="G151" s="578">
        <v>160.44999999999999</v>
      </c>
      <c r="H151" s="593">
        <f t="shared" si="25"/>
        <v>0</v>
      </c>
      <c r="I151" s="596">
        <f t="shared" si="26"/>
        <v>0</v>
      </c>
      <c r="J151" s="373"/>
    </row>
    <row r="152" spans="1:10" ht="35.25" customHeight="1" x14ac:dyDescent="0.3">
      <c r="A152" s="1134"/>
      <c r="B152" s="764"/>
      <c r="C152" s="279" t="s">
        <v>302</v>
      </c>
      <c r="D152" s="434" t="s">
        <v>238</v>
      </c>
      <c r="E152" s="280"/>
      <c r="F152" s="435">
        <f t="shared" si="24"/>
        <v>0</v>
      </c>
      <c r="G152" s="578">
        <v>160.44999999999999</v>
      </c>
      <c r="H152" s="593">
        <f t="shared" si="25"/>
        <v>0</v>
      </c>
      <c r="I152" s="596">
        <f t="shared" si="26"/>
        <v>0</v>
      </c>
      <c r="J152" s="373"/>
    </row>
    <row r="153" spans="1:10" ht="35.25" customHeight="1" thickBot="1" x14ac:dyDescent="0.35">
      <c r="A153" s="1134"/>
      <c r="B153" s="764"/>
      <c r="C153" s="279" t="s">
        <v>310</v>
      </c>
      <c r="D153" s="434" t="s">
        <v>238</v>
      </c>
      <c r="E153" s="280"/>
      <c r="F153" s="435">
        <f t="shared" si="24"/>
        <v>0</v>
      </c>
      <c r="G153" s="578">
        <v>160.44999999999999</v>
      </c>
      <c r="H153" s="593">
        <f t="shared" si="25"/>
        <v>0</v>
      </c>
      <c r="I153" s="596">
        <f t="shared" si="26"/>
        <v>0</v>
      </c>
      <c r="J153" s="373"/>
    </row>
    <row r="154" spans="1:10" ht="35.25" customHeight="1" thickBot="1" x14ac:dyDescent="0.35">
      <c r="A154" s="1134"/>
      <c r="B154" s="1129" t="s">
        <v>267</v>
      </c>
      <c r="C154" s="1130"/>
      <c r="D154" s="763"/>
      <c r="E154" s="326">
        <f>SUM(E140:E153)</f>
        <v>0</v>
      </c>
      <c r="F154" s="326">
        <f>SUM(F140:F153)</f>
        <v>37620</v>
      </c>
      <c r="G154" s="326"/>
      <c r="H154" s="587">
        <f>SUM(H140:H153)</f>
        <v>0</v>
      </c>
      <c r="I154" s="580">
        <f>SUM(I140:I153)</f>
        <v>1015740</v>
      </c>
      <c r="J154" s="349"/>
    </row>
    <row r="155" spans="1:10" ht="35.25" customHeight="1" x14ac:dyDescent="0.3">
      <c r="A155" s="1134"/>
      <c r="B155" s="764"/>
      <c r="C155" s="279" t="s">
        <v>372</v>
      </c>
      <c r="D155" s="434" t="s">
        <v>373</v>
      </c>
      <c r="E155" s="280"/>
      <c r="F155" s="435">
        <f t="shared" ref="F155:F161" si="27">+E155+F47</f>
        <v>0</v>
      </c>
      <c r="G155" s="578">
        <v>5.34</v>
      </c>
      <c r="H155" s="593">
        <f t="shared" ref="H155:H161" si="28">E155*G155</f>
        <v>0</v>
      </c>
      <c r="I155" s="596">
        <f t="shared" ref="I155" si="29">+G155*F155</f>
        <v>0</v>
      </c>
      <c r="J155" s="373"/>
    </row>
    <row r="156" spans="1:10" ht="35.25" customHeight="1" x14ac:dyDescent="0.3">
      <c r="A156" s="1134"/>
      <c r="B156" s="764"/>
      <c r="C156" s="279" t="s">
        <v>389</v>
      </c>
      <c r="D156" s="434" t="s">
        <v>265</v>
      </c>
      <c r="E156" s="280"/>
      <c r="F156" s="435">
        <f t="shared" si="27"/>
        <v>0</v>
      </c>
      <c r="G156" s="578">
        <v>31.73</v>
      </c>
      <c r="H156" s="593">
        <f t="shared" si="28"/>
        <v>0</v>
      </c>
      <c r="I156" s="596">
        <f>+G156*F156</f>
        <v>0</v>
      </c>
      <c r="J156" s="373"/>
    </row>
    <row r="157" spans="1:10" ht="35.25" customHeight="1" x14ac:dyDescent="0.3">
      <c r="A157" s="1134"/>
      <c r="B157" s="764"/>
      <c r="C157" s="279" t="s">
        <v>392</v>
      </c>
      <c r="D157" s="434" t="s">
        <v>393</v>
      </c>
      <c r="E157" s="280"/>
      <c r="F157" s="435">
        <f t="shared" si="27"/>
        <v>0</v>
      </c>
      <c r="G157" s="578">
        <v>10.58</v>
      </c>
      <c r="H157" s="593">
        <f t="shared" si="28"/>
        <v>0</v>
      </c>
      <c r="I157" s="596">
        <f>+G157*F157</f>
        <v>0</v>
      </c>
      <c r="J157" s="373"/>
    </row>
    <row r="158" spans="1:10" ht="35.25" customHeight="1" x14ac:dyDescent="0.3">
      <c r="A158" s="1134"/>
      <c r="B158" s="764"/>
      <c r="C158" s="279" t="s">
        <v>277</v>
      </c>
      <c r="D158" s="434" t="s">
        <v>278</v>
      </c>
      <c r="E158" s="280"/>
      <c r="F158" s="435">
        <f t="shared" si="27"/>
        <v>0</v>
      </c>
      <c r="G158" s="578">
        <v>2500</v>
      </c>
      <c r="H158" s="593">
        <f t="shared" si="28"/>
        <v>0</v>
      </c>
      <c r="I158" s="596">
        <f>+G158*F158</f>
        <v>0</v>
      </c>
      <c r="J158" s="373"/>
    </row>
    <row r="159" spans="1:10" ht="35.25" customHeight="1" x14ac:dyDescent="0.3">
      <c r="A159" s="1134"/>
      <c r="B159" s="764"/>
      <c r="C159" s="279" t="s">
        <v>454</v>
      </c>
      <c r="D159" s="434"/>
      <c r="E159" s="280"/>
      <c r="F159" s="435">
        <f t="shared" si="27"/>
        <v>0</v>
      </c>
      <c r="G159" s="578">
        <v>30000</v>
      </c>
      <c r="H159" s="593">
        <f t="shared" si="28"/>
        <v>0</v>
      </c>
      <c r="I159" s="596">
        <f>+G159*F159</f>
        <v>0</v>
      </c>
      <c r="J159" s="373"/>
    </row>
    <row r="160" spans="1:10" ht="35.25" customHeight="1" x14ac:dyDescent="0.3">
      <c r="A160" s="1134"/>
      <c r="B160" s="764"/>
      <c r="C160" s="279" t="s">
        <v>379</v>
      </c>
      <c r="D160" s="434" t="s">
        <v>304</v>
      </c>
      <c r="E160" s="280"/>
      <c r="F160" s="435">
        <f t="shared" si="27"/>
        <v>0</v>
      </c>
      <c r="G160" s="578">
        <v>360</v>
      </c>
      <c r="H160" s="593">
        <f t="shared" si="28"/>
        <v>0</v>
      </c>
      <c r="I160" s="596">
        <f>+G160*F160</f>
        <v>0</v>
      </c>
      <c r="J160" s="373"/>
    </row>
    <row r="161" spans="1:13" ht="35.25" customHeight="1" thickBot="1" x14ac:dyDescent="0.35">
      <c r="A161" s="1134"/>
      <c r="B161" s="764"/>
      <c r="C161" s="279" t="s">
        <v>427</v>
      </c>
      <c r="D161" s="434" t="s">
        <v>304</v>
      </c>
      <c r="E161" s="280"/>
      <c r="F161" s="435">
        <f t="shared" si="27"/>
        <v>0</v>
      </c>
      <c r="G161" s="579">
        <v>10</v>
      </c>
      <c r="H161" s="593">
        <f t="shared" si="28"/>
        <v>0</v>
      </c>
      <c r="I161" s="596">
        <f t="shared" ref="I161" si="30">+G161*F161</f>
        <v>0</v>
      </c>
      <c r="J161" s="373"/>
    </row>
    <row r="162" spans="1:13" ht="35.25" customHeight="1" thickBot="1" x14ac:dyDescent="0.35">
      <c r="A162" s="1134"/>
      <c r="B162" s="1129" t="s">
        <v>272</v>
      </c>
      <c r="C162" s="1130"/>
      <c r="D162" s="763"/>
      <c r="E162" s="326">
        <f>SUM(E155:E161)</f>
        <v>0</v>
      </c>
      <c r="F162" s="326">
        <f>SUM(F155:F161)</f>
        <v>0</v>
      </c>
      <c r="G162" s="326"/>
      <c r="H162" s="587">
        <f>SUM(H155:H161)</f>
        <v>0</v>
      </c>
      <c r="I162" s="580">
        <f>SUM(I155:I161)</f>
        <v>0</v>
      </c>
      <c r="J162" s="373"/>
    </row>
    <row r="163" spans="1:13" ht="35.25" customHeight="1" thickBot="1" x14ac:dyDescent="0.35">
      <c r="A163" s="1134"/>
      <c r="B163" s="764"/>
      <c r="C163" s="279"/>
      <c r="D163" s="434"/>
      <c r="E163" s="280"/>
      <c r="F163" s="317"/>
      <c r="G163" s="579"/>
      <c r="H163" s="588"/>
      <c r="I163" s="282">
        <f t="shared" ref="I163" si="31">+G163*F163</f>
        <v>0</v>
      </c>
      <c r="J163" s="373"/>
    </row>
    <row r="164" spans="1:13" ht="35.25" customHeight="1" thickBot="1" x14ac:dyDescent="0.35">
      <c r="A164" s="1135"/>
      <c r="B164" s="1129" t="s">
        <v>269</v>
      </c>
      <c r="C164" s="1130"/>
      <c r="D164" s="766"/>
      <c r="E164" s="326">
        <f>+E162+E154+E139</f>
        <v>18360</v>
      </c>
      <c r="F164" s="326">
        <f>+F162+F154+F139</f>
        <v>55980</v>
      </c>
      <c r="G164" s="326"/>
      <c r="H164" s="580">
        <f>+H154+H139+H162</f>
        <v>345902.4</v>
      </c>
      <c r="I164" s="580">
        <f>+I154+I139+I162</f>
        <v>1361642.4</v>
      </c>
      <c r="J164" s="373"/>
      <c r="K164" s="704"/>
      <c r="M164" s="704"/>
    </row>
    <row r="165" spans="1:13" ht="35.25" customHeight="1" x14ac:dyDescent="0.3">
      <c r="A165" s="1133" t="s">
        <v>101</v>
      </c>
      <c r="B165" s="764"/>
      <c r="C165" s="279" t="s">
        <v>281</v>
      </c>
      <c r="D165" s="434" t="s">
        <v>178</v>
      </c>
      <c r="E165" s="280"/>
      <c r="F165" s="435">
        <f t="shared" ref="F165:F196" si="32">+E165+F57</f>
        <v>0</v>
      </c>
      <c r="G165" s="602">
        <v>13.25</v>
      </c>
      <c r="H165" s="597">
        <f t="shared" ref="H165:H196" si="33">E165*G165</f>
        <v>0</v>
      </c>
      <c r="I165" s="596">
        <f t="shared" ref="I165:I196" si="34">+G165*F165</f>
        <v>0</v>
      </c>
      <c r="J165" s="373"/>
      <c r="K165" s="704"/>
    </row>
    <row r="166" spans="1:13" ht="35.25" customHeight="1" x14ac:dyDescent="0.3">
      <c r="A166" s="1134"/>
      <c r="B166" s="764"/>
      <c r="C166" s="279" t="s">
        <v>282</v>
      </c>
      <c r="D166" s="434"/>
      <c r="E166" s="280"/>
      <c r="F166" s="435">
        <f t="shared" si="32"/>
        <v>0</v>
      </c>
      <c r="G166" s="603">
        <v>5000</v>
      </c>
      <c r="H166" s="597">
        <f t="shared" si="33"/>
        <v>0</v>
      </c>
      <c r="I166" s="596">
        <f t="shared" si="34"/>
        <v>0</v>
      </c>
      <c r="J166" s="373"/>
      <c r="K166" s="704"/>
    </row>
    <row r="167" spans="1:13" ht="35.25" customHeight="1" x14ac:dyDescent="0.3">
      <c r="A167" s="1134"/>
      <c r="B167" s="764"/>
      <c r="C167" s="279" t="s">
        <v>282</v>
      </c>
      <c r="D167" s="434"/>
      <c r="E167" s="280"/>
      <c r="F167" s="435">
        <f t="shared" si="32"/>
        <v>0</v>
      </c>
      <c r="G167" s="603">
        <v>18000</v>
      </c>
      <c r="H167" s="597">
        <f t="shared" si="33"/>
        <v>0</v>
      </c>
      <c r="I167" s="596">
        <f t="shared" si="34"/>
        <v>0</v>
      </c>
      <c r="J167" s="373"/>
    </row>
    <row r="168" spans="1:13" ht="35.25" customHeight="1" x14ac:dyDescent="0.3">
      <c r="A168" s="1134"/>
      <c r="B168" s="764"/>
      <c r="C168" s="279" t="s">
        <v>465</v>
      </c>
      <c r="D168" s="434" t="s">
        <v>464</v>
      </c>
      <c r="E168" s="280"/>
      <c r="F168" s="435">
        <f t="shared" si="32"/>
        <v>0</v>
      </c>
      <c r="G168" s="602">
        <v>21.01</v>
      </c>
      <c r="H168" s="597">
        <f t="shared" si="33"/>
        <v>0</v>
      </c>
      <c r="I168" s="596">
        <f t="shared" si="34"/>
        <v>0</v>
      </c>
      <c r="J168" s="373"/>
    </row>
    <row r="169" spans="1:13" ht="35.25" customHeight="1" x14ac:dyDescent="0.3">
      <c r="A169" s="1134"/>
      <c r="B169" s="764"/>
      <c r="C169" s="279" t="s">
        <v>465</v>
      </c>
      <c r="D169" s="434" t="s">
        <v>338</v>
      </c>
      <c r="E169" s="280"/>
      <c r="F169" s="435">
        <f t="shared" si="32"/>
        <v>0</v>
      </c>
      <c r="G169" s="602">
        <v>24.93</v>
      </c>
      <c r="H169" s="597">
        <f t="shared" si="33"/>
        <v>0</v>
      </c>
      <c r="I169" s="596">
        <f t="shared" si="34"/>
        <v>0</v>
      </c>
      <c r="J169" s="373"/>
    </row>
    <row r="170" spans="1:13" ht="35.25" customHeight="1" x14ac:dyDescent="0.3">
      <c r="A170" s="1134"/>
      <c r="B170" s="764"/>
      <c r="C170" s="279" t="s">
        <v>465</v>
      </c>
      <c r="D170" s="434" t="s">
        <v>92</v>
      </c>
      <c r="E170" s="280"/>
      <c r="F170" s="435">
        <f t="shared" si="32"/>
        <v>0</v>
      </c>
      <c r="G170" s="602">
        <v>24.93</v>
      </c>
      <c r="H170" s="597">
        <f t="shared" si="33"/>
        <v>0</v>
      </c>
      <c r="I170" s="596">
        <f t="shared" si="34"/>
        <v>0</v>
      </c>
      <c r="J170" s="373"/>
    </row>
    <row r="171" spans="1:13" ht="35.25" customHeight="1" x14ac:dyDescent="0.3">
      <c r="A171" s="1134"/>
      <c r="B171" s="764"/>
      <c r="C171" s="746" t="s">
        <v>466</v>
      </c>
      <c r="D171" s="747" t="s">
        <v>92</v>
      </c>
      <c r="E171" s="280"/>
      <c r="F171" s="435">
        <f t="shared" si="32"/>
        <v>0</v>
      </c>
      <c r="G171" s="602">
        <v>20.8</v>
      </c>
      <c r="H171" s="597">
        <f t="shared" si="33"/>
        <v>0</v>
      </c>
      <c r="I171" s="596">
        <f t="shared" si="34"/>
        <v>0</v>
      </c>
      <c r="J171" s="373"/>
    </row>
    <row r="172" spans="1:13" ht="35.25" customHeight="1" x14ac:dyDescent="0.3">
      <c r="A172" s="1134"/>
      <c r="B172" s="764"/>
      <c r="C172" s="746" t="s">
        <v>467</v>
      </c>
      <c r="D172" s="747" t="s">
        <v>468</v>
      </c>
      <c r="E172" s="280"/>
      <c r="F172" s="435">
        <f t="shared" si="32"/>
        <v>0</v>
      </c>
      <c r="G172" s="602">
        <v>24.93</v>
      </c>
      <c r="H172" s="597">
        <f t="shared" si="33"/>
        <v>0</v>
      </c>
      <c r="I172" s="596">
        <f t="shared" si="34"/>
        <v>0</v>
      </c>
      <c r="J172" s="373"/>
    </row>
    <row r="173" spans="1:13" ht="35.25" customHeight="1" x14ac:dyDescent="0.3">
      <c r="A173" s="1134"/>
      <c r="B173" s="764"/>
      <c r="C173" s="746" t="s">
        <v>467</v>
      </c>
      <c r="D173" s="747" t="s">
        <v>468</v>
      </c>
      <c r="E173" s="280"/>
      <c r="F173" s="435">
        <f t="shared" si="32"/>
        <v>0</v>
      </c>
      <c r="G173" s="602">
        <v>25.49</v>
      </c>
      <c r="H173" s="597">
        <f t="shared" si="33"/>
        <v>0</v>
      </c>
      <c r="I173" s="596">
        <f t="shared" si="34"/>
        <v>0</v>
      </c>
      <c r="J173" s="373"/>
    </row>
    <row r="174" spans="1:13" s="757" customFormat="1" ht="35.25" customHeight="1" x14ac:dyDescent="0.3">
      <c r="A174" s="1134"/>
      <c r="B174" s="748"/>
      <c r="C174" s="749" t="s">
        <v>469</v>
      </c>
      <c r="D174" s="750" t="s">
        <v>309</v>
      </c>
      <c r="E174" s="751"/>
      <c r="F174" s="752">
        <f t="shared" si="32"/>
        <v>0</v>
      </c>
      <c r="G174" s="753">
        <v>24.41</v>
      </c>
      <c r="H174" s="754">
        <f t="shared" si="33"/>
        <v>0</v>
      </c>
      <c r="I174" s="755">
        <f t="shared" si="34"/>
        <v>0</v>
      </c>
      <c r="J174" s="756"/>
    </row>
    <row r="175" spans="1:13" ht="35.25" customHeight="1" x14ac:dyDescent="0.3">
      <c r="A175" s="1134"/>
      <c r="B175" s="764"/>
      <c r="C175" s="279" t="s">
        <v>444</v>
      </c>
      <c r="D175" s="434" t="s">
        <v>423</v>
      </c>
      <c r="E175" s="280"/>
      <c r="F175" s="435">
        <f t="shared" si="32"/>
        <v>0</v>
      </c>
      <c r="G175" s="602">
        <v>20.76</v>
      </c>
      <c r="H175" s="597">
        <f t="shared" si="33"/>
        <v>0</v>
      </c>
      <c r="I175" s="596">
        <f t="shared" si="34"/>
        <v>0</v>
      </c>
      <c r="J175" s="373"/>
    </row>
    <row r="176" spans="1:13" ht="35.25" customHeight="1" x14ac:dyDescent="0.3">
      <c r="A176" s="1134"/>
      <c r="B176" s="764"/>
      <c r="C176" s="279" t="s">
        <v>298</v>
      </c>
      <c r="D176" s="434" t="s">
        <v>107</v>
      </c>
      <c r="E176" s="280"/>
      <c r="F176" s="435">
        <f t="shared" si="32"/>
        <v>0</v>
      </c>
      <c r="G176" s="602">
        <v>24.93</v>
      </c>
      <c r="H176" s="597">
        <f t="shared" si="33"/>
        <v>0</v>
      </c>
      <c r="I176" s="596">
        <f t="shared" si="34"/>
        <v>0</v>
      </c>
      <c r="J176" s="373"/>
    </row>
    <row r="177" spans="1:10" ht="35.25" customHeight="1" x14ac:dyDescent="0.3">
      <c r="A177" s="1134"/>
      <c r="B177" s="764"/>
      <c r="C177" s="279" t="s">
        <v>299</v>
      </c>
      <c r="D177" s="434" t="s">
        <v>280</v>
      </c>
      <c r="E177" s="280"/>
      <c r="F177" s="435">
        <f t="shared" si="32"/>
        <v>0</v>
      </c>
      <c r="G177" s="602">
        <v>24.93</v>
      </c>
      <c r="H177" s="597">
        <f t="shared" si="33"/>
        <v>0</v>
      </c>
      <c r="I177" s="596">
        <f t="shared" si="34"/>
        <v>0</v>
      </c>
      <c r="J177" s="373"/>
    </row>
    <row r="178" spans="1:10" ht="35.25" customHeight="1" x14ac:dyDescent="0.3">
      <c r="A178" s="1134"/>
      <c r="B178" s="764"/>
      <c r="C178" s="279" t="s">
        <v>425</v>
      </c>
      <c r="D178" s="434" t="s">
        <v>360</v>
      </c>
      <c r="E178" s="280"/>
      <c r="F178" s="435">
        <f t="shared" si="32"/>
        <v>0</v>
      </c>
      <c r="G178" s="602">
        <v>23.78</v>
      </c>
      <c r="H178" s="597">
        <f t="shared" si="33"/>
        <v>0</v>
      </c>
      <c r="I178" s="596">
        <f t="shared" si="34"/>
        <v>0</v>
      </c>
      <c r="J178" s="373"/>
    </row>
    <row r="179" spans="1:10" ht="35.25" customHeight="1" x14ac:dyDescent="0.3">
      <c r="A179" s="1134"/>
      <c r="B179" s="764"/>
      <c r="C179" s="279" t="s">
        <v>425</v>
      </c>
      <c r="D179" s="434" t="s">
        <v>309</v>
      </c>
      <c r="E179" s="280"/>
      <c r="F179" s="435">
        <f t="shared" si="32"/>
        <v>0</v>
      </c>
      <c r="G179" s="602">
        <v>23.78</v>
      </c>
      <c r="H179" s="597">
        <f t="shared" si="33"/>
        <v>0</v>
      </c>
      <c r="I179" s="596">
        <f t="shared" si="34"/>
        <v>0</v>
      </c>
      <c r="J179" s="373"/>
    </row>
    <row r="180" spans="1:10" ht="35.25" customHeight="1" x14ac:dyDescent="0.3">
      <c r="A180" s="1134"/>
      <c r="B180" s="764"/>
      <c r="C180" s="279" t="s">
        <v>354</v>
      </c>
      <c r="D180" s="434" t="s">
        <v>309</v>
      </c>
      <c r="E180" s="280"/>
      <c r="F180" s="435">
        <f t="shared" si="32"/>
        <v>0</v>
      </c>
      <c r="G180" s="602">
        <v>37.4566666666</v>
      </c>
      <c r="H180" s="597">
        <f t="shared" si="33"/>
        <v>0</v>
      </c>
      <c r="I180" s="596">
        <f t="shared" si="34"/>
        <v>0</v>
      </c>
      <c r="J180" s="373"/>
    </row>
    <row r="181" spans="1:10" ht="35.25" customHeight="1" x14ac:dyDescent="0.3">
      <c r="A181" s="1134"/>
      <c r="B181" s="764"/>
      <c r="C181" s="279" t="s">
        <v>355</v>
      </c>
      <c r="D181" s="434" t="s">
        <v>309</v>
      </c>
      <c r="E181" s="280"/>
      <c r="F181" s="435">
        <f t="shared" si="32"/>
        <v>0</v>
      </c>
      <c r="G181" s="602">
        <v>37.89</v>
      </c>
      <c r="H181" s="597">
        <f t="shared" si="33"/>
        <v>0</v>
      </c>
      <c r="I181" s="596">
        <f t="shared" si="34"/>
        <v>0</v>
      </c>
      <c r="J181" s="373"/>
    </row>
    <row r="182" spans="1:10" ht="35.25" customHeight="1" x14ac:dyDescent="0.3">
      <c r="A182" s="1134"/>
      <c r="B182" s="764"/>
      <c r="C182" s="279" t="s">
        <v>461</v>
      </c>
      <c r="D182" s="434" t="s">
        <v>92</v>
      </c>
      <c r="E182" s="280"/>
      <c r="F182" s="435">
        <f t="shared" si="32"/>
        <v>0</v>
      </c>
      <c r="G182" s="602">
        <v>28.31</v>
      </c>
      <c r="H182" s="597">
        <f t="shared" si="33"/>
        <v>0</v>
      </c>
      <c r="I182" s="596">
        <f t="shared" si="34"/>
        <v>0</v>
      </c>
      <c r="J182" s="373"/>
    </row>
    <row r="183" spans="1:10" ht="35.25" customHeight="1" x14ac:dyDescent="0.3">
      <c r="A183" s="1134"/>
      <c r="B183" s="764"/>
      <c r="C183" s="279" t="s">
        <v>461</v>
      </c>
      <c r="D183" s="434" t="s">
        <v>423</v>
      </c>
      <c r="E183" s="280"/>
      <c r="F183" s="435">
        <f t="shared" si="32"/>
        <v>0</v>
      </c>
      <c r="G183" s="602">
        <v>28.88</v>
      </c>
      <c r="H183" s="597">
        <f t="shared" si="33"/>
        <v>0</v>
      </c>
      <c r="I183" s="596">
        <f t="shared" si="34"/>
        <v>0</v>
      </c>
      <c r="J183" s="373"/>
    </row>
    <row r="184" spans="1:10" ht="35.25" customHeight="1" x14ac:dyDescent="0.3">
      <c r="A184" s="1134"/>
      <c r="B184" s="764"/>
      <c r="C184" s="279" t="s">
        <v>462</v>
      </c>
      <c r="D184" s="434" t="s">
        <v>423</v>
      </c>
      <c r="E184" s="280"/>
      <c r="F184" s="435">
        <f t="shared" si="32"/>
        <v>0</v>
      </c>
      <c r="G184" s="602">
        <v>28.21</v>
      </c>
      <c r="H184" s="597">
        <f t="shared" si="33"/>
        <v>0</v>
      </c>
      <c r="I184" s="596">
        <f t="shared" si="34"/>
        <v>0</v>
      </c>
      <c r="J184" s="373"/>
    </row>
    <row r="185" spans="1:10" ht="35.25" customHeight="1" x14ac:dyDescent="0.3">
      <c r="A185" s="1134"/>
      <c r="B185" s="764"/>
      <c r="C185" s="279" t="s">
        <v>463</v>
      </c>
      <c r="D185" s="434" t="s">
        <v>338</v>
      </c>
      <c r="E185" s="280"/>
      <c r="F185" s="435">
        <f t="shared" si="32"/>
        <v>0</v>
      </c>
      <c r="G185" s="602">
        <v>39</v>
      </c>
      <c r="H185" s="597">
        <f t="shared" si="33"/>
        <v>0</v>
      </c>
      <c r="I185" s="596">
        <f t="shared" si="34"/>
        <v>0</v>
      </c>
      <c r="J185" s="373"/>
    </row>
    <row r="186" spans="1:10" ht="35.25" customHeight="1" x14ac:dyDescent="0.3">
      <c r="A186" s="1134"/>
      <c r="B186" s="764"/>
      <c r="C186" s="279" t="s">
        <v>463</v>
      </c>
      <c r="D186" s="434" t="s">
        <v>92</v>
      </c>
      <c r="E186" s="280"/>
      <c r="F186" s="435">
        <f t="shared" si="32"/>
        <v>0</v>
      </c>
      <c r="G186" s="602">
        <v>32.65</v>
      </c>
      <c r="H186" s="597">
        <f t="shared" si="33"/>
        <v>0</v>
      </c>
      <c r="I186" s="596">
        <f t="shared" si="34"/>
        <v>0</v>
      </c>
      <c r="J186" s="373"/>
    </row>
    <row r="187" spans="1:10" ht="35.25" customHeight="1" x14ac:dyDescent="0.3">
      <c r="A187" s="1134"/>
      <c r="B187" s="764"/>
      <c r="C187" s="279" t="s">
        <v>463</v>
      </c>
      <c r="D187" s="434" t="s">
        <v>423</v>
      </c>
      <c r="E187" s="280"/>
      <c r="F187" s="435">
        <f t="shared" si="32"/>
        <v>0</v>
      </c>
      <c r="G187" s="602">
        <v>33.299999999999997</v>
      </c>
      <c r="H187" s="597">
        <f t="shared" si="33"/>
        <v>0</v>
      </c>
      <c r="I187" s="596">
        <f t="shared" si="34"/>
        <v>0</v>
      </c>
      <c r="J187" s="373"/>
    </row>
    <row r="188" spans="1:10" ht="35.25" customHeight="1" x14ac:dyDescent="0.3">
      <c r="A188" s="1134"/>
      <c r="B188" s="764"/>
      <c r="C188" s="279" t="s">
        <v>299</v>
      </c>
      <c r="D188" s="434" t="s">
        <v>279</v>
      </c>
      <c r="E188" s="280"/>
      <c r="F188" s="435">
        <f t="shared" si="32"/>
        <v>0</v>
      </c>
      <c r="G188" s="602">
        <v>24.93</v>
      </c>
      <c r="H188" s="597">
        <f t="shared" si="33"/>
        <v>0</v>
      </c>
      <c r="I188" s="596">
        <f t="shared" si="34"/>
        <v>0</v>
      </c>
      <c r="J188" s="373"/>
    </row>
    <row r="189" spans="1:10" ht="35.25" customHeight="1" x14ac:dyDescent="0.3">
      <c r="A189" s="1134"/>
      <c r="B189" s="764"/>
      <c r="C189" s="279" t="s">
        <v>299</v>
      </c>
      <c r="D189" s="434"/>
      <c r="E189" s="280"/>
      <c r="F189" s="435">
        <f t="shared" si="32"/>
        <v>0</v>
      </c>
      <c r="G189" s="602">
        <v>24.93</v>
      </c>
      <c r="H189" s="597">
        <f t="shared" si="33"/>
        <v>0</v>
      </c>
      <c r="I189" s="596">
        <f t="shared" si="34"/>
        <v>0</v>
      </c>
      <c r="J189" s="373"/>
    </row>
    <row r="190" spans="1:10" ht="35.25" customHeight="1" x14ac:dyDescent="0.3">
      <c r="A190" s="1134"/>
      <c r="B190" s="764"/>
      <c r="C190" s="279" t="s">
        <v>316</v>
      </c>
      <c r="D190" s="434" t="s">
        <v>289</v>
      </c>
      <c r="E190" s="280"/>
      <c r="F190" s="435">
        <f t="shared" si="32"/>
        <v>0</v>
      </c>
      <c r="G190" s="602">
        <v>34.26</v>
      </c>
      <c r="H190" s="597">
        <f t="shared" si="33"/>
        <v>0</v>
      </c>
      <c r="I190" s="596">
        <f t="shared" si="34"/>
        <v>0</v>
      </c>
      <c r="J190" s="373"/>
    </row>
    <row r="191" spans="1:10" ht="35.25" customHeight="1" x14ac:dyDescent="0.3">
      <c r="A191" s="1134"/>
      <c r="B191" s="764"/>
      <c r="C191" s="279" t="s">
        <v>328</v>
      </c>
      <c r="D191" s="434" t="s">
        <v>360</v>
      </c>
      <c r="E191" s="280"/>
      <c r="F191" s="435">
        <f t="shared" si="32"/>
        <v>0</v>
      </c>
      <c r="G191" s="602">
        <v>37.89</v>
      </c>
      <c r="H191" s="597">
        <f t="shared" si="33"/>
        <v>0</v>
      </c>
      <c r="I191" s="596">
        <f t="shared" si="34"/>
        <v>0</v>
      </c>
      <c r="J191" s="373"/>
    </row>
    <row r="192" spans="1:10" ht="35.25" customHeight="1" x14ac:dyDescent="0.3">
      <c r="A192" s="1134"/>
      <c r="B192" s="764"/>
      <c r="C192" s="279" t="s">
        <v>363</v>
      </c>
      <c r="D192" s="434" t="s">
        <v>338</v>
      </c>
      <c r="E192" s="280"/>
      <c r="F192" s="435">
        <f t="shared" si="32"/>
        <v>0</v>
      </c>
      <c r="G192" s="602">
        <v>39</v>
      </c>
      <c r="H192" s="597">
        <f t="shared" si="33"/>
        <v>0</v>
      </c>
      <c r="I192" s="596">
        <f t="shared" si="34"/>
        <v>0</v>
      </c>
      <c r="J192" s="373"/>
    </row>
    <row r="193" spans="1:10" ht="35.25" customHeight="1" x14ac:dyDescent="0.3">
      <c r="A193" s="1134"/>
      <c r="B193" s="764"/>
      <c r="C193" s="279" t="s">
        <v>299</v>
      </c>
      <c r="D193" s="434" t="s">
        <v>177</v>
      </c>
      <c r="E193" s="280"/>
      <c r="F193" s="435">
        <f t="shared" si="32"/>
        <v>0</v>
      </c>
      <c r="G193" s="602">
        <v>21.22</v>
      </c>
      <c r="H193" s="597">
        <f t="shared" si="33"/>
        <v>0</v>
      </c>
      <c r="I193" s="596">
        <f t="shared" si="34"/>
        <v>0</v>
      </c>
      <c r="J193" s="373"/>
    </row>
    <row r="194" spans="1:10" ht="35.25" customHeight="1" x14ac:dyDescent="0.3">
      <c r="A194" s="1134"/>
      <c r="B194" s="764"/>
      <c r="C194" s="279" t="s">
        <v>298</v>
      </c>
      <c r="D194" s="434" t="s">
        <v>177</v>
      </c>
      <c r="E194" s="280"/>
      <c r="F194" s="435">
        <f t="shared" si="32"/>
        <v>0</v>
      </c>
      <c r="G194" s="602">
        <v>21.22</v>
      </c>
      <c r="H194" s="597">
        <f t="shared" si="33"/>
        <v>0</v>
      </c>
      <c r="I194" s="596">
        <f t="shared" si="34"/>
        <v>0</v>
      </c>
      <c r="J194" s="373"/>
    </row>
    <row r="195" spans="1:10" ht="35.25" customHeight="1" x14ac:dyDescent="0.3">
      <c r="A195" s="1134"/>
      <c r="B195" s="764"/>
      <c r="C195" s="279" t="s">
        <v>339</v>
      </c>
      <c r="D195" s="434" t="s">
        <v>304</v>
      </c>
      <c r="E195" s="280"/>
      <c r="F195" s="435">
        <f t="shared" si="32"/>
        <v>0</v>
      </c>
      <c r="G195" s="602">
        <v>10000</v>
      </c>
      <c r="H195" s="597">
        <f t="shared" si="33"/>
        <v>0</v>
      </c>
      <c r="I195" s="596">
        <f t="shared" si="34"/>
        <v>0</v>
      </c>
      <c r="J195" s="373"/>
    </row>
    <row r="196" spans="1:10" ht="35.25" customHeight="1" thickBot="1" x14ac:dyDescent="0.35">
      <c r="A196" s="1134"/>
      <c r="B196" s="764"/>
      <c r="C196" s="279" t="s">
        <v>303</v>
      </c>
      <c r="D196" s="434" t="s">
        <v>304</v>
      </c>
      <c r="E196" s="280"/>
      <c r="F196" s="435">
        <f t="shared" si="32"/>
        <v>0</v>
      </c>
      <c r="G196" s="602">
        <v>360</v>
      </c>
      <c r="H196" s="597">
        <f t="shared" si="33"/>
        <v>0</v>
      </c>
      <c r="I196" s="596">
        <f t="shared" si="34"/>
        <v>0</v>
      </c>
      <c r="J196" s="373"/>
    </row>
    <row r="197" spans="1:10" ht="35.25" customHeight="1" thickBot="1" x14ac:dyDescent="0.35">
      <c r="A197" s="1135"/>
      <c r="B197" s="1129" t="s">
        <v>268</v>
      </c>
      <c r="C197" s="1130"/>
      <c r="D197" s="763"/>
      <c r="E197" s="326">
        <f>SUM(E165:E196)</f>
        <v>0</v>
      </c>
      <c r="F197" s="326">
        <f>SUM(F165:F196)</f>
        <v>0</v>
      </c>
      <c r="G197" s="326"/>
      <c r="H197" s="587">
        <f>SUM(H165:H196)</f>
        <v>0</v>
      </c>
      <c r="I197" s="580">
        <f>SUM(I165:I196)</f>
        <v>0</v>
      </c>
      <c r="J197" s="373"/>
    </row>
    <row r="198" spans="1:10" ht="35.25" customHeight="1" x14ac:dyDescent="0.3">
      <c r="A198" s="1133" t="s">
        <v>102</v>
      </c>
      <c r="B198" s="764"/>
      <c r="C198" s="279" t="s">
        <v>273</v>
      </c>
      <c r="D198" s="434" t="s">
        <v>238</v>
      </c>
      <c r="E198" s="280"/>
      <c r="F198" s="435">
        <f t="shared" ref="F198:F222" si="35">+E198+F90</f>
        <v>0</v>
      </c>
      <c r="G198" s="602">
        <v>430.02</v>
      </c>
      <c r="H198" s="593">
        <f>E198*G198</f>
        <v>0</v>
      </c>
      <c r="I198" s="596">
        <f t="shared" ref="I198:I219" si="36">+G198*F198</f>
        <v>0</v>
      </c>
      <c r="J198" s="373"/>
    </row>
    <row r="199" spans="1:10" ht="35.25" customHeight="1" x14ac:dyDescent="0.3">
      <c r="A199" s="1134"/>
      <c r="B199" s="764"/>
      <c r="C199" s="279" t="s">
        <v>274</v>
      </c>
      <c r="D199" s="434" t="s">
        <v>238</v>
      </c>
      <c r="E199" s="280"/>
      <c r="F199" s="435">
        <f t="shared" si="35"/>
        <v>0</v>
      </c>
      <c r="G199" s="602">
        <v>445.38</v>
      </c>
      <c r="H199" s="593">
        <f t="shared" ref="H199:H219" si="37">E199*G199</f>
        <v>0</v>
      </c>
      <c r="I199" s="596">
        <f t="shared" si="36"/>
        <v>0</v>
      </c>
      <c r="J199" s="373"/>
    </row>
    <row r="200" spans="1:10" ht="35.25" customHeight="1" x14ac:dyDescent="0.3">
      <c r="A200" s="1134"/>
      <c r="B200" s="764"/>
      <c r="C200" s="279" t="s">
        <v>390</v>
      </c>
      <c r="D200" s="434" t="s">
        <v>238</v>
      </c>
      <c r="E200" s="280"/>
      <c r="F200" s="435">
        <f t="shared" si="35"/>
        <v>0</v>
      </c>
      <c r="G200" s="602">
        <v>445.38</v>
      </c>
      <c r="H200" s="593">
        <f t="shared" si="37"/>
        <v>0</v>
      </c>
      <c r="I200" s="596">
        <f t="shared" si="36"/>
        <v>0</v>
      </c>
      <c r="J200" s="373"/>
    </row>
    <row r="201" spans="1:10" ht="35.25" customHeight="1" x14ac:dyDescent="0.3">
      <c r="A201" s="1134"/>
      <c r="B201" s="764"/>
      <c r="C201" s="279" t="s">
        <v>301</v>
      </c>
      <c r="D201" s="434" t="s">
        <v>238</v>
      </c>
      <c r="E201" s="280"/>
      <c r="F201" s="435">
        <f t="shared" si="35"/>
        <v>0</v>
      </c>
      <c r="G201" s="602">
        <v>63.55</v>
      </c>
      <c r="H201" s="593">
        <f t="shared" si="37"/>
        <v>0</v>
      </c>
      <c r="I201" s="596">
        <f t="shared" si="36"/>
        <v>0</v>
      </c>
      <c r="J201" s="373"/>
    </row>
    <row r="202" spans="1:10" ht="35.25" customHeight="1" x14ac:dyDescent="0.3">
      <c r="A202" s="1134"/>
      <c r="B202" s="764"/>
      <c r="C202" s="279" t="s">
        <v>275</v>
      </c>
      <c r="D202" s="434" t="s">
        <v>238</v>
      </c>
      <c r="E202" s="280"/>
      <c r="F202" s="435">
        <f t="shared" si="35"/>
        <v>0</v>
      </c>
      <c r="G202" s="602">
        <v>71.44</v>
      </c>
      <c r="H202" s="593">
        <f t="shared" si="37"/>
        <v>0</v>
      </c>
      <c r="I202" s="596">
        <f t="shared" si="36"/>
        <v>0</v>
      </c>
      <c r="J202" s="373"/>
    </row>
    <row r="203" spans="1:10" ht="35.25" customHeight="1" x14ac:dyDescent="0.3">
      <c r="A203" s="1134"/>
      <c r="B203" s="764"/>
      <c r="C203" s="279" t="s">
        <v>276</v>
      </c>
      <c r="D203" s="434" t="s">
        <v>238</v>
      </c>
      <c r="E203" s="280"/>
      <c r="F203" s="435">
        <f t="shared" si="35"/>
        <v>0</v>
      </c>
      <c r="G203" s="602">
        <v>36.5</v>
      </c>
      <c r="H203" s="593">
        <f t="shared" si="37"/>
        <v>0</v>
      </c>
      <c r="I203" s="596">
        <f t="shared" si="36"/>
        <v>0</v>
      </c>
      <c r="J203" s="373"/>
    </row>
    <row r="204" spans="1:10" ht="35.25" customHeight="1" x14ac:dyDescent="0.3">
      <c r="A204" s="1134"/>
      <c r="B204" s="764"/>
      <c r="C204" s="279" t="s">
        <v>426</v>
      </c>
      <c r="D204" s="434" t="s">
        <v>238</v>
      </c>
      <c r="E204" s="280"/>
      <c r="F204" s="435">
        <f t="shared" si="35"/>
        <v>0</v>
      </c>
      <c r="G204" s="602">
        <v>320.35000000000002</v>
      </c>
      <c r="H204" s="593">
        <f t="shared" si="37"/>
        <v>0</v>
      </c>
      <c r="I204" s="596">
        <f t="shared" si="36"/>
        <v>0</v>
      </c>
      <c r="J204" s="373"/>
    </row>
    <row r="205" spans="1:10" ht="35.25" customHeight="1" x14ac:dyDescent="0.3">
      <c r="A205" s="1134"/>
      <c r="B205" s="764"/>
      <c r="C205" s="279" t="s">
        <v>285</v>
      </c>
      <c r="D205" s="434" t="s">
        <v>238</v>
      </c>
      <c r="E205" s="280"/>
      <c r="F205" s="435">
        <f t="shared" si="35"/>
        <v>0</v>
      </c>
      <c r="G205" s="602">
        <v>320.35000000000002</v>
      </c>
      <c r="H205" s="593">
        <f t="shared" si="37"/>
        <v>0</v>
      </c>
      <c r="I205" s="596">
        <f t="shared" si="36"/>
        <v>0</v>
      </c>
      <c r="J205" s="373"/>
    </row>
    <row r="206" spans="1:10" ht="35.25" customHeight="1" x14ac:dyDescent="0.3">
      <c r="A206" s="1134"/>
      <c r="B206" s="764"/>
      <c r="C206" s="279" t="s">
        <v>296</v>
      </c>
      <c r="D206" s="434" t="s">
        <v>238</v>
      </c>
      <c r="E206" s="280"/>
      <c r="F206" s="435">
        <f t="shared" si="35"/>
        <v>0</v>
      </c>
      <c r="G206" s="602">
        <v>434.41</v>
      </c>
      <c r="H206" s="593">
        <f t="shared" si="37"/>
        <v>0</v>
      </c>
      <c r="I206" s="596">
        <f t="shared" si="36"/>
        <v>0</v>
      </c>
      <c r="J206" s="373"/>
    </row>
    <row r="207" spans="1:10" ht="35.25" customHeight="1" x14ac:dyDescent="0.3">
      <c r="A207" s="1134"/>
      <c r="B207" s="764"/>
      <c r="C207" s="279" t="s">
        <v>282</v>
      </c>
      <c r="D207" s="434" t="s">
        <v>238</v>
      </c>
      <c r="E207" s="280"/>
      <c r="F207" s="435">
        <f t="shared" si="35"/>
        <v>0</v>
      </c>
      <c r="G207" s="602">
        <v>29690</v>
      </c>
      <c r="H207" s="593">
        <f t="shared" si="37"/>
        <v>0</v>
      </c>
      <c r="I207" s="596">
        <f t="shared" si="36"/>
        <v>0</v>
      </c>
      <c r="J207" s="373"/>
    </row>
    <row r="208" spans="1:10" ht="35.25" customHeight="1" x14ac:dyDescent="0.3">
      <c r="A208" s="1134"/>
      <c r="B208" s="764"/>
      <c r="C208" s="279" t="s">
        <v>282</v>
      </c>
      <c r="D208" s="434" t="s">
        <v>238</v>
      </c>
      <c r="E208" s="280"/>
      <c r="F208" s="435">
        <f t="shared" si="35"/>
        <v>0</v>
      </c>
      <c r="G208" s="602">
        <v>26445</v>
      </c>
      <c r="H208" s="593">
        <f t="shared" si="37"/>
        <v>0</v>
      </c>
      <c r="I208" s="596">
        <f t="shared" si="36"/>
        <v>0</v>
      </c>
      <c r="J208" s="373"/>
    </row>
    <row r="209" spans="1:10" ht="35.25" customHeight="1" x14ac:dyDescent="0.3">
      <c r="A209" s="1134"/>
      <c r="B209" s="764"/>
      <c r="C209" s="279" t="s">
        <v>282</v>
      </c>
      <c r="D209" s="434"/>
      <c r="E209" s="280"/>
      <c r="F209" s="435">
        <f t="shared" si="35"/>
        <v>0</v>
      </c>
      <c r="G209" s="602">
        <v>33947.884599999998</v>
      </c>
      <c r="H209" s="593">
        <f t="shared" si="37"/>
        <v>0</v>
      </c>
      <c r="I209" s="596">
        <f t="shared" si="36"/>
        <v>0</v>
      </c>
      <c r="J209" s="373"/>
    </row>
    <row r="210" spans="1:10" ht="35.25" customHeight="1" x14ac:dyDescent="0.3">
      <c r="A210" s="1134"/>
      <c r="B210" s="764"/>
      <c r="C210" s="279" t="s">
        <v>311</v>
      </c>
      <c r="D210" s="434" t="s">
        <v>337</v>
      </c>
      <c r="E210" s="280"/>
      <c r="F210" s="435">
        <f t="shared" si="35"/>
        <v>0</v>
      </c>
      <c r="G210" s="602">
        <v>50</v>
      </c>
      <c r="H210" s="593">
        <f t="shared" si="37"/>
        <v>0</v>
      </c>
      <c r="I210" s="596">
        <f t="shared" si="36"/>
        <v>0</v>
      </c>
      <c r="J210" s="373"/>
    </row>
    <row r="211" spans="1:10" ht="35.25" customHeight="1" x14ac:dyDescent="0.3">
      <c r="A211" s="1134"/>
      <c r="B211" s="764"/>
      <c r="C211" s="279" t="s">
        <v>311</v>
      </c>
      <c r="D211" s="434"/>
      <c r="E211" s="280"/>
      <c r="F211" s="435">
        <f t="shared" si="35"/>
        <v>0</v>
      </c>
      <c r="G211" s="602">
        <v>10</v>
      </c>
      <c r="H211" s="593">
        <f t="shared" si="37"/>
        <v>0</v>
      </c>
      <c r="I211" s="596">
        <f t="shared" si="36"/>
        <v>0</v>
      </c>
      <c r="J211" s="373"/>
    </row>
    <row r="212" spans="1:10" ht="35.25" customHeight="1" x14ac:dyDescent="0.3">
      <c r="A212" s="1134"/>
      <c r="B212" s="764"/>
      <c r="C212" s="279" t="s">
        <v>329</v>
      </c>
      <c r="D212" s="434" t="s">
        <v>370</v>
      </c>
      <c r="E212" s="280"/>
      <c r="F212" s="435">
        <f t="shared" si="35"/>
        <v>0</v>
      </c>
      <c r="G212" s="602">
        <v>57.64</v>
      </c>
      <c r="H212" s="593">
        <f t="shared" si="37"/>
        <v>0</v>
      </c>
      <c r="I212" s="596">
        <f t="shared" si="36"/>
        <v>0</v>
      </c>
      <c r="J212" s="373"/>
    </row>
    <row r="213" spans="1:10" ht="35.25" customHeight="1" x14ac:dyDescent="0.3">
      <c r="A213" s="1134"/>
      <c r="B213" s="764"/>
      <c r="C213" s="279" t="s">
        <v>329</v>
      </c>
      <c r="D213" s="434" t="s">
        <v>364</v>
      </c>
      <c r="E213" s="280"/>
      <c r="F213" s="435">
        <f t="shared" si="35"/>
        <v>0</v>
      </c>
      <c r="G213" s="602">
        <v>57.64</v>
      </c>
      <c r="H213" s="593">
        <f t="shared" si="37"/>
        <v>0</v>
      </c>
      <c r="I213" s="596">
        <f t="shared" si="36"/>
        <v>0</v>
      </c>
      <c r="J213" s="373"/>
    </row>
    <row r="214" spans="1:10" ht="35.25" customHeight="1" x14ac:dyDescent="0.3">
      <c r="A214" s="1134"/>
      <c r="B214" s="764"/>
      <c r="C214" s="279" t="s">
        <v>330</v>
      </c>
      <c r="D214" s="434" t="s">
        <v>331</v>
      </c>
      <c r="E214" s="280"/>
      <c r="F214" s="435">
        <f t="shared" si="35"/>
        <v>0</v>
      </c>
      <c r="G214" s="602">
        <v>434.41</v>
      </c>
      <c r="H214" s="593">
        <f t="shared" si="37"/>
        <v>0</v>
      </c>
      <c r="I214" s="596">
        <f t="shared" si="36"/>
        <v>0</v>
      </c>
      <c r="J214" s="373"/>
    </row>
    <row r="215" spans="1:10" ht="35.25" customHeight="1" x14ac:dyDescent="0.3">
      <c r="A215" s="1134"/>
      <c r="B215" s="764"/>
      <c r="C215" s="279" t="s">
        <v>343</v>
      </c>
      <c r="D215" s="434" t="s">
        <v>238</v>
      </c>
      <c r="E215" s="280"/>
      <c r="F215" s="435">
        <f t="shared" si="35"/>
        <v>0</v>
      </c>
      <c r="G215" s="602">
        <v>624.26</v>
      </c>
      <c r="H215" s="593">
        <f t="shared" si="37"/>
        <v>0</v>
      </c>
      <c r="I215" s="596">
        <f t="shared" si="36"/>
        <v>0</v>
      </c>
      <c r="J215" s="373"/>
    </row>
    <row r="216" spans="1:10" ht="35.25" customHeight="1" x14ac:dyDescent="0.3">
      <c r="A216" s="1134"/>
      <c r="B216" s="764"/>
      <c r="C216" s="279" t="s">
        <v>332</v>
      </c>
      <c r="D216" s="434" t="s">
        <v>331</v>
      </c>
      <c r="E216" s="280"/>
      <c r="F216" s="435">
        <f t="shared" si="35"/>
        <v>0</v>
      </c>
      <c r="G216" s="602">
        <v>63.55</v>
      </c>
      <c r="H216" s="593">
        <f t="shared" si="37"/>
        <v>0</v>
      </c>
      <c r="I216" s="596">
        <f t="shared" si="36"/>
        <v>0</v>
      </c>
      <c r="J216" s="373"/>
    </row>
    <row r="217" spans="1:10" ht="35.25" customHeight="1" x14ac:dyDescent="0.3">
      <c r="A217" s="1134"/>
      <c r="B217" s="764"/>
      <c r="C217" s="279" t="s">
        <v>371</v>
      </c>
      <c r="D217" s="434" t="s">
        <v>238</v>
      </c>
      <c r="E217" s="280"/>
      <c r="F217" s="435">
        <f t="shared" si="35"/>
        <v>0</v>
      </c>
      <c r="G217" s="602">
        <v>59.96</v>
      </c>
      <c r="H217" s="593">
        <f t="shared" si="37"/>
        <v>0</v>
      </c>
      <c r="I217" s="596">
        <f t="shared" si="36"/>
        <v>0</v>
      </c>
      <c r="J217" s="373"/>
    </row>
    <row r="218" spans="1:10" ht="35.25" customHeight="1" x14ac:dyDescent="0.3">
      <c r="A218" s="1134"/>
      <c r="B218" s="764"/>
      <c r="C218" s="279" t="s">
        <v>419</v>
      </c>
      <c r="D218" s="434" t="s">
        <v>331</v>
      </c>
      <c r="E218" s="280"/>
      <c r="F218" s="435">
        <f t="shared" si="35"/>
        <v>0</v>
      </c>
      <c r="G218" s="602">
        <v>53.86</v>
      </c>
      <c r="H218" s="593">
        <f t="shared" si="37"/>
        <v>0</v>
      </c>
      <c r="I218" s="596">
        <f t="shared" si="36"/>
        <v>0</v>
      </c>
      <c r="J218" s="373"/>
    </row>
    <row r="219" spans="1:10" ht="35.25" customHeight="1" x14ac:dyDescent="0.3">
      <c r="A219" s="1134"/>
      <c r="B219" s="764"/>
      <c r="C219" s="279" t="s">
        <v>379</v>
      </c>
      <c r="D219" s="434"/>
      <c r="E219" s="280"/>
      <c r="F219" s="435">
        <f t="shared" si="35"/>
        <v>0</v>
      </c>
      <c r="G219" s="602">
        <v>360</v>
      </c>
      <c r="H219" s="593">
        <f t="shared" si="37"/>
        <v>0</v>
      </c>
      <c r="I219" s="596">
        <f t="shared" si="36"/>
        <v>0</v>
      </c>
      <c r="J219" s="373"/>
    </row>
    <row r="220" spans="1:10" ht="35.25" customHeight="1" x14ac:dyDescent="0.3">
      <c r="A220" s="1134"/>
      <c r="B220" s="764"/>
      <c r="C220" s="279" t="s">
        <v>471</v>
      </c>
      <c r="D220" s="434"/>
      <c r="E220" s="280"/>
      <c r="F220" s="435">
        <f t="shared" si="35"/>
        <v>0</v>
      </c>
      <c r="G220" s="602"/>
      <c r="H220" s="593">
        <f>+E220</f>
        <v>0</v>
      </c>
      <c r="I220" s="596">
        <f>+H220</f>
        <v>0</v>
      </c>
      <c r="J220" s="373"/>
    </row>
    <row r="221" spans="1:10" ht="35.25" customHeight="1" x14ac:dyDescent="0.3">
      <c r="A221" s="1134"/>
      <c r="B221" s="764"/>
      <c r="C221" s="279" t="s">
        <v>282</v>
      </c>
      <c r="D221" s="434"/>
      <c r="E221" s="280"/>
      <c r="F221" s="435">
        <f t="shared" si="35"/>
        <v>0</v>
      </c>
      <c r="G221" s="602">
        <v>39450</v>
      </c>
      <c r="H221" s="593">
        <f t="shared" ref="H221:H222" si="38">E221*G221</f>
        <v>0</v>
      </c>
      <c r="I221" s="596">
        <f t="shared" ref="I221:I222" si="39">+G221*F221</f>
        <v>0</v>
      </c>
      <c r="J221" s="373"/>
    </row>
    <row r="222" spans="1:10" ht="35.25" customHeight="1" thickBot="1" x14ac:dyDescent="0.35">
      <c r="A222" s="1134"/>
      <c r="B222" s="764"/>
      <c r="C222" s="279" t="s">
        <v>329</v>
      </c>
      <c r="D222" s="434" t="s">
        <v>443</v>
      </c>
      <c r="E222" s="280"/>
      <c r="F222" s="435">
        <f t="shared" si="35"/>
        <v>0</v>
      </c>
      <c r="G222" s="602">
        <v>57.64</v>
      </c>
      <c r="H222" s="593">
        <f t="shared" si="38"/>
        <v>0</v>
      </c>
      <c r="I222" s="596">
        <f t="shared" si="39"/>
        <v>0</v>
      </c>
      <c r="J222" s="373"/>
    </row>
    <row r="223" spans="1:10" ht="35.25" customHeight="1" thickBot="1" x14ac:dyDescent="0.35">
      <c r="A223" s="1135"/>
      <c r="B223" s="1129" t="s">
        <v>270</v>
      </c>
      <c r="C223" s="1130"/>
      <c r="D223" s="763"/>
      <c r="E223" s="326">
        <f>SUM(E198:E222)</f>
        <v>0</v>
      </c>
      <c r="F223" s="326">
        <f>SUM(F198:F222)</f>
        <v>0</v>
      </c>
      <c r="G223" s="326"/>
      <c r="H223" s="590">
        <f>SUM(H198:H222)</f>
        <v>0</v>
      </c>
      <c r="I223" s="580">
        <f>SUM(I198:I222)</f>
        <v>0</v>
      </c>
      <c r="J223" s="372"/>
    </row>
    <row r="224" spans="1:10" ht="35.25" customHeight="1" thickBot="1" x14ac:dyDescent="0.35">
      <c r="A224" s="769"/>
      <c r="B224" s="437"/>
      <c r="C224" s="279" t="s">
        <v>379</v>
      </c>
      <c r="D224" s="434"/>
      <c r="E224" s="280"/>
      <c r="F224" s="281">
        <f>+E224</f>
        <v>0</v>
      </c>
      <c r="G224" s="334"/>
      <c r="H224" s="589">
        <f t="shared" ref="H224" si="40">E224*G224</f>
        <v>0</v>
      </c>
      <c r="I224" s="282">
        <f t="shared" ref="I224" si="41">+G224*F224</f>
        <v>0</v>
      </c>
      <c r="J224" s="373"/>
    </row>
    <row r="225" spans="1:10" ht="35.25" customHeight="1" thickBot="1" x14ac:dyDescent="0.35">
      <c r="A225" s="769"/>
      <c r="B225" s="1129" t="s">
        <v>224</v>
      </c>
      <c r="C225" s="1130"/>
      <c r="D225" s="766"/>
      <c r="E225" s="326"/>
      <c r="F225" s="327"/>
      <c r="G225" s="326"/>
      <c r="H225" s="587"/>
      <c r="I225" s="324">
        <f>SUM(I224)</f>
        <v>0</v>
      </c>
      <c r="J225" s="349"/>
    </row>
    <row r="226" spans="1:10" ht="35.25" customHeight="1" thickBot="1" x14ac:dyDescent="0.35">
      <c r="A226" s="319"/>
      <c r="B226" s="1131" t="s">
        <v>174</v>
      </c>
      <c r="C226" s="1132"/>
      <c r="D226" s="765"/>
      <c r="E226" s="374">
        <f>+E223+E197+E164+E162</f>
        <v>18360</v>
      </c>
      <c r="F226" s="374">
        <f>+F223+F197+F164+F162</f>
        <v>55980</v>
      </c>
      <c r="G226" s="374"/>
      <c r="H226" s="374"/>
      <c r="I226" s="374">
        <f>+I223+I197+I164+I225</f>
        <v>1361642.4</v>
      </c>
      <c r="J226" s="375"/>
    </row>
    <row r="227" spans="1:10" ht="35.25" customHeight="1" x14ac:dyDescent="0.3">
      <c r="A227" s="1057" t="s">
        <v>1</v>
      </c>
      <c r="B227" s="1060" t="s">
        <v>2</v>
      </c>
      <c r="C227" s="1138" t="s">
        <v>396</v>
      </c>
      <c r="D227" s="1115" t="s">
        <v>397</v>
      </c>
      <c r="E227" s="1142" t="s">
        <v>488</v>
      </c>
      <c r="F227" s="1067"/>
      <c r="G227" s="1067"/>
      <c r="H227" s="1067"/>
      <c r="I227" s="1067"/>
      <c r="J227" s="1068"/>
    </row>
    <row r="228" spans="1:10" ht="35.25" customHeight="1" x14ac:dyDescent="0.3">
      <c r="A228" s="1136"/>
      <c r="B228" s="1137"/>
      <c r="C228" s="1139"/>
      <c r="D228" s="1116"/>
      <c r="E228" s="1143" t="s">
        <v>412</v>
      </c>
      <c r="F228" s="1144"/>
      <c r="G228" s="1143" t="s">
        <v>411</v>
      </c>
      <c r="H228" s="1145"/>
      <c r="I228" s="1145"/>
      <c r="J228" s="1144"/>
    </row>
    <row r="229" spans="1:10" ht="35.25" customHeight="1" x14ac:dyDescent="0.3">
      <c r="A229" s="1058"/>
      <c r="B229" s="1061"/>
      <c r="C229" s="1140"/>
      <c r="D229" s="1116"/>
      <c r="E229" s="1069" t="s">
        <v>413</v>
      </c>
      <c r="F229" s="1071" t="s">
        <v>414</v>
      </c>
      <c r="G229" s="1147" t="s">
        <v>90</v>
      </c>
      <c r="H229" s="1149" t="s">
        <v>91</v>
      </c>
      <c r="I229" s="1149" t="s">
        <v>91</v>
      </c>
      <c r="J229" s="1151" t="s">
        <v>12</v>
      </c>
    </row>
    <row r="230" spans="1:10" ht="35.25" customHeight="1" thickBot="1" x14ac:dyDescent="0.35">
      <c r="A230" s="1059"/>
      <c r="B230" s="1062"/>
      <c r="C230" s="1141"/>
      <c r="D230" s="1117"/>
      <c r="E230" s="1070"/>
      <c r="F230" s="1146"/>
      <c r="G230" s="1148"/>
      <c r="H230" s="1150"/>
      <c r="I230" s="1150"/>
      <c r="J230" s="1152"/>
    </row>
    <row r="231" spans="1:10" ht="35.25" customHeight="1" x14ac:dyDescent="0.3">
      <c r="A231" s="1133" t="s">
        <v>103</v>
      </c>
      <c r="B231" s="439"/>
      <c r="C231" s="577" t="s">
        <v>442</v>
      </c>
      <c r="D231" s="665" t="s">
        <v>374</v>
      </c>
      <c r="E231" s="699"/>
      <c r="F231" s="674">
        <f>+E231+F123</f>
        <v>0</v>
      </c>
      <c r="G231" s="732">
        <v>107.85</v>
      </c>
      <c r="H231" s="591">
        <f t="shared" ref="H231:H246" si="42">E231*G231</f>
        <v>0</v>
      </c>
      <c r="I231" s="594">
        <f>+G231*F231</f>
        <v>0</v>
      </c>
      <c r="J231" s="351"/>
    </row>
    <row r="232" spans="1:10" ht="35.25" customHeight="1" x14ac:dyDescent="0.3">
      <c r="A232" s="1134"/>
      <c r="B232" s="438"/>
      <c r="C232" s="441" t="s">
        <v>264</v>
      </c>
      <c r="D232" s="666" t="s">
        <v>265</v>
      </c>
      <c r="E232" s="700"/>
      <c r="F232" s="701">
        <f t="shared" ref="F232:F246" si="43">+E232+F124</f>
        <v>0</v>
      </c>
      <c r="G232" s="697">
        <v>11</v>
      </c>
      <c r="H232" s="592">
        <f t="shared" si="42"/>
        <v>0</v>
      </c>
      <c r="I232" s="595">
        <f>+G232*F232</f>
        <v>0</v>
      </c>
      <c r="J232" s="352"/>
    </row>
    <row r="233" spans="1:10" ht="35.25" customHeight="1" x14ac:dyDescent="0.3">
      <c r="A233" s="1134"/>
      <c r="B233" s="438"/>
      <c r="C233" s="441" t="s">
        <v>295</v>
      </c>
      <c r="D233" s="666" t="s">
        <v>453</v>
      </c>
      <c r="E233" s="700"/>
      <c r="F233" s="701">
        <f t="shared" si="43"/>
        <v>0</v>
      </c>
      <c r="G233" s="697">
        <v>139.04</v>
      </c>
      <c r="H233" s="592">
        <f t="shared" si="42"/>
        <v>0</v>
      </c>
      <c r="I233" s="595">
        <f t="shared" ref="I233:I246" si="44">+G233*F233</f>
        <v>0</v>
      </c>
      <c r="J233" s="352"/>
    </row>
    <row r="234" spans="1:10" ht="35.25" customHeight="1" x14ac:dyDescent="0.3">
      <c r="A234" s="1134"/>
      <c r="B234" s="438"/>
      <c r="C234" s="441" t="s">
        <v>357</v>
      </c>
      <c r="D234" s="666" t="s">
        <v>358</v>
      </c>
      <c r="E234" s="700"/>
      <c r="F234" s="701">
        <f t="shared" si="43"/>
        <v>0</v>
      </c>
      <c r="G234" s="715">
        <v>20.5</v>
      </c>
      <c r="H234" s="592">
        <f t="shared" si="42"/>
        <v>0</v>
      </c>
      <c r="I234" s="595">
        <f t="shared" si="44"/>
        <v>0</v>
      </c>
      <c r="J234" s="352"/>
    </row>
    <row r="235" spans="1:10" ht="35.25" customHeight="1" x14ac:dyDescent="0.3">
      <c r="A235" s="1134"/>
      <c r="B235" s="438"/>
      <c r="C235" s="441" t="s">
        <v>288</v>
      </c>
      <c r="D235" s="666" t="s">
        <v>177</v>
      </c>
      <c r="E235" s="700"/>
      <c r="F235" s="701">
        <f t="shared" si="43"/>
        <v>0</v>
      </c>
      <c r="G235" s="697">
        <v>14.79</v>
      </c>
      <c r="H235" s="592">
        <f t="shared" si="42"/>
        <v>0</v>
      </c>
      <c r="I235" s="595">
        <f t="shared" si="44"/>
        <v>0</v>
      </c>
      <c r="J235" s="352"/>
    </row>
    <row r="236" spans="1:10" ht="35.25" customHeight="1" x14ac:dyDescent="0.3">
      <c r="A236" s="1134"/>
      <c r="B236" s="438"/>
      <c r="C236" s="441" t="s">
        <v>295</v>
      </c>
      <c r="D236" s="666" t="s">
        <v>265</v>
      </c>
      <c r="E236" s="700"/>
      <c r="F236" s="701">
        <f t="shared" si="43"/>
        <v>0</v>
      </c>
      <c r="G236" s="697">
        <v>139.04</v>
      </c>
      <c r="H236" s="592">
        <f t="shared" si="42"/>
        <v>0</v>
      </c>
      <c r="I236" s="595">
        <f t="shared" si="44"/>
        <v>0</v>
      </c>
      <c r="J236" s="352"/>
    </row>
    <row r="237" spans="1:10" ht="35.25" customHeight="1" x14ac:dyDescent="0.3">
      <c r="A237" s="1134"/>
      <c r="B237" s="438"/>
      <c r="C237" s="441" t="s">
        <v>391</v>
      </c>
      <c r="D237" s="667" t="s">
        <v>356</v>
      </c>
      <c r="E237" s="700"/>
      <c r="F237" s="701">
        <f t="shared" si="43"/>
        <v>0</v>
      </c>
      <c r="G237" s="697">
        <v>147.58000000000001</v>
      </c>
      <c r="H237" s="592">
        <f t="shared" si="42"/>
        <v>0</v>
      </c>
      <c r="I237" s="595">
        <f t="shared" si="44"/>
        <v>0</v>
      </c>
      <c r="J237" s="352"/>
    </row>
    <row r="238" spans="1:10" ht="35.25" customHeight="1" x14ac:dyDescent="0.3">
      <c r="A238" s="1134"/>
      <c r="B238" s="438"/>
      <c r="C238" s="441" t="s">
        <v>313</v>
      </c>
      <c r="D238" s="667" t="s">
        <v>445</v>
      </c>
      <c r="E238" s="700"/>
      <c r="F238" s="701">
        <f t="shared" si="43"/>
        <v>0</v>
      </c>
      <c r="G238" s="697">
        <v>18.84</v>
      </c>
      <c r="H238" s="592">
        <f t="shared" si="42"/>
        <v>0</v>
      </c>
      <c r="I238" s="595">
        <f t="shared" si="44"/>
        <v>0</v>
      </c>
      <c r="J238" s="352"/>
    </row>
    <row r="239" spans="1:10" ht="35.25" customHeight="1" x14ac:dyDescent="0.3">
      <c r="A239" s="1134"/>
      <c r="B239" s="438"/>
      <c r="C239" s="441" t="s">
        <v>313</v>
      </c>
      <c r="D239" s="667" t="s">
        <v>265</v>
      </c>
      <c r="E239" s="700"/>
      <c r="F239" s="701">
        <f t="shared" si="43"/>
        <v>18360</v>
      </c>
      <c r="G239" s="697">
        <v>18.84</v>
      </c>
      <c r="H239" s="592">
        <f t="shared" si="42"/>
        <v>0</v>
      </c>
      <c r="I239" s="595">
        <f t="shared" si="44"/>
        <v>345902.4</v>
      </c>
      <c r="J239" s="352"/>
    </row>
    <row r="240" spans="1:10" ht="35.25" customHeight="1" x14ac:dyDescent="0.3">
      <c r="A240" s="1134"/>
      <c r="B240" s="438"/>
      <c r="C240" s="441" t="s">
        <v>322</v>
      </c>
      <c r="D240" s="667" t="s">
        <v>232</v>
      </c>
      <c r="E240" s="700"/>
      <c r="F240" s="701">
        <f t="shared" si="43"/>
        <v>0</v>
      </c>
      <c r="G240" s="697">
        <v>21.18</v>
      </c>
      <c r="H240" s="592">
        <f t="shared" si="42"/>
        <v>0</v>
      </c>
      <c r="I240" s="595">
        <f t="shared" si="44"/>
        <v>0</v>
      </c>
      <c r="J240" s="352"/>
    </row>
    <row r="241" spans="1:10" ht="35.25" customHeight="1" x14ac:dyDescent="0.3">
      <c r="A241" s="1134"/>
      <c r="B241" s="438"/>
      <c r="C241" s="441" t="s">
        <v>324</v>
      </c>
      <c r="D241" s="667" t="s">
        <v>325</v>
      </c>
      <c r="E241" s="700"/>
      <c r="F241" s="701">
        <f t="shared" si="43"/>
        <v>0</v>
      </c>
      <c r="G241" s="697">
        <v>21.28</v>
      </c>
      <c r="H241" s="592">
        <f t="shared" si="42"/>
        <v>0</v>
      </c>
      <c r="I241" s="595">
        <f t="shared" si="44"/>
        <v>0</v>
      </c>
      <c r="J241" s="352"/>
    </row>
    <row r="242" spans="1:10" ht="35.25" customHeight="1" x14ac:dyDescent="0.3">
      <c r="A242" s="1134"/>
      <c r="B242" s="438"/>
      <c r="C242" s="441" t="s">
        <v>378</v>
      </c>
      <c r="D242" s="667" t="s">
        <v>374</v>
      </c>
      <c r="E242" s="700"/>
      <c r="F242" s="701">
        <f t="shared" si="43"/>
        <v>0</v>
      </c>
      <c r="G242" s="697">
        <v>143.28</v>
      </c>
      <c r="H242" s="592">
        <f t="shared" si="42"/>
        <v>0</v>
      </c>
      <c r="I242" s="595">
        <f t="shared" si="44"/>
        <v>0</v>
      </c>
      <c r="J242" s="352"/>
    </row>
    <row r="243" spans="1:10" ht="35.25" customHeight="1" x14ac:dyDescent="0.3">
      <c r="A243" s="1134"/>
      <c r="B243" s="438"/>
      <c r="C243" s="441" t="s">
        <v>472</v>
      </c>
      <c r="D243" s="667"/>
      <c r="E243" s="700"/>
      <c r="F243" s="701">
        <f t="shared" si="43"/>
        <v>0</v>
      </c>
      <c r="G243" s="697">
        <v>14.79</v>
      </c>
      <c r="H243" s="592">
        <f t="shared" si="42"/>
        <v>0</v>
      </c>
      <c r="I243" s="595">
        <f t="shared" si="44"/>
        <v>0</v>
      </c>
      <c r="J243" s="352"/>
    </row>
    <row r="244" spans="1:10" ht="35.25" customHeight="1" x14ac:dyDescent="0.3">
      <c r="A244" s="1134"/>
      <c r="B244" s="438"/>
      <c r="C244" s="441" t="s">
        <v>451</v>
      </c>
      <c r="D244" s="666" t="s">
        <v>177</v>
      </c>
      <c r="E244" s="700">
        <v>261888</v>
      </c>
      <c r="F244" s="701">
        <f t="shared" si="43"/>
        <v>261888</v>
      </c>
      <c r="G244" s="697">
        <v>14.55</v>
      </c>
      <c r="H244" s="592">
        <f t="shared" si="42"/>
        <v>3810470.4000000004</v>
      </c>
      <c r="I244" s="595">
        <f t="shared" si="44"/>
        <v>3810470.4000000004</v>
      </c>
      <c r="J244" s="352"/>
    </row>
    <row r="245" spans="1:10" ht="35.25" customHeight="1" x14ac:dyDescent="0.3">
      <c r="A245" s="1134"/>
      <c r="B245" s="438"/>
      <c r="C245" s="441" t="s">
        <v>327</v>
      </c>
      <c r="D245" s="667" t="s">
        <v>188</v>
      </c>
      <c r="E245" s="700"/>
      <c r="F245" s="701">
        <f t="shared" si="43"/>
        <v>0</v>
      </c>
      <c r="G245" s="697">
        <v>21.28</v>
      </c>
      <c r="H245" s="592">
        <f t="shared" si="42"/>
        <v>0</v>
      </c>
      <c r="I245" s="595">
        <f t="shared" si="44"/>
        <v>0</v>
      </c>
      <c r="J245" s="352"/>
    </row>
    <row r="246" spans="1:10" ht="35.25" customHeight="1" thickBot="1" x14ac:dyDescent="0.35">
      <c r="A246" s="1134"/>
      <c r="B246" s="438"/>
      <c r="C246" s="441" t="s">
        <v>336</v>
      </c>
      <c r="D246" s="668" t="s">
        <v>178</v>
      </c>
      <c r="E246" s="700"/>
      <c r="F246" s="676">
        <f t="shared" si="43"/>
        <v>0</v>
      </c>
      <c r="G246" s="697">
        <v>36.44</v>
      </c>
      <c r="H246" s="592">
        <f t="shared" si="42"/>
        <v>0</v>
      </c>
      <c r="I246" s="595">
        <f t="shared" si="44"/>
        <v>0</v>
      </c>
      <c r="J246" s="352"/>
    </row>
    <row r="247" spans="1:10" ht="35.25" customHeight="1" thickBot="1" x14ac:dyDescent="0.35">
      <c r="A247" s="1134"/>
      <c r="B247" s="1129" t="s">
        <v>266</v>
      </c>
      <c r="C247" s="1130"/>
      <c r="D247" s="774"/>
      <c r="E247" s="326">
        <f>SUM(E231:E246)</f>
        <v>261888</v>
      </c>
      <c r="F247" s="698">
        <f>SUM(F231:F246)</f>
        <v>280248</v>
      </c>
      <c r="G247" s="326"/>
      <c r="H247" s="587">
        <f>SUM(H231:H246)</f>
        <v>3810470.4000000004</v>
      </c>
      <c r="I247" s="580">
        <f>SUM(I231:I246)</f>
        <v>4156372.8000000003</v>
      </c>
      <c r="J247" s="349"/>
    </row>
    <row r="248" spans="1:10" ht="35.25" customHeight="1" x14ac:dyDescent="0.3">
      <c r="A248" s="1134"/>
      <c r="B248" s="772"/>
      <c r="C248" s="279" t="s">
        <v>271</v>
      </c>
      <c r="D248" s="434" t="s">
        <v>238</v>
      </c>
      <c r="E248" s="280"/>
      <c r="F248" s="435">
        <f t="shared" ref="F248:F261" si="45">+E248+F140</f>
        <v>0</v>
      </c>
      <c r="G248" s="578">
        <v>160.44999999999999</v>
      </c>
      <c r="H248" s="593">
        <f t="shared" ref="H248:H261" si="46">E248*G248</f>
        <v>0</v>
      </c>
      <c r="I248" s="596">
        <f t="shared" ref="I248:I261" si="47">+G248*F248</f>
        <v>0</v>
      </c>
      <c r="J248" s="373"/>
    </row>
    <row r="249" spans="1:10" ht="35.25" customHeight="1" x14ac:dyDescent="0.3">
      <c r="A249" s="1134"/>
      <c r="B249" s="772"/>
      <c r="C249" s="279" t="s">
        <v>286</v>
      </c>
      <c r="D249" s="434" t="s">
        <v>238</v>
      </c>
      <c r="E249" s="280"/>
      <c r="F249" s="435">
        <f t="shared" si="45"/>
        <v>0</v>
      </c>
      <c r="G249" s="578">
        <v>160.44999999999999</v>
      </c>
      <c r="H249" s="593">
        <f t="shared" si="46"/>
        <v>0</v>
      </c>
      <c r="I249" s="596">
        <f t="shared" si="47"/>
        <v>0</v>
      </c>
      <c r="J249" s="373"/>
    </row>
    <row r="250" spans="1:10" ht="35.25" customHeight="1" x14ac:dyDescent="0.3">
      <c r="A250" s="1134"/>
      <c r="B250" s="772"/>
      <c r="C250" s="279" t="s">
        <v>388</v>
      </c>
      <c r="D250" s="434" t="s">
        <v>238</v>
      </c>
      <c r="E250" s="280"/>
      <c r="F250" s="435">
        <f t="shared" si="45"/>
        <v>0</v>
      </c>
      <c r="G250" s="578">
        <v>160.44999999999999</v>
      </c>
      <c r="H250" s="593">
        <f t="shared" si="46"/>
        <v>0</v>
      </c>
      <c r="I250" s="596">
        <f t="shared" si="47"/>
        <v>0</v>
      </c>
      <c r="J250" s="373"/>
    </row>
    <row r="251" spans="1:10" ht="35.25" customHeight="1" x14ac:dyDescent="0.3">
      <c r="A251" s="1134"/>
      <c r="B251" s="772"/>
      <c r="C251" s="279" t="s">
        <v>287</v>
      </c>
      <c r="D251" s="434" t="s">
        <v>93</v>
      </c>
      <c r="E251" s="280"/>
      <c r="F251" s="435">
        <f t="shared" si="45"/>
        <v>37620</v>
      </c>
      <c r="G251" s="578">
        <v>27</v>
      </c>
      <c r="H251" s="593">
        <f t="shared" si="46"/>
        <v>0</v>
      </c>
      <c r="I251" s="596">
        <f t="shared" si="47"/>
        <v>1015740</v>
      </c>
      <c r="J251" s="373"/>
    </row>
    <row r="252" spans="1:10" ht="35.25" customHeight="1" x14ac:dyDescent="0.3">
      <c r="A252" s="1134"/>
      <c r="B252" s="772"/>
      <c r="C252" s="279" t="s">
        <v>287</v>
      </c>
      <c r="D252" s="434" t="s">
        <v>292</v>
      </c>
      <c r="E252" s="280"/>
      <c r="F252" s="435">
        <f t="shared" si="45"/>
        <v>0</v>
      </c>
      <c r="G252" s="578">
        <v>27.5</v>
      </c>
      <c r="H252" s="593">
        <f t="shared" si="46"/>
        <v>0</v>
      </c>
      <c r="I252" s="596">
        <f t="shared" si="47"/>
        <v>0</v>
      </c>
      <c r="J252" s="373"/>
    </row>
    <row r="253" spans="1:10" ht="35.25" customHeight="1" x14ac:dyDescent="0.3">
      <c r="A253" s="1134"/>
      <c r="B253" s="772"/>
      <c r="C253" s="279" t="s">
        <v>276</v>
      </c>
      <c r="D253" s="434" t="s">
        <v>292</v>
      </c>
      <c r="E253" s="280"/>
      <c r="F253" s="435">
        <f t="shared" si="45"/>
        <v>0</v>
      </c>
      <c r="G253" s="578">
        <v>34.5</v>
      </c>
      <c r="H253" s="593">
        <f t="shared" si="46"/>
        <v>0</v>
      </c>
      <c r="I253" s="596">
        <f t="shared" si="47"/>
        <v>0</v>
      </c>
      <c r="J253" s="373"/>
    </row>
    <row r="254" spans="1:10" ht="35.25" customHeight="1" x14ac:dyDescent="0.3">
      <c r="A254" s="1134"/>
      <c r="B254" s="772"/>
      <c r="C254" s="279" t="s">
        <v>473</v>
      </c>
      <c r="D254" s="434" t="s">
        <v>440</v>
      </c>
      <c r="E254" s="280"/>
      <c r="F254" s="435">
        <f t="shared" si="45"/>
        <v>0</v>
      </c>
      <c r="G254" s="578">
        <v>10.57</v>
      </c>
      <c r="H254" s="593">
        <f t="shared" si="46"/>
        <v>0</v>
      </c>
      <c r="I254" s="596">
        <f t="shared" si="47"/>
        <v>0</v>
      </c>
      <c r="J254" s="373"/>
    </row>
    <row r="255" spans="1:10" ht="35.25" customHeight="1" x14ac:dyDescent="0.3">
      <c r="A255" s="1134"/>
      <c r="B255" s="772"/>
      <c r="C255" s="279" t="s">
        <v>276</v>
      </c>
      <c r="D255" s="434" t="s">
        <v>440</v>
      </c>
      <c r="E255" s="280"/>
      <c r="F255" s="435">
        <f t="shared" si="45"/>
        <v>0</v>
      </c>
      <c r="G255" s="578">
        <v>55.76</v>
      </c>
      <c r="H255" s="593">
        <f t="shared" si="46"/>
        <v>0</v>
      </c>
      <c r="I255" s="596">
        <f t="shared" si="47"/>
        <v>0</v>
      </c>
      <c r="J255" s="373"/>
    </row>
    <row r="256" spans="1:10" ht="35.25" customHeight="1" x14ac:dyDescent="0.3">
      <c r="A256" s="1134"/>
      <c r="B256" s="772"/>
      <c r="C256" s="279" t="s">
        <v>421</v>
      </c>
      <c r="D256" s="434" t="s">
        <v>238</v>
      </c>
      <c r="E256" s="280"/>
      <c r="F256" s="435">
        <f t="shared" si="45"/>
        <v>0</v>
      </c>
      <c r="G256" s="578">
        <v>160.44999999999999</v>
      </c>
      <c r="H256" s="593">
        <f t="shared" si="46"/>
        <v>0</v>
      </c>
      <c r="I256" s="596">
        <f t="shared" si="47"/>
        <v>0</v>
      </c>
      <c r="J256" s="373"/>
    </row>
    <row r="257" spans="1:13" ht="35.25" customHeight="1" x14ac:dyDescent="0.3">
      <c r="A257" s="1134"/>
      <c r="B257" s="772"/>
      <c r="C257" s="279" t="s">
        <v>348</v>
      </c>
      <c r="D257" s="434" t="s">
        <v>238</v>
      </c>
      <c r="E257" s="280"/>
      <c r="F257" s="435">
        <f t="shared" si="45"/>
        <v>0</v>
      </c>
      <c r="G257" s="578">
        <v>160.44999999999999</v>
      </c>
      <c r="H257" s="593">
        <f t="shared" si="46"/>
        <v>0</v>
      </c>
      <c r="I257" s="596">
        <f t="shared" si="47"/>
        <v>0</v>
      </c>
      <c r="J257" s="373"/>
    </row>
    <row r="258" spans="1:13" ht="35.25" customHeight="1" x14ac:dyDescent="0.3">
      <c r="A258" s="1134"/>
      <c r="B258" s="772"/>
      <c r="C258" s="279" t="s">
        <v>387</v>
      </c>
      <c r="D258" s="434" t="s">
        <v>238</v>
      </c>
      <c r="E258" s="280"/>
      <c r="F258" s="435">
        <f t="shared" si="45"/>
        <v>0</v>
      </c>
      <c r="G258" s="578">
        <v>160.44999999999999</v>
      </c>
      <c r="H258" s="593">
        <f t="shared" si="46"/>
        <v>0</v>
      </c>
      <c r="I258" s="596">
        <f t="shared" si="47"/>
        <v>0</v>
      </c>
      <c r="J258" s="373"/>
    </row>
    <row r="259" spans="1:13" ht="35.25" customHeight="1" x14ac:dyDescent="0.3">
      <c r="A259" s="1134"/>
      <c r="B259" s="772"/>
      <c r="C259" s="279" t="s">
        <v>441</v>
      </c>
      <c r="D259" s="434" t="s">
        <v>238</v>
      </c>
      <c r="E259" s="280"/>
      <c r="F259" s="435">
        <f t="shared" si="45"/>
        <v>0</v>
      </c>
      <c r="G259" s="578">
        <v>160.44999999999999</v>
      </c>
      <c r="H259" s="593">
        <f t="shared" si="46"/>
        <v>0</v>
      </c>
      <c r="I259" s="596">
        <f t="shared" si="47"/>
        <v>0</v>
      </c>
      <c r="J259" s="373"/>
    </row>
    <row r="260" spans="1:13" ht="35.25" customHeight="1" x14ac:dyDescent="0.3">
      <c r="A260" s="1134"/>
      <c r="B260" s="772"/>
      <c r="C260" s="279" t="s">
        <v>302</v>
      </c>
      <c r="D260" s="434" t="s">
        <v>238</v>
      </c>
      <c r="E260" s="280"/>
      <c r="F260" s="435">
        <f t="shared" si="45"/>
        <v>0</v>
      </c>
      <c r="G260" s="578">
        <v>160.44999999999999</v>
      </c>
      <c r="H260" s="593">
        <f t="shared" si="46"/>
        <v>0</v>
      </c>
      <c r="I260" s="596">
        <f t="shared" si="47"/>
        <v>0</v>
      </c>
      <c r="J260" s="373"/>
    </row>
    <row r="261" spans="1:13" ht="35.25" customHeight="1" thickBot="1" x14ac:dyDescent="0.35">
      <c r="A261" s="1134"/>
      <c r="B261" s="772"/>
      <c r="C261" s="279" t="s">
        <v>310</v>
      </c>
      <c r="D261" s="434" t="s">
        <v>238</v>
      </c>
      <c r="E261" s="280"/>
      <c r="F261" s="435">
        <f t="shared" si="45"/>
        <v>0</v>
      </c>
      <c r="G261" s="578">
        <v>160.44999999999999</v>
      </c>
      <c r="H261" s="593">
        <f t="shared" si="46"/>
        <v>0</v>
      </c>
      <c r="I261" s="596">
        <f t="shared" si="47"/>
        <v>0</v>
      </c>
      <c r="J261" s="373"/>
    </row>
    <row r="262" spans="1:13" ht="35.25" customHeight="1" thickBot="1" x14ac:dyDescent="0.35">
      <c r="A262" s="1134"/>
      <c r="B262" s="1129" t="s">
        <v>267</v>
      </c>
      <c r="C262" s="1130"/>
      <c r="D262" s="774"/>
      <c r="E262" s="326">
        <f>SUM(E248:E261)</f>
        <v>0</v>
      </c>
      <c r="F262" s="326">
        <f>SUM(F248:F261)</f>
        <v>37620</v>
      </c>
      <c r="G262" s="326"/>
      <c r="H262" s="587">
        <f>SUM(H248:H261)</f>
        <v>0</v>
      </c>
      <c r="I262" s="580">
        <f>SUM(I248:I261)</f>
        <v>1015740</v>
      </c>
      <c r="J262" s="349"/>
    </row>
    <row r="263" spans="1:13" ht="35.25" customHeight="1" x14ac:dyDescent="0.3">
      <c r="A263" s="1134"/>
      <c r="B263" s="772"/>
      <c r="C263" s="279" t="s">
        <v>372</v>
      </c>
      <c r="D263" s="434" t="s">
        <v>373</v>
      </c>
      <c r="E263" s="280"/>
      <c r="F263" s="435">
        <f t="shared" ref="F263:F269" si="48">+E263+F155</f>
        <v>0</v>
      </c>
      <c r="G263" s="578">
        <v>5.34</v>
      </c>
      <c r="H263" s="593">
        <f t="shared" ref="H263:H269" si="49">E263*G263</f>
        <v>0</v>
      </c>
      <c r="I263" s="596">
        <f t="shared" ref="I263" si="50">+G263*F263</f>
        <v>0</v>
      </c>
      <c r="J263" s="373"/>
    </row>
    <row r="264" spans="1:13" ht="35.25" customHeight="1" x14ac:dyDescent="0.3">
      <c r="A264" s="1134"/>
      <c r="B264" s="772"/>
      <c r="C264" s="279" t="s">
        <v>389</v>
      </c>
      <c r="D264" s="434" t="s">
        <v>265</v>
      </c>
      <c r="E264" s="280"/>
      <c r="F264" s="435">
        <f t="shared" si="48"/>
        <v>0</v>
      </c>
      <c r="G264" s="578">
        <v>31.73</v>
      </c>
      <c r="H264" s="593">
        <f t="shared" si="49"/>
        <v>0</v>
      </c>
      <c r="I264" s="596">
        <f>+G264*F264</f>
        <v>0</v>
      </c>
      <c r="J264" s="373"/>
    </row>
    <row r="265" spans="1:13" ht="35.25" customHeight="1" x14ac:dyDescent="0.3">
      <c r="A265" s="1134"/>
      <c r="B265" s="772"/>
      <c r="C265" s="279" t="s">
        <v>392</v>
      </c>
      <c r="D265" s="434" t="s">
        <v>393</v>
      </c>
      <c r="E265" s="280"/>
      <c r="F265" s="435">
        <f t="shared" si="48"/>
        <v>0</v>
      </c>
      <c r="G265" s="578">
        <v>10.58</v>
      </c>
      <c r="H265" s="593">
        <f t="shared" si="49"/>
        <v>0</v>
      </c>
      <c r="I265" s="596">
        <f>+G265*F265</f>
        <v>0</v>
      </c>
      <c r="J265" s="373"/>
    </row>
    <row r="266" spans="1:13" ht="35.25" customHeight="1" x14ac:dyDescent="0.3">
      <c r="A266" s="1134"/>
      <c r="B266" s="772"/>
      <c r="C266" s="279" t="s">
        <v>277</v>
      </c>
      <c r="D266" s="434" t="s">
        <v>278</v>
      </c>
      <c r="E266" s="280"/>
      <c r="F266" s="435">
        <f t="shared" si="48"/>
        <v>0</v>
      </c>
      <c r="G266" s="578">
        <v>2500</v>
      </c>
      <c r="H266" s="593">
        <f t="shared" si="49"/>
        <v>0</v>
      </c>
      <c r="I266" s="596">
        <f>+G266*F266</f>
        <v>0</v>
      </c>
      <c r="J266" s="373"/>
    </row>
    <row r="267" spans="1:13" ht="35.25" customHeight="1" x14ac:dyDescent="0.3">
      <c r="A267" s="1134"/>
      <c r="B267" s="772"/>
      <c r="C267" s="279" t="s">
        <v>454</v>
      </c>
      <c r="D267" s="434"/>
      <c r="E267" s="280"/>
      <c r="F267" s="435">
        <f t="shared" si="48"/>
        <v>0</v>
      </c>
      <c r="G267" s="578">
        <v>30000</v>
      </c>
      <c r="H267" s="593">
        <f t="shared" si="49"/>
        <v>0</v>
      </c>
      <c r="I267" s="596">
        <f>+G267*F267</f>
        <v>0</v>
      </c>
      <c r="J267" s="373"/>
    </row>
    <row r="268" spans="1:13" ht="35.25" customHeight="1" x14ac:dyDescent="0.3">
      <c r="A268" s="1134"/>
      <c r="B268" s="772"/>
      <c r="C268" s="279" t="s">
        <v>379</v>
      </c>
      <c r="D268" s="434" t="s">
        <v>304</v>
      </c>
      <c r="E268" s="280"/>
      <c r="F268" s="435">
        <f t="shared" si="48"/>
        <v>0</v>
      </c>
      <c r="G268" s="578">
        <v>360</v>
      </c>
      <c r="H268" s="593">
        <f t="shared" si="49"/>
        <v>0</v>
      </c>
      <c r="I268" s="596">
        <f>+G268*F268</f>
        <v>0</v>
      </c>
      <c r="J268" s="373"/>
    </row>
    <row r="269" spans="1:13" ht="35.25" customHeight="1" thickBot="1" x14ac:dyDescent="0.35">
      <c r="A269" s="1134"/>
      <c r="B269" s="772"/>
      <c r="C269" s="279" t="s">
        <v>427</v>
      </c>
      <c r="D269" s="434" t="s">
        <v>304</v>
      </c>
      <c r="E269" s="280"/>
      <c r="F269" s="435">
        <f t="shared" si="48"/>
        <v>0</v>
      </c>
      <c r="G269" s="579">
        <v>10</v>
      </c>
      <c r="H269" s="593">
        <f t="shared" si="49"/>
        <v>0</v>
      </c>
      <c r="I269" s="596">
        <f t="shared" ref="I269" si="51">+G269*F269</f>
        <v>0</v>
      </c>
      <c r="J269" s="373"/>
    </row>
    <row r="270" spans="1:13" ht="35.25" customHeight="1" thickBot="1" x14ac:dyDescent="0.35">
      <c r="A270" s="1134"/>
      <c r="B270" s="1129" t="s">
        <v>272</v>
      </c>
      <c r="C270" s="1130"/>
      <c r="D270" s="774"/>
      <c r="E270" s="326">
        <f>SUM(E263:E269)</f>
        <v>0</v>
      </c>
      <c r="F270" s="326">
        <f>SUM(F263:F269)</f>
        <v>0</v>
      </c>
      <c r="G270" s="326"/>
      <c r="H270" s="587">
        <f>SUM(H263:H269)</f>
        <v>0</v>
      </c>
      <c r="I270" s="580">
        <f>SUM(I263:I269)</f>
        <v>0</v>
      </c>
      <c r="J270" s="373"/>
    </row>
    <row r="271" spans="1:13" ht="35.25" customHeight="1" thickBot="1" x14ac:dyDescent="0.35">
      <c r="A271" s="1134"/>
      <c r="B271" s="772"/>
      <c r="C271" s="279"/>
      <c r="D271" s="434"/>
      <c r="E271" s="280"/>
      <c r="F271" s="317"/>
      <c r="G271" s="579"/>
      <c r="H271" s="588"/>
      <c r="I271" s="282">
        <f t="shared" ref="I271" si="52">+G271*F271</f>
        <v>0</v>
      </c>
      <c r="J271" s="373"/>
    </row>
    <row r="272" spans="1:13" ht="35.25" customHeight="1" thickBot="1" x14ac:dyDescent="0.35">
      <c r="A272" s="1135"/>
      <c r="B272" s="1129" t="s">
        <v>269</v>
      </c>
      <c r="C272" s="1130"/>
      <c r="D272" s="770"/>
      <c r="E272" s="326">
        <f>+E270+E262+E247</f>
        <v>261888</v>
      </c>
      <c r="F272" s="326">
        <f>+F270+F262+F247</f>
        <v>317868</v>
      </c>
      <c r="G272" s="326"/>
      <c r="H272" s="580">
        <f>+H262+H247+H270</f>
        <v>3810470.4000000004</v>
      </c>
      <c r="I272" s="580">
        <f>+I262+I247+I270</f>
        <v>5172112.8000000007</v>
      </c>
      <c r="J272" s="373"/>
      <c r="K272" s="704"/>
      <c r="M272" s="704"/>
    </row>
    <row r="273" spans="1:11" ht="35.25" customHeight="1" x14ac:dyDescent="0.3">
      <c r="A273" s="1133" t="s">
        <v>101</v>
      </c>
      <c r="B273" s="772"/>
      <c r="C273" s="279" t="s">
        <v>281</v>
      </c>
      <c r="D273" s="434" t="s">
        <v>178</v>
      </c>
      <c r="E273" s="280"/>
      <c r="F273" s="435">
        <f t="shared" ref="F273:F304" si="53">+E273+F165</f>
        <v>0</v>
      </c>
      <c r="G273" s="602">
        <v>13.25</v>
      </c>
      <c r="H273" s="597">
        <f t="shared" ref="H273:H304" si="54">E273*G273</f>
        <v>0</v>
      </c>
      <c r="I273" s="596">
        <f t="shared" ref="I273:I304" si="55">+G273*F273</f>
        <v>0</v>
      </c>
      <c r="J273" s="373"/>
      <c r="K273" s="704"/>
    </row>
    <row r="274" spans="1:11" ht="35.25" customHeight="1" x14ac:dyDescent="0.3">
      <c r="A274" s="1134"/>
      <c r="B274" s="772"/>
      <c r="C274" s="279" t="s">
        <v>282</v>
      </c>
      <c r="D274" s="434"/>
      <c r="E274" s="280"/>
      <c r="F274" s="435">
        <f t="shared" si="53"/>
        <v>0</v>
      </c>
      <c r="G274" s="603">
        <v>5000</v>
      </c>
      <c r="H274" s="597">
        <f t="shared" si="54"/>
        <v>0</v>
      </c>
      <c r="I274" s="596">
        <f t="shared" si="55"/>
        <v>0</v>
      </c>
      <c r="J274" s="373"/>
      <c r="K274" s="704"/>
    </row>
    <row r="275" spans="1:11" ht="35.25" customHeight="1" x14ac:dyDescent="0.3">
      <c r="A275" s="1134"/>
      <c r="B275" s="772"/>
      <c r="C275" s="279" t="s">
        <v>282</v>
      </c>
      <c r="D275" s="434"/>
      <c r="E275" s="280"/>
      <c r="F275" s="435">
        <f t="shared" si="53"/>
        <v>0</v>
      </c>
      <c r="G275" s="603">
        <v>18000</v>
      </c>
      <c r="H275" s="597">
        <f t="shared" si="54"/>
        <v>0</v>
      </c>
      <c r="I275" s="596">
        <f t="shared" si="55"/>
        <v>0</v>
      </c>
      <c r="J275" s="373"/>
    </row>
    <row r="276" spans="1:11" ht="35.25" customHeight="1" x14ac:dyDescent="0.3">
      <c r="A276" s="1134"/>
      <c r="B276" s="772"/>
      <c r="C276" s="279" t="s">
        <v>465</v>
      </c>
      <c r="D276" s="434" t="s">
        <v>464</v>
      </c>
      <c r="E276" s="280"/>
      <c r="F276" s="435">
        <f t="shared" si="53"/>
        <v>0</v>
      </c>
      <c r="G276" s="602">
        <v>21.01</v>
      </c>
      <c r="H276" s="597">
        <f t="shared" si="54"/>
        <v>0</v>
      </c>
      <c r="I276" s="596">
        <f t="shared" si="55"/>
        <v>0</v>
      </c>
      <c r="J276" s="373"/>
    </row>
    <row r="277" spans="1:11" ht="35.25" customHeight="1" x14ac:dyDescent="0.3">
      <c r="A277" s="1134"/>
      <c r="B277" s="772"/>
      <c r="C277" s="279" t="s">
        <v>465</v>
      </c>
      <c r="D277" s="434" t="s">
        <v>338</v>
      </c>
      <c r="E277" s="280"/>
      <c r="F277" s="435">
        <f t="shared" si="53"/>
        <v>0</v>
      </c>
      <c r="G277" s="602">
        <v>24.93</v>
      </c>
      <c r="H277" s="597">
        <f t="shared" si="54"/>
        <v>0</v>
      </c>
      <c r="I277" s="596">
        <f t="shared" si="55"/>
        <v>0</v>
      </c>
      <c r="J277" s="373"/>
    </row>
    <row r="278" spans="1:11" ht="35.25" customHeight="1" x14ac:dyDescent="0.3">
      <c r="A278" s="1134"/>
      <c r="B278" s="772"/>
      <c r="C278" s="279" t="s">
        <v>465</v>
      </c>
      <c r="D278" s="434" t="s">
        <v>92</v>
      </c>
      <c r="E278" s="280"/>
      <c r="F278" s="435">
        <f t="shared" si="53"/>
        <v>0</v>
      </c>
      <c r="G278" s="602">
        <v>24.93</v>
      </c>
      <c r="H278" s="597">
        <f t="shared" si="54"/>
        <v>0</v>
      </c>
      <c r="I278" s="596">
        <f t="shared" si="55"/>
        <v>0</v>
      </c>
      <c r="J278" s="373"/>
    </row>
    <row r="279" spans="1:11" ht="35.25" customHeight="1" x14ac:dyDescent="0.3">
      <c r="A279" s="1134"/>
      <c r="B279" s="772"/>
      <c r="C279" s="746" t="s">
        <v>466</v>
      </c>
      <c r="D279" s="747" t="s">
        <v>92</v>
      </c>
      <c r="E279" s="280"/>
      <c r="F279" s="435">
        <f t="shared" si="53"/>
        <v>0</v>
      </c>
      <c r="G279" s="602">
        <v>20.8</v>
      </c>
      <c r="H279" s="597">
        <f t="shared" si="54"/>
        <v>0</v>
      </c>
      <c r="I279" s="596">
        <f t="shared" si="55"/>
        <v>0</v>
      </c>
      <c r="J279" s="373"/>
    </row>
    <row r="280" spans="1:11" ht="35.25" customHeight="1" x14ac:dyDescent="0.3">
      <c r="A280" s="1134"/>
      <c r="B280" s="772"/>
      <c r="C280" s="746" t="s">
        <v>467</v>
      </c>
      <c r="D280" s="747" t="s">
        <v>468</v>
      </c>
      <c r="E280" s="280"/>
      <c r="F280" s="435">
        <f t="shared" si="53"/>
        <v>0</v>
      </c>
      <c r="G280" s="602">
        <v>24.93</v>
      </c>
      <c r="H280" s="597">
        <f t="shared" si="54"/>
        <v>0</v>
      </c>
      <c r="I280" s="596">
        <f t="shared" si="55"/>
        <v>0</v>
      </c>
      <c r="J280" s="373"/>
    </row>
    <row r="281" spans="1:11" ht="35.25" customHeight="1" x14ac:dyDescent="0.3">
      <c r="A281" s="1134"/>
      <c r="B281" s="772"/>
      <c r="C281" s="746" t="s">
        <v>467</v>
      </c>
      <c r="D281" s="747" t="s">
        <v>468</v>
      </c>
      <c r="E281" s="280"/>
      <c r="F281" s="435">
        <f t="shared" si="53"/>
        <v>0</v>
      </c>
      <c r="G281" s="602">
        <v>25.49</v>
      </c>
      <c r="H281" s="597">
        <f t="shared" si="54"/>
        <v>0</v>
      </c>
      <c r="I281" s="596">
        <f t="shared" si="55"/>
        <v>0</v>
      </c>
      <c r="J281" s="373"/>
    </row>
    <row r="282" spans="1:11" s="757" customFormat="1" ht="35.25" customHeight="1" x14ac:dyDescent="0.3">
      <c r="A282" s="1134"/>
      <c r="B282" s="748"/>
      <c r="C282" s="749" t="s">
        <v>469</v>
      </c>
      <c r="D282" s="750" t="s">
        <v>309</v>
      </c>
      <c r="E282" s="751"/>
      <c r="F282" s="752">
        <f t="shared" si="53"/>
        <v>0</v>
      </c>
      <c r="G282" s="753">
        <v>24.41</v>
      </c>
      <c r="H282" s="754">
        <f t="shared" si="54"/>
        <v>0</v>
      </c>
      <c r="I282" s="755">
        <f t="shared" si="55"/>
        <v>0</v>
      </c>
      <c r="J282" s="756"/>
    </row>
    <row r="283" spans="1:11" ht="35.25" customHeight="1" x14ac:dyDescent="0.3">
      <c r="A283" s="1134"/>
      <c r="B283" s="772"/>
      <c r="C283" s="279" t="s">
        <v>444</v>
      </c>
      <c r="D283" s="434" t="s">
        <v>423</v>
      </c>
      <c r="E283" s="280"/>
      <c r="F283" s="435">
        <f t="shared" si="53"/>
        <v>0</v>
      </c>
      <c r="G283" s="602">
        <v>20.76</v>
      </c>
      <c r="H283" s="597">
        <f t="shared" si="54"/>
        <v>0</v>
      </c>
      <c r="I283" s="596">
        <f t="shared" si="55"/>
        <v>0</v>
      </c>
      <c r="J283" s="373"/>
    </row>
    <row r="284" spans="1:11" ht="35.25" customHeight="1" x14ac:dyDescent="0.3">
      <c r="A284" s="1134"/>
      <c r="B284" s="772"/>
      <c r="C284" s="279" t="s">
        <v>298</v>
      </c>
      <c r="D284" s="434" t="s">
        <v>107</v>
      </c>
      <c r="E284" s="280"/>
      <c r="F284" s="435">
        <f t="shared" si="53"/>
        <v>0</v>
      </c>
      <c r="G284" s="602">
        <v>24.93</v>
      </c>
      <c r="H284" s="597">
        <f t="shared" si="54"/>
        <v>0</v>
      </c>
      <c r="I284" s="596">
        <f t="shared" si="55"/>
        <v>0</v>
      </c>
      <c r="J284" s="373"/>
    </row>
    <row r="285" spans="1:11" ht="35.25" customHeight="1" x14ac:dyDescent="0.3">
      <c r="A285" s="1134"/>
      <c r="B285" s="772"/>
      <c r="C285" s="279" t="s">
        <v>299</v>
      </c>
      <c r="D285" s="434" t="s">
        <v>280</v>
      </c>
      <c r="E285" s="280"/>
      <c r="F285" s="435">
        <f t="shared" si="53"/>
        <v>0</v>
      </c>
      <c r="G285" s="602">
        <v>24.93</v>
      </c>
      <c r="H285" s="597">
        <f t="shared" si="54"/>
        <v>0</v>
      </c>
      <c r="I285" s="596">
        <f t="shared" si="55"/>
        <v>0</v>
      </c>
      <c r="J285" s="373"/>
    </row>
    <row r="286" spans="1:11" ht="35.25" customHeight="1" x14ac:dyDescent="0.3">
      <c r="A286" s="1134"/>
      <c r="B286" s="772"/>
      <c r="C286" s="279" t="s">
        <v>425</v>
      </c>
      <c r="D286" s="434" t="s">
        <v>360</v>
      </c>
      <c r="E286" s="280"/>
      <c r="F286" s="435">
        <f t="shared" si="53"/>
        <v>0</v>
      </c>
      <c r="G286" s="602">
        <v>23.78</v>
      </c>
      <c r="H286" s="597">
        <f t="shared" si="54"/>
        <v>0</v>
      </c>
      <c r="I286" s="596">
        <f t="shared" si="55"/>
        <v>0</v>
      </c>
      <c r="J286" s="373"/>
    </row>
    <row r="287" spans="1:11" ht="35.25" customHeight="1" x14ac:dyDescent="0.3">
      <c r="A287" s="1134"/>
      <c r="B287" s="772"/>
      <c r="C287" s="279" t="s">
        <v>425</v>
      </c>
      <c r="D287" s="434" t="s">
        <v>309</v>
      </c>
      <c r="E287" s="280"/>
      <c r="F287" s="435">
        <f t="shared" si="53"/>
        <v>0</v>
      </c>
      <c r="G287" s="602">
        <v>23.78</v>
      </c>
      <c r="H287" s="597">
        <f t="shared" si="54"/>
        <v>0</v>
      </c>
      <c r="I287" s="596">
        <f t="shared" si="55"/>
        <v>0</v>
      </c>
      <c r="J287" s="373"/>
    </row>
    <row r="288" spans="1:11" ht="35.25" customHeight="1" x14ac:dyDescent="0.3">
      <c r="A288" s="1134"/>
      <c r="B288" s="772"/>
      <c r="C288" s="279" t="s">
        <v>354</v>
      </c>
      <c r="D288" s="434" t="s">
        <v>309</v>
      </c>
      <c r="E288" s="280"/>
      <c r="F288" s="435">
        <f t="shared" si="53"/>
        <v>0</v>
      </c>
      <c r="G288" s="602">
        <v>37.4566666666</v>
      </c>
      <c r="H288" s="597">
        <f t="shared" si="54"/>
        <v>0</v>
      </c>
      <c r="I288" s="596">
        <f t="shared" si="55"/>
        <v>0</v>
      </c>
      <c r="J288" s="373"/>
    </row>
    <row r="289" spans="1:10" ht="35.25" customHeight="1" x14ac:dyDescent="0.3">
      <c r="A289" s="1134"/>
      <c r="B289" s="772"/>
      <c r="C289" s="279" t="s">
        <v>355</v>
      </c>
      <c r="D289" s="434" t="s">
        <v>309</v>
      </c>
      <c r="E289" s="280"/>
      <c r="F289" s="435">
        <f t="shared" si="53"/>
        <v>0</v>
      </c>
      <c r="G289" s="602">
        <v>37.89</v>
      </c>
      <c r="H289" s="597">
        <f t="shared" si="54"/>
        <v>0</v>
      </c>
      <c r="I289" s="596">
        <f t="shared" si="55"/>
        <v>0</v>
      </c>
      <c r="J289" s="373"/>
    </row>
    <row r="290" spans="1:10" ht="35.25" customHeight="1" x14ac:dyDescent="0.3">
      <c r="A290" s="1134"/>
      <c r="B290" s="772"/>
      <c r="C290" s="279" t="s">
        <v>461</v>
      </c>
      <c r="D290" s="434" t="s">
        <v>92</v>
      </c>
      <c r="E290" s="280"/>
      <c r="F290" s="435">
        <f t="shared" si="53"/>
        <v>0</v>
      </c>
      <c r="G290" s="602">
        <v>28.31</v>
      </c>
      <c r="H290" s="597">
        <f t="shared" si="54"/>
        <v>0</v>
      </c>
      <c r="I290" s="596">
        <f t="shared" si="55"/>
        <v>0</v>
      </c>
      <c r="J290" s="373"/>
    </row>
    <row r="291" spans="1:10" ht="35.25" customHeight="1" x14ac:dyDescent="0.3">
      <c r="A291" s="1134"/>
      <c r="B291" s="772"/>
      <c r="C291" s="279" t="s">
        <v>461</v>
      </c>
      <c r="D291" s="434" t="s">
        <v>423</v>
      </c>
      <c r="E291" s="280"/>
      <c r="F291" s="435">
        <f t="shared" si="53"/>
        <v>0</v>
      </c>
      <c r="G291" s="602">
        <v>28.88</v>
      </c>
      <c r="H291" s="597">
        <f t="shared" si="54"/>
        <v>0</v>
      </c>
      <c r="I291" s="596">
        <f t="shared" si="55"/>
        <v>0</v>
      </c>
      <c r="J291" s="373"/>
    </row>
    <row r="292" spans="1:10" ht="35.25" customHeight="1" x14ac:dyDescent="0.3">
      <c r="A292" s="1134"/>
      <c r="B292" s="772"/>
      <c r="C292" s="279" t="s">
        <v>462</v>
      </c>
      <c r="D292" s="434" t="s">
        <v>423</v>
      </c>
      <c r="E292" s="280"/>
      <c r="F292" s="435">
        <f t="shared" si="53"/>
        <v>0</v>
      </c>
      <c r="G292" s="602">
        <v>28.21</v>
      </c>
      <c r="H292" s="597">
        <f t="shared" si="54"/>
        <v>0</v>
      </c>
      <c r="I292" s="596">
        <f t="shared" si="55"/>
        <v>0</v>
      </c>
      <c r="J292" s="373"/>
    </row>
    <row r="293" spans="1:10" ht="35.25" customHeight="1" x14ac:dyDescent="0.3">
      <c r="A293" s="1134"/>
      <c r="B293" s="772"/>
      <c r="C293" s="279" t="s">
        <v>463</v>
      </c>
      <c r="D293" s="434" t="s">
        <v>338</v>
      </c>
      <c r="E293" s="280"/>
      <c r="F293" s="435">
        <f t="shared" si="53"/>
        <v>0</v>
      </c>
      <c r="G293" s="602">
        <v>39</v>
      </c>
      <c r="H293" s="597">
        <f t="shared" si="54"/>
        <v>0</v>
      </c>
      <c r="I293" s="596">
        <f t="shared" si="55"/>
        <v>0</v>
      </c>
      <c r="J293" s="373"/>
    </row>
    <row r="294" spans="1:10" ht="35.25" customHeight="1" x14ac:dyDescent="0.3">
      <c r="A294" s="1134"/>
      <c r="B294" s="772"/>
      <c r="C294" s="279" t="s">
        <v>463</v>
      </c>
      <c r="D294" s="434" t="s">
        <v>92</v>
      </c>
      <c r="E294" s="280"/>
      <c r="F294" s="435">
        <f t="shared" si="53"/>
        <v>0</v>
      </c>
      <c r="G294" s="602">
        <v>32.65</v>
      </c>
      <c r="H294" s="597">
        <f t="shared" si="54"/>
        <v>0</v>
      </c>
      <c r="I294" s="596">
        <f t="shared" si="55"/>
        <v>0</v>
      </c>
      <c r="J294" s="373"/>
    </row>
    <row r="295" spans="1:10" ht="35.25" customHeight="1" x14ac:dyDescent="0.3">
      <c r="A295" s="1134"/>
      <c r="B295" s="772"/>
      <c r="C295" s="279" t="s">
        <v>463</v>
      </c>
      <c r="D295" s="434" t="s">
        <v>423</v>
      </c>
      <c r="E295" s="280"/>
      <c r="F295" s="435">
        <f t="shared" si="53"/>
        <v>0</v>
      </c>
      <c r="G295" s="602">
        <v>33.299999999999997</v>
      </c>
      <c r="H295" s="597">
        <f t="shared" si="54"/>
        <v>0</v>
      </c>
      <c r="I295" s="596">
        <f t="shared" si="55"/>
        <v>0</v>
      </c>
      <c r="J295" s="373"/>
    </row>
    <row r="296" spans="1:10" ht="35.25" customHeight="1" x14ac:dyDescent="0.3">
      <c r="A296" s="1134"/>
      <c r="B296" s="772"/>
      <c r="C296" s="279" t="s">
        <v>299</v>
      </c>
      <c r="D296" s="434" t="s">
        <v>279</v>
      </c>
      <c r="E296" s="280"/>
      <c r="F296" s="435">
        <f t="shared" si="53"/>
        <v>0</v>
      </c>
      <c r="G296" s="602">
        <v>24.93</v>
      </c>
      <c r="H296" s="597">
        <f t="shared" si="54"/>
        <v>0</v>
      </c>
      <c r="I296" s="596">
        <f t="shared" si="55"/>
        <v>0</v>
      </c>
      <c r="J296" s="373"/>
    </row>
    <row r="297" spans="1:10" ht="35.25" customHeight="1" x14ac:dyDescent="0.3">
      <c r="A297" s="1134"/>
      <c r="B297" s="772"/>
      <c r="C297" s="279" t="s">
        <v>299</v>
      </c>
      <c r="D297" s="434"/>
      <c r="E297" s="280"/>
      <c r="F297" s="435">
        <f t="shared" si="53"/>
        <v>0</v>
      </c>
      <c r="G297" s="602">
        <v>24.93</v>
      </c>
      <c r="H297" s="597">
        <f t="shared" si="54"/>
        <v>0</v>
      </c>
      <c r="I297" s="596">
        <f t="shared" si="55"/>
        <v>0</v>
      </c>
      <c r="J297" s="373"/>
    </row>
    <row r="298" spans="1:10" ht="35.25" customHeight="1" x14ac:dyDescent="0.3">
      <c r="A298" s="1134"/>
      <c r="B298" s="772"/>
      <c r="C298" s="279" t="s">
        <v>316</v>
      </c>
      <c r="D298" s="434" t="s">
        <v>289</v>
      </c>
      <c r="E298" s="280"/>
      <c r="F298" s="435">
        <f t="shared" si="53"/>
        <v>0</v>
      </c>
      <c r="G298" s="602">
        <v>34.26</v>
      </c>
      <c r="H298" s="597">
        <f t="shared" si="54"/>
        <v>0</v>
      </c>
      <c r="I298" s="596">
        <f t="shared" si="55"/>
        <v>0</v>
      </c>
      <c r="J298" s="373"/>
    </row>
    <row r="299" spans="1:10" ht="35.25" customHeight="1" x14ac:dyDescent="0.3">
      <c r="A299" s="1134"/>
      <c r="B299" s="772"/>
      <c r="C299" s="279" t="s">
        <v>328</v>
      </c>
      <c r="D299" s="434" t="s">
        <v>360</v>
      </c>
      <c r="E299" s="280"/>
      <c r="F299" s="435">
        <f t="shared" si="53"/>
        <v>0</v>
      </c>
      <c r="G299" s="602">
        <v>37.89</v>
      </c>
      <c r="H299" s="597">
        <f t="shared" si="54"/>
        <v>0</v>
      </c>
      <c r="I299" s="596">
        <f t="shared" si="55"/>
        <v>0</v>
      </c>
      <c r="J299" s="373"/>
    </row>
    <row r="300" spans="1:10" ht="35.25" customHeight="1" x14ac:dyDescent="0.3">
      <c r="A300" s="1134"/>
      <c r="B300" s="772"/>
      <c r="C300" s="279" t="s">
        <v>363</v>
      </c>
      <c r="D300" s="434" t="s">
        <v>338</v>
      </c>
      <c r="E300" s="280"/>
      <c r="F300" s="435">
        <f t="shared" si="53"/>
        <v>0</v>
      </c>
      <c r="G300" s="602">
        <v>39</v>
      </c>
      <c r="H300" s="597">
        <f t="shared" si="54"/>
        <v>0</v>
      </c>
      <c r="I300" s="596">
        <f t="shared" si="55"/>
        <v>0</v>
      </c>
      <c r="J300" s="373"/>
    </row>
    <row r="301" spans="1:10" ht="35.25" customHeight="1" x14ac:dyDescent="0.3">
      <c r="A301" s="1134"/>
      <c r="B301" s="772"/>
      <c r="C301" s="279" t="s">
        <v>299</v>
      </c>
      <c r="D301" s="434" t="s">
        <v>177</v>
      </c>
      <c r="E301" s="280"/>
      <c r="F301" s="435">
        <f t="shared" si="53"/>
        <v>0</v>
      </c>
      <c r="G301" s="602">
        <v>21.22</v>
      </c>
      <c r="H301" s="597">
        <f t="shared" si="54"/>
        <v>0</v>
      </c>
      <c r="I301" s="596">
        <f t="shared" si="55"/>
        <v>0</v>
      </c>
      <c r="J301" s="373"/>
    </row>
    <row r="302" spans="1:10" ht="35.25" customHeight="1" x14ac:dyDescent="0.3">
      <c r="A302" s="1134"/>
      <c r="B302" s="772"/>
      <c r="C302" s="279" t="s">
        <v>298</v>
      </c>
      <c r="D302" s="434" t="s">
        <v>177</v>
      </c>
      <c r="E302" s="280"/>
      <c r="F302" s="435">
        <f t="shared" si="53"/>
        <v>0</v>
      </c>
      <c r="G302" s="602">
        <v>21.22</v>
      </c>
      <c r="H302" s="597">
        <f t="shared" si="54"/>
        <v>0</v>
      </c>
      <c r="I302" s="596">
        <f t="shared" si="55"/>
        <v>0</v>
      </c>
      <c r="J302" s="373"/>
    </row>
    <row r="303" spans="1:10" ht="35.25" customHeight="1" x14ac:dyDescent="0.3">
      <c r="A303" s="1134"/>
      <c r="B303" s="772"/>
      <c r="C303" s="279" t="s">
        <v>339</v>
      </c>
      <c r="D303" s="434" t="s">
        <v>304</v>
      </c>
      <c r="E303" s="280"/>
      <c r="F303" s="435">
        <f t="shared" si="53"/>
        <v>0</v>
      </c>
      <c r="G303" s="602">
        <v>10000</v>
      </c>
      <c r="H303" s="597">
        <f t="shared" si="54"/>
        <v>0</v>
      </c>
      <c r="I303" s="596">
        <f t="shared" si="55"/>
        <v>0</v>
      </c>
      <c r="J303" s="373"/>
    </row>
    <row r="304" spans="1:10" ht="35.25" customHeight="1" thickBot="1" x14ac:dyDescent="0.35">
      <c r="A304" s="1134"/>
      <c r="B304" s="772"/>
      <c r="C304" s="279" t="s">
        <v>303</v>
      </c>
      <c r="D304" s="434" t="s">
        <v>304</v>
      </c>
      <c r="E304" s="280"/>
      <c r="F304" s="435">
        <f t="shared" si="53"/>
        <v>0</v>
      </c>
      <c r="G304" s="602">
        <v>360</v>
      </c>
      <c r="H304" s="597">
        <f t="shared" si="54"/>
        <v>0</v>
      </c>
      <c r="I304" s="596">
        <f t="shared" si="55"/>
        <v>0</v>
      </c>
      <c r="J304" s="373"/>
    </row>
    <row r="305" spans="1:10" ht="35.25" customHeight="1" thickBot="1" x14ac:dyDescent="0.35">
      <c r="A305" s="1135"/>
      <c r="B305" s="1129" t="s">
        <v>268</v>
      </c>
      <c r="C305" s="1130"/>
      <c r="D305" s="774"/>
      <c r="E305" s="326">
        <f>SUM(E273:E304)</f>
        <v>0</v>
      </c>
      <c r="F305" s="326">
        <f>SUM(F273:F304)</f>
        <v>0</v>
      </c>
      <c r="G305" s="326"/>
      <c r="H305" s="587">
        <f>SUM(H273:H304)</f>
        <v>0</v>
      </c>
      <c r="I305" s="580">
        <f>SUM(I273:I304)</f>
        <v>0</v>
      </c>
      <c r="J305" s="373"/>
    </row>
    <row r="306" spans="1:10" ht="35.25" customHeight="1" x14ac:dyDescent="0.3">
      <c r="A306" s="1133" t="s">
        <v>102</v>
      </c>
      <c r="B306" s="772"/>
      <c r="C306" s="279" t="s">
        <v>273</v>
      </c>
      <c r="D306" s="434" t="s">
        <v>238</v>
      </c>
      <c r="E306" s="280"/>
      <c r="F306" s="435">
        <f t="shared" ref="F306:F330" si="56">+E306+F198</f>
        <v>0</v>
      </c>
      <c r="G306" s="602">
        <v>430.02</v>
      </c>
      <c r="H306" s="593">
        <f>E306*G306</f>
        <v>0</v>
      </c>
      <c r="I306" s="596">
        <f t="shared" ref="I306:I327" si="57">+G306*F306</f>
        <v>0</v>
      </c>
      <c r="J306" s="373"/>
    </row>
    <row r="307" spans="1:10" ht="35.25" customHeight="1" x14ac:dyDescent="0.3">
      <c r="A307" s="1134"/>
      <c r="B307" s="772"/>
      <c r="C307" s="279" t="s">
        <v>274</v>
      </c>
      <c r="D307" s="434" t="s">
        <v>238</v>
      </c>
      <c r="E307" s="280"/>
      <c r="F307" s="435">
        <f t="shared" si="56"/>
        <v>0</v>
      </c>
      <c r="G307" s="602">
        <v>445.38</v>
      </c>
      <c r="H307" s="593">
        <f t="shared" ref="H307:H327" si="58">E307*G307</f>
        <v>0</v>
      </c>
      <c r="I307" s="596">
        <f t="shared" si="57"/>
        <v>0</v>
      </c>
      <c r="J307" s="373"/>
    </row>
    <row r="308" spans="1:10" ht="35.25" customHeight="1" x14ac:dyDescent="0.3">
      <c r="A308" s="1134"/>
      <c r="B308" s="772"/>
      <c r="C308" s="279" t="s">
        <v>390</v>
      </c>
      <c r="D308" s="434" t="s">
        <v>238</v>
      </c>
      <c r="E308" s="280"/>
      <c r="F308" s="435">
        <f t="shared" si="56"/>
        <v>0</v>
      </c>
      <c r="G308" s="602">
        <v>445.38</v>
      </c>
      <c r="H308" s="593">
        <f t="shared" si="58"/>
        <v>0</v>
      </c>
      <c r="I308" s="596">
        <f t="shared" si="57"/>
        <v>0</v>
      </c>
      <c r="J308" s="373"/>
    </row>
    <row r="309" spans="1:10" ht="35.25" customHeight="1" x14ac:dyDescent="0.3">
      <c r="A309" s="1134"/>
      <c r="B309" s="772"/>
      <c r="C309" s="279" t="s">
        <v>301</v>
      </c>
      <c r="D309" s="434" t="s">
        <v>238</v>
      </c>
      <c r="E309" s="280"/>
      <c r="F309" s="435">
        <f t="shared" si="56"/>
        <v>0</v>
      </c>
      <c r="G309" s="602">
        <v>63.55</v>
      </c>
      <c r="H309" s="593">
        <f t="shared" si="58"/>
        <v>0</v>
      </c>
      <c r="I309" s="596">
        <f t="shared" si="57"/>
        <v>0</v>
      </c>
      <c r="J309" s="373"/>
    </row>
    <row r="310" spans="1:10" ht="35.25" customHeight="1" x14ac:dyDescent="0.3">
      <c r="A310" s="1134"/>
      <c r="B310" s="772"/>
      <c r="C310" s="279" t="s">
        <v>275</v>
      </c>
      <c r="D310" s="434" t="s">
        <v>238</v>
      </c>
      <c r="E310" s="280">
        <v>10080</v>
      </c>
      <c r="F310" s="435">
        <f t="shared" si="56"/>
        <v>10080</v>
      </c>
      <c r="G310" s="602">
        <v>71.44</v>
      </c>
      <c r="H310" s="593">
        <f t="shared" si="58"/>
        <v>720115.19999999995</v>
      </c>
      <c r="I310" s="596">
        <f t="shared" si="57"/>
        <v>720115.19999999995</v>
      </c>
      <c r="J310" s="373"/>
    </row>
    <row r="311" spans="1:10" ht="35.25" customHeight="1" x14ac:dyDescent="0.3">
      <c r="A311" s="1134"/>
      <c r="B311" s="772"/>
      <c r="C311" s="279" t="s">
        <v>276</v>
      </c>
      <c r="D311" s="434" t="s">
        <v>238</v>
      </c>
      <c r="E311" s="280"/>
      <c r="F311" s="435">
        <f t="shared" si="56"/>
        <v>0</v>
      </c>
      <c r="G311" s="602">
        <v>36.5</v>
      </c>
      <c r="H311" s="593">
        <f t="shared" si="58"/>
        <v>0</v>
      </c>
      <c r="I311" s="596">
        <f t="shared" si="57"/>
        <v>0</v>
      </c>
      <c r="J311" s="373"/>
    </row>
    <row r="312" spans="1:10" ht="35.25" customHeight="1" x14ac:dyDescent="0.3">
      <c r="A312" s="1134"/>
      <c r="B312" s="772"/>
      <c r="C312" s="279" t="s">
        <v>426</v>
      </c>
      <c r="D312" s="434" t="s">
        <v>238</v>
      </c>
      <c r="E312" s="280"/>
      <c r="F312" s="435">
        <f t="shared" si="56"/>
        <v>0</v>
      </c>
      <c r="G312" s="602">
        <v>320.35000000000002</v>
      </c>
      <c r="H312" s="593">
        <f t="shared" si="58"/>
        <v>0</v>
      </c>
      <c r="I312" s="596">
        <f t="shared" si="57"/>
        <v>0</v>
      </c>
      <c r="J312" s="373"/>
    </row>
    <row r="313" spans="1:10" ht="35.25" customHeight="1" x14ac:dyDescent="0.3">
      <c r="A313" s="1134"/>
      <c r="B313" s="772"/>
      <c r="C313" s="279" t="s">
        <v>285</v>
      </c>
      <c r="D313" s="434" t="s">
        <v>238</v>
      </c>
      <c r="E313" s="280"/>
      <c r="F313" s="435">
        <f t="shared" si="56"/>
        <v>0</v>
      </c>
      <c r="G313" s="602">
        <v>320.35000000000002</v>
      </c>
      <c r="H313" s="593">
        <f t="shared" si="58"/>
        <v>0</v>
      </c>
      <c r="I313" s="596">
        <f t="shared" si="57"/>
        <v>0</v>
      </c>
      <c r="J313" s="373"/>
    </row>
    <row r="314" spans="1:10" ht="35.25" customHeight="1" x14ac:dyDescent="0.3">
      <c r="A314" s="1134"/>
      <c r="B314" s="772"/>
      <c r="C314" s="279" t="s">
        <v>296</v>
      </c>
      <c r="D314" s="434" t="s">
        <v>238</v>
      </c>
      <c r="E314" s="280"/>
      <c r="F314" s="435">
        <f t="shared" si="56"/>
        <v>0</v>
      </c>
      <c r="G314" s="602">
        <v>434.41</v>
      </c>
      <c r="H314" s="593">
        <f t="shared" si="58"/>
        <v>0</v>
      </c>
      <c r="I314" s="596">
        <f t="shared" si="57"/>
        <v>0</v>
      </c>
      <c r="J314" s="373"/>
    </row>
    <row r="315" spans="1:10" ht="35.25" customHeight="1" x14ac:dyDescent="0.3">
      <c r="A315" s="1134"/>
      <c r="B315" s="772"/>
      <c r="C315" s="279" t="s">
        <v>282</v>
      </c>
      <c r="D315" s="434" t="s">
        <v>238</v>
      </c>
      <c r="E315" s="280"/>
      <c r="F315" s="435">
        <f t="shared" si="56"/>
        <v>0</v>
      </c>
      <c r="G315" s="602">
        <v>29690</v>
      </c>
      <c r="H315" s="593">
        <f t="shared" si="58"/>
        <v>0</v>
      </c>
      <c r="I315" s="596">
        <f t="shared" si="57"/>
        <v>0</v>
      </c>
      <c r="J315" s="373"/>
    </row>
    <row r="316" spans="1:10" ht="35.25" customHeight="1" x14ac:dyDescent="0.3">
      <c r="A316" s="1134"/>
      <c r="B316" s="772"/>
      <c r="C316" s="279" t="s">
        <v>282</v>
      </c>
      <c r="D316" s="434" t="s">
        <v>238</v>
      </c>
      <c r="E316" s="280"/>
      <c r="F316" s="435">
        <f t="shared" si="56"/>
        <v>0</v>
      </c>
      <c r="G316" s="602">
        <v>26445</v>
      </c>
      <c r="H316" s="593">
        <f t="shared" si="58"/>
        <v>0</v>
      </c>
      <c r="I316" s="596">
        <f t="shared" si="57"/>
        <v>0</v>
      </c>
      <c r="J316" s="373"/>
    </row>
    <row r="317" spans="1:10" ht="35.25" customHeight="1" x14ac:dyDescent="0.3">
      <c r="A317" s="1134"/>
      <c r="B317" s="772"/>
      <c r="C317" s="279" t="s">
        <v>282</v>
      </c>
      <c r="D317" s="434"/>
      <c r="E317" s="280"/>
      <c r="F317" s="435">
        <f t="shared" si="56"/>
        <v>0</v>
      </c>
      <c r="G317" s="602">
        <v>33947.884599999998</v>
      </c>
      <c r="H317" s="593">
        <f t="shared" si="58"/>
        <v>0</v>
      </c>
      <c r="I317" s="596">
        <f t="shared" si="57"/>
        <v>0</v>
      </c>
      <c r="J317" s="373"/>
    </row>
    <row r="318" spans="1:10" ht="35.25" customHeight="1" x14ac:dyDescent="0.3">
      <c r="A318" s="1134"/>
      <c r="B318" s="772"/>
      <c r="C318" s="279" t="s">
        <v>311</v>
      </c>
      <c r="D318" s="434" t="s">
        <v>337</v>
      </c>
      <c r="E318" s="280"/>
      <c r="F318" s="435">
        <f t="shared" si="56"/>
        <v>0</v>
      </c>
      <c r="G318" s="602">
        <v>50</v>
      </c>
      <c r="H318" s="593">
        <f t="shared" si="58"/>
        <v>0</v>
      </c>
      <c r="I318" s="596">
        <f t="shared" si="57"/>
        <v>0</v>
      </c>
      <c r="J318" s="373"/>
    </row>
    <row r="319" spans="1:10" ht="35.25" customHeight="1" x14ac:dyDescent="0.3">
      <c r="A319" s="1134"/>
      <c r="B319" s="772"/>
      <c r="C319" s="279" t="s">
        <v>311</v>
      </c>
      <c r="D319" s="434"/>
      <c r="E319" s="280"/>
      <c r="F319" s="435">
        <f t="shared" si="56"/>
        <v>0</v>
      </c>
      <c r="G319" s="602">
        <v>10</v>
      </c>
      <c r="H319" s="593">
        <f t="shared" si="58"/>
        <v>0</v>
      </c>
      <c r="I319" s="596">
        <f t="shared" si="57"/>
        <v>0</v>
      </c>
      <c r="J319" s="373"/>
    </row>
    <row r="320" spans="1:10" ht="35.25" customHeight="1" x14ac:dyDescent="0.3">
      <c r="A320" s="1134"/>
      <c r="B320" s="772"/>
      <c r="C320" s="279" t="s">
        <v>329</v>
      </c>
      <c r="D320" s="434" t="s">
        <v>370</v>
      </c>
      <c r="E320" s="280"/>
      <c r="F320" s="435">
        <f t="shared" si="56"/>
        <v>0</v>
      </c>
      <c r="G320" s="602">
        <v>57.64</v>
      </c>
      <c r="H320" s="593">
        <f t="shared" si="58"/>
        <v>0</v>
      </c>
      <c r="I320" s="596">
        <f t="shared" si="57"/>
        <v>0</v>
      </c>
      <c r="J320" s="373"/>
    </row>
    <row r="321" spans="1:10" ht="35.25" customHeight="1" x14ac:dyDescent="0.3">
      <c r="A321" s="1134"/>
      <c r="B321" s="772"/>
      <c r="C321" s="279" t="s">
        <v>329</v>
      </c>
      <c r="D321" s="434" t="s">
        <v>364</v>
      </c>
      <c r="E321" s="280"/>
      <c r="F321" s="435">
        <f t="shared" si="56"/>
        <v>0</v>
      </c>
      <c r="G321" s="602">
        <v>57.64</v>
      </c>
      <c r="H321" s="593">
        <f t="shared" si="58"/>
        <v>0</v>
      </c>
      <c r="I321" s="596">
        <f t="shared" si="57"/>
        <v>0</v>
      </c>
      <c r="J321" s="373"/>
    </row>
    <row r="322" spans="1:10" ht="35.25" customHeight="1" x14ac:dyDescent="0.3">
      <c r="A322" s="1134"/>
      <c r="B322" s="772"/>
      <c r="C322" s="279" t="s">
        <v>330</v>
      </c>
      <c r="D322" s="434" t="s">
        <v>331</v>
      </c>
      <c r="E322" s="280"/>
      <c r="F322" s="435">
        <f t="shared" si="56"/>
        <v>0</v>
      </c>
      <c r="G322" s="602">
        <v>434.41</v>
      </c>
      <c r="H322" s="593">
        <f t="shared" si="58"/>
        <v>0</v>
      </c>
      <c r="I322" s="596">
        <f t="shared" si="57"/>
        <v>0</v>
      </c>
      <c r="J322" s="373"/>
    </row>
    <row r="323" spans="1:10" ht="35.25" customHeight="1" x14ac:dyDescent="0.3">
      <c r="A323" s="1134"/>
      <c r="B323" s="772"/>
      <c r="C323" s="279" t="s">
        <v>343</v>
      </c>
      <c r="D323" s="434" t="s">
        <v>238</v>
      </c>
      <c r="E323" s="280"/>
      <c r="F323" s="435">
        <f t="shared" si="56"/>
        <v>0</v>
      </c>
      <c r="G323" s="602">
        <v>624.26</v>
      </c>
      <c r="H323" s="593">
        <f t="shared" si="58"/>
        <v>0</v>
      </c>
      <c r="I323" s="596">
        <f t="shared" si="57"/>
        <v>0</v>
      </c>
      <c r="J323" s="373"/>
    </row>
    <row r="324" spans="1:10" ht="35.25" customHeight="1" x14ac:dyDescent="0.3">
      <c r="A324" s="1134"/>
      <c r="B324" s="772"/>
      <c r="C324" s="279" t="s">
        <v>332</v>
      </c>
      <c r="D324" s="434" t="s">
        <v>331</v>
      </c>
      <c r="E324" s="280"/>
      <c r="F324" s="435">
        <f t="shared" si="56"/>
        <v>0</v>
      </c>
      <c r="G324" s="602">
        <v>63.55</v>
      </c>
      <c r="H324" s="593">
        <f t="shared" si="58"/>
        <v>0</v>
      </c>
      <c r="I324" s="596">
        <f t="shared" si="57"/>
        <v>0</v>
      </c>
      <c r="J324" s="373"/>
    </row>
    <row r="325" spans="1:10" ht="35.25" customHeight="1" x14ac:dyDescent="0.3">
      <c r="A325" s="1134"/>
      <c r="B325" s="772"/>
      <c r="C325" s="279" t="s">
        <v>371</v>
      </c>
      <c r="D325" s="434" t="s">
        <v>238</v>
      </c>
      <c r="E325" s="280"/>
      <c r="F325" s="435">
        <f t="shared" si="56"/>
        <v>0</v>
      </c>
      <c r="G325" s="602">
        <v>59.96</v>
      </c>
      <c r="H325" s="593">
        <f t="shared" si="58"/>
        <v>0</v>
      </c>
      <c r="I325" s="596">
        <f t="shared" si="57"/>
        <v>0</v>
      </c>
      <c r="J325" s="373"/>
    </row>
    <row r="326" spans="1:10" ht="35.25" customHeight="1" x14ac:dyDescent="0.3">
      <c r="A326" s="1134"/>
      <c r="B326" s="772"/>
      <c r="C326" s="279" t="s">
        <v>419</v>
      </c>
      <c r="D326" s="434" t="s">
        <v>331</v>
      </c>
      <c r="E326" s="280"/>
      <c r="F326" s="435">
        <f t="shared" si="56"/>
        <v>0</v>
      </c>
      <c r="G326" s="602">
        <v>53.86</v>
      </c>
      <c r="H326" s="593">
        <f t="shared" si="58"/>
        <v>0</v>
      </c>
      <c r="I326" s="596">
        <f t="shared" si="57"/>
        <v>0</v>
      </c>
      <c r="J326" s="373"/>
    </row>
    <row r="327" spans="1:10" ht="35.25" customHeight="1" x14ac:dyDescent="0.3">
      <c r="A327" s="1134"/>
      <c r="B327" s="772"/>
      <c r="C327" s="279" t="s">
        <v>379</v>
      </c>
      <c r="D327" s="434"/>
      <c r="E327" s="280"/>
      <c r="F327" s="435">
        <f t="shared" si="56"/>
        <v>0</v>
      </c>
      <c r="G327" s="602">
        <v>360</v>
      </c>
      <c r="H327" s="593">
        <f t="shared" si="58"/>
        <v>0</v>
      </c>
      <c r="I327" s="596">
        <f t="shared" si="57"/>
        <v>0</v>
      </c>
      <c r="J327" s="373"/>
    </row>
    <row r="328" spans="1:10" ht="35.25" customHeight="1" x14ac:dyDescent="0.3">
      <c r="A328" s="1134"/>
      <c r="B328" s="772"/>
      <c r="C328" s="279" t="s">
        <v>471</v>
      </c>
      <c r="D328" s="434"/>
      <c r="E328" s="280"/>
      <c r="F328" s="435">
        <f t="shared" si="56"/>
        <v>0</v>
      </c>
      <c r="G328" s="602"/>
      <c r="H328" s="593">
        <f>+E328</f>
        <v>0</v>
      </c>
      <c r="I328" s="596">
        <f>+H328</f>
        <v>0</v>
      </c>
      <c r="J328" s="373"/>
    </row>
    <row r="329" spans="1:10" ht="35.25" customHeight="1" x14ac:dyDescent="0.3">
      <c r="A329" s="1134"/>
      <c r="B329" s="772"/>
      <c r="C329" s="279" t="s">
        <v>282</v>
      </c>
      <c r="D329" s="434"/>
      <c r="E329" s="280"/>
      <c r="F329" s="435">
        <f t="shared" si="56"/>
        <v>0</v>
      </c>
      <c r="G329" s="602">
        <v>39450</v>
      </c>
      <c r="H329" s="593">
        <f t="shared" ref="H329:H330" si="59">E329*G329</f>
        <v>0</v>
      </c>
      <c r="I329" s="596">
        <f t="shared" ref="I329:I330" si="60">+G329*F329</f>
        <v>0</v>
      </c>
      <c r="J329" s="373"/>
    </row>
    <row r="330" spans="1:10" ht="35.25" customHeight="1" thickBot="1" x14ac:dyDescent="0.35">
      <c r="A330" s="1134"/>
      <c r="B330" s="772"/>
      <c r="C330" s="279" t="s">
        <v>329</v>
      </c>
      <c r="D330" s="434" t="s">
        <v>443</v>
      </c>
      <c r="E330" s="280"/>
      <c r="F330" s="435">
        <f t="shared" si="56"/>
        <v>0</v>
      </c>
      <c r="G330" s="602">
        <v>57.64</v>
      </c>
      <c r="H330" s="593">
        <f t="shared" si="59"/>
        <v>0</v>
      </c>
      <c r="I330" s="596">
        <f t="shared" si="60"/>
        <v>0</v>
      </c>
      <c r="J330" s="373"/>
    </row>
    <row r="331" spans="1:10" ht="35.25" customHeight="1" thickBot="1" x14ac:dyDescent="0.35">
      <c r="A331" s="1135"/>
      <c r="B331" s="1129" t="s">
        <v>270</v>
      </c>
      <c r="C331" s="1130"/>
      <c r="D331" s="774"/>
      <c r="E331" s="326">
        <f>SUM(E306:E330)</f>
        <v>10080</v>
      </c>
      <c r="F331" s="326">
        <f>SUM(F306:F330)</f>
        <v>10080</v>
      </c>
      <c r="G331" s="326"/>
      <c r="H331" s="590">
        <f>SUM(H306:H330)</f>
        <v>720115.19999999995</v>
      </c>
      <c r="I331" s="580">
        <f>SUM(I306:I330)</f>
        <v>720115.19999999995</v>
      </c>
      <c r="J331" s="372"/>
    </row>
    <row r="332" spans="1:10" ht="35.25" customHeight="1" thickBot="1" x14ac:dyDescent="0.35">
      <c r="A332" s="777"/>
      <c r="B332" s="437"/>
      <c r="C332" s="279" t="s">
        <v>379</v>
      </c>
      <c r="D332" s="434"/>
      <c r="E332" s="280"/>
      <c r="F332" s="281">
        <f>+E332</f>
        <v>0</v>
      </c>
      <c r="G332" s="334"/>
      <c r="H332" s="589">
        <f t="shared" ref="H332" si="61">E332*G332</f>
        <v>0</v>
      </c>
      <c r="I332" s="282">
        <f t="shared" ref="I332" si="62">+G332*F332</f>
        <v>0</v>
      </c>
      <c r="J332" s="373"/>
    </row>
    <row r="333" spans="1:10" ht="35.25" customHeight="1" thickBot="1" x14ac:dyDescent="0.35">
      <c r="A333" s="777"/>
      <c r="B333" s="1129" t="s">
        <v>224</v>
      </c>
      <c r="C333" s="1130"/>
      <c r="D333" s="770"/>
      <c r="E333" s="326"/>
      <c r="F333" s="327"/>
      <c r="G333" s="326"/>
      <c r="H333" s="587"/>
      <c r="I333" s="324">
        <f>SUM(I332)</f>
        <v>0</v>
      </c>
      <c r="J333" s="349"/>
    </row>
    <row r="334" spans="1:10" ht="35.25" customHeight="1" thickBot="1" x14ac:dyDescent="0.35">
      <c r="A334" s="319"/>
      <c r="B334" s="1131" t="s">
        <v>174</v>
      </c>
      <c r="C334" s="1132"/>
      <c r="D334" s="771"/>
      <c r="E334" s="374">
        <f>+E331+E305+E272+E270</f>
        <v>271968</v>
      </c>
      <c r="F334" s="374">
        <f>+F331+F305+F272+F270</f>
        <v>327948</v>
      </c>
      <c r="G334" s="374"/>
      <c r="H334" s="374"/>
      <c r="I334" s="374">
        <f>+I331+I305+I272+I333</f>
        <v>5892228.0000000009</v>
      </c>
      <c r="J334" s="375"/>
    </row>
    <row r="335" spans="1:10" ht="35.25" customHeight="1" x14ac:dyDescent="0.3">
      <c r="A335" s="1057" t="s">
        <v>1</v>
      </c>
      <c r="B335" s="1060" t="s">
        <v>2</v>
      </c>
      <c r="C335" s="1138" t="s">
        <v>396</v>
      </c>
      <c r="D335" s="1115" t="s">
        <v>397</v>
      </c>
      <c r="E335" s="1142" t="s">
        <v>493</v>
      </c>
      <c r="F335" s="1067"/>
      <c r="G335" s="1067"/>
      <c r="H335" s="1067"/>
      <c r="I335" s="1067"/>
      <c r="J335" s="1068"/>
    </row>
    <row r="336" spans="1:10" ht="35.25" customHeight="1" x14ac:dyDescent="0.3">
      <c r="A336" s="1136"/>
      <c r="B336" s="1137"/>
      <c r="C336" s="1139"/>
      <c r="D336" s="1116"/>
      <c r="E336" s="1143" t="s">
        <v>412</v>
      </c>
      <c r="F336" s="1144"/>
      <c r="G336" s="1143" t="s">
        <v>411</v>
      </c>
      <c r="H336" s="1145"/>
      <c r="I336" s="1145"/>
      <c r="J336" s="1144"/>
    </row>
    <row r="337" spans="1:10" ht="35.25" customHeight="1" x14ac:dyDescent="0.3">
      <c r="A337" s="1058"/>
      <c r="B337" s="1061"/>
      <c r="C337" s="1140"/>
      <c r="D337" s="1116"/>
      <c r="E337" s="1069" t="s">
        <v>413</v>
      </c>
      <c r="F337" s="1071" t="s">
        <v>414</v>
      </c>
      <c r="G337" s="1147" t="s">
        <v>90</v>
      </c>
      <c r="H337" s="1149" t="s">
        <v>91</v>
      </c>
      <c r="I337" s="1149" t="s">
        <v>91</v>
      </c>
      <c r="J337" s="1151" t="s">
        <v>12</v>
      </c>
    </row>
    <row r="338" spans="1:10" ht="35.25" customHeight="1" thickBot="1" x14ac:dyDescent="0.35">
      <c r="A338" s="1059"/>
      <c r="B338" s="1062"/>
      <c r="C338" s="1141"/>
      <c r="D338" s="1117"/>
      <c r="E338" s="1070"/>
      <c r="F338" s="1146"/>
      <c r="G338" s="1148"/>
      <c r="H338" s="1150"/>
      <c r="I338" s="1150"/>
      <c r="J338" s="1152"/>
    </row>
    <row r="339" spans="1:10" ht="35.25" customHeight="1" x14ac:dyDescent="0.3">
      <c r="A339" s="1133" t="s">
        <v>103</v>
      </c>
      <c r="B339" s="439"/>
      <c r="C339" s="577" t="s">
        <v>442</v>
      </c>
      <c r="D339" s="665" t="s">
        <v>374</v>
      </c>
      <c r="E339" s="699"/>
      <c r="F339" s="674">
        <f>+E339+F231</f>
        <v>0</v>
      </c>
      <c r="G339" s="732">
        <v>107.85</v>
      </c>
      <c r="H339" s="591">
        <f t="shared" ref="H339:H353" si="63">E339*G339</f>
        <v>0</v>
      </c>
      <c r="I339" s="594">
        <f>+G339*F339</f>
        <v>0</v>
      </c>
      <c r="J339" s="351"/>
    </row>
    <row r="340" spans="1:10" ht="35.25" customHeight="1" x14ac:dyDescent="0.3">
      <c r="A340" s="1134"/>
      <c r="B340" s="438"/>
      <c r="C340" s="441" t="s">
        <v>264</v>
      </c>
      <c r="D340" s="666" t="s">
        <v>265</v>
      </c>
      <c r="E340" s="700"/>
      <c r="F340" s="701">
        <f t="shared" ref="F340:F345" si="64">+E340+F232</f>
        <v>0</v>
      </c>
      <c r="G340" s="697">
        <v>11</v>
      </c>
      <c r="H340" s="592">
        <f t="shared" si="63"/>
        <v>0</v>
      </c>
      <c r="I340" s="595">
        <f>+G340*F340</f>
        <v>0</v>
      </c>
      <c r="J340" s="352"/>
    </row>
    <row r="341" spans="1:10" ht="35.25" customHeight="1" x14ac:dyDescent="0.3">
      <c r="A341" s="1134"/>
      <c r="B341" s="438"/>
      <c r="C341" s="441" t="s">
        <v>295</v>
      </c>
      <c r="D341" s="666" t="s">
        <v>453</v>
      </c>
      <c r="E341" s="700"/>
      <c r="F341" s="701">
        <f t="shared" si="64"/>
        <v>0</v>
      </c>
      <c r="G341" s="697">
        <v>139.04</v>
      </c>
      <c r="H341" s="592">
        <f t="shared" si="63"/>
        <v>0</v>
      </c>
      <c r="I341" s="595">
        <f t="shared" ref="I341:I353" si="65">+G341*F341</f>
        <v>0</v>
      </c>
      <c r="J341" s="352"/>
    </row>
    <row r="342" spans="1:10" ht="35.25" customHeight="1" x14ac:dyDescent="0.3">
      <c r="A342" s="1134"/>
      <c r="B342" s="438"/>
      <c r="C342" s="441" t="s">
        <v>357</v>
      </c>
      <c r="D342" s="666" t="s">
        <v>358</v>
      </c>
      <c r="E342" s="700"/>
      <c r="F342" s="701">
        <f t="shared" si="64"/>
        <v>0</v>
      </c>
      <c r="G342" s="715">
        <v>20.5</v>
      </c>
      <c r="H342" s="592">
        <f t="shared" si="63"/>
        <v>0</v>
      </c>
      <c r="I342" s="595">
        <f t="shared" si="65"/>
        <v>0</v>
      </c>
      <c r="J342" s="352"/>
    </row>
    <row r="343" spans="1:10" ht="35.25" customHeight="1" x14ac:dyDescent="0.3">
      <c r="A343" s="1134"/>
      <c r="B343" s="438"/>
      <c r="C343" s="441" t="s">
        <v>288</v>
      </c>
      <c r="D343" s="666" t="s">
        <v>177</v>
      </c>
      <c r="E343" s="700"/>
      <c r="F343" s="701">
        <f t="shared" si="64"/>
        <v>0</v>
      </c>
      <c r="G343" s="697">
        <v>14.79</v>
      </c>
      <c r="H343" s="592">
        <f t="shared" si="63"/>
        <v>0</v>
      </c>
      <c r="I343" s="595">
        <f t="shared" si="65"/>
        <v>0</v>
      </c>
      <c r="J343" s="352"/>
    </row>
    <row r="344" spans="1:10" ht="35.25" customHeight="1" x14ac:dyDescent="0.3">
      <c r="A344" s="1134"/>
      <c r="B344" s="438"/>
      <c r="C344" s="441" t="s">
        <v>295</v>
      </c>
      <c r="D344" s="666" t="s">
        <v>265</v>
      </c>
      <c r="E344" s="700"/>
      <c r="F344" s="701">
        <f t="shared" si="64"/>
        <v>0</v>
      </c>
      <c r="G344" s="697">
        <v>139.04</v>
      </c>
      <c r="H344" s="592">
        <f t="shared" si="63"/>
        <v>0</v>
      </c>
      <c r="I344" s="595">
        <f t="shared" si="65"/>
        <v>0</v>
      </c>
      <c r="J344" s="352"/>
    </row>
    <row r="345" spans="1:10" ht="35.25" customHeight="1" x14ac:dyDescent="0.3">
      <c r="A345" s="1134"/>
      <c r="B345" s="438"/>
      <c r="C345" s="441" t="s">
        <v>391</v>
      </c>
      <c r="D345" s="667" t="s">
        <v>356</v>
      </c>
      <c r="E345" s="700"/>
      <c r="F345" s="701">
        <f t="shared" si="64"/>
        <v>0</v>
      </c>
      <c r="G345" s="697">
        <v>147.58000000000001</v>
      </c>
      <c r="H345" s="592">
        <f t="shared" si="63"/>
        <v>0</v>
      </c>
      <c r="I345" s="595">
        <f t="shared" si="65"/>
        <v>0</v>
      </c>
      <c r="J345" s="352"/>
    </row>
    <row r="346" spans="1:10" ht="35.25" customHeight="1" x14ac:dyDescent="0.3">
      <c r="A346" s="1134"/>
      <c r="B346" s="438"/>
      <c r="C346" s="441" t="s">
        <v>313</v>
      </c>
      <c r="D346" s="667" t="s">
        <v>265</v>
      </c>
      <c r="E346" s="700">
        <v>18360</v>
      </c>
      <c r="F346" s="701">
        <f t="shared" ref="F346:F353" si="66">+E346+F239</f>
        <v>36720</v>
      </c>
      <c r="G346" s="697">
        <v>18.84</v>
      </c>
      <c r="H346" s="592">
        <f t="shared" si="63"/>
        <v>345902.4</v>
      </c>
      <c r="I346" s="595">
        <f t="shared" si="65"/>
        <v>691804.8</v>
      </c>
      <c r="J346" s="352"/>
    </row>
    <row r="347" spans="1:10" ht="35.25" customHeight="1" x14ac:dyDescent="0.3">
      <c r="A347" s="1134"/>
      <c r="B347" s="438"/>
      <c r="C347" s="441" t="s">
        <v>322</v>
      </c>
      <c r="D347" s="667" t="s">
        <v>232</v>
      </c>
      <c r="E347" s="700"/>
      <c r="F347" s="701">
        <f t="shared" si="66"/>
        <v>0</v>
      </c>
      <c r="G347" s="697">
        <v>21.18</v>
      </c>
      <c r="H347" s="592">
        <f t="shared" si="63"/>
        <v>0</v>
      </c>
      <c r="I347" s="595">
        <f t="shared" si="65"/>
        <v>0</v>
      </c>
      <c r="J347" s="352"/>
    </row>
    <row r="348" spans="1:10" ht="35.25" customHeight="1" x14ac:dyDescent="0.3">
      <c r="A348" s="1134"/>
      <c r="B348" s="438"/>
      <c r="C348" s="441" t="s">
        <v>324</v>
      </c>
      <c r="D348" s="667" t="s">
        <v>325</v>
      </c>
      <c r="E348" s="700"/>
      <c r="F348" s="701">
        <f t="shared" si="66"/>
        <v>0</v>
      </c>
      <c r="G348" s="697">
        <v>21.28</v>
      </c>
      <c r="H348" s="592">
        <f t="shared" si="63"/>
        <v>0</v>
      </c>
      <c r="I348" s="595">
        <f t="shared" si="65"/>
        <v>0</v>
      </c>
      <c r="J348" s="352"/>
    </row>
    <row r="349" spans="1:10" ht="35.25" customHeight="1" x14ac:dyDescent="0.3">
      <c r="A349" s="1134"/>
      <c r="B349" s="438"/>
      <c r="C349" s="441" t="s">
        <v>378</v>
      </c>
      <c r="D349" s="667" t="s">
        <v>374</v>
      </c>
      <c r="E349" s="700"/>
      <c r="F349" s="701">
        <f t="shared" si="66"/>
        <v>0</v>
      </c>
      <c r="G349" s="697">
        <v>143.28</v>
      </c>
      <c r="H349" s="592">
        <f t="shared" si="63"/>
        <v>0</v>
      </c>
      <c r="I349" s="595">
        <f t="shared" si="65"/>
        <v>0</v>
      </c>
      <c r="J349" s="352"/>
    </row>
    <row r="350" spans="1:10" ht="35.25" customHeight="1" x14ac:dyDescent="0.3">
      <c r="A350" s="1134"/>
      <c r="B350" s="438"/>
      <c r="C350" s="441" t="s">
        <v>472</v>
      </c>
      <c r="D350" s="667"/>
      <c r="E350" s="700"/>
      <c r="F350" s="701">
        <f t="shared" si="66"/>
        <v>0</v>
      </c>
      <c r="G350" s="697">
        <v>14.79</v>
      </c>
      <c r="H350" s="592">
        <f t="shared" si="63"/>
        <v>0</v>
      </c>
      <c r="I350" s="595">
        <f t="shared" si="65"/>
        <v>0</v>
      </c>
      <c r="J350" s="352"/>
    </row>
    <row r="351" spans="1:10" ht="35.25" customHeight="1" x14ac:dyDescent="0.3">
      <c r="A351" s="1134"/>
      <c r="B351" s="438"/>
      <c r="C351" s="441" t="s">
        <v>451</v>
      </c>
      <c r="D351" s="666" t="s">
        <v>177</v>
      </c>
      <c r="E351" s="700"/>
      <c r="F351" s="701">
        <f t="shared" si="66"/>
        <v>261888</v>
      </c>
      <c r="G351" s="697">
        <v>14.55</v>
      </c>
      <c r="H351" s="592">
        <f t="shared" si="63"/>
        <v>0</v>
      </c>
      <c r="I351" s="595">
        <f t="shared" si="65"/>
        <v>3810470.4000000004</v>
      </c>
      <c r="J351" s="352"/>
    </row>
    <row r="352" spans="1:10" ht="35.25" customHeight="1" x14ac:dyDescent="0.3">
      <c r="A352" s="1134"/>
      <c r="B352" s="438"/>
      <c r="C352" s="441" t="s">
        <v>327</v>
      </c>
      <c r="D352" s="667" t="s">
        <v>188</v>
      </c>
      <c r="E352" s="700"/>
      <c r="F352" s="701">
        <f t="shared" si="66"/>
        <v>0</v>
      </c>
      <c r="G352" s="697">
        <v>21.28</v>
      </c>
      <c r="H352" s="592">
        <f t="shared" si="63"/>
        <v>0</v>
      </c>
      <c r="I352" s="595">
        <f t="shared" si="65"/>
        <v>0</v>
      </c>
      <c r="J352" s="352"/>
    </row>
    <row r="353" spans="1:13" ht="35.25" customHeight="1" thickBot="1" x14ac:dyDescent="0.35">
      <c r="A353" s="1134"/>
      <c r="B353" s="438"/>
      <c r="C353" s="441" t="s">
        <v>336</v>
      </c>
      <c r="D353" s="668" t="s">
        <v>178</v>
      </c>
      <c r="E353" s="700"/>
      <c r="F353" s="676">
        <f t="shared" si="66"/>
        <v>0</v>
      </c>
      <c r="G353" s="697">
        <v>36.44</v>
      </c>
      <c r="H353" s="592">
        <f t="shared" si="63"/>
        <v>0</v>
      </c>
      <c r="I353" s="595">
        <f t="shared" si="65"/>
        <v>0</v>
      </c>
      <c r="J353" s="352"/>
    </row>
    <row r="354" spans="1:13" ht="35.25" customHeight="1" thickBot="1" x14ac:dyDescent="0.35">
      <c r="A354" s="1134"/>
      <c r="B354" s="1129" t="s">
        <v>266</v>
      </c>
      <c r="C354" s="1130"/>
      <c r="D354" s="782"/>
      <c r="E354" s="326">
        <f>SUM(E339:E353)</f>
        <v>18360</v>
      </c>
      <c r="F354" s="698">
        <f>SUM(F339:F353)</f>
        <v>298608</v>
      </c>
      <c r="G354" s="326"/>
      <c r="H354" s="587">
        <f>SUM(H339:H353)</f>
        <v>345902.4</v>
      </c>
      <c r="I354" s="580">
        <f>SUM(I339:I353)</f>
        <v>4502275.2</v>
      </c>
      <c r="J354" s="349"/>
    </row>
    <row r="355" spans="1:13" ht="35.25" customHeight="1" x14ac:dyDescent="0.3">
      <c r="A355" s="1134"/>
      <c r="B355" s="779"/>
      <c r="C355" s="279" t="s">
        <v>271</v>
      </c>
      <c r="D355" s="434" t="s">
        <v>238</v>
      </c>
      <c r="E355" s="280"/>
      <c r="F355" s="435">
        <f>+E355+F248</f>
        <v>0</v>
      </c>
      <c r="G355" s="578">
        <v>160.44999999999999</v>
      </c>
      <c r="H355" s="593">
        <f t="shared" ref="H355:H360" si="67">E355*G355</f>
        <v>0</v>
      </c>
      <c r="I355" s="596">
        <f t="shared" ref="I355:I360" si="68">+G355*F355</f>
        <v>0</v>
      </c>
      <c r="J355" s="373"/>
    </row>
    <row r="356" spans="1:13" ht="35.25" customHeight="1" x14ac:dyDescent="0.3">
      <c r="A356" s="1134"/>
      <c r="B356" s="779"/>
      <c r="C356" s="279" t="s">
        <v>287</v>
      </c>
      <c r="D356" s="434" t="s">
        <v>93</v>
      </c>
      <c r="E356" s="280"/>
      <c r="F356" s="435">
        <f>+E356+F251</f>
        <v>37620</v>
      </c>
      <c r="G356" s="578">
        <v>27</v>
      </c>
      <c r="H356" s="593">
        <f t="shared" si="67"/>
        <v>0</v>
      </c>
      <c r="I356" s="596">
        <f t="shared" si="68"/>
        <v>1015740</v>
      </c>
      <c r="J356" s="373"/>
    </row>
    <row r="357" spans="1:13" ht="35.25" customHeight="1" x14ac:dyDescent="0.3">
      <c r="A357" s="1134"/>
      <c r="B357" s="779"/>
      <c r="C357" s="279" t="s">
        <v>287</v>
      </c>
      <c r="D357" s="434" t="s">
        <v>292</v>
      </c>
      <c r="E357" s="280"/>
      <c r="F357" s="435">
        <f>+E357+F252</f>
        <v>0</v>
      </c>
      <c r="G357" s="578">
        <v>27.5</v>
      </c>
      <c r="H357" s="593">
        <f t="shared" si="67"/>
        <v>0</v>
      </c>
      <c r="I357" s="596">
        <f t="shared" si="68"/>
        <v>0</v>
      </c>
      <c r="J357" s="373"/>
    </row>
    <row r="358" spans="1:13" ht="35.25" customHeight="1" x14ac:dyDescent="0.3">
      <c r="A358" s="1134"/>
      <c r="B358" s="779"/>
      <c r="C358" s="279" t="s">
        <v>276</v>
      </c>
      <c r="D358" s="434" t="s">
        <v>292</v>
      </c>
      <c r="E358" s="280"/>
      <c r="F358" s="435">
        <f>+E358+F253</f>
        <v>0</v>
      </c>
      <c r="G358" s="578">
        <v>34.5</v>
      </c>
      <c r="H358" s="593">
        <f t="shared" si="67"/>
        <v>0</v>
      </c>
      <c r="I358" s="596">
        <f t="shared" si="68"/>
        <v>0</v>
      </c>
      <c r="J358" s="373"/>
    </row>
    <row r="359" spans="1:13" ht="35.25" customHeight="1" x14ac:dyDescent="0.3">
      <c r="A359" s="1134"/>
      <c r="B359" s="779"/>
      <c r="C359" s="279" t="s">
        <v>473</v>
      </c>
      <c r="D359" s="434" t="s">
        <v>440</v>
      </c>
      <c r="E359" s="280"/>
      <c r="F359" s="435">
        <f>+E359+F254</f>
        <v>0</v>
      </c>
      <c r="G359" s="578">
        <v>10.57</v>
      </c>
      <c r="H359" s="593">
        <f t="shared" si="67"/>
        <v>0</v>
      </c>
      <c r="I359" s="596">
        <f t="shared" si="68"/>
        <v>0</v>
      </c>
      <c r="J359" s="373"/>
    </row>
    <row r="360" spans="1:13" ht="35.25" customHeight="1" thickBot="1" x14ac:dyDescent="0.35">
      <c r="A360" s="1134"/>
      <c r="B360" s="779"/>
      <c r="C360" s="279" t="s">
        <v>276</v>
      </c>
      <c r="D360" s="434" t="s">
        <v>440</v>
      </c>
      <c r="E360" s="280"/>
      <c r="F360" s="435">
        <f>+E360+F255</f>
        <v>0</v>
      </c>
      <c r="G360" s="578">
        <v>55.76</v>
      </c>
      <c r="H360" s="593">
        <f t="shared" si="67"/>
        <v>0</v>
      </c>
      <c r="I360" s="596">
        <f t="shared" si="68"/>
        <v>0</v>
      </c>
      <c r="J360" s="373"/>
    </row>
    <row r="361" spans="1:13" ht="35.25" customHeight="1" thickBot="1" x14ac:dyDescent="0.35">
      <c r="A361" s="1134"/>
      <c r="B361" s="1129" t="s">
        <v>267</v>
      </c>
      <c r="C361" s="1130"/>
      <c r="D361" s="782"/>
      <c r="E361" s="326">
        <f>SUM(E355:E360)</f>
        <v>0</v>
      </c>
      <c r="F361" s="326">
        <f>SUM(F355:F360)</f>
        <v>37620</v>
      </c>
      <c r="G361" s="326"/>
      <c r="H361" s="587">
        <f>SUM(H355:H360)</f>
        <v>0</v>
      </c>
      <c r="I361" s="580">
        <f>SUM(I355:I360)</f>
        <v>1015740</v>
      </c>
      <c r="J361" s="349"/>
    </row>
    <row r="362" spans="1:13" ht="35.25" customHeight="1" x14ac:dyDescent="0.3">
      <c r="A362" s="1134"/>
      <c r="B362" s="779"/>
      <c r="C362" s="279" t="s">
        <v>277</v>
      </c>
      <c r="D362" s="434" t="s">
        <v>278</v>
      </c>
      <c r="E362" s="280">
        <v>1</v>
      </c>
      <c r="F362" s="435">
        <f>+E362+F266</f>
        <v>1</v>
      </c>
      <c r="G362" s="578">
        <v>2500</v>
      </c>
      <c r="H362" s="593">
        <f t="shared" ref="H362:H365" si="69">E362*G362</f>
        <v>2500</v>
      </c>
      <c r="I362" s="596">
        <f>+G362*F362</f>
        <v>2500</v>
      </c>
      <c r="J362" s="373"/>
    </row>
    <row r="363" spans="1:13" ht="35.25" customHeight="1" x14ac:dyDescent="0.3">
      <c r="A363" s="1134"/>
      <c r="B363" s="779"/>
      <c r="C363" s="279" t="s">
        <v>454</v>
      </c>
      <c r="D363" s="434"/>
      <c r="E363" s="280"/>
      <c r="F363" s="435">
        <f>+E363+F267</f>
        <v>0</v>
      </c>
      <c r="G363" s="578">
        <v>30000</v>
      </c>
      <c r="H363" s="593">
        <f t="shared" si="69"/>
        <v>0</v>
      </c>
      <c r="I363" s="596">
        <f>+G363*F363</f>
        <v>0</v>
      </c>
      <c r="J363" s="373"/>
    </row>
    <row r="364" spans="1:13" ht="35.25" customHeight="1" x14ac:dyDescent="0.3">
      <c r="A364" s="1134"/>
      <c r="B364" s="779"/>
      <c r="C364" s="279" t="s">
        <v>379</v>
      </c>
      <c r="D364" s="434" t="s">
        <v>304</v>
      </c>
      <c r="E364" s="280"/>
      <c r="F364" s="435">
        <f>+E364+F268</f>
        <v>0</v>
      </c>
      <c r="G364" s="578">
        <v>360</v>
      </c>
      <c r="H364" s="593">
        <f t="shared" si="69"/>
        <v>0</v>
      </c>
      <c r="I364" s="596">
        <f>+G364*F364</f>
        <v>0</v>
      </c>
      <c r="J364" s="373"/>
    </row>
    <row r="365" spans="1:13" ht="35.25" customHeight="1" thickBot="1" x14ac:dyDescent="0.35">
      <c r="A365" s="1134"/>
      <c r="B365" s="779"/>
      <c r="C365" s="279" t="s">
        <v>427</v>
      </c>
      <c r="D365" s="434" t="s">
        <v>304</v>
      </c>
      <c r="E365" s="280"/>
      <c r="F365" s="435">
        <f>+E365+F269</f>
        <v>0</v>
      </c>
      <c r="G365" s="579">
        <v>10</v>
      </c>
      <c r="H365" s="593">
        <f t="shared" si="69"/>
        <v>0</v>
      </c>
      <c r="I365" s="596">
        <f t="shared" ref="I365" si="70">+G365*F365</f>
        <v>0</v>
      </c>
      <c r="J365" s="373"/>
    </row>
    <row r="366" spans="1:13" ht="35.25" customHeight="1" thickBot="1" x14ac:dyDescent="0.35">
      <c r="A366" s="1134"/>
      <c r="B366" s="1129" t="s">
        <v>272</v>
      </c>
      <c r="C366" s="1130"/>
      <c r="D366" s="782"/>
      <c r="E366" s="326">
        <f>SUM(E362:E365)</f>
        <v>1</v>
      </c>
      <c r="F366" s="326">
        <f>SUM(F362:F365)</f>
        <v>1</v>
      </c>
      <c r="G366" s="326"/>
      <c r="H366" s="587">
        <f>SUM(H362:H365)</f>
        <v>2500</v>
      </c>
      <c r="I366" s="580">
        <f>SUM(I362:I365)</f>
        <v>2500</v>
      </c>
      <c r="J366" s="373"/>
    </row>
    <row r="367" spans="1:13" ht="35.25" customHeight="1" thickBot="1" x14ac:dyDescent="0.35">
      <c r="A367" s="1134"/>
      <c r="B367" s="779"/>
      <c r="C367" s="279"/>
      <c r="D367" s="434"/>
      <c r="E367" s="280"/>
      <c r="F367" s="317"/>
      <c r="G367" s="579"/>
      <c r="H367" s="588"/>
      <c r="I367" s="282">
        <f t="shared" ref="I367" si="71">+G367*F367</f>
        <v>0</v>
      </c>
      <c r="J367" s="373"/>
    </row>
    <row r="368" spans="1:13" ht="35.25" customHeight="1" thickBot="1" x14ac:dyDescent="0.35">
      <c r="A368" s="1135"/>
      <c r="B368" s="1129" t="s">
        <v>269</v>
      </c>
      <c r="C368" s="1130"/>
      <c r="D368" s="780"/>
      <c r="E368" s="326">
        <f>+E366+E361+E354</f>
        <v>18361</v>
      </c>
      <c r="F368" s="326">
        <f>+F366+F361+F354</f>
        <v>336229</v>
      </c>
      <c r="G368" s="326"/>
      <c r="H368" s="580">
        <f>+H361+H354+H366</f>
        <v>348402.4</v>
      </c>
      <c r="I368" s="580">
        <f>+I361+I354+I366</f>
        <v>5520515.2000000002</v>
      </c>
      <c r="J368" s="373"/>
      <c r="K368" s="704"/>
      <c r="M368" s="704"/>
    </row>
    <row r="369" spans="1:11" ht="35.25" customHeight="1" x14ac:dyDescent="0.3">
      <c r="A369" s="1133" t="s">
        <v>101</v>
      </c>
      <c r="B369" s="779"/>
      <c r="C369" s="279" t="s">
        <v>281</v>
      </c>
      <c r="D369" s="434" t="s">
        <v>178</v>
      </c>
      <c r="E369" s="280"/>
      <c r="F369" s="435">
        <f>+E369+F273</f>
        <v>0</v>
      </c>
      <c r="G369" s="602">
        <v>13.25</v>
      </c>
      <c r="H369" s="597">
        <f t="shared" ref="H369:H397" si="72">E369*G369</f>
        <v>0</v>
      </c>
      <c r="I369" s="596">
        <f t="shared" ref="I369:I397" si="73">+G369*F369</f>
        <v>0</v>
      </c>
      <c r="J369" s="373"/>
      <c r="K369" s="704"/>
    </row>
    <row r="370" spans="1:11" ht="35.25" customHeight="1" x14ac:dyDescent="0.3">
      <c r="A370" s="1134"/>
      <c r="B370" s="779"/>
      <c r="C370" s="279" t="s">
        <v>282</v>
      </c>
      <c r="D370" s="434"/>
      <c r="E370" s="280"/>
      <c r="F370" s="435">
        <f>+E370+F274</f>
        <v>0</v>
      </c>
      <c r="G370" s="603">
        <v>5000</v>
      </c>
      <c r="H370" s="597">
        <f t="shared" si="72"/>
        <v>0</v>
      </c>
      <c r="I370" s="596">
        <f t="shared" si="73"/>
        <v>0</v>
      </c>
      <c r="J370" s="373"/>
      <c r="K370" s="704"/>
    </row>
    <row r="371" spans="1:11" ht="35.25" customHeight="1" x14ac:dyDescent="0.3">
      <c r="A371" s="1134"/>
      <c r="B371" s="779"/>
      <c r="C371" s="279" t="s">
        <v>282</v>
      </c>
      <c r="D371" s="434"/>
      <c r="E371" s="280"/>
      <c r="F371" s="435">
        <f>+E371+F275</f>
        <v>0</v>
      </c>
      <c r="G371" s="603">
        <v>18000</v>
      </c>
      <c r="H371" s="597">
        <f t="shared" si="72"/>
        <v>0</v>
      </c>
      <c r="I371" s="596">
        <f t="shared" si="73"/>
        <v>0</v>
      </c>
      <c r="J371" s="373"/>
    </row>
    <row r="372" spans="1:11" ht="35.25" customHeight="1" x14ac:dyDescent="0.3">
      <c r="A372" s="1134"/>
      <c r="B372" s="779"/>
      <c r="C372" s="279" t="s">
        <v>465</v>
      </c>
      <c r="D372" s="434" t="s">
        <v>338</v>
      </c>
      <c r="E372" s="280"/>
      <c r="F372" s="435">
        <f>+E372+F277</f>
        <v>0</v>
      </c>
      <c r="G372" s="602">
        <v>24.93</v>
      </c>
      <c r="H372" s="597">
        <f t="shared" si="72"/>
        <v>0</v>
      </c>
      <c r="I372" s="596">
        <f t="shared" si="73"/>
        <v>0</v>
      </c>
      <c r="J372" s="373"/>
    </row>
    <row r="373" spans="1:11" ht="35.25" customHeight="1" x14ac:dyDescent="0.3">
      <c r="A373" s="1134"/>
      <c r="B373" s="779"/>
      <c r="C373" s="746" t="s">
        <v>466</v>
      </c>
      <c r="D373" s="747" t="s">
        <v>92</v>
      </c>
      <c r="E373" s="280"/>
      <c r="F373" s="435">
        <f t="shared" ref="F373:F379" si="74">+E373+F279</f>
        <v>0</v>
      </c>
      <c r="G373" s="602">
        <v>20.8</v>
      </c>
      <c r="H373" s="597">
        <f t="shared" si="72"/>
        <v>0</v>
      </c>
      <c r="I373" s="596">
        <f t="shared" si="73"/>
        <v>0</v>
      </c>
      <c r="J373" s="373"/>
    </row>
    <row r="374" spans="1:11" ht="35.25" customHeight="1" x14ac:dyDescent="0.3">
      <c r="A374" s="1134"/>
      <c r="B374" s="779"/>
      <c r="C374" s="746" t="s">
        <v>467</v>
      </c>
      <c r="D374" s="747" t="s">
        <v>468</v>
      </c>
      <c r="E374" s="280"/>
      <c r="F374" s="435">
        <f t="shared" si="74"/>
        <v>0</v>
      </c>
      <c r="G374" s="602">
        <v>24.93</v>
      </c>
      <c r="H374" s="597">
        <f t="shared" si="72"/>
        <v>0</v>
      </c>
      <c r="I374" s="596">
        <f t="shared" si="73"/>
        <v>0</v>
      </c>
      <c r="J374" s="373"/>
    </row>
    <row r="375" spans="1:11" ht="35.25" customHeight="1" x14ac:dyDescent="0.3">
      <c r="A375" s="1134"/>
      <c r="B375" s="779"/>
      <c r="C375" s="746" t="s">
        <v>467</v>
      </c>
      <c r="D375" s="747" t="s">
        <v>468</v>
      </c>
      <c r="E375" s="280"/>
      <c r="F375" s="435">
        <f t="shared" si="74"/>
        <v>0</v>
      </c>
      <c r="G375" s="602">
        <v>25.49</v>
      </c>
      <c r="H375" s="597">
        <f t="shared" si="72"/>
        <v>0</v>
      </c>
      <c r="I375" s="596">
        <f t="shared" si="73"/>
        <v>0</v>
      </c>
      <c r="J375" s="373"/>
    </row>
    <row r="376" spans="1:11" s="757" customFormat="1" ht="35.25" customHeight="1" x14ac:dyDescent="0.3">
      <c r="A376" s="1134"/>
      <c r="B376" s="748"/>
      <c r="C376" s="749" t="s">
        <v>469</v>
      </c>
      <c r="D376" s="750" t="s">
        <v>309</v>
      </c>
      <c r="E376" s="751"/>
      <c r="F376" s="752">
        <f t="shared" si="74"/>
        <v>0</v>
      </c>
      <c r="G376" s="753">
        <v>24.41</v>
      </c>
      <c r="H376" s="754">
        <f t="shared" si="72"/>
        <v>0</v>
      </c>
      <c r="I376" s="755">
        <f t="shared" si="73"/>
        <v>0</v>
      </c>
      <c r="J376" s="756"/>
    </row>
    <row r="377" spans="1:11" ht="35.25" customHeight="1" x14ac:dyDescent="0.3">
      <c r="A377" s="1134"/>
      <c r="B377" s="779"/>
      <c r="C377" s="279" t="s">
        <v>444</v>
      </c>
      <c r="D377" s="434" t="s">
        <v>423</v>
      </c>
      <c r="E377" s="280"/>
      <c r="F377" s="435">
        <f t="shared" si="74"/>
        <v>0</v>
      </c>
      <c r="G377" s="602">
        <v>20.76</v>
      </c>
      <c r="H377" s="597">
        <f t="shared" si="72"/>
        <v>0</v>
      </c>
      <c r="I377" s="596">
        <f t="shared" si="73"/>
        <v>0</v>
      </c>
      <c r="J377" s="373"/>
    </row>
    <row r="378" spans="1:11" ht="35.25" customHeight="1" x14ac:dyDescent="0.3">
      <c r="A378" s="1134"/>
      <c r="B378" s="779"/>
      <c r="C378" s="279" t="s">
        <v>298</v>
      </c>
      <c r="D378" s="434" t="s">
        <v>107</v>
      </c>
      <c r="E378" s="280"/>
      <c r="F378" s="435">
        <f t="shared" si="74"/>
        <v>0</v>
      </c>
      <c r="G378" s="602">
        <v>24.93</v>
      </c>
      <c r="H378" s="597">
        <f t="shared" si="72"/>
        <v>0</v>
      </c>
      <c r="I378" s="596">
        <f t="shared" si="73"/>
        <v>0</v>
      </c>
      <c r="J378" s="373"/>
    </row>
    <row r="379" spans="1:11" ht="35.25" customHeight="1" x14ac:dyDescent="0.3">
      <c r="A379" s="1134"/>
      <c r="B379" s="779"/>
      <c r="C379" s="279" t="s">
        <v>299</v>
      </c>
      <c r="D379" s="434" t="s">
        <v>280</v>
      </c>
      <c r="E379" s="280"/>
      <c r="F379" s="435">
        <f t="shared" si="74"/>
        <v>0</v>
      </c>
      <c r="G379" s="602">
        <v>24.93</v>
      </c>
      <c r="H379" s="597">
        <f t="shared" si="72"/>
        <v>0</v>
      </c>
      <c r="I379" s="596">
        <f t="shared" si="73"/>
        <v>0</v>
      </c>
      <c r="J379" s="373"/>
    </row>
    <row r="380" spans="1:11" ht="35.25" customHeight="1" x14ac:dyDescent="0.3">
      <c r="A380" s="1134"/>
      <c r="B380" s="779"/>
      <c r="C380" s="279" t="s">
        <v>425</v>
      </c>
      <c r="D380" s="434" t="s">
        <v>309</v>
      </c>
      <c r="E380" s="280"/>
      <c r="F380" s="435">
        <f t="shared" ref="F380:F397" si="75">+E380+F287</f>
        <v>0</v>
      </c>
      <c r="G380" s="602">
        <v>23.78</v>
      </c>
      <c r="H380" s="597">
        <f t="shared" si="72"/>
        <v>0</v>
      </c>
      <c r="I380" s="596">
        <f t="shared" si="73"/>
        <v>0</v>
      </c>
      <c r="J380" s="373"/>
    </row>
    <row r="381" spans="1:11" ht="35.25" customHeight="1" x14ac:dyDescent="0.3">
      <c r="A381" s="1134"/>
      <c r="B381" s="779"/>
      <c r="C381" s="279" t="s">
        <v>354</v>
      </c>
      <c r="D381" s="434" t="s">
        <v>309</v>
      </c>
      <c r="E381" s="280"/>
      <c r="F381" s="435">
        <f t="shared" si="75"/>
        <v>0</v>
      </c>
      <c r="G381" s="602">
        <v>37.4566666666</v>
      </c>
      <c r="H381" s="597">
        <f t="shared" si="72"/>
        <v>0</v>
      </c>
      <c r="I381" s="596">
        <f t="shared" si="73"/>
        <v>0</v>
      </c>
      <c r="J381" s="373"/>
    </row>
    <row r="382" spans="1:11" ht="35.25" customHeight="1" x14ac:dyDescent="0.3">
      <c r="A382" s="1134"/>
      <c r="B382" s="779"/>
      <c r="C382" s="279" t="s">
        <v>355</v>
      </c>
      <c r="D382" s="434" t="s">
        <v>309</v>
      </c>
      <c r="E382" s="280"/>
      <c r="F382" s="435">
        <f t="shared" si="75"/>
        <v>0</v>
      </c>
      <c r="G382" s="602">
        <v>37.89</v>
      </c>
      <c r="H382" s="597">
        <f t="shared" si="72"/>
        <v>0</v>
      </c>
      <c r="I382" s="596">
        <f t="shared" si="73"/>
        <v>0</v>
      </c>
      <c r="J382" s="373"/>
    </row>
    <row r="383" spans="1:11" ht="35.25" customHeight="1" x14ac:dyDescent="0.3">
      <c r="A383" s="1134"/>
      <c r="B383" s="779"/>
      <c r="C383" s="279" t="s">
        <v>461</v>
      </c>
      <c r="D383" s="434" t="s">
        <v>92</v>
      </c>
      <c r="E383" s="280"/>
      <c r="F383" s="435">
        <f t="shared" si="75"/>
        <v>0</v>
      </c>
      <c r="G383" s="602">
        <v>28.31</v>
      </c>
      <c r="H383" s="597">
        <f t="shared" si="72"/>
        <v>0</v>
      </c>
      <c r="I383" s="596">
        <f t="shared" si="73"/>
        <v>0</v>
      </c>
      <c r="J383" s="373"/>
    </row>
    <row r="384" spans="1:11" ht="35.25" customHeight="1" x14ac:dyDescent="0.3">
      <c r="A384" s="1134"/>
      <c r="B384" s="779"/>
      <c r="C384" s="279" t="s">
        <v>461</v>
      </c>
      <c r="D384" s="434" t="s">
        <v>423</v>
      </c>
      <c r="E384" s="280"/>
      <c r="F384" s="435">
        <f t="shared" si="75"/>
        <v>0</v>
      </c>
      <c r="G384" s="602">
        <v>28.88</v>
      </c>
      <c r="H384" s="597">
        <f t="shared" si="72"/>
        <v>0</v>
      </c>
      <c r="I384" s="596">
        <f t="shared" si="73"/>
        <v>0</v>
      </c>
      <c r="J384" s="373"/>
    </row>
    <row r="385" spans="1:10" ht="35.25" customHeight="1" x14ac:dyDescent="0.3">
      <c r="A385" s="1134"/>
      <c r="B385" s="779"/>
      <c r="C385" s="279" t="s">
        <v>462</v>
      </c>
      <c r="D385" s="434" t="s">
        <v>423</v>
      </c>
      <c r="E385" s="280"/>
      <c r="F385" s="435">
        <f t="shared" si="75"/>
        <v>0</v>
      </c>
      <c r="G385" s="602">
        <v>28.21</v>
      </c>
      <c r="H385" s="597">
        <f t="shared" si="72"/>
        <v>0</v>
      </c>
      <c r="I385" s="596">
        <f t="shared" si="73"/>
        <v>0</v>
      </c>
      <c r="J385" s="373"/>
    </row>
    <row r="386" spans="1:10" ht="35.25" customHeight="1" x14ac:dyDescent="0.3">
      <c r="A386" s="1134"/>
      <c r="B386" s="779"/>
      <c r="C386" s="279" t="s">
        <v>463</v>
      </c>
      <c r="D386" s="434" t="s">
        <v>338</v>
      </c>
      <c r="E386" s="280"/>
      <c r="F386" s="435">
        <f t="shared" si="75"/>
        <v>0</v>
      </c>
      <c r="G386" s="602">
        <v>39</v>
      </c>
      <c r="H386" s="597">
        <f t="shared" si="72"/>
        <v>0</v>
      </c>
      <c r="I386" s="596">
        <f t="shared" si="73"/>
        <v>0</v>
      </c>
      <c r="J386" s="373"/>
    </row>
    <row r="387" spans="1:10" ht="35.25" customHeight="1" x14ac:dyDescent="0.3">
      <c r="A387" s="1134"/>
      <c r="B387" s="779"/>
      <c r="C387" s="279" t="s">
        <v>463</v>
      </c>
      <c r="D387" s="434" t="s">
        <v>92</v>
      </c>
      <c r="E387" s="280"/>
      <c r="F387" s="435">
        <f t="shared" si="75"/>
        <v>0</v>
      </c>
      <c r="G387" s="602">
        <v>32.65</v>
      </c>
      <c r="H387" s="597">
        <f t="shared" si="72"/>
        <v>0</v>
      </c>
      <c r="I387" s="596">
        <f t="shared" si="73"/>
        <v>0</v>
      </c>
      <c r="J387" s="373"/>
    </row>
    <row r="388" spans="1:10" ht="35.25" customHeight="1" x14ac:dyDescent="0.3">
      <c r="A388" s="1134"/>
      <c r="B388" s="779"/>
      <c r="C388" s="279" t="s">
        <v>463</v>
      </c>
      <c r="D388" s="434" t="s">
        <v>423</v>
      </c>
      <c r="E388" s="280"/>
      <c r="F388" s="435">
        <f t="shared" si="75"/>
        <v>0</v>
      </c>
      <c r="G388" s="602">
        <v>33.299999999999997</v>
      </c>
      <c r="H388" s="597">
        <f t="shared" si="72"/>
        <v>0</v>
      </c>
      <c r="I388" s="596">
        <f t="shared" si="73"/>
        <v>0</v>
      </c>
      <c r="J388" s="373"/>
    </row>
    <row r="389" spans="1:10" ht="35.25" customHeight="1" x14ac:dyDescent="0.3">
      <c r="A389" s="1134"/>
      <c r="B389" s="779"/>
      <c r="C389" s="279" t="s">
        <v>299</v>
      </c>
      <c r="D389" s="434" t="s">
        <v>279</v>
      </c>
      <c r="E389" s="280"/>
      <c r="F389" s="435">
        <f t="shared" si="75"/>
        <v>0</v>
      </c>
      <c r="G389" s="602">
        <v>24.93</v>
      </c>
      <c r="H389" s="597">
        <f t="shared" si="72"/>
        <v>0</v>
      </c>
      <c r="I389" s="596">
        <f t="shared" si="73"/>
        <v>0</v>
      </c>
      <c r="J389" s="373"/>
    </row>
    <row r="390" spans="1:10" ht="35.25" customHeight="1" x14ac:dyDescent="0.3">
      <c r="A390" s="1134"/>
      <c r="B390" s="779"/>
      <c r="C390" s="279" t="s">
        <v>299</v>
      </c>
      <c r="D390" s="434"/>
      <c r="E390" s="280"/>
      <c r="F390" s="435">
        <f t="shared" si="75"/>
        <v>0</v>
      </c>
      <c r="G390" s="602">
        <v>24.93</v>
      </c>
      <c r="H390" s="597">
        <f t="shared" si="72"/>
        <v>0</v>
      </c>
      <c r="I390" s="596">
        <f t="shared" si="73"/>
        <v>0</v>
      </c>
      <c r="J390" s="373"/>
    </row>
    <row r="391" spans="1:10" ht="35.25" customHeight="1" x14ac:dyDescent="0.3">
      <c r="A391" s="1134"/>
      <c r="B391" s="779"/>
      <c r="C391" s="279" t="s">
        <v>316</v>
      </c>
      <c r="D391" s="434" t="s">
        <v>289</v>
      </c>
      <c r="E391" s="280"/>
      <c r="F391" s="435">
        <f t="shared" si="75"/>
        <v>0</v>
      </c>
      <c r="G391" s="602">
        <v>34.26</v>
      </c>
      <c r="H391" s="597">
        <f t="shared" si="72"/>
        <v>0</v>
      </c>
      <c r="I391" s="596">
        <f t="shared" si="73"/>
        <v>0</v>
      </c>
      <c r="J391" s="373"/>
    </row>
    <row r="392" spans="1:10" ht="35.25" customHeight="1" x14ac:dyDescent="0.3">
      <c r="A392" s="1134"/>
      <c r="B392" s="779"/>
      <c r="C392" s="279" t="s">
        <v>328</v>
      </c>
      <c r="D392" s="434" t="s">
        <v>360</v>
      </c>
      <c r="E392" s="280"/>
      <c r="F392" s="435">
        <f t="shared" si="75"/>
        <v>0</v>
      </c>
      <c r="G392" s="602">
        <v>37.89</v>
      </c>
      <c r="H392" s="597">
        <f t="shared" si="72"/>
        <v>0</v>
      </c>
      <c r="I392" s="596">
        <f t="shared" si="73"/>
        <v>0</v>
      </c>
      <c r="J392" s="373"/>
    </row>
    <row r="393" spans="1:10" ht="35.25" customHeight="1" x14ac:dyDescent="0.3">
      <c r="A393" s="1134"/>
      <c r="B393" s="779"/>
      <c r="C393" s="279" t="s">
        <v>363</v>
      </c>
      <c r="D393" s="434" t="s">
        <v>338</v>
      </c>
      <c r="E393" s="280"/>
      <c r="F393" s="435">
        <f t="shared" si="75"/>
        <v>0</v>
      </c>
      <c r="G393" s="602">
        <v>39</v>
      </c>
      <c r="H393" s="597">
        <f t="shared" si="72"/>
        <v>0</v>
      </c>
      <c r="I393" s="596">
        <f t="shared" si="73"/>
        <v>0</v>
      </c>
      <c r="J393" s="373"/>
    </row>
    <row r="394" spans="1:10" ht="35.25" customHeight="1" x14ac:dyDescent="0.3">
      <c r="A394" s="1134"/>
      <c r="B394" s="779"/>
      <c r="C394" s="279" t="s">
        <v>299</v>
      </c>
      <c r="D394" s="434" t="s">
        <v>177</v>
      </c>
      <c r="E394" s="280"/>
      <c r="F394" s="435">
        <f t="shared" si="75"/>
        <v>0</v>
      </c>
      <c r="G394" s="602">
        <v>21.22</v>
      </c>
      <c r="H394" s="597">
        <f t="shared" si="72"/>
        <v>0</v>
      </c>
      <c r="I394" s="596">
        <f t="shared" si="73"/>
        <v>0</v>
      </c>
      <c r="J394" s="373"/>
    </row>
    <row r="395" spans="1:10" ht="35.25" customHeight="1" x14ac:dyDescent="0.3">
      <c r="A395" s="1134"/>
      <c r="B395" s="779"/>
      <c r="C395" s="279" t="s">
        <v>298</v>
      </c>
      <c r="D395" s="434" t="s">
        <v>177</v>
      </c>
      <c r="E395" s="280"/>
      <c r="F395" s="435">
        <f t="shared" si="75"/>
        <v>0</v>
      </c>
      <c r="G395" s="602">
        <v>21.22</v>
      </c>
      <c r="H395" s="597">
        <f t="shared" si="72"/>
        <v>0</v>
      </c>
      <c r="I395" s="596">
        <f t="shared" si="73"/>
        <v>0</v>
      </c>
      <c r="J395" s="373"/>
    </row>
    <row r="396" spans="1:10" ht="35.25" customHeight="1" x14ac:dyDescent="0.3">
      <c r="A396" s="1134"/>
      <c r="B396" s="779"/>
      <c r="C396" s="279" t="s">
        <v>339</v>
      </c>
      <c r="D396" s="434" t="s">
        <v>304</v>
      </c>
      <c r="E396" s="280"/>
      <c r="F396" s="435">
        <f t="shared" si="75"/>
        <v>0</v>
      </c>
      <c r="G396" s="602">
        <v>10000</v>
      </c>
      <c r="H396" s="597">
        <f t="shared" si="72"/>
        <v>0</v>
      </c>
      <c r="I396" s="596">
        <f t="shared" si="73"/>
        <v>0</v>
      </c>
      <c r="J396" s="373"/>
    </row>
    <row r="397" spans="1:10" ht="35.25" customHeight="1" thickBot="1" x14ac:dyDescent="0.35">
      <c r="A397" s="1134"/>
      <c r="B397" s="779"/>
      <c r="C397" s="279" t="s">
        <v>303</v>
      </c>
      <c r="D397" s="434" t="s">
        <v>304</v>
      </c>
      <c r="E397" s="280"/>
      <c r="F397" s="435">
        <f t="shared" si="75"/>
        <v>0</v>
      </c>
      <c r="G397" s="602">
        <v>360</v>
      </c>
      <c r="H397" s="597">
        <f t="shared" si="72"/>
        <v>0</v>
      </c>
      <c r="I397" s="596">
        <f t="shared" si="73"/>
        <v>0</v>
      </c>
      <c r="J397" s="373"/>
    </row>
    <row r="398" spans="1:10" ht="35.25" customHeight="1" thickBot="1" x14ac:dyDescent="0.35">
      <c r="A398" s="1135"/>
      <c r="B398" s="1129" t="s">
        <v>268</v>
      </c>
      <c r="C398" s="1130"/>
      <c r="D398" s="782"/>
      <c r="E398" s="326">
        <f>SUM(E369:E397)</f>
        <v>0</v>
      </c>
      <c r="F398" s="326">
        <f>SUM(F369:F397)</f>
        <v>0</v>
      </c>
      <c r="G398" s="326"/>
      <c r="H398" s="587">
        <f>SUM(H369:H397)</f>
        <v>0</v>
      </c>
      <c r="I398" s="580">
        <f>SUM(I369:I397)</f>
        <v>0</v>
      </c>
      <c r="J398" s="373"/>
    </row>
    <row r="399" spans="1:10" ht="35.25" customHeight="1" x14ac:dyDescent="0.3">
      <c r="A399" s="1133" t="s">
        <v>102</v>
      </c>
      <c r="B399" s="779"/>
      <c r="C399" s="279" t="s">
        <v>273</v>
      </c>
      <c r="D399" s="434" t="s">
        <v>238</v>
      </c>
      <c r="E399" s="280"/>
      <c r="F399" s="435">
        <f t="shared" ref="F399:F423" si="76">+E399+F306</f>
        <v>0</v>
      </c>
      <c r="G399" s="602">
        <v>430.02</v>
      </c>
      <c r="H399" s="593">
        <f>E399*G399</f>
        <v>0</v>
      </c>
      <c r="I399" s="596">
        <f t="shared" ref="I399:I420" si="77">+G399*F399</f>
        <v>0</v>
      </c>
      <c r="J399" s="373"/>
    </row>
    <row r="400" spans="1:10" ht="35.25" customHeight="1" x14ac:dyDescent="0.3">
      <c r="A400" s="1134"/>
      <c r="B400" s="779"/>
      <c r="C400" s="279" t="s">
        <v>274</v>
      </c>
      <c r="D400" s="434" t="s">
        <v>238</v>
      </c>
      <c r="E400" s="280"/>
      <c r="F400" s="435">
        <f t="shared" si="76"/>
        <v>0</v>
      </c>
      <c r="G400" s="602">
        <v>445.38</v>
      </c>
      <c r="H400" s="593">
        <f t="shared" ref="H400:H420" si="78">E400*G400</f>
        <v>0</v>
      </c>
      <c r="I400" s="596">
        <f t="shared" si="77"/>
        <v>0</v>
      </c>
      <c r="J400" s="373"/>
    </row>
    <row r="401" spans="1:10" ht="35.25" customHeight="1" x14ac:dyDescent="0.3">
      <c r="A401" s="1134"/>
      <c r="B401" s="779"/>
      <c r="C401" s="279" t="s">
        <v>390</v>
      </c>
      <c r="D401" s="434" t="s">
        <v>238</v>
      </c>
      <c r="E401" s="280"/>
      <c r="F401" s="435">
        <f t="shared" si="76"/>
        <v>0</v>
      </c>
      <c r="G401" s="602">
        <v>445.38</v>
      </c>
      <c r="H401" s="593">
        <f t="shared" si="78"/>
        <v>0</v>
      </c>
      <c r="I401" s="596">
        <f t="shared" si="77"/>
        <v>0</v>
      </c>
      <c r="J401" s="373"/>
    </row>
    <row r="402" spans="1:10" ht="35.25" customHeight="1" x14ac:dyDescent="0.3">
      <c r="A402" s="1134"/>
      <c r="B402" s="779"/>
      <c r="C402" s="279" t="s">
        <v>301</v>
      </c>
      <c r="D402" s="434" t="s">
        <v>238</v>
      </c>
      <c r="E402" s="280"/>
      <c r="F402" s="435">
        <f t="shared" si="76"/>
        <v>0</v>
      </c>
      <c r="G402" s="602">
        <v>63.55</v>
      </c>
      <c r="H402" s="593">
        <f t="shared" si="78"/>
        <v>0</v>
      </c>
      <c r="I402" s="596">
        <f t="shared" si="77"/>
        <v>0</v>
      </c>
      <c r="J402" s="373"/>
    </row>
    <row r="403" spans="1:10" ht="35.25" customHeight="1" x14ac:dyDescent="0.3">
      <c r="A403" s="1134"/>
      <c r="B403" s="779"/>
      <c r="C403" s="279" t="s">
        <v>275</v>
      </c>
      <c r="D403" s="434" t="s">
        <v>238</v>
      </c>
      <c r="E403" s="280"/>
      <c r="F403" s="435">
        <f t="shared" si="76"/>
        <v>10080</v>
      </c>
      <c r="G403" s="602">
        <v>71.44</v>
      </c>
      <c r="H403" s="593">
        <f t="shared" si="78"/>
        <v>0</v>
      </c>
      <c r="I403" s="596">
        <f t="shared" si="77"/>
        <v>720115.19999999995</v>
      </c>
      <c r="J403" s="373"/>
    </row>
    <row r="404" spans="1:10" ht="35.25" customHeight="1" x14ac:dyDescent="0.3">
      <c r="A404" s="1134"/>
      <c r="B404" s="779"/>
      <c r="C404" s="279" t="s">
        <v>276</v>
      </c>
      <c r="D404" s="434" t="s">
        <v>238</v>
      </c>
      <c r="E404" s="280"/>
      <c r="F404" s="435">
        <f t="shared" si="76"/>
        <v>0</v>
      </c>
      <c r="G404" s="602">
        <v>36.5</v>
      </c>
      <c r="H404" s="593">
        <f t="shared" si="78"/>
        <v>0</v>
      </c>
      <c r="I404" s="596">
        <f t="shared" si="77"/>
        <v>0</v>
      </c>
      <c r="J404" s="373"/>
    </row>
    <row r="405" spans="1:10" ht="35.25" customHeight="1" x14ac:dyDescent="0.3">
      <c r="A405" s="1134"/>
      <c r="B405" s="779"/>
      <c r="C405" s="279" t="s">
        <v>426</v>
      </c>
      <c r="D405" s="434" t="s">
        <v>238</v>
      </c>
      <c r="E405" s="280"/>
      <c r="F405" s="435">
        <f t="shared" si="76"/>
        <v>0</v>
      </c>
      <c r="G405" s="602">
        <v>320.35000000000002</v>
      </c>
      <c r="H405" s="593">
        <f t="shared" si="78"/>
        <v>0</v>
      </c>
      <c r="I405" s="596">
        <f t="shared" si="77"/>
        <v>0</v>
      </c>
      <c r="J405" s="373"/>
    </row>
    <row r="406" spans="1:10" ht="35.25" customHeight="1" x14ac:dyDescent="0.3">
      <c r="A406" s="1134"/>
      <c r="B406" s="779"/>
      <c r="C406" s="279" t="s">
        <v>285</v>
      </c>
      <c r="D406" s="434" t="s">
        <v>238</v>
      </c>
      <c r="E406" s="280"/>
      <c r="F406" s="435">
        <f t="shared" si="76"/>
        <v>0</v>
      </c>
      <c r="G406" s="602">
        <v>320.35000000000002</v>
      </c>
      <c r="H406" s="593">
        <f t="shared" si="78"/>
        <v>0</v>
      </c>
      <c r="I406" s="596">
        <f t="shared" si="77"/>
        <v>0</v>
      </c>
      <c r="J406" s="373"/>
    </row>
    <row r="407" spans="1:10" ht="35.25" customHeight="1" x14ac:dyDescent="0.3">
      <c r="A407" s="1134"/>
      <c r="B407" s="779"/>
      <c r="C407" s="279" t="s">
        <v>296</v>
      </c>
      <c r="D407" s="434" t="s">
        <v>238</v>
      </c>
      <c r="E407" s="280"/>
      <c r="F407" s="435">
        <f t="shared" si="76"/>
        <v>0</v>
      </c>
      <c r="G407" s="602">
        <v>434.41</v>
      </c>
      <c r="H407" s="593">
        <f t="shared" si="78"/>
        <v>0</v>
      </c>
      <c r="I407" s="596">
        <f t="shared" si="77"/>
        <v>0</v>
      </c>
      <c r="J407" s="373"/>
    </row>
    <row r="408" spans="1:10" ht="35.25" customHeight="1" x14ac:dyDescent="0.3">
      <c r="A408" s="1134"/>
      <c r="B408" s="779"/>
      <c r="C408" s="279" t="s">
        <v>282</v>
      </c>
      <c r="D408" s="434" t="s">
        <v>238</v>
      </c>
      <c r="E408" s="280"/>
      <c r="F408" s="435">
        <f t="shared" si="76"/>
        <v>0</v>
      </c>
      <c r="G408" s="602">
        <v>29690</v>
      </c>
      <c r="H408" s="593">
        <f t="shared" si="78"/>
        <v>0</v>
      </c>
      <c r="I408" s="596">
        <f t="shared" si="77"/>
        <v>0</v>
      </c>
      <c r="J408" s="373"/>
    </row>
    <row r="409" spans="1:10" ht="35.25" customHeight="1" x14ac:dyDescent="0.3">
      <c r="A409" s="1134"/>
      <c r="B409" s="779"/>
      <c r="C409" s="279" t="s">
        <v>282</v>
      </c>
      <c r="D409" s="434" t="s">
        <v>238</v>
      </c>
      <c r="E409" s="280"/>
      <c r="F409" s="435">
        <f t="shared" si="76"/>
        <v>0</v>
      </c>
      <c r="G409" s="602">
        <v>26445</v>
      </c>
      <c r="H409" s="593">
        <f t="shared" si="78"/>
        <v>0</v>
      </c>
      <c r="I409" s="596">
        <f t="shared" si="77"/>
        <v>0</v>
      </c>
      <c r="J409" s="373"/>
    </row>
    <row r="410" spans="1:10" ht="35.25" customHeight="1" x14ac:dyDescent="0.3">
      <c r="A410" s="1134"/>
      <c r="B410" s="779"/>
      <c r="C410" s="279" t="s">
        <v>282</v>
      </c>
      <c r="D410" s="434"/>
      <c r="E410" s="280"/>
      <c r="F410" s="435">
        <f t="shared" si="76"/>
        <v>0</v>
      </c>
      <c r="G410" s="602">
        <v>33947.884599999998</v>
      </c>
      <c r="H410" s="593">
        <f t="shared" si="78"/>
        <v>0</v>
      </c>
      <c r="I410" s="596">
        <f t="shared" si="77"/>
        <v>0</v>
      </c>
      <c r="J410" s="373"/>
    </row>
    <row r="411" spans="1:10" ht="35.25" customHeight="1" x14ac:dyDescent="0.3">
      <c r="A411" s="1134"/>
      <c r="B411" s="779"/>
      <c r="C411" s="279" t="s">
        <v>311</v>
      </c>
      <c r="D411" s="434" t="s">
        <v>337</v>
      </c>
      <c r="E411" s="280"/>
      <c r="F411" s="435">
        <f t="shared" si="76"/>
        <v>0</v>
      </c>
      <c r="G411" s="602">
        <v>50</v>
      </c>
      <c r="H411" s="593">
        <f t="shared" si="78"/>
        <v>0</v>
      </c>
      <c r="I411" s="596">
        <f t="shared" si="77"/>
        <v>0</v>
      </c>
      <c r="J411" s="373"/>
    </row>
    <row r="412" spans="1:10" ht="35.25" customHeight="1" x14ac:dyDescent="0.3">
      <c r="A412" s="1134"/>
      <c r="B412" s="779"/>
      <c r="C412" s="279" t="s">
        <v>311</v>
      </c>
      <c r="D412" s="434"/>
      <c r="E412" s="280"/>
      <c r="F412" s="435">
        <f t="shared" si="76"/>
        <v>0</v>
      </c>
      <c r="G412" s="602">
        <v>10</v>
      </c>
      <c r="H412" s="593">
        <f t="shared" si="78"/>
        <v>0</v>
      </c>
      <c r="I412" s="596">
        <f t="shared" si="77"/>
        <v>0</v>
      </c>
      <c r="J412" s="373"/>
    </row>
    <row r="413" spans="1:10" ht="35.25" customHeight="1" x14ac:dyDescent="0.3">
      <c r="A413" s="1134"/>
      <c r="B413" s="779"/>
      <c r="C413" s="279" t="s">
        <v>329</v>
      </c>
      <c r="D413" s="434" t="s">
        <v>370</v>
      </c>
      <c r="E413" s="280"/>
      <c r="F413" s="435">
        <f t="shared" si="76"/>
        <v>0</v>
      </c>
      <c r="G413" s="602">
        <v>57.64</v>
      </c>
      <c r="H413" s="593">
        <f t="shared" si="78"/>
        <v>0</v>
      </c>
      <c r="I413" s="596">
        <f t="shared" si="77"/>
        <v>0</v>
      </c>
      <c r="J413" s="373"/>
    </row>
    <row r="414" spans="1:10" ht="35.25" customHeight="1" x14ac:dyDescent="0.3">
      <c r="A414" s="1134"/>
      <c r="B414" s="779"/>
      <c r="C414" s="279" t="s">
        <v>329</v>
      </c>
      <c r="D414" s="434" t="s">
        <v>364</v>
      </c>
      <c r="E414" s="280"/>
      <c r="F414" s="435">
        <f t="shared" si="76"/>
        <v>0</v>
      </c>
      <c r="G414" s="602">
        <v>57.64</v>
      </c>
      <c r="H414" s="593">
        <f t="shared" si="78"/>
        <v>0</v>
      </c>
      <c r="I414" s="596">
        <f t="shared" si="77"/>
        <v>0</v>
      </c>
      <c r="J414" s="373"/>
    </row>
    <row r="415" spans="1:10" ht="35.25" customHeight="1" x14ac:dyDescent="0.3">
      <c r="A415" s="1134"/>
      <c r="B415" s="779"/>
      <c r="C415" s="279" t="s">
        <v>330</v>
      </c>
      <c r="D415" s="434" t="s">
        <v>331</v>
      </c>
      <c r="E415" s="280"/>
      <c r="F415" s="435">
        <f t="shared" si="76"/>
        <v>0</v>
      </c>
      <c r="G415" s="602">
        <v>434.41</v>
      </c>
      <c r="H415" s="593">
        <f t="shared" si="78"/>
        <v>0</v>
      </c>
      <c r="I415" s="596">
        <f t="shared" si="77"/>
        <v>0</v>
      </c>
      <c r="J415" s="373"/>
    </row>
    <row r="416" spans="1:10" ht="35.25" customHeight="1" x14ac:dyDescent="0.3">
      <c r="A416" s="1134"/>
      <c r="B416" s="779"/>
      <c r="C416" s="279" t="s">
        <v>343</v>
      </c>
      <c r="D416" s="434" t="s">
        <v>238</v>
      </c>
      <c r="E416" s="280"/>
      <c r="F416" s="435">
        <f t="shared" si="76"/>
        <v>0</v>
      </c>
      <c r="G416" s="602">
        <v>624.26</v>
      </c>
      <c r="H416" s="593">
        <f t="shared" si="78"/>
        <v>0</v>
      </c>
      <c r="I416" s="596">
        <f t="shared" si="77"/>
        <v>0</v>
      </c>
      <c r="J416" s="373"/>
    </row>
    <row r="417" spans="1:10" ht="35.25" customHeight="1" x14ac:dyDescent="0.3">
      <c r="A417" s="1134"/>
      <c r="B417" s="779"/>
      <c r="C417" s="279" t="s">
        <v>332</v>
      </c>
      <c r="D417" s="434" t="s">
        <v>331</v>
      </c>
      <c r="E417" s="280"/>
      <c r="F417" s="435">
        <f t="shared" si="76"/>
        <v>0</v>
      </c>
      <c r="G417" s="602">
        <v>63.55</v>
      </c>
      <c r="H417" s="593">
        <f t="shared" si="78"/>
        <v>0</v>
      </c>
      <c r="I417" s="596">
        <f t="shared" si="77"/>
        <v>0</v>
      </c>
      <c r="J417" s="373"/>
    </row>
    <row r="418" spans="1:10" ht="35.25" customHeight="1" x14ac:dyDescent="0.3">
      <c r="A418" s="1134"/>
      <c r="B418" s="779"/>
      <c r="C418" s="279" t="s">
        <v>371</v>
      </c>
      <c r="D418" s="434" t="s">
        <v>238</v>
      </c>
      <c r="E418" s="280"/>
      <c r="F418" s="435">
        <f t="shared" si="76"/>
        <v>0</v>
      </c>
      <c r="G418" s="602">
        <v>59.96</v>
      </c>
      <c r="H418" s="593">
        <f t="shared" si="78"/>
        <v>0</v>
      </c>
      <c r="I418" s="596">
        <f t="shared" si="77"/>
        <v>0</v>
      </c>
      <c r="J418" s="373"/>
    </row>
    <row r="419" spans="1:10" ht="35.25" customHeight="1" x14ac:dyDescent="0.3">
      <c r="A419" s="1134"/>
      <c r="B419" s="779"/>
      <c r="C419" s="279" t="s">
        <v>419</v>
      </c>
      <c r="D419" s="434" t="s">
        <v>331</v>
      </c>
      <c r="E419" s="280"/>
      <c r="F419" s="435">
        <f t="shared" si="76"/>
        <v>0</v>
      </c>
      <c r="G419" s="602">
        <v>53.86</v>
      </c>
      <c r="H419" s="593">
        <f t="shared" si="78"/>
        <v>0</v>
      </c>
      <c r="I419" s="596">
        <f t="shared" si="77"/>
        <v>0</v>
      </c>
      <c r="J419" s="373"/>
    </row>
    <row r="420" spans="1:10" ht="35.25" customHeight="1" x14ac:dyDescent="0.3">
      <c r="A420" s="1134"/>
      <c r="B420" s="779"/>
      <c r="C420" s="279" t="s">
        <v>379</v>
      </c>
      <c r="D420" s="434"/>
      <c r="E420" s="280"/>
      <c r="F420" s="435">
        <f t="shared" si="76"/>
        <v>0</v>
      </c>
      <c r="G420" s="602">
        <v>360</v>
      </c>
      <c r="H420" s="593">
        <f t="shared" si="78"/>
        <v>0</v>
      </c>
      <c r="I420" s="596">
        <f t="shared" si="77"/>
        <v>0</v>
      </c>
      <c r="J420" s="373"/>
    </row>
    <row r="421" spans="1:10" ht="35.25" customHeight="1" x14ac:dyDescent="0.3">
      <c r="A421" s="1134"/>
      <c r="B421" s="779"/>
      <c r="C421" s="279" t="s">
        <v>471</v>
      </c>
      <c r="D421" s="434"/>
      <c r="E421" s="280"/>
      <c r="F421" s="435">
        <f t="shared" si="76"/>
        <v>0</v>
      </c>
      <c r="G421" s="602"/>
      <c r="H421" s="593">
        <f>+E421</f>
        <v>0</v>
      </c>
      <c r="I421" s="596">
        <f>+H421</f>
        <v>0</v>
      </c>
      <c r="J421" s="373"/>
    </row>
    <row r="422" spans="1:10" ht="35.25" customHeight="1" x14ac:dyDescent="0.3">
      <c r="A422" s="1134"/>
      <c r="B422" s="779"/>
      <c r="C422" s="279" t="s">
        <v>282</v>
      </c>
      <c r="D422" s="434"/>
      <c r="E422" s="280"/>
      <c r="F422" s="435">
        <f t="shared" si="76"/>
        <v>0</v>
      </c>
      <c r="G422" s="602">
        <v>39450</v>
      </c>
      <c r="H422" s="593">
        <f t="shared" ref="H422:H423" si="79">E422*G422</f>
        <v>0</v>
      </c>
      <c r="I422" s="596">
        <f t="shared" ref="I422:I423" si="80">+G422*F422</f>
        <v>0</v>
      </c>
      <c r="J422" s="373"/>
    </row>
    <row r="423" spans="1:10" ht="35.25" customHeight="1" thickBot="1" x14ac:dyDescent="0.35">
      <c r="A423" s="1134"/>
      <c r="B423" s="779"/>
      <c r="C423" s="279" t="s">
        <v>329</v>
      </c>
      <c r="D423" s="434" t="s">
        <v>443</v>
      </c>
      <c r="E423" s="280"/>
      <c r="F423" s="435">
        <f t="shared" si="76"/>
        <v>0</v>
      </c>
      <c r="G423" s="602">
        <v>57.64</v>
      </c>
      <c r="H423" s="593">
        <f t="shared" si="79"/>
        <v>0</v>
      </c>
      <c r="I423" s="596">
        <f t="shared" si="80"/>
        <v>0</v>
      </c>
      <c r="J423" s="373"/>
    </row>
    <row r="424" spans="1:10" ht="35.25" customHeight="1" thickBot="1" x14ac:dyDescent="0.35">
      <c r="A424" s="1135"/>
      <c r="B424" s="1129" t="s">
        <v>270</v>
      </c>
      <c r="C424" s="1130"/>
      <c r="D424" s="782"/>
      <c r="E424" s="326">
        <f>SUM(E399:E423)</f>
        <v>0</v>
      </c>
      <c r="F424" s="326">
        <f>SUM(F399:F423)</f>
        <v>10080</v>
      </c>
      <c r="G424" s="326"/>
      <c r="H424" s="590">
        <f>SUM(H399:H423)</f>
        <v>0</v>
      </c>
      <c r="I424" s="580">
        <f>SUM(I399:I423)</f>
        <v>720115.19999999995</v>
      </c>
      <c r="J424" s="372"/>
    </row>
    <row r="425" spans="1:10" ht="35.25" customHeight="1" thickBot="1" x14ac:dyDescent="0.35">
      <c r="A425" s="785"/>
      <c r="B425" s="437"/>
      <c r="C425" s="279" t="s">
        <v>379</v>
      </c>
      <c r="D425" s="434"/>
      <c r="E425" s="280"/>
      <c r="F425" s="281">
        <f>+E425</f>
        <v>0</v>
      </c>
      <c r="G425" s="334"/>
      <c r="H425" s="589">
        <f t="shared" ref="H425" si="81">E425*G425</f>
        <v>0</v>
      </c>
      <c r="I425" s="282">
        <f t="shared" ref="I425" si="82">+G425*F425</f>
        <v>0</v>
      </c>
      <c r="J425" s="373"/>
    </row>
    <row r="426" spans="1:10" ht="35.25" customHeight="1" thickBot="1" x14ac:dyDescent="0.35">
      <c r="A426" s="785"/>
      <c r="B426" s="1129" t="s">
        <v>224</v>
      </c>
      <c r="C426" s="1130"/>
      <c r="D426" s="780"/>
      <c r="E426" s="326"/>
      <c r="F426" s="327"/>
      <c r="G426" s="326"/>
      <c r="H426" s="587"/>
      <c r="I426" s="324">
        <f>SUM(I425)</f>
        <v>0</v>
      </c>
      <c r="J426" s="349"/>
    </row>
    <row r="427" spans="1:10" ht="35.25" customHeight="1" thickBot="1" x14ac:dyDescent="0.35">
      <c r="A427" s="319"/>
      <c r="B427" s="1131" t="s">
        <v>174</v>
      </c>
      <c r="C427" s="1132"/>
      <c r="D427" s="778"/>
      <c r="E427" s="374">
        <f>+E424+E398+E368+E366</f>
        <v>18362</v>
      </c>
      <c r="F427" s="374">
        <f>+F424+F398+F368+F366</f>
        <v>346310</v>
      </c>
      <c r="G427" s="374"/>
      <c r="H427" s="374"/>
      <c r="I427" s="374">
        <f>+I424+I398+I368+I426</f>
        <v>6240630.4000000004</v>
      </c>
      <c r="J427" s="375"/>
    </row>
    <row r="428" spans="1:10" ht="35.25" customHeight="1" x14ac:dyDescent="0.3">
      <c r="A428" s="1057" t="s">
        <v>1</v>
      </c>
      <c r="B428" s="1060" t="s">
        <v>2</v>
      </c>
      <c r="C428" s="1138" t="s">
        <v>396</v>
      </c>
      <c r="D428" s="1115" t="s">
        <v>397</v>
      </c>
      <c r="E428" s="1142" t="s">
        <v>506</v>
      </c>
      <c r="F428" s="1067"/>
      <c r="G428" s="1067"/>
      <c r="H428" s="1067"/>
      <c r="I428" s="1067"/>
      <c r="J428" s="1068"/>
    </row>
    <row r="429" spans="1:10" ht="35.25" customHeight="1" x14ac:dyDescent="0.3">
      <c r="A429" s="1136"/>
      <c r="B429" s="1137"/>
      <c r="C429" s="1139"/>
      <c r="D429" s="1116"/>
      <c r="E429" s="1143" t="s">
        <v>412</v>
      </c>
      <c r="F429" s="1144"/>
      <c r="G429" s="1143" t="s">
        <v>411</v>
      </c>
      <c r="H429" s="1145"/>
      <c r="I429" s="1145"/>
      <c r="J429" s="1144"/>
    </row>
    <row r="430" spans="1:10" ht="35.25" customHeight="1" x14ac:dyDescent="0.3">
      <c r="A430" s="1058"/>
      <c r="B430" s="1061"/>
      <c r="C430" s="1140"/>
      <c r="D430" s="1116"/>
      <c r="E430" s="1069" t="s">
        <v>413</v>
      </c>
      <c r="F430" s="1071" t="s">
        <v>414</v>
      </c>
      <c r="G430" s="1147" t="s">
        <v>90</v>
      </c>
      <c r="H430" s="1149" t="s">
        <v>91</v>
      </c>
      <c r="I430" s="1149" t="s">
        <v>91</v>
      </c>
      <c r="J430" s="1151" t="s">
        <v>12</v>
      </c>
    </row>
    <row r="431" spans="1:10" ht="35.25" customHeight="1" thickBot="1" x14ac:dyDescent="0.35">
      <c r="A431" s="1059"/>
      <c r="B431" s="1062"/>
      <c r="C431" s="1141"/>
      <c r="D431" s="1117"/>
      <c r="E431" s="1070"/>
      <c r="F431" s="1146"/>
      <c r="G431" s="1148"/>
      <c r="H431" s="1150"/>
      <c r="I431" s="1150"/>
      <c r="J431" s="1152"/>
    </row>
    <row r="432" spans="1:10" ht="35.25" customHeight="1" x14ac:dyDescent="0.3">
      <c r="A432" s="1133" t="s">
        <v>103</v>
      </c>
      <c r="B432" s="439"/>
      <c r="C432" s="577" t="s">
        <v>442</v>
      </c>
      <c r="D432" s="665" t="s">
        <v>374</v>
      </c>
      <c r="E432" s="699"/>
      <c r="F432" s="674">
        <f>+E432+F339</f>
        <v>0</v>
      </c>
      <c r="G432" s="732">
        <v>107.85</v>
      </c>
      <c r="H432" s="591">
        <f t="shared" ref="H432:H446" si="83">E432*G432</f>
        <v>0</v>
      </c>
      <c r="I432" s="594">
        <f>+G432*F432</f>
        <v>0</v>
      </c>
      <c r="J432" s="351"/>
    </row>
    <row r="433" spans="1:10" ht="35.25" customHeight="1" x14ac:dyDescent="0.3">
      <c r="A433" s="1134"/>
      <c r="B433" s="438"/>
      <c r="C433" s="441" t="s">
        <v>264</v>
      </c>
      <c r="D433" s="666" t="s">
        <v>265</v>
      </c>
      <c r="E433" s="700"/>
      <c r="F433" s="701">
        <f t="shared" ref="F433:F446" si="84">+E433+F340</f>
        <v>0</v>
      </c>
      <c r="G433" s="697">
        <v>11</v>
      </c>
      <c r="H433" s="592">
        <f t="shared" si="83"/>
        <v>0</v>
      </c>
      <c r="I433" s="595">
        <f>+G433*F433</f>
        <v>0</v>
      </c>
      <c r="J433" s="352"/>
    </row>
    <row r="434" spans="1:10" ht="35.25" customHeight="1" x14ac:dyDescent="0.3">
      <c r="A434" s="1134"/>
      <c r="B434" s="438"/>
      <c r="C434" s="441" t="s">
        <v>295</v>
      </c>
      <c r="D434" s="666" t="s">
        <v>453</v>
      </c>
      <c r="E434" s="700"/>
      <c r="F434" s="701">
        <f t="shared" si="84"/>
        <v>0</v>
      </c>
      <c r="G434" s="697">
        <v>139.04</v>
      </c>
      <c r="H434" s="592">
        <f t="shared" si="83"/>
        <v>0</v>
      </c>
      <c r="I434" s="595">
        <f t="shared" ref="I434:I446" si="85">+G434*F434</f>
        <v>0</v>
      </c>
      <c r="J434" s="352"/>
    </row>
    <row r="435" spans="1:10" ht="35.25" customHeight="1" x14ac:dyDescent="0.3">
      <c r="A435" s="1134"/>
      <c r="B435" s="438"/>
      <c r="C435" s="441" t="s">
        <v>357</v>
      </c>
      <c r="D435" s="666" t="s">
        <v>358</v>
      </c>
      <c r="E435" s="700"/>
      <c r="F435" s="701">
        <f t="shared" si="84"/>
        <v>0</v>
      </c>
      <c r="G435" s="715">
        <v>20.5</v>
      </c>
      <c r="H435" s="592">
        <f t="shared" si="83"/>
        <v>0</v>
      </c>
      <c r="I435" s="595">
        <f t="shared" si="85"/>
        <v>0</v>
      </c>
      <c r="J435" s="352"/>
    </row>
    <row r="436" spans="1:10" ht="35.25" customHeight="1" x14ac:dyDescent="0.3">
      <c r="A436" s="1134"/>
      <c r="B436" s="438"/>
      <c r="C436" s="441" t="s">
        <v>288</v>
      </c>
      <c r="D436" s="666" t="s">
        <v>177</v>
      </c>
      <c r="E436" s="700"/>
      <c r="F436" s="701">
        <f t="shared" si="84"/>
        <v>0</v>
      </c>
      <c r="G436" s="697">
        <v>14.79</v>
      </c>
      <c r="H436" s="592">
        <f t="shared" si="83"/>
        <v>0</v>
      </c>
      <c r="I436" s="595">
        <f t="shared" si="85"/>
        <v>0</v>
      </c>
      <c r="J436" s="352"/>
    </row>
    <row r="437" spans="1:10" ht="35.25" customHeight="1" x14ac:dyDescent="0.3">
      <c r="A437" s="1134"/>
      <c r="B437" s="438"/>
      <c r="C437" s="441" t="s">
        <v>295</v>
      </c>
      <c r="D437" s="666" t="s">
        <v>265</v>
      </c>
      <c r="E437" s="700"/>
      <c r="F437" s="701">
        <f t="shared" si="84"/>
        <v>0</v>
      </c>
      <c r="G437" s="697">
        <v>139.04</v>
      </c>
      <c r="H437" s="592">
        <f t="shared" si="83"/>
        <v>0</v>
      </c>
      <c r="I437" s="595">
        <f t="shared" si="85"/>
        <v>0</v>
      </c>
      <c r="J437" s="352"/>
    </row>
    <row r="438" spans="1:10" ht="35.25" customHeight="1" x14ac:dyDescent="0.3">
      <c r="A438" s="1134"/>
      <c r="B438" s="438"/>
      <c r="C438" s="441" t="s">
        <v>391</v>
      </c>
      <c r="D438" s="667" t="s">
        <v>356</v>
      </c>
      <c r="E438" s="700"/>
      <c r="F438" s="701">
        <f t="shared" si="84"/>
        <v>0</v>
      </c>
      <c r="G438" s="697">
        <v>147.58000000000001</v>
      </c>
      <c r="H438" s="592">
        <f t="shared" si="83"/>
        <v>0</v>
      </c>
      <c r="I438" s="595">
        <f t="shared" si="85"/>
        <v>0</v>
      </c>
      <c r="J438" s="352"/>
    </row>
    <row r="439" spans="1:10" ht="35.25" customHeight="1" x14ac:dyDescent="0.3">
      <c r="A439" s="1134"/>
      <c r="B439" s="438"/>
      <c r="C439" s="441" t="s">
        <v>313</v>
      </c>
      <c r="D439" s="667" t="s">
        <v>265</v>
      </c>
      <c r="E439" s="700"/>
      <c r="F439" s="701">
        <f t="shared" si="84"/>
        <v>36720</v>
      </c>
      <c r="G439" s="697">
        <v>18.84</v>
      </c>
      <c r="H439" s="592">
        <f t="shared" si="83"/>
        <v>0</v>
      </c>
      <c r="I439" s="595">
        <f t="shared" si="85"/>
        <v>691804.8</v>
      </c>
      <c r="J439" s="352"/>
    </row>
    <row r="440" spans="1:10" ht="35.25" customHeight="1" x14ac:dyDescent="0.3">
      <c r="A440" s="1134"/>
      <c r="B440" s="438"/>
      <c r="C440" s="441" t="s">
        <v>322</v>
      </c>
      <c r="D440" s="667" t="s">
        <v>232</v>
      </c>
      <c r="E440" s="700"/>
      <c r="F440" s="701">
        <f t="shared" si="84"/>
        <v>0</v>
      </c>
      <c r="G440" s="697">
        <v>21.18</v>
      </c>
      <c r="H440" s="592">
        <f t="shared" si="83"/>
        <v>0</v>
      </c>
      <c r="I440" s="595">
        <f t="shared" si="85"/>
        <v>0</v>
      </c>
      <c r="J440" s="352"/>
    </row>
    <row r="441" spans="1:10" ht="35.25" customHeight="1" x14ac:dyDescent="0.3">
      <c r="A441" s="1134"/>
      <c r="B441" s="438"/>
      <c r="C441" s="441" t="s">
        <v>324</v>
      </c>
      <c r="D441" s="667" t="s">
        <v>325</v>
      </c>
      <c r="E441" s="700"/>
      <c r="F441" s="701">
        <f t="shared" si="84"/>
        <v>0</v>
      </c>
      <c r="G441" s="697">
        <v>21.28</v>
      </c>
      <c r="H441" s="592">
        <f t="shared" si="83"/>
        <v>0</v>
      </c>
      <c r="I441" s="595">
        <f t="shared" si="85"/>
        <v>0</v>
      </c>
      <c r="J441" s="352"/>
    </row>
    <row r="442" spans="1:10" ht="35.25" customHeight="1" x14ac:dyDescent="0.3">
      <c r="A442" s="1134"/>
      <c r="B442" s="438"/>
      <c r="C442" s="441" t="s">
        <v>378</v>
      </c>
      <c r="D442" s="667" t="s">
        <v>374</v>
      </c>
      <c r="E442" s="700"/>
      <c r="F442" s="701">
        <f t="shared" si="84"/>
        <v>0</v>
      </c>
      <c r="G442" s="697">
        <v>143.28</v>
      </c>
      <c r="H442" s="592">
        <f t="shared" si="83"/>
        <v>0</v>
      </c>
      <c r="I442" s="595">
        <f t="shared" si="85"/>
        <v>0</v>
      </c>
      <c r="J442" s="352"/>
    </row>
    <row r="443" spans="1:10" ht="35.25" customHeight="1" x14ac:dyDescent="0.3">
      <c r="A443" s="1134"/>
      <c r="B443" s="438"/>
      <c r="C443" s="441" t="s">
        <v>472</v>
      </c>
      <c r="D443" s="667"/>
      <c r="E443" s="700"/>
      <c r="F443" s="701">
        <f t="shared" si="84"/>
        <v>0</v>
      </c>
      <c r="G443" s="697">
        <v>14.79</v>
      </c>
      <c r="H443" s="592">
        <f t="shared" si="83"/>
        <v>0</v>
      </c>
      <c r="I443" s="595">
        <f t="shared" si="85"/>
        <v>0</v>
      </c>
      <c r="J443" s="352"/>
    </row>
    <row r="444" spans="1:10" ht="35.25" customHeight="1" x14ac:dyDescent="0.3">
      <c r="A444" s="1134"/>
      <c r="B444" s="438"/>
      <c r="C444" s="441" t="s">
        <v>451</v>
      </c>
      <c r="D444" s="666" t="s">
        <v>177</v>
      </c>
      <c r="E444" s="700">
        <v>236544</v>
      </c>
      <c r="F444" s="701">
        <f t="shared" si="84"/>
        <v>498432</v>
      </c>
      <c r="G444" s="697">
        <v>14.55</v>
      </c>
      <c r="H444" s="592">
        <f t="shared" si="83"/>
        <v>3441715.2000000002</v>
      </c>
      <c r="I444" s="595">
        <f t="shared" si="85"/>
        <v>7252185.6000000006</v>
      </c>
      <c r="J444" s="352"/>
    </row>
    <row r="445" spans="1:10" ht="35.25" customHeight="1" x14ac:dyDescent="0.3">
      <c r="A445" s="1134"/>
      <c r="B445" s="438"/>
      <c r="C445" s="441" t="s">
        <v>327</v>
      </c>
      <c r="D445" s="667" t="s">
        <v>188</v>
      </c>
      <c r="E445" s="700"/>
      <c r="F445" s="701">
        <f t="shared" si="84"/>
        <v>0</v>
      </c>
      <c r="G445" s="697">
        <v>21.28</v>
      </c>
      <c r="H445" s="592">
        <f t="shared" si="83"/>
        <v>0</v>
      </c>
      <c r="I445" s="595">
        <f t="shared" si="85"/>
        <v>0</v>
      </c>
      <c r="J445" s="352"/>
    </row>
    <row r="446" spans="1:10" ht="35.25" customHeight="1" thickBot="1" x14ac:dyDescent="0.35">
      <c r="A446" s="1134"/>
      <c r="B446" s="438"/>
      <c r="C446" s="441" t="s">
        <v>336</v>
      </c>
      <c r="D446" s="668" t="s">
        <v>178</v>
      </c>
      <c r="E446" s="700"/>
      <c r="F446" s="676">
        <f t="shared" si="84"/>
        <v>0</v>
      </c>
      <c r="G446" s="697">
        <v>36.44</v>
      </c>
      <c r="H446" s="592">
        <f t="shared" si="83"/>
        <v>0</v>
      </c>
      <c r="I446" s="595">
        <f t="shared" si="85"/>
        <v>0</v>
      </c>
      <c r="J446" s="352"/>
    </row>
    <row r="447" spans="1:10" ht="35.25" customHeight="1" thickBot="1" x14ac:dyDescent="0.35">
      <c r="A447" s="1134"/>
      <c r="B447" s="1129" t="s">
        <v>266</v>
      </c>
      <c r="C447" s="1130"/>
      <c r="D447" s="791"/>
      <c r="E447" s="326">
        <f>SUM(E432:E446)</f>
        <v>236544</v>
      </c>
      <c r="F447" s="698">
        <f>SUM(F432:F446)</f>
        <v>535152</v>
      </c>
      <c r="G447" s="326"/>
      <c r="H447" s="587">
        <f>SUM(H432:H446)</f>
        <v>3441715.2000000002</v>
      </c>
      <c r="I447" s="580">
        <f>SUM(I432:I446)</f>
        <v>7943990.4000000004</v>
      </c>
      <c r="J447" s="349"/>
    </row>
    <row r="448" spans="1:10" ht="35.25" customHeight="1" x14ac:dyDescent="0.3">
      <c r="A448" s="1134"/>
      <c r="B448" s="789"/>
      <c r="C448" s="279" t="s">
        <v>271</v>
      </c>
      <c r="D448" s="434" t="s">
        <v>238</v>
      </c>
      <c r="E448" s="280"/>
      <c r="F448" s="435">
        <f>+E448+F355</f>
        <v>0</v>
      </c>
      <c r="G448" s="578">
        <v>160.44999999999999</v>
      </c>
      <c r="H448" s="593">
        <f t="shared" ref="H448:H453" si="86">E448*G448</f>
        <v>0</v>
      </c>
      <c r="I448" s="596">
        <f t="shared" ref="I448:I453" si="87">+G448*F448</f>
        <v>0</v>
      </c>
      <c r="J448" s="373"/>
    </row>
    <row r="449" spans="1:13" ht="35.25" customHeight="1" x14ac:dyDescent="0.3">
      <c r="A449" s="1134"/>
      <c r="B449" s="789"/>
      <c r="C449" s="279" t="s">
        <v>287</v>
      </c>
      <c r="D449" s="434" t="s">
        <v>93</v>
      </c>
      <c r="E449" s="280"/>
      <c r="F449" s="435">
        <f t="shared" ref="F449:F453" si="88">+E449+F356</f>
        <v>37620</v>
      </c>
      <c r="G449" s="578">
        <v>27</v>
      </c>
      <c r="H449" s="593">
        <f t="shared" si="86"/>
        <v>0</v>
      </c>
      <c r="I449" s="596">
        <f t="shared" si="87"/>
        <v>1015740</v>
      </c>
      <c r="J449" s="373"/>
    </row>
    <row r="450" spans="1:13" ht="35.25" customHeight="1" x14ac:dyDescent="0.3">
      <c r="A450" s="1134"/>
      <c r="B450" s="789"/>
      <c r="C450" s="279" t="s">
        <v>287</v>
      </c>
      <c r="D450" s="434" t="s">
        <v>292</v>
      </c>
      <c r="E450" s="280"/>
      <c r="F450" s="435">
        <f t="shared" si="88"/>
        <v>0</v>
      </c>
      <c r="G450" s="578">
        <v>27.5</v>
      </c>
      <c r="H450" s="593">
        <f t="shared" si="86"/>
        <v>0</v>
      </c>
      <c r="I450" s="596">
        <f t="shared" si="87"/>
        <v>0</v>
      </c>
      <c r="J450" s="373"/>
    </row>
    <row r="451" spans="1:13" ht="35.25" customHeight="1" x14ac:dyDescent="0.3">
      <c r="A451" s="1134"/>
      <c r="B451" s="789"/>
      <c r="C451" s="279" t="s">
        <v>276</v>
      </c>
      <c r="D451" s="434" t="s">
        <v>292</v>
      </c>
      <c r="E451" s="280"/>
      <c r="F451" s="435">
        <f t="shared" si="88"/>
        <v>0</v>
      </c>
      <c r="G451" s="578">
        <v>34.5</v>
      </c>
      <c r="H451" s="593">
        <f t="shared" si="86"/>
        <v>0</v>
      </c>
      <c r="I451" s="596">
        <f t="shared" si="87"/>
        <v>0</v>
      </c>
      <c r="J451" s="373"/>
    </row>
    <row r="452" spans="1:13" ht="35.25" customHeight="1" x14ac:dyDescent="0.3">
      <c r="A452" s="1134"/>
      <c r="B452" s="789"/>
      <c r="C452" s="279" t="s">
        <v>473</v>
      </c>
      <c r="D452" s="434" t="s">
        <v>440</v>
      </c>
      <c r="E452" s="280"/>
      <c r="F452" s="435">
        <f t="shared" si="88"/>
        <v>0</v>
      </c>
      <c r="G452" s="578">
        <v>10.57</v>
      </c>
      <c r="H452" s="593">
        <f t="shared" si="86"/>
        <v>0</v>
      </c>
      <c r="I452" s="596">
        <f t="shared" si="87"/>
        <v>0</v>
      </c>
      <c r="J452" s="373"/>
    </row>
    <row r="453" spans="1:13" ht="35.25" customHeight="1" thickBot="1" x14ac:dyDescent="0.35">
      <c r="A453" s="1134"/>
      <c r="B453" s="789"/>
      <c r="C453" s="279" t="s">
        <v>276</v>
      </c>
      <c r="D453" s="434" t="s">
        <v>440</v>
      </c>
      <c r="E453" s="280"/>
      <c r="F453" s="435">
        <f t="shared" si="88"/>
        <v>0</v>
      </c>
      <c r="G453" s="578">
        <v>55.76</v>
      </c>
      <c r="H453" s="593">
        <f t="shared" si="86"/>
        <v>0</v>
      </c>
      <c r="I453" s="596">
        <f t="shared" si="87"/>
        <v>0</v>
      </c>
      <c r="J453" s="373"/>
    </row>
    <row r="454" spans="1:13" ht="35.25" customHeight="1" thickBot="1" x14ac:dyDescent="0.35">
      <c r="A454" s="1134"/>
      <c r="B454" s="1129" t="s">
        <v>267</v>
      </c>
      <c r="C454" s="1130"/>
      <c r="D454" s="791"/>
      <c r="E454" s="326">
        <f>SUM(E448:E453)</f>
        <v>0</v>
      </c>
      <c r="F454" s="326">
        <f>SUM(F448:F453)</f>
        <v>37620</v>
      </c>
      <c r="G454" s="326"/>
      <c r="H454" s="587">
        <f>SUM(H448:H453)</f>
        <v>0</v>
      </c>
      <c r="I454" s="580">
        <f>SUM(I448:I453)</f>
        <v>1015740</v>
      </c>
      <c r="J454" s="349"/>
    </row>
    <row r="455" spans="1:13" ht="35.25" customHeight="1" x14ac:dyDescent="0.3">
      <c r="A455" s="1134"/>
      <c r="B455" s="789"/>
      <c r="C455" s="279" t="s">
        <v>277</v>
      </c>
      <c r="D455" s="434" t="s">
        <v>278</v>
      </c>
      <c r="E455" s="280">
        <v>2</v>
      </c>
      <c r="F455" s="435">
        <f>+E455+F362</f>
        <v>3</v>
      </c>
      <c r="G455" s="578">
        <v>2500</v>
      </c>
      <c r="H455" s="593">
        <f t="shared" ref="H455:H458" si="89">E455*G455</f>
        <v>5000</v>
      </c>
      <c r="I455" s="596">
        <f>+G455*F455</f>
        <v>7500</v>
      </c>
      <c r="J455" s="373"/>
    </row>
    <row r="456" spans="1:13" ht="35.25" customHeight="1" x14ac:dyDescent="0.3">
      <c r="A456" s="1134"/>
      <c r="B456" s="789"/>
      <c r="C456" s="279" t="s">
        <v>454</v>
      </c>
      <c r="D456" s="434"/>
      <c r="E456" s="280"/>
      <c r="F456" s="435">
        <f t="shared" ref="F456:F458" si="90">+E456+F363</f>
        <v>0</v>
      </c>
      <c r="G456" s="578">
        <v>30000</v>
      </c>
      <c r="H456" s="593">
        <f t="shared" si="89"/>
        <v>0</v>
      </c>
      <c r="I456" s="596">
        <f>+G456*F456</f>
        <v>0</v>
      </c>
      <c r="J456" s="373"/>
    </row>
    <row r="457" spans="1:13" ht="35.25" customHeight="1" x14ac:dyDescent="0.3">
      <c r="A457" s="1134"/>
      <c r="B457" s="789"/>
      <c r="C457" s="279" t="s">
        <v>379</v>
      </c>
      <c r="D457" s="434" t="s">
        <v>304</v>
      </c>
      <c r="E457" s="280"/>
      <c r="F457" s="435">
        <f t="shared" si="90"/>
        <v>0</v>
      </c>
      <c r="G457" s="578">
        <v>360</v>
      </c>
      <c r="H457" s="593">
        <f t="shared" si="89"/>
        <v>0</v>
      </c>
      <c r="I457" s="596">
        <f>+G457*F457</f>
        <v>0</v>
      </c>
      <c r="J457" s="373"/>
    </row>
    <row r="458" spans="1:13" ht="35.25" customHeight="1" thickBot="1" x14ac:dyDescent="0.35">
      <c r="A458" s="1134"/>
      <c r="B458" s="789"/>
      <c r="C458" s="279" t="s">
        <v>427</v>
      </c>
      <c r="D458" s="434" t="s">
        <v>304</v>
      </c>
      <c r="E458" s="280"/>
      <c r="F458" s="435">
        <f t="shared" si="90"/>
        <v>0</v>
      </c>
      <c r="G458" s="579">
        <v>10</v>
      </c>
      <c r="H458" s="593">
        <f t="shared" si="89"/>
        <v>0</v>
      </c>
      <c r="I458" s="596">
        <f t="shared" ref="I458" si="91">+G458*F458</f>
        <v>0</v>
      </c>
      <c r="J458" s="373"/>
    </row>
    <row r="459" spans="1:13" ht="35.25" customHeight="1" thickBot="1" x14ac:dyDescent="0.35">
      <c r="A459" s="1134"/>
      <c r="B459" s="1129" t="s">
        <v>272</v>
      </c>
      <c r="C459" s="1130"/>
      <c r="D459" s="791"/>
      <c r="E459" s="326">
        <f>SUM(E455:E458)</f>
        <v>2</v>
      </c>
      <c r="F459" s="326">
        <f>SUM(F455:F458)</f>
        <v>3</v>
      </c>
      <c r="G459" s="326"/>
      <c r="H459" s="587">
        <f>SUM(H455:H458)</f>
        <v>5000</v>
      </c>
      <c r="I459" s="580">
        <f>SUM(I455:I458)</f>
        <v>7500</v>
      </c>
      <c r="J459" s="373"/>
    </row>
    <row r="460" spans="1:13" ht="35.25" customHeight="1" thickBot="1" x14ac:dyDescent="0.35">
      <c r="A460" s="1134"/>
      <c r="B460" s="789"/>
      <c r="C460" s="279"/>
      <c r="D460" s="434"/>
      <c r="E460" s="280"/>
      <c r="F460" s="317"/>
      <c r="G460" s="579"/>
      <c r="H460" s="588"/>
      <c r="I460" s="282"/>
      <c r="J460" s="373"/>
    </row>
    <row r="461" spans="1:13" ht="35.25" customHeight="1" thickBot="1" x14ac:dyDescent="0.35">
      <c r="A461" s="1135"/>
      <c r="B461" s="1129" t="s">
        <v>269</v>
      </c>
      <c r="C461" s="1130"/>
      <c r="D461" s="787"/>
      <c r="E461" s="326">
        <f>+E459+E454+E447</f>
        <v>236546</v>
      </c>
      <c r="F461" s="326">
        <f>+F459+F454+F447</f>
        <v>572775</v>
      </c>
      <c r="G461" s="326"/>
      <c r="H461" s="580">
        <f>+H454+H447+H459</f>
        <v>3446715.2</v>
      </c>
      <c r="I461" s="580">
        <f>+I454+I447+I459</f>
        <v>8967230.4000000004</v>
      </c>
      <c r="J461" s="373"/>
      <c r="K461" s="704"/>
      <c r="M461" s="704"/>
    </row>
    <row r="462" spans="1:13" ht="35.25" customHeight="1" x14ac:dyDescent="0.3">
      <c r="A462" s="1133" t="s">
        <v>101</v>
      </c>
      <c r="B462" s="789"/>
      <c r="C462" s="279" t="s">
        <v>281</v>
      </c>
      <c r="D462" s="434" t="s">
        <v>178</v>
      </c>
      <c r="E462" s="280"/>
      <c r="F462" s="435">
        <f>+E462+F369</f>
        <v>0</v>
      </c>
      <c r="G462" s="602">
        <v>13.25</v>
      </c>
      <c r="H462" s="597">
        <f t="shared" ref="H462:H490" si="92">E462*G462</f>
        <v>0</v>
      </c>
      <c r="I462" s="596">
        <f t="shared" ref="I462:I490" si="93">+G462*F462</f>
        <v>0</v>
      </c>
      <c r="J462" s="373"/>
      <c r="K462" s="704"/>
    </row>
    <row r="463" spans="1:13" ht="35.25" customHeight="1" x14ac:dyDescent="0.3">
      <c r="A463" s="1134"/>
      <c r="B463" s="789"/>
      <c r="C463" s="279" t="s">
        <v>282</v>
      </c>
      <c r="D463" s="434"/>
      <c r="E463" s="280"/>
      <c r="F463" s="435">
        <f t="shared" ref="F463:F490" si="94">+E463+F370</f>
        <v>0</v>
      </c>
      <c r="G463" s="603">
        <v>5000</v>
      </c>
      <c r="H463" s="597">
        <f t="shared" si="92"/>
        <v>0</v>
      </c>
      <c r="I463" s="596">
        <f t="shared" si="93"/>
        <v>0</v>
      </c>
      <c r="J463" s="373"/>
      <c r="K463" s="704"/>
    </row>
    <row r="464" spans="1:13" ht="35.25" customHeight="1" x14ac:dyDescent="0.3">
      <c r="A464" s="1134"/>
      <c r="B464" s="789"/>
      <c r="C464" s="279" t="s">
        <v>282</v>
      </c>
      <c r="D464" s="434"/>
      <c r="E464" s="280"/>
      <c r="F464" s="435">
        <f t="shared" si="94"/>
        <v>0</v>
      </c>
      <c r="G464" s="603">
        <v>18000</v>
      </c>
      <c r="H464" s="597">
        <f t="shared" si="92"/>
        <v>0</v>
      </c>
      <c r="I464" s="596">
        <f t="shared" si="93"/>
        <v>0</v>
      </c>
      <c r="J464" s="373"/>
    </row>
    <row r="465" spans="1:10" ht="35.25" customHeight="1" x14ac:dyDescent="0.3">
      <c r="A465" s="1134"/>
      <c r="B465" s="789"/>
      <c r="C465" s="279" t="s">
        <v>465</v>
      </c>
      <c r="D465" s="434" t="s">
        <v>338</v>
      </c>
      <c r="E465" s="280"/>
      <c r="F465" s="435">
        <f t="shared" si="94"/>
        <v>0</v>
      </c>
      <c r="G465" s="602">
        <v>24.93</v>
      </c>
      <c r="H465" s="597">
        <f t="shared" si="92"/>
        <v>0</v>
      </c>
      <c r="I465" s="596">
        <f t="shared" si="93"/>
        <v>0</v>
      </c>
      <c r="J465" s="373"/>
    </row>
    <row r="466" spans="1:10" ht="35.25" customHeight="1" x14ac:dyDescent="0.3">
      <c r="A466" s="1134"/>
      <c r="B466" s="789"/>
      <c r="C466" s="746" t="s">
        <v>466</v>
      </c>
      <c r="D466" s="747" t="s">
        <v>92</v>
      </c>
      <c r="E466" s="280"/>
      <c r="F466" s="435">
        <f t="shared" si="94"/>
        <v>0</v>
      </c>
      <c r="G466" s="602">
        <v>20.8</v>
      </c>
      <c r="H466" s="597">
        <f t="shared" si="92"/>
        <v>0</v>
      </c>
      <c r="I466" s="596">
        <f t="shared" si="93"/>
        <v>0</v>
      </c>
      <c r="J466" s="373"/>
    </row>
    <row r="467" spans="1:10" ht="35.25" customHeight="1" x14ac:dyDescent="0.3">
      <c r="A467" s="1134"/>
      <c r="B467" s="789"/>
      <c r="C467" s="746" t="s">
        <v>467</v>
      </c>
      <c r="D467" s="747" t="s">
        <v>468</v>
      </c>
      <c r="E467" s="280"/>
      <c r="F467" s="435">
        <f t="shared" si="94"/>
        <v>0</v>
      </c>
      <c r="G467" s="602">
        <v>24.93</v>
      </c>
      <c r="H467" s="597">
        <f t="shared" si="92"/>
        <v>0</v>
      </c>
      <c r="I467" s="596">
        <f t="shared" si="93"/>
        <v>0</v>
      </c>
      <c r="J467" s="373"/>
    </row>
    <row r="468" spans="1:10" ht="35.25" customHeight="1" x14ac:dyDescent="0.3">
      <c r="A468" s="1134"/>
      <c r="B468" s="789"/>
      <c r="C468" s="746" t="s">
        <v>467</v>
      </c>
      <c r="D468" s="747" t="s">
        <v>468</v>
      </c>
      <c r="E468" s="280"/>
      <c r="F468" s="435">
        <f t="shared" si="94"/>
        <v>0</v>
      </c>
      <c r="G468" s="602">
        <v>25.49</v>
      </c>
      <c r="H468" s="597">
        <f t="shared" si="92"/>
        <v>0</v>
      </c>
      <c r="I468" s="596">
        <f t="shared" si="93"/>
        <v>0</v>
      </c>
      <c r="J468" s="373"/>
    </row>
    <row r="469" spans="1:10" s="757" customFormat="1" ht="35.25" customHeight="1" x14ac:dyDescent="0.3">
      <c r="A469" s="1134"/>
      <c r="B469" s="748"/>
      <c r="C469" s="749" t="s">
        <v>469</v>
      </c>
      <c r="D469" s="750" t="s">
        <v>309</v>
      </c>
      <c r="E469" s="751"/>
      <c r="F469" s="752">
        <f t="shared" si="94"/>
        <v>0</v>
      </c>
      <c r="G469" s="753">
        <v>24.41</v>
      </c>
      <c r="H469" s="754">
        <f t="shared" si="92"/>
        <v>0</v>
      </c>
      <c r="I469" s="755">
        <f t="shared" si="93"/>
        <v>0</v>
      </c>
      <c r="J469" s="756"/>
    </row>
    <row r="470" spans="1:10" ht="35.25" customHeight="1" x14ac:dyDescent="0.3">
      <c r="A470" s="1134"/>
      <c r="B470" s="789"/>
      <c r="C470" s="279" t="s">
        <v>444</v>
      </c>
      <c r="D470" s="434" t="s">
        <v>423</v>
      </c>
      <c r="E470" s="280"/>
      <c r="F470" s="435">
        <f t="shared" si="94"/>
        <v>0</v>
      </c>
      <c r="G470" s="602">
        <v>20.76</v>
      </c>
      <c r="H470" s="597">
        <f t="shared" si="92"/>
        <v>0</v>
      </c>
      <c r="I470" s="596">
        <f t="shared" si="93"/>
        <v>0</v>
      </c>
      <c r="J470" s="373"/>
    </row>
    <row r="471" spans="1:10" ht="35.25" customHeight="1" x14ac:dyDescent="0.3">
      <c r="A471" s="1134"/>
      <c r="B471" s="789"/>
      <c r="C471" s="279" t="s">
        <v>298</v>
      </c>
      <c r="D471" s="434" t="s">
        <v>107</v>
      </c>
      <c r="E471" s="280"/>
      <c r="F471" s="435">
        <f t="shared" si="94"/>
        <v>0</v>
      </c>
      <c r="G471" s="602">
        <v>24.93</v>
      </c>
      <c r="H471" s="597">
        <f t="shared" si="92"/>
        <v>0</v>
      </c>
      <c r="I471" s="596">
        <f t="shared" si="93"/>
        <v>0</v>
      </c>
      <c r="J471" s="373"/>
    </row>
    <row r="472" spans="1:10" ht="35.25" customHeight="1" x14ac:dyDescent="0.3">
      <c r="A472" s="1134"/>
      <c r="B472" s="789"/>
      <c r="C472" s="279" t="s">
        <v>299</v>
      </c>
      <c r="D472" s="434" t="s">
        <v>280</v>
      </c>
      <c r="E472" s="280"/>
      <c r="F472" s="435">
        <f t="shared" si="94"/>
        <v>0</v>
      </c>
      <c r="G472" s="602">
        <v>24.93</v>
      </c>
      <c r="H472" s="597">
        <f t="shared" si="92"/>
        <v>0</v>
      </c>
      <c r="I472" s="596">
        <f t="shared" si="93"/>
        <v>0</v>
      </c>
      <c r="J472" s="373"/>
    </row>
    <row r="473" spans="1:10" ht="35.25" customHeight="1" x14ac:dyDescent="0.3">
      <c r="A473" s="1134"/>
      <c r="B473" s="789"/>
      <c r="C473" s="279" t="s">
        <v>425</v>
      </c>
      <c r="D473" s="434" t="s">
        <v>309</v>
      </c>
      <c r="E473" s="280"/>
      <c r="F473" s="435">
        <f t="shared" si="94"/>
        <v>0</v>
      </c>
      <c r="G473" s="602">
        <v>23.78</v>
      </c>
      <c r="H473" s="597">
        <f t="shared" si="92"/>
        <v>0</v>
      </c>
      <c r="I473" s="596">
        <f t="shared" si="93"/>
        <v>0</v>
      </c>
      <c r="J473" s="373"/>
    </row>
    <row r="474" spans="1:10" ht="35.25" customHeight="1" x14ac:dyDescent="0.3">
      <c r="A474" s="1134"/>
      <c r="B474" s="789"/>
      <c r="C474" s="279" t="s">
        <v>354</v>
      </c>
      <c r="D474" s="434" t="s">
        <v>309</v>
      </c>
      <c r="E474" s="280"/>
      <c r="F474" s="435">
        <f t="shared" si="94"/>
        <v>0</v>
      </c>
      <c r="G474" s="602">
        <v>37.4566666666</v>
      </c>
      <c r="H474" s="597">
        <f t="shared" si="92"/>
        <v>0</v>
      </c>
      <c r="I474" s="596">
        <f t="shared" si="93"/>
        <v>0</v>
      </c>
      <c r="J474" s="373"/>
    </row>
    <row r="475" spans="1:10" ht="35.25" customHeight="1" x14ac:dyDescent="0.3">
      <c r="A475" s="1134"/>
      <c r="B475" s="789"/>
      <c r="C475" s="279" t="s">
        <v>355</v>
      </c>
      <c r="D475" s="434" t="s">
        <v>309</v>
      </c>
      <c r="E475" s="280"/>
      <c r="F475" s="435">
        <f t="shared" si="94"/>
        <v>0</v>
      </c>
      <c r="G475" s="602">
        <v>37.89</v>
      </c>
      <c r="H475" s="597">
        <f t="shared" si="92"/>
        <v>0</v>
      </c>
      <c r="I475" s="596">
        <f t="shared" si="93"/>
        <v>0</v>
      </c>
      <c r="J475" s="373"/>
    </row>
    <row r="476" spans="1:10" ht="35.25" customHeight="1" x14ac:dyDescent="0.3">
      <c r="A476" s="1134"/>
      <c r="B476" s="789"/>
      <c r="C476" s="279" t="s">
        <v>461</v>
      </c>
      <c r="D476" s="434" t="s">
        <v>92</v>
      </c>
      <c r="E476" s="280"/>
      <c r="F476" s="435">
        <f t="shared" si="94"/>
        <v>0</v>
      </c>
      <c r="G476" s="602">
        <v>28.31</v>
      </c>
      <c r="H476" s="597">
        <f t="shared" si="92"/>
        <v>0</v>
      </c>
      <c r="I476" s="596">
        <f t="shared" si="93"/>
        <v>0</v>
      </c>
      <c r="J476" s="373"/>
    </row>
    <row r="477" spans="1:10" ht="35.25" customHeight="1" x14ac:dyDescent="0.3">
      <c r="A477" s="1134"/>
      <c r="B477" s="789"/>
      <c r="C477" s="279" t="s">
        <v>461</v>
      </c>
      <c r="D477" s="434" t="s">
        <v>423</v>
      </c>
      <c r="E477" s="280"/>
      <c r="F477" s="435">
        <f t="shared" si="94"/>
        <v>0</v>
      </c>
      <c r="G477" s="602">
        <v>28.88</v>
      </c>
      <c r="H477" s="597">
        <f t="shared" si="92"/>
        <v>0</v>
      </c>
      <c r="I477" s="596">
        <f t="shared" si="93"/>
        <v>0</v>
      </c>
      <c r="J477" s="373"/>
    </row>
    <row r="478" spans="1:10" ht="35.25" customHeight="1" x14ac:dyDescent="0.3">
      <c r="A478" s="1134"/>
      <c r="B478" s="789"/>
      <c r="C478" s="279" t="s">
        <v>462</v>
      </c>
      <c r="D478" s="434" t="s">
        <v>423</v>
      </c>
      <c r="E478" s="280"/>
      <c r="F478" s="435">
        <f t="shared" si="94"/>
        <v>0</v>
      </c>
      <c r="G478" s="602">
        <v>28.21</v>
      </c>
      <c r="H478" s="597">
        <f t="shared" si="92"/>
        <v>0</v>
      </c>
      <c r="I478" s="596">
        <f t="shared" si="93"/>
        <v>0</v>
      </c>
      <c r="J478" s="373"/>
    </row>
    <row r="479" spans="1:10" ht="35.25" customHeight="1" x14ac:dyDescent="0.3">
      <c r="A479" s="1134"/>
      <c r="B479" s="789"/>
      <c r="C479" s="279" t="s">
        <v>463</v>
      </c>
      <c r="D479" s="434" t="s">
        <v>338</v>
      </c>
      <c r="E479" s="280"/>
      <c r="F479" s="435">
        <f t="shared" si="94"/>
        <v>0</v>
      </c>
      <c r="G479" s="602">
        <v>39</v>
      </c>
      <c r="H479" s="597">
        <f t="shared" si="92"/>
        <v>0</v>
      </c>
      <c r="I479" s="596">
        <f t="shared" si="93"/>
        <v>0</v>
      </c>
      <c r="J479" s="373"/>
    </row>
    <row r="480" spans="1:10" ht="35.25" customHeight="1" x14ac:dyDescent="0.3">
      <c r="A480" s="1134"/>
      <c r="B480" s="789"/>
      <c r="C480" s="279" t="s">
        <v>463</v>
      </c>
      <c r="D480" s="434" t="s">
        <v>92</v>
      </c>
      <c r="E480" s="280"/>
      <c r="F480" s="435">
        <f t="shared" si="94"/>
        <v>0</v>
      </c>
      <c r="G480" s="602">
        <v>32.65</v>
      </c>
      <c r="H480" s="597">
        <f t="shared" si="92"/>
        <v>0</v>
      </c>
      <c r="I480" s="596">
        <f t="shared" si="93"/>
        <v>0</v>
      </c>
      <c r="J480" s="373"/>
    </row>
    <row r="481" spans="1:10" ht="35.25" customHeight="1" x14ac:dyDescent="0.3">
      <c r="A481" s="1134"/>
      <c r="B481" s="789"/>
      <c r="C481" s="279" t="s">
        <v>463</v>
      </c>
      <c r="D481" s="434" t="s">
        <v>423</v>
      </c>
      <c r="E481" s="280"/>
      <c r="F481" s="435">
        <f t="shared" si="94"/>
        <v>0</v>
      </c>
      <c r="G481" s="602">
        <v>33.299999999999997</v>
      </c>
      <c r="H481" s="597">
        <f t="shared" si="92"/>
        <v>0</v>
      </c>
      <c r="I481" s="596">
        <f t="shared" si="93"/>
        <v>0</v>
      </c>
      <c r="J481" s="373"/>
    </row>
    <row r="482" spans="1:10" ht="35.25" customHeight="1" x14ac:dyDescent="0.3">
      <c r="A482" s="1134"/>
      <c r="B482" s="789"/>
      <c r="C482" s="279" t="s">
        <v>299</v>
      </c>
      <c r="D482" s="434" t="s">
        <v>279</v>
      </c>
      <c r="E482" s="280"/>
      <c r="F482" s="435">
        <f t="shared" si="94"/>
        <v>0</v>
      </c>
      <c r="G482" s="602">
        <v>24.93</v>
      </c>
      <c r="H482" s="597">
        <f t="shared" si="92"/>
        <v>0</v>
      </c>
      <c r="I482" s="596">
        <f t="shared" si="93"/>
        <v>0</v>
      </c>
      <c r="J482" s="373"/>
    </row>
    <row r="483" spans="1:10" ht="35.25" customHeight="1" x14ac:dyDescent="0.3">
      <c r="A483" s="1134"/>
      <c r="B483" s="789"/>
      <c r="C483" s="279" t="s">
        <v>299</v>
      </c>
      <c r="D483" s="434"/>
      <c r="E483" s="280"/>
      <c r="F483" s="435">
        <f t="shared" si="94"/>
        <v>0</v>
      </c>
      <c r="G483" s="602">
        <v>24.93</v>
      </c>
      <c r="H483" s="597">
        <f t="shared" si="92"/>
        <v>0</v>
      </c>
      <c r="I483" s="596">
        <f t="shared" si="93"/>
        <v>0</v>
      </c>
      <c r="J483" s="373"/>
    </row>
    <row r="484" spans="1:10" ht="35.25" customHeight="1" x14ac:dyDescent="0.3">
      <c r="A484" s="1134"/>
      <c r="B484" s="789"/>
      <c r="C484" s="279" t="s">
        <v>316</v>
      </c>
      <c r="D484" s="434" t="s">
        <v>289</v>
      </c>
      <c r="E484" s="280"/>
      <c r="F484" s="435">
        <f t="shared" si="94"/>
        <v>0</v>
      </c>
      <c r="G484" s="602">
        <v>34.26</v>
      </c>
      <c r="H484" s="597">
        <f t="shared" si="92"/>
        <v>0</v>
      </c>
      <c r="I484" s="596">
        <f t="shared" si="93"/>
        <v>0</v>
      </c>
      <c r="J484" s="373"/>
    </row>
    <row r="485" spans="1:10" ht="35.25" customHeight="1" x14ac:dyDescent="0.3">
      <c r="A485" s="1134"/>
      <c r="B485" s="789"/>
      <c r="C485" s="279" t="s">
        <v>328</v>
      </c>
      <c r="D485" s="434" t="s">
        <v>360</v>
      </c>
      <c r="E485" s="280"/>
      <c r="F485" s="435">
        <f t="shared" si="94"/>
        <v>0</v>
      </c>
      <c r="G485" s="602">
        <v>37.89</v>
      </c>
      <c r="H485" s="597">
        <f t="shared" si="92"/>
        <v>0</v>
      </c>
      <c r="I485" s="596">
        <f t="shared" si="93"/>
        <v>0</v>
      </c>
      <c r="J485" s="373"/>
    </row>
    <row r="486" spans="1:10" ht="35.25" customHeight="1" x14ac:dyDescent="0.3">
      <c r="A486" s="1134"/>
      <c r="B486" s="789"/>
      <c r="C486" s="279" t="s">
        <v>363</v>
      </c>
      <c r="D486" s="434" t="s">
        <v>338</v>
      </c>
      <c r="E486" s="280"/>
      <c r="F486" s="435">
        <f t="shared" si="94"/>
        <v>0</v>
      </c>
      <c r="G486" s="602">
        <v>39</v>
      </c>
      <c r="H486" s="597">
        <f t="shared" si="92"/>
        <v>0</v>
      </c>
      <c r="I486" s="596">
        <f t="shared" si="93"/>
        <v>0</v>
      </c>
      <c r="J486" s="373"/>
    </row>
    <row r="487" spans="1:10" ht="35.25" customHeight="1" x14ac:dyDescent="0.3">
      <c r="A487" s="1134"/>
      <c r="B487" s="789"/>
      <c r="C487" s="279" t="s">
        <v>299</v>
      </c>
      <c r="D487" s="434" t="s">
        <v>177</v>
      </c>
      <c r="E487" s="280"/>
      <c r="F487" s="435">
        <f t="shared" si="94"/>
        <v>0</v>
      </c>
      <c r="G487" s="602">
        <v>21.22</v>
      </c>
      <c r="H487" s="597">
        <f t="shared" si="92"/>
        <v>0</v>
      </c>
      <c r="I487" s="596">
        <f t="shared" si="93"/>
        <v>0</v>
      </c>
      <c r="J487" s="373"/>
    </row>
    <row r="488" spans="1:10" ht="35.25" customHeight="1" x14ac:dyDescent="0.3">
      <c r="A488" s="1134"/>
      <c r="B488" s="789"/>
      <c r="C488" s="279" t="s">
        <v>298</v>
      </c>
      <c r="D488" s="434" t="s">
        <v>177</v>
      </c>
      <c r="E488" s="280"/>
      <c r="F488" s="435">
        <f t="shared" si="94"/>
        <v>0</v>
      </c>
      <c r="G488" s="602">
        <v>21.22</v>
      </c>
      <c r="H488" s="597">
        <f t="shared" si="92"/>
        <v>0</v>
      </c>
      <c r="I488" s="596">
        <f t="shared" si="93"/>
        <v>0</v>
      </c>
      <c r="J488" s="373"/>
    </row>
    <row r="489" spans="1:10" ht="35.25" customHeight="1" x14ac:dyDescent="0.3">
      <c r="A489" s="1134"/>
      <c r="B489" s="789"/>
      <c r="C489" s="279" t="s">
        <v>339</v>
      </c>
      <c r="D489" s="434" t="s">
        <v>304</v>
      </c>
      <c r="E489" s="280"/>
      <c r="F489" s="435">
        <f t="shared" si="94"/>
        <v>0</v>
      </c>
      <c r="G489" s="602">
        <v>10000</v>
      </c>
      <c r="H489" s="597">
        <f t="shared" si="92"/>
        <v>0</v>
      </c>
      <c r="I489" s="596">
        <f t="shared" si="93"/>
        <v>0</v>
      </c>
      <c r="J489" s="373"/>
    </row>
    <row r="490" spans="1:10" ht="35.25" customHeight="1" thickBot="1" x14ac:dyDescent="0.35">
      <c r="A490" s="1134"/>
      <c r="B490" s="789"/>
      <c r="C490" s="279" t="s">
        <v>303</v>
      </c>
      <c r="D490" s="434" t="s">
        <v>304</v>
      </c>
      <c r="E490" s="280"/>
      <c r="F490" s="435">
        <f t="shared" si="94"/>
        <v>0</v>
      </c>
      <c r="G490" s="602">
        <v>360</v>
      </c>
      <c r="H490" s="597">
        <f t="shared" si="92"/>
        <v>0</v>
      </c>
      <c r="I490" s="596">
        <f t="shared" si="93"/>
        <v>0</v>
      </c>
      <c r="J490" s="373"/>
    </row>
    <row r="491" spans="1:10" ht="35.25" customHeight="1" thickBot="1" x14ac:dyDescent="0.35">
      <c r="A491" s="1135"/>
      <c r="B491" s="1129" t="s">
        <v>268</v>
      </c>
      <c r="C491" s="1130"/>
      <c r="D491" s="791"/>
      <c r="E491" s="326">
        <f>SUM(E462:E490)</f>
        <v>0</v>
      </c>
      <c r="F491" s="326">
        <f>SUM(F462:F490)</f>
        <v>0</v>
      </c>
      <c r="G491" s="326"/>
      <c r="H491" s="587">
        <f>SUM(H462:H490)</f>
        <v>0</v>
      </c>
      <c r="I491" s="580">
        <f>SUM(I462:I490)</f>
        <v>0</v>
      </c>
      <c r="J491" s="373"/>
    </row>
    <row r="492" spans="1:10" ht="35.25" customHeight="1" x14ac:dyDescent="0.3">
      <c r="A492" s="1133" t="s">
        <v>102</v>
      </c>
      <c r="B492" s="789"/>
      <c r="C492" s="279" t="s">
        <v>509</v>
      </c>
      <c r="D492" s="434" t="s">
        <v>238</v>
      </c>
      <c r="E492" s="280">
        <v>3400</v>
      </c>
      <c r="F492" s="435">
        <f t="shared" ref="F492:F516" si="95">+E492+F399</f>
        <v>3400</v>
      </c>
      <c r="G492" s="803">
        <v>624.26</v>
      </c>
      <c r="H492" s="593">
        <f>E492*G492</f>
        <v>2122484</v>
      </c>
      <c r="I492" s="596">
        <f t="shared" ref="I492:I513" si="96">+G492*F492</f>
        <v>2122484</v>
      </c>
      <c r="J492" s="373"/>
    </row>
    <row r="493" spans="1:10" ht="35.25" customHeight="1" x14ac:dyDescent="0.3">
      <c r="A493" s="1134"/>
      <c r="B493" s="789"/>
      <c r="C493" s="279" t="s">
        <v>274</v>
      </c>
      <c r="D493" s="434" t="s">
        <v>238</v>
      </c>
      <c r="E493" s="280"/>
      <c r="F493" s="435">
        <f t="shared" si="95"/>
        <v>0</v>
      </c>
      <c r="G493" s="602">
        <v>445.38</v>
      </c>
      <c r="H493" s="593">
        <f t="shared" ref="H493:H513" si="97">E493*G493</f>
        <v>0</v>
      </c>
      <c r="I493" s="596">
        <f t="shared" si="96"/>
        <v>0</v>
      </c>
      <c r="J493" s="373"/>
    </row>
    <row r="494" spans="1:10" ht="35.25" customHeight="1" x14ac:dyDescent="0.3">
      <c r="A494" s="1134"/>
      <c r="B494" s="789"/>
      <c r="C494" s="279" t="s">
        <v>390</v>
      </c>
      <c r="D494" s="434" t="s">
        <v>238</v>
      </c>
      <c r="E494" s="280"/>
      <c r="F494" s="435">
        <f t="shared" si="95"/>
        <v>0</v>
      </c>
      <c r="G494" s="602">
        <v>445.38</v>
      </c>
      <c r="H494" s="593">
        <f t="shared" si="97"/>
        <v>0</v>
      </c>
      <c r="I494" s="596">
        <f t="shared" si="96"/>
        <v>0</v>
      </c>
      <c r="J494" s="373"/>
    </row>
    <row r="495" spans="1:10" ht="35.25" customHeight="1" x14ac:dyDescent="0.3">
      <c r="A495" s="1134"/>
      <c r="B495" s="789"/>
      <c r="C495" s="279" t="s">
        <v>301</v>
      </c>
      <c r="D495" s="434" t="s">
        <v>238</v>
      </c>
      <c r="E495" s="280"/>
      <c r="F495" s="435">
        <f t="shared" si="95"/>
        <v>0</v>
      </c>
      <c r="G495" s="602">
        <v>63.55</v>
      </c>
      <c r="H495" s="593">
        <f t="shared" si="97"/>
        <v>0</v>
      </c>
      <c r="I495" s="596">
        <f t="shared" si="96"/>
        <v>0</v>
      </c>
      <c r="J495" s="373"/>
    </row>
    <row r="496" spans="1:10" ht="35.25" customHeight="1" x14ac:dyDescent="0.3">
      <c r="A496" s="1134"/>
      <c r="B496" s="789"/>
      <c r="C496" s="279" t="s">
        <v>275</v>
      </c>
      <c r="D496" s="434" t="s">
        <v>238</v>
      </c>
      <c r="E496" s="280"/>
      <c r="F496" s="435">
        <f t="shared" si="95"/>
        <v>10080</v>
      </c>
      <c r="G496" s="602">
        <v>71.44</v>
      </c>
      <c r="H496" s="593">
        <f t="shared" si="97"/>
        <v>0</v>
      </c>
      <c r="I496" s="596">
        <f t="shared" si="96"/>
        <v>720115.19999999995</v>
      </c>
      <c r="J496" s="373"/>
    </row>
    <row r="497" spans="1:10" ht="35.25" customHeight="1" x14ac:dyDescent="0.3">
      <c r="A497" s="1134"/>
      <c r="B497" s="789"/>
      <c r="C497" s="279" t="s">
        <v>276</v>
      </c>
      <c r="D497" s="434" t="s">
        <v>238</v>
      </c>
      <c r="E497" s="280"/>
      <c r="F497" s="435">
        <f t="shared" si="95"/>
        <v>0</v>
      </c>
      <c r="G497" s="602">
        <v>36.5</v>
      </c>
      <c r="H497" s="593">
        <f t="shared" si="97"/>
        <v>0</v>
      </c>
      <c r="I497" s="596">
        <f t="shared" si="96"/>
        <v>0</v>
      </c>
      <c r="J497" s="373"/>
    </row>
    <row r="498" spans="1:10" ht="35.25" customHeight="1" x14ac:dyDescent="0.3">
      <c r="A498" s="1134"/>
      <c r="B498" s="789"/>
      <c r="C498" s="279" t="s">
        <v>426</v>
      </c>
      <c r="D498" s="434" t="s">
        <v>238</v>
      </c>
      <c r="E498" s="280"/>
      <c r="F498" s="435">
        <f t="shared" si="95"/>
        <v>0</v>
      </c>
      <c r="G498" s="602">
        <v>320.35000000000002</v>
      </c>
      <c r="H498" s="593">
        <f t="shared" si="97"/>
        <v>0</v>
      </c>
      <c r="I498" s="596">
        <f t="shared" si="96"/>
        <v>0</v>
      </c>
      <c r="J498" s="373"/>
    </row>
    <row r="499" spans="1:10" ht="35.25" customHeight="1" x14ac:dyDescent="0.3">
      <c r="A499" s="1134"/>
      <c r="B499" s="789"/>
      <c r="C499" s="279" t="s">
        <v>285</v>
      </c>
      <c r="D499" s="434" t="s">
        <v>238</v>
      </c>
      <c r="E499" s="280"/>
      <c r="F499" s="435">
        <f t="shared" si="95"/>
        <v>0</v>
      </c>
      <c r="G499" s="602">
        <v>320.35000000000002</v>
      </c>
      <c r="H499" s="593">
        <f t="shared" si="97"/>
        <v>0</v>
      </c>
      <c r="I499" s="596">
        <f t="shared" si="96"/>
        <v>0</v>
      </c>
      <c r="J499" s="373"/>
    </row>
    <row r="500" spans="1:10" ht="35.25" customHeight="1" x14ac:dyDescent="0.3">
      <c r="A500" s="1134"/>
      <c r="B500" s="789"/>
      <c r="C500" s="279" t="s">
        <v>296</v>
      </c>
      <c r="D500" s="434" t="s">
        <v>238</v>
      </c>
      <c r="E500" s="280"/>
      <c r="F500" s="435">
        <f t="shared" si="95"/>
        <v>0</v>
      </c>
      <c r="G500" s="602">
        <v>434.41</v>
      </c>
      <c r="H500" s="593">
        <f t="shared" si="97"/>
        <v>0</v>
      </c>
      <c r="I500" s="596">
        <f t="shared" si="96"/>
        <v>0</v>
      </c>
      <c r="J500" s="373"/>
    </row>
    <row r="501" spans="1:10" ht="35.25" customHeight="1" x14ac:dyDescent="0.3">
      <c r="A501" s="1134"/>
      <c r="B501" s="789"/>
      <c r="C501" s="279" t="s">
        <v>282</v>
      </c>
      <c r="D501" s="434" t="s">
        <v>238</v>
      </c>
      <c r="E501" s="280"/>
      <c r="F501" s="435">
        <f t="shared" si="95"/>
        <v>0</v>
      </c>
      <c r="G501" s="602">
        <v>29690</v>
      </c>
      <c r="H501" s="593">
        <f t="shared" si="97"/>
        <v>0</v>
      </c>
      <c r="I501" s="596">
        <f t="shared" si="96"/>
        <v>0</v>
      </c>
      <c r="J501" s="373"/>
    </row>
    <row r="502" spans="1:10" ht="35.25" customHeight="1" x14ac:dyDescent="0.3">
      <c r="A502" s="1134"/>
      <c r="B502" s="789"/>
      <c r="C502" s="279" t="s">
        <v>282</v>
      </c>
      <c r="D502" s="434" t="s">
        <v>238</v>
      </c>
      <c r="E502" s="280"/>
      <c r="F502" s="435">
        <f t="shared" si="95"/>
        <v>0</v>
      </c>
      <c r="G502" s="602">
        <v>26445</v>
      </c>
      <c r="H502" s="593">
        <f t="shared" si="97"/>
        <v>0</v>
      </c>
      <c r="I502" s="596">
        <f t="shared" si="96"/>
        <v>0</v>
      </c>
      <c r="J502" s="373"/>
    </row>
    <row r="503" spans="1:10" ht="35.25" customHeight="1" x14ac:dyDescent="0.3">
      <c r="A503" s="1134"/>
      <c r="B503" s="789"/>
      <c r="C503" s="279" t="s">
        <v>282</v>
      </c>
      <c r="D503" s="434"/>
      <c r="E503" s="280"/>
      <c r="F503" s="435">
        <f t="shared" si="95"/>
        <v>0</v>
      </c>
      <c r="G503" s="602">
        <v>33947.884599999998</v>
      </c>
      <c r="H503" s="593">
        <f t="shared" si="97"/>
        <v>0</v>
      </c>
      <c r="I503" s="596">
        <f t="shared" si="96"/>
        <v>0</v>
      </c>
      <c r="J503" s="373"/>
    </row>
    <row r="504" spans="1:10" ht="35.25" customHeight="1" x14ac:dyDescent="0.3">
      <c r="A504" s="1134"/>
      <c r="B504" s="789"/>
      <c r="C504" s="279" t="s">
        <v>311</v>
      </c>
      <c r="D504" s="434" t="s">
        <v>337</v>
      </c>
      <c r="E504" s="280"/>
      <c r="F504" s="435">
        <f t="shared" si="95"/>
        <v>0</v>
      </c>
      <c r="G504" s="602">
        <v>50</v>
      </c>
      <c r="H504" s="593">
        <f t="shared" si="97"/>
        <v>0</v>
      </c>
      <c r="I504" s="596">
        <f t="shared" si="96"/>
        <v>0</v>
      </c>
      <c r="J504" s="373"/>
    </row>
    <row r="505" spans="1:10" ht="35.25" customHeight="1" x14ac:dyDescent="0.3">
      <c r="A505" s="1134"/>
      <c r="B505" s="789"/>
      <c r="C505" s="279" t="s">
        <v>311</v>
      </c>
      <c r="D505" s="434"/>
      <c r="E505" s="280"/>
      <c r="F505" s="435">
        <f t="shared" si="95"/>
        <v>0</v>
      </c>
      <c r="G505" s="602">
        <v>10</v>
      </c>
      <c r="H505" s="593">
        <f t="shared" si="97"/>
        <v>0</v>
      </c>
      <c r="I505" s="596">
        <f t="shared" si="96"/>
        <v>0</v>
      </c>
      <c r="J505" s="373"/>
    </row>
    <row r="506" spans="1:10" ht="35.25" customHeight="1" x14ac:dyDescent="0.3">
      <c r="A506" s="1134"/>
      <c r="B506" s="789"/>
      <c r="C506" s="279" t="s">
        <v>329</v>
      </c>
      <c r="D506" s="434" t="s">
        <v>370</v>
      </c>
      <c r="E506" s="280"/>
      <c r="F506" s="435">
        <f t="shared" si="95"/>
        <v>0</v>
      </c>
      <c r="G506" s="602">
        <v>57.64</v>
      </c>
      <c r="H506" s="593">
        <f t="shared" si="97"/>
        <v>0</v>
      </c>
      <c r="I506" s="596">
        <f t="shared" si="96"/>
        <v>0</v>
      </c>
      <c r="J506" s="373"/>
    </row>
    <row r="507" spans="1:10" ht="35.25" customHeight="1" x14ac:dyDescent="0.3">
      <c r="A507" s="1134"/>
      <c r="B507" s="789"/>
      <c r="C507" s="279" t="s">
        <v>329</v>
      </c>
      <c r="D507" s="434" t="s">
        <v>364</v>
      </c>
      <c r="E507" s="280"/>
      <c r="F507" s="435">
        <f t="shared" si="95"/>
        <v>0</v>
      </c>
      <c r="G507" s="602">
        <v>57.64</v>
      </c>
      <c r="H507" s="593">
        <f t="shared" si="97"/>
        <v>0</v>
      </c>
      <c r="I507" s="596">
        <f t="shared" si="96"/>
        <v>0</v>
      </c>
      <c r="J507" s="373"/>
    </row>
    <row r="508" spans="1:10" ht="35.25" customHeight="1" x14ac:dyDescent="0.3">
      <c r="A508" s="1134"/>
      <c r="B508" s="789"/>
      <c r="C508" s="279" t="s">
        <v>330</v>
      </c>
      <c r="D508" s="434" t="s">
        <v>331</v>
      </c>
      <c r="E508" s="280"/>
      <c r="F508" s="435">
        <f t="shared" si="95"/>
        <v>0</v>
      </c>
      <c r="G508" s="602">
        <v>434.41</v>
      </c>
      <c r="H508" s="593">
        <f t="shared" si="97"/>
        <v>0</v>
      </c>
      <c r="I508" s="596">
        <f t="shared" si="96"/>
        <v>0</v>
      </c>
      <c r="J508" s="373"/>
    </row>
    <row r="509" spans="1:10" ht="35.25" customHeight="1" x14ac:dyDescent="0.3">
      <c r="A509" s="1134"/>
      <c r="B509" s="789"/>
      <c r="C509" s="279" t="s">
        <v>343</v>
      </c>
      <c r="D509" s="434" t="s">
        <v>238</v>
      </c>
      <c r="E509" s="280"/>
      <c r="F509" s="435">
        <f t="shared" si="95"/>
        <v>0</v>
      </c>
      <c r="G509" s="602">
        <v>624.26</v>
      </c>
      <c r="H509" s="593">
        <f t="shared" si="97"/>
        <v>0</v>
      </c>
      <c r="I509" s="596">
        <f t="shared" si="96"/>
        <v>0</v>
      </c>
      <c r="J509" s="373"/>
    </row>
    <row r="510" spans="1:10" ht="35.25" customHeight="1" x14ac:dyDescent="0.3">
      <c r="A510" s="1134"/>
      <c r="B510" s="789"/>
      <c r="C510" s="279" t="s">
        <v>332</v>
      </c>
      <c r="D510" s="434" t="s">
        <v>331</v>
      </c>
      <c r="E510" s="280"/>
      <c r="F510" s="435">
        <f t="shared" si="95"/>
        <v>0</v>
      </c>
      <c r="G510" s="602">
        <v>63.55</v>
      </c>
      <c r="H510" s="593">
        <f t="shared" si="97"/>
        <v>0</v>
      </c>
      <c r="I510" s="596">
        <f t="shared" si="96"/>
        <v>0</v>
      </c>
      <c r="J510" s="373"/>
    </row>
    <row r="511" spans="1:10" ht="35.25" customHeight="1" x14ac:dyDescent="0.3">
      <c r="A511" s="1134"/>
      <c r="B511" s="789"/>
      <c r="C511" s="279" t="s">
        <v>371</v>
      </c>
      <c r="D511" s="434" t="s">
        <v>238</v>
      </c>
      <c r="E511" s="280"/>
      <c r="F511" s="435">
        <f t="shared" si="95"/>
        <v>0</v>
      </c>
      <c r="G511" s="602">
        <v>59.96</v>
      </c>
      <c r="H511" s="593">
        <f t="shared" si="97"/>
        <v>0</v>
      </c>
      <c r="I511" s="596">
        <f t="shared" si="96"/>
        <v>0</v>
      </c>
      <c r="J511" s="373"/>
    </row>
    <row r="512" spans="1:10" ht="35.25" customHeight="1" x14ac:dyDescent="0.3">
      <c r="A512" s="1134"/>
      <c r="B512" s="789"/>
      <c r="C512" s="279" t="s">
        <v>419</v>
      </c>
      <c r="D512" s="434" t="s">
        <v>331</v>
      </c>
      <c r="E512" s="280"/>
      <c r="F512" s="435">
        <f t="shared" si="95"/>
        <v>0</v>
      </c>
      <c r="G512" s="602">
        <v>53.86</v>
      </c>
      <c r="H512" s="593">
        <f t="shared" si="97"/>
        <v>0</v>
      </c>
      <c r="I512" s="596">
        <f t="shared" si="96"/>
        <v>0</v>
      </c>
      <c r="J512" s="373"/>
    </row>
    <row r="513" spans="1:10" ht="35.25" customHeight="1" x14ac:dyDescent="0.3">
      <c r="A513" s="1134"/>
      <c r="B513" s="789"/>
      <c r="C513" s="279" t="s">
        <v>379</v>
      </c>
      <c r="D513" s="434"/>
      <c r="E513" s="280"/>
      <c r="F513" s="435">
        <f t="shared" si="95"/>
        <v>0</v>
      </c>
      <c r="G513" s="602">
        <v>360</v>
      </c>
      <c r="H513" s="593">
        <f t="shared" si="97"/>
        <v>0</v>
      </c>
      <c r="I513" s="596">
        <f t="shared" si="96"/>
        <v>0</v>
      </c>
      <c r="J513" s="373"/>
    </row>
    <row r="514" spans="1:10" ht="35.25" customHeight="1" x14ac:dyDescent="0.3">
      <c r="A514" s="1134"/>
      <c r="B514" s="789"/>
      <c r="C514" s="279" t="s">
        <v>471</v>
      </c>
      <c r="D514" s="434"/>
      <c r="E514" s="280"/>
      <c r="F514" s="435">
        <f t="shared" si="95"/>
        <v>0</v>
      </c>
      <c r="G514" s="602"/>
      <c r="H514" s="593">
        <f>+E514</f>
        <v>0</v>
      </c>
      <c r="I514" s="596">
        <f>+H514</f>
        <v>0</v>
      </c>
      <c r="J514" s="373"/>
    </row>
    <row r="515" spans="1:10" ht="35.25" customHeight="1" x14ac:dyDescent="0.3">
      <c r="A515" s="1134"/>
      <c r="B515" s="789"/>
      <c r="C515" s="279" t="s">
        <v>282</v>
      </c>
      <c r="D515" s="434"/>
      <c r="E515" s="280"/>
      <c r="F515" s="435">
        <f t="shared" si="95"/>
        <v>0</v>
      </c>
      <c r="G515" s="602">
        <v>39450</v>
      </c>
      <c r="H515" s="593">
        <f t="shared" ref="H515:H516" si="98">E515*G515</f>
        <v>0</v>
      </c>
      <c r="I515" s="596">
        <f t="shared" ref="I515:I516" si="99">+G515*F515</f>
        <v>0</v>
      </c>
      <c r="J515" s="373"/>
    </row>
    <row r="516" spans="1:10" ht="35.25" customHeight="1" thickBot="1" x14ac:dyDescent="0.35">
      <c r="A516" s="1134"/>
      <c r="B516" s="789"/>
      <c r="C516" s="279" t="s">
        <v>329</v>
      </c>
      <c r="D516" s="434" t="s">
        <v>443</v>
      </c>
      <c r="E516" s="280"/>
      <c r="F516" s="435">
        <f t="shared" si="95"/>
        <v>0</v>
      </c>
      <c r="G516" s="602">
        <v>57.64</v>
      </c>
      <c r="H516" s="593">
        <f t="shared" si="98"/>
        <v>0</v>
      </c>
      <c r="I516" s="596">
        <f t="shared" si="99"/>
        <v>0</v>
      </c>
      <c r="J516" s="373"/>
    </row>
    <row r="517" spans="1:10" ht="35.25" customHeight="1" thickBot="1" x14ac:dyDescent="0.35">
      <c r="A517" s="1135"/>
      <c r="B517" s="1129" t="s">
        <v>270</v>
      </c>
      <c r="C517" s="1130"/>
      <c r="D517" s="791"/>
      <c r="E517" s="326">
        <f>SUM(E492:E516)</f>
        <v>3400</v>
      </c>
      <c r="F517" s="326">
        <f>SUM(F492:F516)</f>
        <v>13480</v>
      </c>
      <c r="G517" s="326"/>
      <c r="H517" s="590">
        <f>SUM(H492:H516)</f>
        <v>2122484</v>
      </c>
      <c r="I517" s="580">
        <f>SUM(I492:I516)</f>
        <v>2842599.2</v>
      </c>
      <c r="J517" s="372"/>
    </row>
    <row r="518" spans="1:10" ht="35.25" customHeight="1" thickBot="1" x14ac:dyDescent="0.35">
      <c r="A518" s="794"/>
      <c r="B518" s="437"/>
      <c r="C518" s="279" t="s">
        <v>379</v>
      </c>
      <c r="D518" s="434"/>
      <c r="E518" s="280"/>
      <c r="F518" s="281">
        <f>+E518</f>
        <v>0</v>
      </c>
      <c r="G518" s="334"/>
      <c r="H518" s="589">
        <f t="shared" ref="H518" si="100">E518*G518</f>
        <v>0</v>
      </c>
      <c r="I518" s="282">
        <f t="shared" ref="I518" si="101">+G518*F518</f>
        <v>0</v>
      </c>
      <c r="J518" s="373"/>
    </row>
    <row r="519" spans="1:10" ht="35.25" customHeight="1" thickBot="1" x14ac:dyDescent="0.35">
      <c r="A519" s="794"/>
      <c r="B519" s="1129" t="s">
        <v>224</v>
      </c>
      <c r="C519" s="1130"/>
      <c r="D519" s="787"/>
      <c r="E519" s="326"/>
      <c r="F519" s="327"/>
      <c r="G519" s="326"/>
      <c r="H519" s="587"/>
      <c r="I519" s="324">
        <f>SUM(I518)</f>
        <v>0</v>
      </c>
      <c r="J519" s="349"/>
    </row>
    <row r="520" spans="1:10" ht="35.25" customHeight="1" thickBot="1" x14ac:dyDescent="0.35">
      <c r="A520" s="319"/>
      <c r="B520" s="1131" t="s">
        <v>174</v>
      </c>
      <c r="C520" s="1132"/>
      <c r="D520" s="788"/>
      <c r="E520" s="374">
        <f>+E517+E491+E461+E459</f>
        <v>239948</v>
      </c>
      <c r="F520" s="374">
        <f>+F517+F491+F461+F459</f>
        <v>586258</v>
      </c>
      <c r="G520" s="374"/>
      <c r="H520" s="374"/>
      <c r="I520" s="374">
        <f>+I517+I491+I461+I519</f>
        <v>11809829.600000001</v>
      </c>
      <c r="J520" s="375"/>
    </row>
    <row r="521" spans="1:10" ht="35.25" customHeight="1" x14ac:dyDescent="0.3">
      <c r="A521" s="1057" t="s">
        <v>1</v>
      </c>
      <c r="B521" s="1060" t="s">
        <v>2</v>
      </c>
      <c r="C521" s="1138" t="s">
        <v>396</v>
      </c>
      <c r="D521" s="1115" t="s">
        <v>397</v>
      </c>
      <c r="E521" s="1142" t="s">
        <v>510</v>
      </c>
      <c r="F521" s="1067"/>
      <c r="G521" s="1067"/>
      <c r="H521" s="1067"/>
      <c r="I521" s="1067"/>
      <c r="J521" s="1068"/>
    </row>
    <row r="522" spans="1:10" ht="35.25" customHeight="1" x14ac:dyDescent="0.3">
      <c r="A522" s="1136"/>
      <c r="B522" s="1137"/>
      <c r="C522" s="1139"/>
      <c r="D522" s="1116"/>
      <c r="E522" s="1143" t="s">
        <v>412</v>
      </c>
      <c r="F522" s="1144"/>
      <c r="G522" s="1143" t="s">
        <v>411</v>
      </c>
      <c r="H522" s="1145"/>
      <c r="I522" s="1145"/>
      <c r="J522" s="1144"/>
    </row>
    <row r="523" spans="1:10" ht="35.25" customHeight="1" x14ac:dyDescent="0.3">
      <c r="A523" s="1058"/>
      <c r="B523" s="1061"/>
      <c r="C523" s="1140"/>
      <c r="D523" s="1116"/>
      <c r="E523" s="1069" t="s">
        <v>413</v>
      </c>
      <c r="F523" s="1071" t="s">
        <v>414</v>
      </c>
      <c r="G523" s="1147" t="s">
        <v>90</v>
      </c>
      <c r="H523" s="1149" t="s">
        <v>91</v>
      </c>
      <c r="I523" s="1149" t="s">
        <v>91</v>
      </c>
      <c r="J523" s="1151" t="s">
        <v>12</v>
      </c>
    </row>
    <row r="524" spans="1:10" ht="35.25" customHeight="1" thickBot="1" x14ac:dyDescent="0.35">
      <c r="A524" s="1059"/>
      <c r="B524" s="1062"/>
      <c r="C524" s="1141"/>
      <c r="D524" s="1117"/>
      <c r="E524" s="1070"/>
      <c r="F524" s="1146"/>
      <c r="G524" s="1148"/>
      <c r="H524" s="1150"/>
      <c r="I524" s="1150"/>
      <c r="J524" s="1152"/>
    </row>
    <row r="525" spans="1:10" ht="35.25" customHeight="1" x14ac:dyDescent="0.3">
      <c r="A525" s="1133" t="s">
        <v>103</v>
      </c>
      <c r="B525" s="439"/>
      <c r="C525" s="577" t="s">
        <v>442</v>
      </c>
      <c r="D525" s="665" t="s">
        <v>374</v>
      </c>
      <c r="E525" s="699"/>
      <c r="F525" s="674">
        <f>+E525+F432</f>
        <v>0</v>
      </c>
      <c r="G525" s="732">
        <v>107.85</v>
      </c>
      <c r="H525" s="591">
        <f t="shared" ref="H525:H539" si="102">E525*G525</f>
        <v>0</v>
      </c>
      <c r="I525" s="594">
        <f>+G525*F525</f>
        <v>0</v>
      </c>
      <c r="J525" s="351"/>
    </row>
    <row r="526" spans="1:10" ht="35.25" customHeight="1" x14ac:dyDescent="0.3">
      <c r="A526" s="1134"/>
      <c r="B526" s="438"/>
      <c r="C526" s="441" t="s">
        <v>264</v>
      </c>
      <c r="D526" s="666" t="s">
        <v>265</v>
      </c>
      <c r="E526" s="700"/>
      <c r="F526" s="701">
        <f t="shared" ref="F526:F539" si="103">+E526+F433</f>
        <v>0</v>
      </c>
      <c r="G526" s="697">
        <v>11</v>
      </c>
      <c r="H526" s="592">
        <f t="shared" si="102"/>
        <v>0</v>
      </c>
      <c r="I526" s="595">
        <f>+G526*F526</f>
        <v>0</v>
      </c>
      <c r="J526" s="352"/>
    </row>
    <row r="527" spans="1:10" ht="35.25" customHeight="1" x14ac:dyDescent="0.3">
      <c r="A527" s="1134"/>
      <c r="B527" s="438"/>
      <c r="C527" s="441" t="s">
        <v>295</v>
      </c>
      <c r="D527" s="666" t="s">
        <v>453</v>
      </c>
      <c r="E527" s="700"/>
      <c r="F527" s="701">
        <f t="shared" si="103"/>
        <v>0</v>
      </c>
      <c r="G527" s="697">
        <v>139.04</v>
      </c>
      <c r="H527" s="592">
        <f t="shared" si="102"/>
        <v>0</v>
      </c>
      <c r="I527" s="595">
        <f t="shared" ref="I527:I539" si="104">+G527*F527</f>
        <v>0</v>
      </c>
      <c r="J527" s="352"/>
    </row>
    <row r="528" spans="1:10" ht="35.25" customHeight="1" x14ac:dyDescent="0.3">
      <c r="A528" s="1134"/>
      <c r="B528" s="438"/>
      <c r="C528" s="441" t="s">
        <v>357</v>
      </c>
      <c r="D528" s="666" t="s">
        <v>358</v>
      </c>
      <c r="E528" s="700"/>
      <c r="F528" s="701">
        <f t="shared" si="103"/>
        <v>0</v>
      </c>
      <c r="G528" s="715">
        <v>20.5</v>
      </c>
      <c r="H528" s="592">
        <f t="shared" si="102"/>
        <v>0</v>
      </c>
      <c r="I528" s="595">
        <f t="shared" si="104"/>
        <v>0</v>
      </c>
      <c r="J528" s="352"/>
    </row>
    <row r="529" spans="1:10" ht="35.25" customHeight="1" x14ac:dyDescent="0.3">
      <c r="A529" s="1134"/>
      <c r="B529" s="438"/>
      <c r="C529" s="441" t="s">
        <v>288</v>
      </c>
      <c r="D529" s="666" t="s">
        <v>177</v>
      </c>
      <c r="E529" s="700"/>
      <c r="F529" s="701">
        <f t="shared" si="103"/>
        <v>0</v>
      </c>
      <c r="G529" s="697">
        <v>14.79</v>
      </c>
      <c r="H529" s="592">
        <f t="shared" si="102"/>
        <v>0</v>
      </c>
      <c r="I529" s="595">
        <f t="shared" si="104"/>
        <v>0</v>
      </c>
      <c r="J529" s="352"/>
    </row>
    <row r="530" spans="1:10" ht="35.25" customHeight="1" x14ac:dyDescent="0.3">
      <c r="A530" s="1134"/>
      <c r="B530" s="438"/>
      <c r="C530" s="441" t="s">
        <v>295</v>
      </c>
      <c r="D530" s="666" t="s">
        <v>265</v>
      </c>
      <c r="E530" s="700">
        <v>1920</v>
      </c>
      <c r="F530" s="701">
        <f t="shared" si="103"/>
        <v>1920</v>
      </c>
      <c r="G530" s="697">
        <v>139.04</v>
      </c>
      <c r="H530" s="592">
        <f t="shared" si="102"/>
        <v>266956.79999999999</v>
      </c>
      <c r="I530" s="595">
        <f t="shared" si="104"/>
        <v>266956.79999999999</v>
      </c>
      <c r="J530" s="352"/>
    </row>
    <row r="531" spans="1:10" ht="35.25" customHeight="1" x14ac:dyDescent="0.3">
      <c r="A531" s="1134"/>
      <c r="B531" s="438"/>
      <c r="C531" s="441" t="s">
        <v>391</v>
      </c>
      <c r="D531" s="667" t="s">
        <v>356</v>
      </c>
      <c r="E531" s="700"/>
      <c r="F531" s="701">
        <f t="shared" si="103"/>
        <v>0</v>
      </c>
      <c r="G531" s="697">
        <v>147.58000000000001</v>
      </c>
      <c r="H531" s="592">
        <f t="shared" si="102"/>
        <v>0</v>
      </c>
      <c r="I531" s="595">
        <f t="shared" si="104"/>
        <v>0</v>
      </c>
      <c r="J531" s="352"/>
    </row>
    <row r="532" spans="1:10" ht="35.25" customHeight="1" x14ac:dyDescent="0.3">
      <c r="A532" s="1134"/>
      <c r="B532" s="438"/>
      <c r="C532" s="441" t="s">
        <v>313</v>
      </c>
      <c r="D532" s="667" t="s">
        <v>265</v>
      </c>
      <c r="E532" s="700"/>
      <c r="F532" s="701">
        <f t="shared" si="103"/>
        <v>36720</v>
      </c>
      <c r="G532" s="697">
        <v>18.84</v>
      </c>
      <c r="H532" s="592">
        <f t="shared" si="102"/>
        <v>0</v>
      </c>
      <c r="I532" s="595">
        <f t="shared" si="104"/>
        <v>691804.8</v>
      </c>
      <c r="J532" s="352"/>
    </row>
    <row r="533" spans="1:10" ht="35.25" customHeight="1" x14ac:dyDescent="0.3">
      <c r="A533" s="1134"/>
      <c r="B533" s="438"/>
      <c r="C533" s="441" t="s">
        <v>322</v>
      </c>
      <c r="D533" s="667" t="s">
        <v>232</v>
      </c>
      <c r="E533" s="700"/>
      <c r="F533" s="701">
        <f t="shared" si="103"/>
        <v>0</v>
      </c>
      <c r="G533" s="697">
        <v>21.18</v>
      </c>
      <c r="H533" s="592">
        <f t="shared" si="102"/>
        <v>0</v>
      </c>
      <c r="I533" s="595">
        <f t="shared" si="104"/>
        <v>0</v>
      </c>
      <c r="J533" s="352"/>
    </row>
    <row r="534" spans="1:10" ht="35.25" customHeight="1" x14ac:dyDescent="0.3">
      <c r="A534" s="1134"/>
      <c r="B534" s="438"/>
      <c r="C534" s="441" t="s">
        <v>324</v>
      </c>
      <c r="D534" s="667" t="s">
        <v>325</v>
      </c>
      <c r="E534" s="700"/>
      <c r="F534" s="701">
        <f t="shared" si="103"/>
        <v>0</v>
      </c>
      <c r="G534" s="697">
        <v>21.28</v>
      </c>
      <c r="H534" s="592">
        <f t="shared" si="102"/>
        <v>0</v>
      </c>
      <c r="I534" s="595">
        <f t="shared" si="104"/>
        <v>0</v>
      </c>
      <c r="J534" s="352"/>
    </row>
    <row r="535" spans="1:10" ht="35.25" customHeight="1" x14ac:dyDescent="0.3">
      <c r="A535" s="1134"/>
      <c r="B535" s="438"/>
      <c r="C535" s="441" t="s">
        <v>378</v>
      </c>
      <c r="D535" s="667" t="s">
        <v>374</v>
      </c>
      <c r="E535" s="700"/>
      <c r="F535" s="701">
        <f t="shared" si="103"/>
        <v>0</v>
      </c>
      <c r="G535" s="697">
        <v>143.28</v>
      </c>
      <c r="H535" s="592">
        <f t="shared" si="102"/>
        <v>0</v>
      </c>
      <c r="I535" s="595">
        <f t="shared" si="104"/>
        <v>0</v>
      </c>
      <c r="J535" s="352"/>
    </row>
    <row r="536" spans="1:10" ht="35.25" customHeight="1" x14ac:dyDescent="0.3">
      <c r="A536" s="1134"/>
      <c r="B536" s="438"/>
      <c r="C536" s="441" t="s">
        <v>472</v>
      </c>
      <c r="D536" s="667"/>
      <c r="E536" s="700"/>
      <c r="F536" s="701">
        <f t="shared" si="103"/>
        <v>0</v>
      </c>
      <c r="G536" s="697">
        <v>14.79</v>
      </c>
      <c r="H536" s="592">
        <f t="shared" si="102"/>
        <v>0</v>
      </c>
      <c r="I536" s="595">
        <f t="shared" si="104"/>
        <v>0</v>
      </c>
      <c r="J536" s="352"/>
    </row>
    <row r="537" spans="1:10" ht="35.25" customHeight="1" x14ac:dyDescent="0.3">
      <c r="A537" s="1134"/>
      <c r="B537" s="438"/>
      <c r="C537" s="441" t="s">
        <v>451</v>
      </c>
      <c r="D537" s="666" t="s">
        <v>177</v>
      </c>
      <c r="E537" s="700"/>
      <c r="F537" s="701">
        <f t="shared" si="103"/>
        <v>498432</v>
      </c>
      <c r="G537" s="697">
        <v>14.55</v>
      </c>
      <c r="H537" s="592">
        <f t="shared" si="102"/>
        <v>0</v>
      </c>
      <c r="I537" s="595">
        <f t="shared" si="104"/>
        <v>7252185.6000000006</v>
      </c>
      <c r="J537" s="352"/>
    </row>
    <row r="538" spans="1:10" ht="35.25" customHeight="1" x14ac:dyDescent="0.3">
      <c r="A538" s="1134"/>
      <c r="B538" s="438"/>
      <c r="C538" s="441" t="s">
        <v>327</v>
      </c>
      <c r="D538" s="667" t="s">
        <v>188</v>
      </c>
      <c r="E538" s="700"/>
      <c r="F538" s="701">
        <f t="shared" si="103"/>
        <v>0</v>
      </c>
      <c r="G538" s="697">
        <v>21.28</v>
      </c>
      <c r="H538" s="592">
        <f t="shared" si="102"/>
        <v>0</v>
      </c>
      <c r="I538" s="595">
        <f t="shared" si="104"/>
        <v>0</v>
      </c>
      <c r="J538" s="352"/>
    </row>
    <row r="539" spans="1:10" ht="35.25" customHeight="1" thickBot="1" x14ac:dyDescent="0.35">
      <c r="A539" s="1134"/>
      <c r="B539" s="438"/>
      <c r="C539" s="441" t="s">
        <v>336</v>
      </c>
      <c r="D539" s="668" t="s">
        <v>178</v>
      </c>
      <c r="E539" s="700"/>
      <c r="F539" s="676">
        <f t="shared" si="103"/>
        <v>0</v>
      </c>
      <c r="G539" s="697">
        <v>36.44</v>
      </c>
      <c r="H539" s="592">
        <f t="shared" si="102"/>
        <v>0</v>
      </c>
      <c r="I539" s="595">
        <f t="shared" si="104"/>
        <v>0</v>
      </c>
      <c r="J539" s="352"/>
    </row>
    <row r="540" spans="1:10" ht="35.25" customHeight="1" thickBot="1" x14ac:dyDescent="0.35">
      <c r="A540" s="1134"/>
      <c r="B540" s="1129" t="s">
        <v>266</v>
      </c>
      <c r="C540" s="1130"/>
      <c r="D540" s="799"/>
      <c r="E540" s="326">
        <f>SUM(E525:E539)</f>
        <v>1920</v>
      </c>
      <c r="F540" s="698">
        <f>SUM(F525:F539)</f>
        <v>537072</v>
      </c>
      <c r="G540" s="326"/>
      <c r="H540" s="587">
        <f>SUM(H525:H539)</f>
        <v>266956.79999999999</v>
      </c>
      <c r="I540" s="580">
        <f>SUM(I525:I539)</f>
        <v>8210947.2000000011</v>
      </c>
      <c r="J540" s="349"/>
    </row>
    <row r="541" spans="1:10" ht="35.25" customHeight="1" x14ac:dyDescent="0.3">
      <c r="A541" s="1134"/>
      <c r="B541" s="797"/>
      <c r="C541" s="279" t="s">
        <v>271</v>
      </c>
      <c r="D541" s="434" t="s">
        <v>238</v>
      </c>
      <c r="E541" s="280"/>
      <c r="F541" s="435">
        <f>+E541+F448</f>
        <v>0</v>
      </c>
      <c r="G541" s="578">
        <v>160.44999999999999</v>
      </c>
      <c r="H541" s="593">
        <f t="shared" ref="H541:H546" si="105">E541*G541</f>
        <v>0</v>
      </c>
      <c r="I541" s="596">
        <f t="shared" ref="I541:I546" si="106">+G541*F541</f>
        <v>0</v>
      </c>
      <c r="J541" s="373"/>
    </row>
    <row r="542" spans="1:10" ht="35.25" customHeight="1" x14ac:dyDescent="0.3">
      <c r="A542" s="1134"/>
      <c r="B542" s="797"/>
      <c r="C542" s="279" t="s">
        <v>287</v>
      </c>
      <c r="D542" s="434" t="s">
        <v>93</v>
      </c>
      <c r="E542" s="280"/>
      <c r="F542" s="435">
        <f t="shared" ref="F542:F546" si="107">+E542+F449</f>
        <v>37620</v>
      </c>
      <c r="G542" s="578">
        <v>27</v>
      </c>
      <c r="H542" s="593">
        <f t="shared" si="105"/>
        <v>0</v>
      </c>
      <c r="I542" s="596">
        <f t="shared" si="106"/>
        <v>1015740</v>
      </c>
      <c r="J542" s="373"/>
    </row>
    <row r="543" spans="1:10" ht="35.25" customHeight="1" x14ac:dyDescent="0.3">
      <c r="A543" s="1134"/>
      <c r="B543" s="797"/>
      <c r="C543" s="279" t="s">
        <v>287</v>
      </c>
      <c r="D543" s="434" t="s">
        <v>292</v>
      </c>
      <c r="E543" s="280"/>
      <c r="F543" s="435">
        <f t="shared" si="107"/>
        <v>0</v>
      </c>
      <c r="G543" s="578">
        <v>27.5</v>
      </c>
      <c r="H543" s="593">
        <f t="shared" si="105"/>
        <v>0</v>
      </c>
      <c r="I543" s="596">
        <f t="shared" si="106"/>
        <v>0</v>
      </c>
      <c r="J543" s="373"/>
    </row>
    <row r="544" spans="1:10" ht="35.25" customHeight="1" x14ac:dyDescent="0.3">
      <c r="A544" s="1134"/>
      <c r="B544" s="797"/>
      <c r="C544" s="279" t="s">
        <v>276</v>
      </c>
      <c r="D544" s="434" t="s">
        <v>292</v>
      </c>
      <c r="E544" s="280"/>
      <c r="F544" s="435">
        <f t="shared" si="107"/>
        <v>0</v>
      </c>
      <c r="G544" s="578">
        <v>34.5</v>
      </c>
      <c r="H544" s="593">
        <f t="shared" si="105"/>
        <v>0</v>
      </c>
      <c r="I544" s="596">
        <f t="shared" si="106"/>
        <v>0</v>
      </c>
      <c r="J544" s="373"/>
    </row>
    <row r="545" spans="1:13" ht="35.25" customHeight="1" x14ac:dyDescent="0.3">
      <c r="A545" s="1134"/>
      <c r="B545" s="797"/>
      <c r="C545" s="279" t="s">
        <v>473</v>
      </c>
      <c r="D545" s="434" t="s">
        <v>440</v>
      </c>
      <c r="E545" s="280"/>
      <c r="F545" s="435">
        <f t="shared" si="107"/>
        <v>0</v>
      </c>
      <c r="G545" s="578">
        <v>10.57</v>
      </c>
      <c r="H545" s="593">
        <f t="shared" si="105"/>
        <v>0</v>
      </c>
      <c r="I545" s="596">
        <f t="shared" si="106"/>
        <v>0</v>
      </c>
      <c r="J545" s="373"/>
    </row>
    <row r="546" spans="1:13" ht="35.25" customHeight="1" thickBot="1" x14ac:dyDescent="0.35">
      <c r="A546" s="1134"/>
      <c r="B546" s="797"/>
      <c r="C546" s="279" t="s">
        <v>276</v>
      </c>
      <c r="D546" s="434" t="s">
        <v>440</v>
      </c>
      <c r="E546" s="280"/>
      <c r="F546" s="435">
        <f t="shared" si="107"/>
        <v>0</v>
      </c>
      <c r="G546" s="578">
        <v>55.76</v>
      </c>
      <c r="H546" s="593">
        <f t="shared" si="105"/>
        <v>0</v>
      </c>
      <c r="I546" s="596">
        <f t="shared" si="106"/>
        <v>0</v>
      </c>
      <c r="J546" s="373"/>
    </row>
    <row r="547" spans="1:13" ht="35.25" customHeight="1" thickBot="1" x14ac:dyDescent="0.35">
      <c r="A547" s="1134"/>
      <c r="B547" s="1129" t="s">
        <v>267</v>
      </c>
      <c r="C547" s="1130"/>
      <c r="D547" s="799"/>
      <c r="E547" s="326">
        <f>SUM(E541:E546)</f>
        <v>0</v>
      </c>
      <c r="F547" s="326">
        <f>SUM(F541:F546)</f>
        <v>37620</v>
      </c>
      <c r="G547" s="326"/>
      <c r="H547" s="587">
        <f>SUM(H541:H546)</f>
        <v>0</v>
      </c>
      <c r="I547" s="580">
        <f>SUM(I541:I546)</f>
        <v>1015740</v>
      </c>
      <c r="J547" s="349"/>
    </row>
    <row r="548" spans="1:13" ht="35.25" customHeight="1" x14ac:dyDescent="0.3">
      <c r="A548" s="1134"/>
      <c r="B548" s="797"/>
      <c r="C548" s="279" t="s">
        <v>277</v>
      </c>
      <c r="D548" s="434" t="s">
        <v>278</v>
      </c>
      <c r="E548" s="280"/>
      <c r="F548" s="435">
        <f>+E548+F455</f>
        <v>3</v>
      </c>
      <c r="G548" s="578">
        <v>2500</v>
      </c>
      <c r="H548" s="593">
        <f t="shared" ref="H548:H551" si="108">E548*G548</f>
        <v>0</v>
      </c>
      <c r="I548" s="596">
        <f>+G548*F548</f>
        <v>7500</v>
      </c>
      <c r="J548" s="373"/>
    </row>
    <row r="549" spans="1:13" ht="35.25" customHeight="1" x14ac:dyDescent="0.3">
      <c r="A549" s="1134"/>
      <c r="B549" s="797"/>
      <c r="C549" s="279" t="s">
        <v>454</v>
      </c>
      <c r="D549" s="434"/>
      <c r="E549" s="280"/>
      <c r="F549" s="435">
        <f t="shared" ref="F549:F551" si="109">+E549+F456</f>
        <v>0</v>
      </c>
      <c r="G549" s="578">
        <v>30000</v>
      </c>
      <c r="H549" s="593">
        <f t="shared" si="108"/>
        <v>0</v>
      </c>
      <c r="I549" s="596">
        <f>+G549*F549</f>
        <v>0</v>
      </c>
      <c r="J549" s="373"/>
    </row>
    <row r="550" spans="1:13" ht="35.25" customHeight="1" x14ac:dyDescent="0.3">
      <c r="A550" s="1134"/>
      <c r="B550" s="797"/>
      <c r="C550" s="279" t="s">
        <v>379</v>
      </c>
      <c r="D550" s="434" t="s">
        <v>304</v>
      </c>
      <c r="E550" s="280"/>
      <c r="F550" s="435">
        <f t="shared" si="109"/>
        <v>0</v>
      </c>
      <c r="G550" s="578">
        <v>360</v>
      </c>
      <c r="H550" s="593">
        <f t="shared" si="108"/>
        <v>0</v>
      </c>
      <c r="I550" s="596">
        <f>+G550*F550</f>
        <v>0</v>
      </c>
      <c r="J550" s="373"/>
    </row>
    <row r="551" spans="1:13" ht="35.25" customHeight="1" thickBot="1" x14ac:dyDescent="0.35">
      <c r="A551" s="1134"/>
      <c r="B551" s="797"/>
      <c r="C551" s="279" t="s">
        <v>427</v>
      </c>
      <c r="D551" s="434" t="s">
        <v>304</v>
      </c>
      <c r="E551" s="280"/>
      <c r="F551" s="435">
        <f t="shared" si="109"/>
        <v>0</v>
      </c>
      <c r="G551" s="579">
        <v>10</v>
      </c>
      <c r="H551" s="593">
        <f t="shared" si="108"/>
        <v>0</v>
      </c>
      <c r="I551" s="596">
        <f t="shared" ref="I551" si="110">+G551*F551</f>
        <v>0</v>
      </c>
      <c r="J551" s="373"/>
    </row>
    <row r="552" spans="1:13" ht="35.25" customHeight="1" thickBot="1" x14ac:dyDescent="0.35">
      <c r="A552" s="1134"/>
      <c r="B552" s="1129" t="s">
        <v>272</v>
      </c>
      <c r="C552" s="1130"/>
      <c r="D552" s="799"/>
      <c r="E552" s="326">
        <f>SUM(E548:E551)</f>
        <v>0</v>
      </c>
      <c r="F552" s="326">
        <f>SUM(F548:F551)</f>
        <v>3</v>
      </c>
      <c r="G552" s="326"/>
      <c r="H552" s="587">
        <f>SUM(H548:H551)</f>
        <v>0</v>
      </c>
      <c r="I552" s="580">
        <f>SUM(I548:I551)</f>
        <v>7500</v>
      </c>
      <c r="J552" s="373"/>
    </row>
    <row r="553" spans="1:13" ht="35.25" customHeight="1" thickBot="1" x14ac:dyDescent="0.35">
      <c r="A553" s="1134"/>
      <c r="B553" s="797"/>
      <c r="C553" s="279"/>
      <c r="D553" s="434"/>
      <c r="E553" s="280"/>
      <c r="F553" s="317"/>
      <c r="G553" s="579"/>
      <c r="H553" s="588"/>
      <c r="I553" s="282"/>
      <c r="J553" s="373"/>
    </row>
    <row r="554" spans="1:13" ht="35.25" customHeight="1" thickBot="1" x14ac:dyDescent="0.35">
      <c r="A554" s="1135"/>
      <c r="B554" s="1129" t="s">
        <v>269</v>
      </c>
      <c r="C554" s="1130"/>
      <c r="D554" s="795"/>
      <c r="E554" s="326">
        <f>+E552+E547+E540</f>
        <v>1920</v>
      </c>
      <c r="F554" s="326">
        <f>+F552+F547+F540</f>
        <v>574695</v>
      </c>
      <c r="G554" s="326"/>
      <c r="H554" s="580">
        <f>+H547+H540+H552</f>
        <v>266956.79999999999</v>
      </c>
      <c r="I554" s="580">
        <f>+I547+I540+I552</f>
        <v>9234187.2000000011</v>
      </c>
      <c r="J554" s="373"/>
      <c r="K554" s="704"/>
      <c r="M554" s="704"/>
    </row>
    <row r="555" spans="1:13" ht="35.25" customHeight="1" x14ac:dyDescent="0.3">
      <c r="A555" s="1133" t="s">
        <v>101</v>
      </c>
      <c r="B555" s="797"/>
      <c r="C555" s="279" t="s">
        <v>281</v>
      </c>
      <c r="D555" s="434" t="s">
        <v>178</v>
      </c>
      <c r="E555" s="280"/>
      <c r="F555" s="435">
        <f>+E555+F462</f>
        <v>0</v>
      </c>
      <c r="G555" s="602">
        <v>13.25</v>
      </c>
      <c r="H555" s="597">
        <f t="shared" ref="H555:H583" si="111">E555*G555</f>
        <v>0</v>
      </c>
      <c r="I555" s="596">
        <f t="shared" ref="I555:I583" si="112">+G555*F555</f>
        <v>0</v>
      </c>
      <c r="J555" s="373"/>
      <c r="K555" s="704"/>
    </row>
    <row r="556" spans="1:13" ht="35.25" customHeight="1" x14ac:dyDescent="0.3">
      <c r="A556" s="1134"/>
      <c r="B556" s="797"/>
      <c r="C556" s="279" t="s">
        <v>282</v>
      </c>
      <c r="D556" s="434"/>
      <c r="E556" s="280"/>
      <c r="F556" s="435">
        <f t="shared" ref="F556:F583" si="113">+E556+F463</f>
        <v>0</v>
      </c>
      <c r="G556" s="603">
        <v>5000</v>
      </c>
      <c r="H556" s="597">
        <f t="shared" si="111"/>
        <v>0</v>
      </c>
      <c r="I556" s="596">
        <f t="shared" si="112"/>
        <v>0</v>
      </c>
      <c r="J556" s="373"/>
      <c r="K556" s="704"/>
    </row>
    <row r="557" spans="1:13" ht="35.25" customHeight="1" x14ac:dyDescent="0.3">
      <c r="A557" s="1134"/>
      <c r="B557" s="797"/>
      <c r="C557" s="279" t="s">
        <v>282</v>
      </c>
      <c r="D557" s="434"/>
      <c r="E557" s="280"/>
      <c r="F557" s="435">
        <f t="shared" si="113"/>
        <v>0</v>
      </c>
      <c r="G557" s="603">
        <v>18000</v>
      </c>
      <c r="H557" s="597">
        <f t="shared" si="111"/>
        <v>0</v>
      </c>
      <c r="I557" s="596">
        <f t="shared" si="112"/>
        <v>0</v>
      </c>
      <c r="J557" s="373"/>
    </row>
    <row r="558" spans="1:13" ht="35.25" customHeight="1" x14ac:dyDescent="0.3">
      <c r="A558" s="1134"/>
      <c r="B558" s="797"/>
      <c r="C558" s="279" t="s">
        <v>465</v>
      </c>
      <c r="D558" s="434" t="s">
        <v>338</v>
      </c>
      <c r="E558" s="280"/>
      <c r="F558" s="435">
        <f t="shared" si="113"/>
        <v>0</v>
      </c>
      <c r="G558" s="602">
        <v>24.93</v>
      </c>
      <c r="H558" s="597">
        <f t="shared" si="111"/>
        <v>0</v>
      </c>
      <c r="I558" s="596">
        <f t="shared" si="112"/>
        <v>0</v>
      </c>
      <c r="J558" s="373"/>
    </row>
    <row r="559" spans="1:13" ht="35.25" customHeight="1" x14ac:dyDescent="0.3">
      <c r="A559" s="1134"/>
      <c r="B559" s="797"/>
      <c r="C559" s="746" t="s">
        <v>466</v>
      </c>
      <c r="D559" s="747" t="s">
        <v>92</v>
      </c>
      <c r="E559" s="280"/>
      <c r="F559" s="435">
        <f t="shared" si="113"/>
        <v>0</v>
      </c>
      <c r="G559" s="602">
        <v>20.8</v>
      </c>
      <c r="H559" s="597">
        <f t="shared" si="111"/>
        <v>0</v>
      </c>
      <c r="I559" s="596">
        <f t="shared" si="112"/>
        <v>0</v>
      </c>
      <c r="J559" s="373"/>
    </row>
    <row r="560" spans="1:13" ht="35.25" customHeight="1" x14ac:dyDescent="0.3">
      <c r="A560" s="1134"/>
      <c r="B560" s="797"/>
      <c r="C560" s="746" t="s">
        <v>467</v>
      </c>
      <c r="D560" s="747" t="s">
        <v>468</v>
      </c>
      <c r="E560" s="280"/>
      <c r="F560" s="435">
        <f t="shared" si="113"/>
        <v>0</v>
      </c>
      <c r="G560" s="602">
        <v>24.93</v>
      </c>
      <c r="H560" s="597">
        <f t="shared" si="111"/>
        <v>0</v>
      </c>
      <c r="I560" s="596">
        <f t="shared" si="112"/>
        <v>0</v>
      </c>
      <c r="J560" s="373"/>
    </row>
    <row r="561" spans="1:10" ht="35.25" customHeight="1" x14ac:dyDescent="0.3">
      <c r="A561" s="1134"/>
      <c r="B561" s="797"/>
      <c r="C561" s="746" t="s">
        <v>467</v>
      </c>
      <c r="D561" s="747" t="s">
        <v>468</v>
      </c>
      <c r="E561" s="280"/>
      <c r="F561" s="435">
        <f t="shared" si="113"/>
        <v>0</v>
      </c>
      <c r="G561" s="602">
        <v>25.49</v>
      </c>
      <c r="H561" s="597">
        <f t="shared" si="111"/>
        <v>0</v>
      </c>
      <c r="I561" s="596">
        <f t="shared" si="112"/>
        <v>0</v>
      </c>
      <c r="J561" s="373"/>
    </row>
    <row r="562" spans="1:10" s="757" customFormat="1" ht="35.25" customHeight="1" x14ac:dyDescent="0.3">
      <c r="A562" s="1134"/>
      <c r="B562" s="748"/>
      <c r="C562" s="749" t="s">
        <v>469</v>
      </c>
      <c r="D562" s="750" t="s">
        <v>309</v>
      </c>
      <c r="E562" s="751"/>
      <c r="F562" s="752">
        <f t="shared" si="113"/>
        <v>0</v>
      </c>
      <c r="G562" s="753">
        <v>24.41</v>
      </c>
      <c r="H562" s="754">
        <f t="shared" si="111"/>
        <v>0</v>
      </c>
      <c r="I562" s="755">
        <f t="shared" si="112"/>
        <v>0</v>
      </c>
      <c r="J562" s="756"/>
    </row>
    <row r="563" spans="1:10" ht="35.25" customHeight="1" x14ac:dyDescent="0.3">
      <c r="A563" s="1134"/>
      <c r="B563" s="797"/>
      <c r="C563" s="279" t="s">
        <v>444</v>
      </c>
      <c r="D563" s="434" t="s">
        <v>423</v>
      </c>
      <c r="E563" s="280"/>
      <c r="F563" s="435">
        <f t="shared" si="113"/>
        <v>0</v>
      </c>
      <c r="G563" s="602">
        <v>20.76</v>
      </c>
      <c r="H563" s="597">
        <f t="shared" si="111"/>
        <v>0</v>
      </c>
      <c r="I563" s="596">
        <f t="shared" si="112"/>
        <v>0</v>
      </c>
      <c r="J563" s="373"/>
    </row>
    <row r="564" spans="1:10" ht="35.25" customHeight="1" x14ac:dyDescent="0.3">
      <c r="A564" s="1134"/>
      <c r="B564" s="797"/>
      <c r="C564" s="279" t="s">
        <v>298</v>
      </c>
      <c r="D564" s="434" t="s">
        <v>107</v>
      </c>
      <c r="E564" s="280"/>
      <c r="F564" s="435">
        <f t="shared" si="113"/>
        <v>0</v>
      </c>
      <c r="G564" s="602">
        <v>24.93</v>
      </c>
      <c r="H564" s="597">
        <f t="shared" si="111"/>
        <v>0</v>
      </c>
      <c r="I564" s="596">
        <f t="shared" si="112"/>
        <v>0</v>
      </c>
      <c r="J564" s="373"/>
    </row>
    <row r="565" spans="1:10" ht="35.25" customHeight="1" x14ac:dyDescent="0.3">
      <c r="A565" s="1134"/>
      <c r="B565" s="797"/>
      <c r="C565" s="279" t="s">
        <v>299</v>
      </c>
      <c r="D565" s="434" t="s">
        <v>280</v>
      </c>
      <c r="E565" s="280"/>
      <c r="F565" s="435">
        <f t="shared" si="113"/>
        <v>0</v>
      </c>
      <c r="G565" s="602">
        <v>24.93</v>
      </c>
      <c r="H565" s="597">
        <f t="shared" si="111"/>
        <v>0</v>
      </c>
      <c r="I565" s="596">
        <f t="shared" si="112"/>
        <v>0</v>
      </c>
      <c r="J565" s="373"/>
    </row>
    <row r="566" spans="1:10" ht="35.25" customHeight="1" x14ac:dyDescent="0.3">
      <c r="A566" s="1134"/>
      <c r="B566" s="797"/>
      <c r="C566" s="279" t="s">
        <v>425</v>
      </c>
      <c r="D566" s="434" t="s">
        <v>309</v>
      </c>
      <c r="E566" s="280"/>
      <c r="F566" s="435">
        <f t="shared" si="113"/>
        <v>0</v>
      </c>
      <c r="G566" s="602">
        <v>23.78</v>
      </c>
      <c r="H566" s="597">
        <f t="shared" si="111"/>
        <v>0</v>
      </c>
      <c r="I566" s="596">
        <f t="shared" si="112"/>
        <v>0</v>
      </c>
      <c r="J566" s="373"/>
    </row>
    <row r="567" spans="1:10" ht="35.25" customHeight="1" x14ac:dyDescent="0.3">
      <c r="A567" s="1134"/>
      <c r="B567" s="797"/>
      <c r="C567" s="279" t="s">
        <v>354</v>
      </c>
      <c r="D567" s="434" t="s">
        <v>309</v>
      </c>
      <c r="E567" s="280"/>
      <c r="F567" s="435">
        <f t="shared" si="113"/>
        <v>0</v>
      </c>
      <c r="G567" s="602">
        <v>37.4566666666</v>
      </c>
      <c r="H567" s="597">
        <f t="shared" si="111"/>
        <v>0</v>
      </c>
      <c r="I567" s="596">
        <f t="shared" si="112"/>
        <v>0</v>
      </c>
      <c r="J567" s="373"/>
    </row>
    <row r="568" spans="1:10" ht="35.25" customHeight="1" x14ac:dyDescent="0.3">
      <c r="A568" s="1134"/>
      <c r="B568" s="797"/>
      <c r="C568" s="279" t="s">
        <v>355</v>
      </c>
      <c r="D568" s="434" t="s">
        <v>309</v>
      </c>
      <c r="E568" s="280"/>
      <c r="F568" s="435">
        <f t="shared" si="113"/>
        <v>0</v>
      </c>
      <c r="G568" s="602">
        <v>37.89</v>
      </c>
      <c r="H568" s="597">
        <f t="shared" si="111"/>
        <v>0</v>
      </c>
      <c r="I568" s="596">
        <f t="shared" si="112"/>
        <v>0</v>
      </c>
      <c r="J568" s="373"/>
    </row>
    <row r="569" spans="1:10" ht="35.25" customHeight="1" x14ac:dyDescent="0.3">
      <c r="A569" s="1134"/>
      <c r="B569" s="797"/>
      <c r="C569" s="279" t="s">
        <v>461</v>
      </c>
      <c r="D569" s="434" t="s">
        <v>92</v>
      </c>
      <c r="E569" s="280"/>
      <c r="F569" s="435">
        <f t="shared" si="113"/>
        <v>0</v>
      </c>
      <c r="G569" s="602">
        <v>28.31</v>
      </c>
      <c r="H569" s="597">
        <f t="shared" si="111"/>
        <v>0</v>
      </c>
      <c r="I569" s="596">
        <f t="shared" si="112"/>
        <v>0</v>
      </c>
      <c r="J569" s="373"/>
    </row>
    <row r="570" spans="1:10" ht="35.25" customHeight="1" x14ac:dyDescent="0.3">
      <c r="A570" s="1134"/>
      <c r="B570" s="797"/>
      <c r="C570" s="279" t="s">
        <v>461</v>
      </c>
      <c r="D570" s="434" t="s">
        <v>423</v>
      </c>
      <c r="E570" s="280"/>
      <c r="F570" s="435">
        <f t="shared" si="113"/>
        <v>0</v>
      </c>
      <c r="G570" s="602">
        <v>28.88</v>
      </c>
      <c r="H570" s="597">
        <f t="shared" si="111"/>
        <v>0</v>
      </c>
      <c r="I570" s="596">
        <f t="shared" si="112"/>
        <v>0</v>
      </c>
      <c r="J570" s="373"/>
    </row>
    <row r="571" spans="1:10" ht="35.25" customHeight="1" x14ac:dyDescent="0.3">
      <c r="A571" s="1134"/>
      <c r="B571" s="797"/>
      <c r="C571" s="279" t="s">
        <v>462</v>
      </c>
      <c r="D571" s="434" t="s">
        <v>423</v>
      </c>
      <c r="E571" s="280"/>
      <c r="F571" s="435">
        <f t="shared" si="113"/>
        <v>0</v>
      </c>
      <c r="G571" s="602">
        <v>28.21</v>
      </c>
      <c r="H571" s="597">
        <f t="shared" si="111"/>
        <v>0</v>
      </c>
      <c r="I571" s="596">
        <f t="shared" si="112"/>
        <v>0</v>
      </c>
      <c r="J571" s="373"/>
    </row>
    <row r="572" spans="1:10" ht="35.25" customHeight="1" x14ac:dyDescent="0.3">
      <c r="A572" s="1134"/>
      <c r="B572" s="797"/>
      <c r="C572" s="279" t="s">
        <v>463</v>
      </c>
      <c r="D572" s="434" t="s">
        <v>338</v>
      </c>
      <c r="E572" s="280"/>
      <c r="F572" s="435">
        <f t="shared" si="113"/>
        <v>0</v>
      </c>
      <c r="G572" s="602">
        <v>39</v>
      </c>
      <c r="H572" s="597">
        <f t="shared" si="111"/>
        <v>0</v>
      </c>
      <c r="I572" s="596">
        <f t="shared" si="112"/>
        <v>0</v>
      </c>
      <c r="J572" s="373"/>
    </row>
    <row r="573" spans="1:10" ht="35.25" customHeight="1" x14ac:dyDescent="0.3">
      <c r="A573" s="1134"/>
      <c r="B573" s="797"/>
      <c r="C573" s="279" t="s">
        <v>463</v>
      </c>
      <c r="D573" s="434" t="s">
        <v>92</v>
      </c>
      <c r="E573" s="280"/>
      <c r="F573" s="435">
        <f t="shared" si="113"/>
        <v>0</v>
      </c>
      <c r="G573" s="602">
        <v>32.65</v>
      </c>
      <c r="H573" s="597">
        <f t="shared" si="111"/>
        <v>0</v>
      </c>
      <c r="I573" s="596">
        <f t="shared" si="112"/>
        <v>0</v>
      </c>
      <c r="J573" s="373"/>
    </row>
    <row r="574" spans="1:10" ht="35.25" customHeight="1" x14ac:dyDescent="0.3">
      <c r="A574" s="1134"/>
      <c r="B574" s="797"/>
      <c r="C574" s="279" t="s">
        <v>463</v>
      </c>
      <c r="D574" s="434" t="s">
        <v>423</v>
      </c>
      <c r="E574" s="280"/>
      <c r="F574" s="435">
        <f t="shared" si="113"/>
        <v>0</v>
      </c>
      <c r="G574" s="602">
        <v>33.299999999999997</v>
      </c>
      <c r="H574" s="597">
        <f t="shared" si="111"/>
        <v>0</v>
      </c>
      <c r="I574" s="596">
        <f t="shared" si="112"/>
        <v>0</v>
      </c>
      <c r="J574" s="373"/>
    </row>
    <row r="575" spans="1:10" ht="35.25" customHeight="1" x14ac:dyDescent="0.3">
      <c r="A575" s="1134"/>
      <c r="B575" s="797"/>
      <c r="C575" s="279" t="s">
        <v>299</v>
      </c>
      <c r="D575" s="434" t="s">
        <v>279</v>
      </c>
      <c r="E575" s="280"/>
      <c r="F575" s="435">
        <f t="shared" si="113"/>
        <v>0</v>
      </c>
      <c r="G575" s="602">
        <v>24.93</v>
      </c>
      <c r="H575" s="597">
        <f t="shared" si="111"/>
        <v>0</v>
      </c>
      <c r="I575" s="596">
        <f t="shared" si="112"/>
        <v>0</v>
      </c>
      <c r="J575" s="373"/>
    </row>
    <row r="576" spans="1:10" ht="35.25" customHeight="1" x14ac:dyDescent="0.3">
      <c r="A576" s="1134"/>
      <c r="B576" s="797"/>
      <c r="C576" s="279" t="s">
        <v>299</v>
      </c>
      <c r="D576" s="434"/>
      <c r="E576" s="280"/>
      <c r="F576" s="435">
        <f t="shared" si="113"/>
        <v>0</v>
      </c>
      <c r="G576" s="602">
        <v>24.93</v>
      </c>
      <c r="H576" s="597">
        <f t="shared" si="111"/>
        <v>0</v>
      </c>
      <c r="I576" s="596">
        <f t="shared" si="112"/>
        <v>0</v>
      </c>
      <c r="J576" s="373"/>
    </row>
    <row r="577" spans="1:10" ht="35.25" customHeight="1" x14ac:dyDescent="0.3">
      <c r="A577" s="1134"/>
      <c r="B577" s="797"/>
      <c r="C577" s="279" t="s">
        <v>316</v>
      </c>
      <c r="D577" s="434" t="s">
        <v>289</v>
      </c>
      <c r="E577" s="280"/>
      <c r="F577" s="435">
        <f t="shared" si="113"/>
        <v>0</v>
      </c>
      <c r="G577" s="602">
        <v>34.26</v>
      </c>
      <c r="H577" s="597">
        <f t="shared" si="111"/>
        <v>0</v>
      </c>
      <c r="I577" s="596">
        <f t="shared" si="112"/>
        <v>0</v>
      </c>
      <c r="J577" s="373"/>
    </row>
    <row r="578" spans="1:10" ht="35.25" customHeight="1" x14ac:dyDescent="0.3">
      <c r="A578" s="1134"/>
      <c r="B578" s="797"/>
      <c r="C578" s="279" t="s">
        <v>328</v>
      </c>
      <c r="D578" s="434" t="s">
        <v>360</v>
      </c>
      <c r="E578" s="280"/>
      <c r="F578" s="435">
        <f t="shared" si="113"/>
        <v>0</v>
      </c>
      <c r="G578" s="602">
        <v>37.89</v>
      </c>
      <c r="H578" s="597">
        <f t="shared" si="111"/>
        <v>0</v>
      </c>
      <c r="I578" s="596">
        <f t="shared" si="112"/>
        <v>0</v>
      </c>
      <c r="J578" s="373"/>
    </row>
    <row r="579" spans="1:10" ht="35.25" customHeight="1" x14ac:dyDescent="0.3">
      <c r="A579" s="1134"/>
      <c r="B579" s="797"/>
      <c r="C579" s="279" t="s">
        <v>363</v>
      </c>
      <c r="D579" s="434" t="s">
        <v>338</v>
      </c>
      <c r="E579" s="280"/>
      <c r="F579" s="435">
        <f t="shared" si="113"/>
        <v>0</v>
      </c>
      <c r="G579" s="602">
        <v>39</v>
      </c>
      <c r="H579" s="597">
        <f t="shared" si="111"/>
        <v>0</v>
      </c>
      <c r="I579" s="596">
        <f t="shared" si="112"/>
        <v>0</v>
      </c>
      <c r="J579" s="373"/>
    </row>
    <row r="580" spans="1:10" ht="35.25" customHeight="1" x14ac:dyDescent="0.3">
      <c r="A580" s="1134"/>
      <c r="B580" s="797"/>
      <c r="C580" s="279" t="s">
        <v>299</v>
      </c>
      <c r="D580" s="434" t="s">
        <v>177</v>
      </c>
      <c r="E580" s="280"/>
      <c r="F580" s="435">
        <f t="shared" si="113"/>
        <v>0</v>
      </c>
      <c r="G580" s="602">
        <v>21.22</v>
      </c>
      <c r="H580" s="597">
        <f t="shared" si="111"/>
        <v>0</v>
      </c>
      <c r="I580" s="596">
        <f t="shared" si="112"/>
        <v>0</v>
      </c>
      <c r="J580" s="373"/>
    </row>
    <row r="581" spans="1:10" ht="35.25" customHeight="1" x14ac:dyDescent="0.3">
      <c r="A581" s="1134"/>
      <c r="B581" s="797"/>
      <c r="C581" s="279" t="s">
        <v>298</v>
      </c>
      <c r="D581" s="434" t="s">
        <v>177</v>
      </c>
      <c r="E581" s="280"/>
      <c r="F581" s="435">
        <f t="shared" si="113"/>
        <v>0</v>
      </c>
      <c r="G581" s="602">
        <v>21.22</v>
      </c>
      <c r="H581" s="597">
        <f t="shared" si="111"/>
        <v>0</v>
      </c>
      <c r="I581" s="596">
        <f t="shared" si="112"/>
        <v>0</v>
      </c>
      <c r="J581" s="373"/>
    </row>
    <row r="582" spans="1:10" ht="35.25" customHeight="1" x14ac:dyDescent="0.3">
      <c r="A582" s="1134"/>
      <c r="B582" s="797"/>
      <c r="C582" s="279" t="s">
        <v>339</v>
      </c>
      <c r="D582" s="434" t="s">
        <v>304</v>
      </c>
      <c r="E582" s="280"/>
      <c r="F582" s="435">
        <f t="shared" si="113"/>
        <v>0</v>
      </c>
      <c r="G582" s="602">
        <v>10000</v>
      </c>
      <c r="H582" s="597">
        <f t="shared" si="111"/>
        <v>0</v>
      </c>
      <c r="I582" s="596">
        <f t="shared" si="112"/>
        <v>0</v>
      </c>
      <c r="J582" s="373"/>
    </row>
    <row r="583" spans="1:10" ht="35.25" customHeight="1" thickBot="1" x14ac:dyDescent="0.35">
      <c r="A583" s="1134"/>
      <c r="B583" s="797"/>
      <c r="C583" s="279" t="s">
        <v>303</v>
      </c>
      <c r="D583" s="434" t="s">
        <v>304</v>
      </c>
      <c r="E583" s="280"/>
      <c r="F583" s="435">
        <f t="shared" si="113"/>
        <v>0</v>
      </c>
      <c r="G583" s="602">
        <v>360</v>
      </c>
      <c r="H583" s="597">
        <f t="shared" si="111"/>
        <v>0</v>
      </c>
      <c r="I583" s="596">
        <f t="shared" si="112"/>
        <v>0</v>
      </c>
      <c r="J583" s="373"/>
    </row>
    <row r="584" spans="1:10" ht="35.25" customHeight="1" thickBot="1" x14ac:dyDescent="0.35">
      <c r="A584" s="1135"/>
      <c r="B584" s="1129" t="s">
        <v>268</v>
      </c>
      <c r="C584" s="1130"/>
      <c r="D584" s="799"/>
      <c r="E584" s="326">
        <f>SUM(E555:E583)</f>
        <v>0</v>
      </c>
      <c r="F584" s="326">
        <f>SUM(F555:F583)</f>
        <v>0</v>
      </c>
      <c r="G584" s="326"/>
      <c r="H584" s="587">
        <f>SUM(H555:H583)</f>
        <v>0</v>
      </c>
      <c r="I584" s="580">
        <f>SUM(I555:I583)</f>
        <v>0</v>
      </c>
      <c r="J584" s="373"/>
    </row>
    <row r="585" spans="1:10" ht="35.25" customHeight="1" x14ac:dyDescent="0.3">
      <c r="A585" s="1133" t="s">
        <v>102</v>
      </c>
      <c r="B585" s="797"/>
      <c r="C585" s="279" t="s">
        <v>509</v>
      </c>
      <c r="D585" s="434" t="s">
        <v>238</v>
      </c>
      <c r="E585" s="280"/>
      <c r="F585" s="435">
        <f t="shared" ref="F585:F588" si="114">+E585+F492</f>
        <v>3400</v>
      </c>
      <c r="G585" s="803">
        <v>624.26</v>
      </c>
      <c r="H585" s="593">
        <f>E585*G585</f>
        <v>0</v>
      </c>
      <c r="I585" s="596">
        <f t="shared" ref="I585:I607" si="115">+G585*F585</f>
        <v>2122484</v>
      </c>
      <c r="J585" s="373"/>
    </row>
    <row r="586" spans="1:10" ht="35.25" customHeight="1" x14ac:dyDescent="0.3">
      <c r="A586" s="1134"/>
      <c r="B586" s="797"/>
      <c r="C586" s="279" t="s">
        <v>274</v>
      </c>
      <c r="D586" s="434" t="s">
        <v>238</v>
      </c>
      <c r="E586" s="280"/>
      <c r="F586" s="435">
        <f t="shared" si="114"/>
        <v>0</v>
      </c>
      <c r="G586" s="602">
        <v>445.38</v>
      </c>
      <c r="H586" s="593">
        <f t="shared" ref="H586:H607" si="116">E586*G586</f>
        <v>0</v>
      </c>
      <c r="I586" s="596">
        <f t="shared" si="115"/>
        <v>0</v>
      </c>
      <c r="J586" s="373"/>
    </row>
    <row r="587" spans="1:10" ht="35.25" customHeight="1" x14ac:dyDescent="0.3">
      <c r="A587" s="1134"/>
      <c r="B587" s="797"/>
      <c r="C587" s="279" t="s">
        <v>390</v>
      </c>
      <c r="D587" s="434" t="s">
        <v>238</v>
      </c>
      <c r="E587" s="280"/>
      <c r="F587" s="435">
        <f t="shared" si="114"/>
        <v>0</v>
      </c>
      <c r="G587" s="602">
        <v>445.38</v>
      </c>
      <c r="H587" s="593">
        <f t="shared" si="116"/>
        <v>0</v>
      </c>
      <c r="I587" s="596">
        <f t="shared" si="115"/>
        <v>0</v>
      </c>
      <c r="J587" s="373"/>
    </row>
    <row r="588" spans="1:10" ht="35.25" customHeight="1" x14ac:dyDescent="0.3">
      <c r="A588" s="1134"/>
      <c r="B588" s="797"/>
      <c r="C588" s="279" t="s">
        <v>301</v>
      </c>
      <c r="D588" s="434" t="s">
        <v>238</v>
      </c>
      <c r="E588" s="280">
        <v>8640</v>
      </c>
      <c r="F588" s="435">
        <f t="shared" si="114"/>
        <v>8640</v>
      </c>
      <c r="G588" s="602">
        <v>63.55</v>
      </c>
      <c r="H588" s="593">
        <f t="shared" si="116"/>
        <v>549072</v>
      </c>
      <c r="I588" s="596">
        <f>+G588*F588</f>
        <v>549072</v>
      </c>
      <c r="J588" s="373"/>
    </row>
    <row r="589" spans="1:10" ht="35.25" customHeight="1" x14ac:dyDescent="0.3">
      <c r="A589" s="1134"/>
      <c r="B589" s="804"/>
      <c r="C589" s="279" t="s">
        <v>514</v>
      </c>
      <c r="D589" s="434" t="s">
        <v>238</v>
      </c>
      <c r="E589" s="280">
        <v>21600</v>
      </c>
      <c r="F589" s="435">
        <f>+E589</f>
        <v>21600</v>
      </c>
      <c r="G589" s="602">
        <v>71.44</v>
      </c>
      <c r="H589" s="593">
        <f t="shared" si="116"/>
        <v>1543104</v>
      </c>
      <c r="I589" s="596">
        <f>+G589*F589</f>
        <v>1543104</v>
      </c>
      <c r="J589" s="373"/>
    </row>
    <row r="590" spans="1:10" ht="35.25" customHeight="1" x14ac:dyDescent="0.3">
      <c r="A590" s="1134"/>
      <c r="B590" s="797"/>
      <c r="C590" s="279" t="s">
        <v>275</v>
      </c>
      <c r="D590" s="434" t="s">
        <v>238</v>
      </c>
      <c r="E590" s="280"/>
      <c r="F590" s="435">
        <f t="shared" ref="F590:F610" si="117">+E590+F496</f>
        <v>10080</v>
      </c>
      <c r="G590" s="602">
        <v>71.44</v>
      </c>
      <c r="H590" s="593">
        <f t="shared" si="116"/>
        <v>0</v>
      </c>
      <c r="I590" s="596">
        <f t="shared" si="115"/>
        <v>720115.19999999995</v>
      </c>
      <c r="J590" s="373"/>
    </row>
    <row r="591" spans="1:10" ht="35.25" customHeight="1" x14ac:dyDescent="0.3">
      <c r="A591" s="1134"/>
      <c r="B591" s="797"/>
      <c r="C591" s="279" t="s">
        <v>276</v>
      </c>
      <c r="D591" s="434" t="s">
        <v>238</v>
      </c>
      <c r="E591" s="280"/>
      <c r="F591" s="435">
        <f t="shared" si="117"/>
        <v>0</v>
      </c>
      <c r="G591" s="602">
        <v>36.5</v>
      </c>
      <c r="H591" s="593">
        <f t="shared" si="116"/>
        <v>0</v>
      </c>
      <c r="I591" s="596">
        <f t="shared" si="115"/>
        <v>0</v>
      </c>
      <c r="J591" s="373"/>
    </row>
    <row r="592" spans="1:10" ht="35.25" customHeight="1" x14ac:dyDescent="0.3">
      <c r="A592" s="1134"/>
      <c r="B592" s="797"/>
      <c r="C592" s="279" t="s">
        <v>426</v>
      </c>
      <c r="D592" s="434" t="s">
        <v>238</v>
      </c>
      <c r="E592" s="280"/>
      <c r="F592" s="435">
        <f t="shared" si="117"/>
        <v>0</v>
      </c>
      <c r="G592" s="602">
        <v>320.35000000000002</v>
      </c>
      <c r="H592" s="593">
        <f t="shared" si="116"/>
        <v>0</v>
      </c>
      <c r="I592" s="596">
        <f t="shared" si="115"/>
        <v>0</v>
      </c>
      <c r="J592" s="373"/>
    </row>
    <row r="593" spans="1:10" ht="35.25" customHeight="1" x14ac:dyDescent="0.3">
      <c r="A593" s="1134"/>
      <c r="B593" s="797"/>
      <c r="C593" s="279" t="s">
        <v>285</v>
      </c>
      <c r="D593" s="434" t="s">
        <v>238</v>
      </c>
      <c r="E593" s="280"/>
      <c r="F593" s="435">
        <f t="shared" si="117"/>
        <v>0</v>
      </c>
      <c r="G593" s="602">
        <v>320.35000000000002</v>
      </c>
      <c r="H593" s="593">
        <f t="shared" si="116"/>
        <v>0</v>
      </c>
      <c r="I593" s="596">
        <f t="shared" si="115"/>
        <v>0</v>
      </c>
      <c r="J593" s="373"/>
    </row>
    <row r="594" spans="1:10" ht="35.25" customHeight="1" x14ac:dyDescent="0.3">
      <c r="A594" s="1134"/>
      <c r="B594" s="797"/>
      <c r="C594" s="279" t="s">
        <v>296</v>
      </c>
      <c r="D594" s="434" t="s">
        <v>238</v>
      </c>
      <c r="E594" s="280"/>
      <c r="F594" s="435">
        <f t="shared" si="117"/>
        <v>0</v>
      </c>
      <c r="G594" s="602">
        <v>434.41</v>
      </c>
      <c r="H594" s="593">
        <f t="shared" si="116"/>
        <v>0</v>
      </c>
      <c r="I594" s="596">
        <f t="shared" si="115"/>
        <v>0</v>
      </c>
      <c r="J594" s="373"/>
    </row>
    <row r="595" spans="1:10" ht="35.25" customHeight="1" x14ac:dyDescent="0.3">
      <c r="A595" s="1134"/>
      <c r="B595" s="797"/>
      <c r="C595" s="279" t="s">
        <v>282</v>
      </c>
      <c r="D595" s="434" t="s">
        <v>238</v>
      </c>
      <c r="E595" s="280"/>
      <c r="F595" s="435">
        <f t="shared" si="117"/>
        <v>0</v>
      </c>
      <c r="G595" s="602">
        <v>29690</v>
      </c>
      <c r="H595" s="593">
        <f t="shared" si="116"/>
        <v>0</v>
      </c>
      <c r="I595" s="596">
        <f t="shared" si="115"/>
        <v>0</v>
      </c>
      <c r="J595" s="373"/>
    </row>
    <row r="596" spans="1:10" ht="35.25" customHeight="1" x14ac:dyDescent="0.3">
      <c r="A596" s="1134"/>
      <c r="B596" s="797"/>
      <c r="C596" s="279" t="s">
        <v>282</v>
      </c>
      <c r="D596" s="434" t="s">
        <v>238</v>
      </c>
      <c r="E596" s="280">
        <v>1</v>
      </c>
      <c r="F596" s="435">
        <f t="shared" si="117"/>
        <v>1</v>
      </c>
      <c r="G596" s="602">
        <v>26445</v>
      </c>
      <c r="H596" s="593">
        <f t="shared" si="116"/>
        <v>26445</v>
      </c>
      <c r="I596" s="596">
        <f t="shared" si="115"/>
        <v>26445</v>
      </c>
      <c r="J596" s="373"/>
    </row>
    <row r="597" spans="1:10" ht="35.25" customHeight="1" x14ac:dyDescent="0.3">
      <c r="A597" s="1134"/>
      <c r="B597" s="797"/>
      <c r="C597" s="279" t="s">
        <v>282</v>
      </c>
      <c r="D597" s="434"/>
      <c r="E597" s="280"/>
      <c r="F597" s="435">
        <f t="shared" si="117"/>
        <v>0</v>
      </c>
      <c r="G597" s="602">
        <v>33947.884599999998</v>
      </c>
      <c r="H597" s="593">
        <f t="shared" si="116"/>
        <v>0</v>
      </c>
      <c r="I597" s="596">
        <f t="shared" si="115"/>
        <v>0</v>
      </c>
      <c r="J597" s="373"/>
    </row>
    <row r="598" spans="1:10" ht="35.25" customHeight="1" x14ac:dyDescent="0.3">
      <c r="A598" s="1134"/>
      <c r="B598" s="797"/>
      <c r="C598" s="279" t="s">
        <v>311</v>
      </c>
      <c r="D598" s="434" t="s">
        <v>337</v>
      </c>
      <c r="E598" s="280"/>
      <c r="F598" s="435">
        <f t="shared" si="117"/>
        <v>0</v>
      </c>
      <c r="G598" s="602">
        <v>50</v>
      </c>
      <c r="H598" s="593">
        <f t="shared" si="116"/>
        <v>0</v>
      </c>
      <c r="I598" s="596">
        <f t="shared" si="115"/>
        <v>0</v>
      </c>
      <c r="J598" s="373"/>
    </row>
    <row r="599" spans="1:10" ht="35.25" customHeight="1" x14ac:dyDescent="0.3">
      <c r="A599" s="1134"/>
      <c r="B599" s="797"/>
      <c r="C599" s="279" t="s">
        <v>311</v>
      </c>
      <c r="D599" s="434"/>
      <c r="E599" s="280"/>
      <c r="F599" s="435">
        <f t="shared" si="117"/>
        <v>0</v>
      </c>
      <c r="G599" s="602">
        <v>10</v>
      </c>
      <c r="H599" s="593">
        <f t="shared" si="116"/>
        <v>0</v>
      </c>
      <c r="I599" s="596">
        <f t="shared" si="115"/>
        <v>0</v>
      </c>
      <c r="J599" s="373"/>
    </row>
    <row r="600" spans="1:10" ht="35.25" customHeight="1" x14ac:dyDescent="0.3">
      <c r="A600" s="1134"/>
      <c r="B600" s="797"/>
      <c r="C600" s="279" t="s">
        <v>329</v>
      </c>
      <c r="D600" s="434" t="s">
        <v>370</v>
      </c>
      <c r="E600" s="280"/>
      <c r="F600" s="435">
        <f t="shared" si="117"/>
        <v>0</v>
      </c>
      <c r="G600" s="602">
        <v>57.64</v>
      </c>
      <c r="H600" s="593">
        <f t="shared" si="116"/>
        <v>0</v>
      </c>
      <c r="I600" s="596">
        <f t="shared" si="115"/>
        <v>0</v>
      </c>
      <c r="J600" s="373"/>
    </row>
    <row r="601" spans="1:10" ht="35.25" customHeight="1" x14ac:dyDescent="0.3">
      <c r="A601" s="1134"/>
      <c r="B601" s="797"/>
      <c r="C601" s="279" t="s">
        <v>329</v>
      </c>
      <c r="D601" s="434" t="s">
        <v>364</v>
      </c>
      <c r="E601" s="280"/>
      <c r="F601" s="435">
        <f t="shared" si="117"/>
        <v>0</v>
      </c>
      <c r="G601" s="602">
        <v>57.64</v>
      </c>
      <c r="H601" s="593">
        <f t="shared" si="116"/>
        <v>0</v>
      </c>
      <c r="I601" s="596">
        <f t="shared" si="115"/>
        <v>0</v>
      </c>
      <c r="J601" s="373"/>
    </row>
    <row r="602" spans="1:10" ht="35.25" customHeight="1" x14ac:dyDescent="0.3">
      <c r="A602" s="1134"/>
      <c r="B602" s="797"/>
      <c r="C602" s="279" t="s">
        <v>330</v>
      </c>
      <c r="D602" s="434" t="s">
        <v>331</v>
      </c>
      <c r="E602" s="280"/>
      <c r="F602" s="435">
        <f t="shared" si="117"/>
        <v>0</v>
      </c>
      <c r="G602" s="602">
        <v>434.41</v>
      </c>
      <c r="H602" s="593">
        <f t="shared" si="116"/>
        <v>0</v>
      </c>
      <c r="I602" s="596">
        <f t="shared" si="115"/>
        <v>0</v>
      </c>
      <c r="J602" s="373"/>
    </row>
    <row r="603" spans="1:10" ht="35.25" customHeight="1" x14ac:dyDescent="0.3">
      <c r="A603" s="1134"/>
      <c r="B603" s="797"/>
      <c r="C603" s="279" t="s">
        <v>343</v>
      </c>
      <c r="D603" s="434" t="s">
        <v>238</v>
      </c>
      <c r="E603" s="280"/>
      <c r="F603" s="435">
        <f t="shared" si="117"/>
        <v>0</v>
      </c>
      <c r="G603" s="602">
        <v>624.26</v>
      </c>
      <c r="H603" s="593">
        <f t="shared" si="116"/>
        <v>0</v>
      </c>
      <c r="I603" s="596">
        <f t="shared" si="115"/>
        <v>0</v>
      </c>
      <c r="J603" s="373"/>
    </row>
    <row r="604" spans="1:10" ht="35.25" customHeight="1" x14ac:dyDescent="0.3">
      <c r="A604" s="1134"/>
      <c r="B604" s="797"/>
      <c r="C604" s="279" t="s">
        <v>332</v>
      </c>
      <c r="D604" s="434" t="s">
        <v>331</v>
      </c>
      <c r="E604" s="280"/>
      <c r="F604" s="435">
        <f t="shared" si="117"/>
        <v>0</v>
      </c>
      <c r="G604" s="602">
        <v>63.55</v>
      </c>
      <c r="H604" s="593">
        <f t="shared" si="116"/>
        <v>0</v>
      </c>
      <c r="I604" s="596">
        <f t="shared" si="115"/>
        <v>0</v>
      </c>
      <c r="J604" s="373"/>
    </row>
    <row r="605" spans="1:10" ht="35.25" customHeight="1" x14ac:dyDescent="0.3">
      <c r="A605" s="1134"/>
      <c r="B605" s="797"/>
      <c r="C605" s="279" t="s">
        <v>371</v>
      </c>
      <c r="D605" s="434" t="s">
        <v>238</v>
      </c>
      <c r="E605" s="280"/>
      <c r="F605" s="435">
        <f t="shared" si="117"/>
        <v>0</v>
      </c>
      <c r="G605" s="602">
        <v>59.96</v>
      </c>
      <c r="H605" s="593">
        <f t="shared" si="116"/>
        <v>0</v>
      </c>
      <c r="I605" s="596">
        <f t="shared" si="115"/>
        <v>0</v>
      </c>
      <c r="J605" s="373"/>
    </row>
    <row r="606" spans="1:10" ht="35.25" customHeight="1" x14ac:dyDescent="0.3">
      <c r="A606" s="1134"/>
      <c r="B606" s="797"/>
      <c r="C606" s="279" t="s">
        <v>419</v>
      </c>
      <c r="D606" s="434" t="s">
        <v>331</v>
      </c>
      <c r="E606" s="280"/>
      <c r="F606" s="435">
        <f t="shared" si="117"/>
        <v>0</v>
      </c>
      <c r="G606" s="602">
        <v>53.86</v>
      </c>
      <c r="H606" s="593">
        <f t="shared" si="116"/>
        <v>0</v>
      </c>
      <c r="I606" s="596">
        <f t="shared" si="115"/>
        <v>0</v>
      </c>
      <c r="J606" s="373"/>
    </row>
    <row r="607" spans="1:10" ht="35.25" customHeight="1" x14ac:dyDescent="0.3">
      <c r="A607" s="1134"/>
      <c r="B607" s="797"/>
      <c r="C607" s="279" t="s">
        <v>379</v>
      </c>
      <c r="D607" s="434"/>
      <c r="E607" s="280"/>
      <c r="F607" s="435">
        <f t="shared" si="117"/>
        <v>0</v>
      </c>
      <c r="G607" s="602">
        <v>360</v>
      </c>
      <c r="H607" s="593">
        <f t="shared" si="116"/>
        <v>0</v>
      </c>
      <c r="I607" s="596">
        <f t="shared" si="115"/>
        <v>0</v>
      </c>
      <c r="J607" s="373"/>
    </row>
    <row r="608" spans="1:10" ht="35.25" customHeight="1" x14ac:dyDescent="0.3">
      <c r="A608" s="1134"/>
      <c r="B608" s="797"/>
      <c r="C608" s="279" t="s">
        <v>471</v>
      </c>
      <c r="D608" s="434"/>
      <c r="E608" s="280"/>
      <c r="F608" s="435">
        <f t="shared" si="117"/>
        <v>0</v>
      </c>
      <c r="G608" s="602"/>
      <c r="H608" s="593">
        <f>+E608</f>
        <v>0</v>
      </c>
      <c r="I608" s="596">
        <f>+H608</f>
        <v>0</v>
      </c>
      <c r="J608" s="373"/>
    </row>
    <row r="609" spans="1:10" ht="35.25" customHeight="1" x14ac:dyDescent="0.3">
      <c r="A609" s="1134"/>
      <c r="B609" s="797"/>
      <c r="C609" s="279" t="s">
        <v>282</v>
      </c>
      <c r="D609" s="434"/>
      <c r="E609" s="280"/>
      <c r="F609" s="435">
        <f t="shared" si="117"/>
        <v>0</v>
      </c>
      <c r="G609" s="602">
        <v>39450</v>
      </c>
      <c r="H609" s="593">
        <f t="shared" ref="H609:H610" si="118">E609*G609</f>
        <v>0</v>
      </c>
      <c r="I609" s="596">
        <f t="shared" ref="I609:I610" si="119">+G609*F609</f>
        <v>0</v>
      </c>
      <c r="J609" s="373"/>
    </row>
    <row r="610" spans="1:10" ht="35.25" customHeight="1" thickBot="1" x14ac:dyDescent="0.35">
      <c r="A610" s="1134"/>
      <c r="B610" s="797"/>
      <c r="C610" s="279" t="s">
        <v>329</v>
      </c>
      <c r="D610" s="434" t="s">
        <v>443</v>
      </c>
      <c r="E610" s="280"/>
      <c r="F610" s="435">
        <f t="shared" si="117"/>
        <v>0</v>
      </c>
      <c r="G610" s="602">
        <v>57.64</v>
      </c>
      <c r="H610" s="593">
        <f t="shared" si="118"/>
        <v>0</v>
      </c>
      <c r="I610" s="596">
        <f t="shared" si="119"/>
        <v>0</v>
      </c>
      <c r="J610" s="373"/>
    </row>
    <row r="611" spans="1:10" ht="35.25" customHeight="1" thickBot="1" x14ac:dyDescent="0.35">
      <c r="A611" s="1135"/>
      <c r="B611" s="1129" t="s">
        <v>270</v>
      </c>
      <c r="C611" s="1130"/>
      <c r="D611" s="799"/>
      <c r="E611" s="326">
        <f>SUM(E585:E610)</f>
        <v>30241</v>
      </c>
      <c r="F611" s="326">
        <f>SUM(F585:F610)</f>
        <v>43721</v>
      </c>
      <c r="G611" s="326"/>
      <c r="H611" s="590">
        <f>SUM(H585:H610)</f>
        <v>2118621</v>
      </c>
      <c r="I611" s="580">
        <f>SUM(I585:I610)</f>
        <v>4961220.2</v>
      </c>
      <c r="J611" s="372"/>
    </row>
    <row r="612" spans="1:10" ht="35.25" customHeight="1" thickBot="1" x14ac:dyDescent="0.35">
      <c r="A612" s="802"/>
      <c r="B612" s="437"/>
      <c r="C612" s="279" t="s">
        <v>379</v>
      </c>
      <c r="D612" s="434"/>
      <c r="E612" s="280"/>
      <c r="F612" s="281">
        <f>+E612</f>
        <v>0</v>
      </c>
      <c r="G612" s="334"/>
      <c r="H612" s="589">
        <f t="shared" ref="H612" si="120">E612*G612</f>
        <v>0</v>
      </c>
      <c r="I612" s="282">
        <f t="shared" ref="I612" si="121">+G612*F612</f>
        <v>0</v>
      </c>
      <c r="J612" s="373"/>
    </row>
    <row r="613" spans="1:10" ht="35.25" customHeight="1" thickBot="1" x14ac:dyDescent="0.35">
      <c r="A613" s="802"/>
      <c r="B613" s="1129" t="s">
        <v>224</v>
      </c>
      <c r="C613" s="1130"/>
      <c r="D613" s="795"/>
      <c r="E613" s="326"/>
      <c r="F613" s="327"/>
      <c r="G613" s="326"/>
      <c r="H613" s="587"/>
      <c r="I613" s="324">
        <f>SUM(I612)</f>
        <v>0</v>
      </c>
      <c r="J613" s="349"/>
    </row>
    <row r="614" spans="1:10" ht="35.25" customHeight="1" thickBot="1" x14ac:dyDescent="0.35">
      <c r="A614" s="319"/>
      <c r="B614" s="1131" t="s">
        <v>174</v>
      </c>
      <c r="C614" s="1132"/>
      <c r="D614" s="796"/>
      <c r="E614" s="374">
        <f>+E611+E584+E554+E552</f>
        <v>32161</v>
      </c>
      <c r="F614" s="374">
        <f>+F611+F584+F554+F552</f>
        <v>618419</v>
      </c>
      <c r="G614" s="374"/>
      <c r="H614" s="374"/>
      <c r="I614" s="374">
        <f>+I611+I584+I554+I613</f>
        <v>14195407.400000002</v>
      </c>
      <c r="J614" s="375"/>
    </row>
    <row r="615" spans="1:10" ht="35.25" customHeight="1" x14ac:dyDescent="0.3">
      <c r="A615" s="1057" t="s">
        <v>1</v>
      </c>
      <c r="B615" s="1060" t="s">
        <v>2</v>
      </c>
      <c r="C615" s="1138" t="s">
        <v>396</v>
      </c>
      <c r="D615" s="1115" t="s">
        <v>397</v>
      </c>
      <c r="E615" s="1142" t="s">
        <v>515</v>
      </c>
      <c r="F615" s="1067"/>
      <c r="G615" s="1067"/>
      <c r="H615" s="1067"/>
      <c r="I615" s="1067"/>
      <c r="J615" s="1068"/>
    </row>
    <row r="616" spans="1:10" ht="35.25" customHeight="1" x14ac:dyDescent="0.3">
      <c r="A616" s="1136"/>
      <c r="B616" s="1137"/>
      <c r="C616" s="1139"/>
      <c r="D616" s="1116"/>
      <c r="E616" s="1143" t="s">
        <v>412</v>
      </c>
      <c r="F616" s="1144"/>
      <c r="G616" s="1143" t="s">
        <v>411</v>
      </c>
      <c r="H616" s="1145"/>
      <c r="I616" s="1145"/>
      <c r="J616" s="1144"/>
    </row>
    <row r="617" spans="1:10" ht="35.25" customHeight="1" x14ac:dyDescent="0.3">
      <c r="A617" s="1058"/>
      <c r="B617" s="1061"/>
      <c r="C617" s="1140"/>
      <c r="D617" s="1116"/>
      <c r="E617" s="1069" t="s">
        <v>413</v>
      </c>
      <c r="F617" s="1071" t="s">
        <v>414</v>
      </c>
      <c r="G617" s="1147" t="s">
        <v>90</v>
      </c>
      <c r="H617" s="1149" t="s">
        <v>91</v>
      </c>
      <c r="I617" s="1149" t="s">
        <v>91</v>
      </c>
      <c r="J617" s="1151" t="s">
        <v>12</v>
      </c>
    </row>
    <row r="618" spans="1:10" ht="35.25" customHeight="1" thickBot="1" x14ac:dyDescent="0.35">
      <c r="A618" s="1059"/>
      <c r="B618" s="1062"/>
      <c r="C618" s="1141"/>
      <c r="D618" s="1117"/>
      <c r="E618" s="1070"/>
      <c r="F618" s="1146"/>
      <c r="G618" s="1148"/>
      <c r="H618" s="1150"/>
      <c r="I618" s="1150"/>
      <c r="J618" s="1152"/>
    </row>
    <row r="619" spans="1:10" ht="35.25" customHeight="1" x14ac:dyDescent="0.3">
      <c r="A619" s="1133" t="s">
        <v>103</v>
      </c>
      <c r="B619" s="439"/>
      <c r="C619" s="577" t="s">
        <v>442</v>
      </c>
      <c r="D619" s="665" t="s">
        <v>374</v>
      </c>
      <c r="E619" s="699"/>
      <c r="F619" s="674">
        <f>+E619+F525</f>
        <v>0</v>
      </c>
      <c r="G619" s="732">
        <v>107.85</v>
      </c>
      <c r="H619" s="591">
        <f t="shared" ref="H619:H633" si="122">E619*G619</f>
        <v>0</v>
      </c>
      <c r="I619" s="594">
        <f>+G619*F619</f>
        <v>0</v>
      </c>
      <c r="J619" s="351"/>
    </row>
    <row r="620" spans="1:10" ht="35.25" customHeight="1" x14ac:dyDescent="0.3">
      <c r="A620" s="1134"/>
      <c r="B620" s="438"/>
      <c r="C620" s="441" t="s">
        <v>264</v>
      </c>
      <c r="D620" s="666" t="s">
        <v>265</v>
      </c>
      <c r="E620" s="700"/>
      <c r="F620" s="701">
        <f t="shared" ref="F620:F633" si="123">+E620+F526</f>
        <v>0</v>
      </c>
      <c r="G620" s="697">
        <v>11</v>
      </c>
      <c r="H620" s="592">
        <f t="shared" si="122"/>
        <v>0</v>
      </c>
      <c r="I620" s="595">
        <f>+G620*F620</f>
        <v>0</v>
      </c>
      <c r="J620" s="352"/>
    </row>
    <row r="621" spans="1:10" ht="35.25" customHeight="1" x14ac:dyDescent="0.3">
      <c r="A621" s="1134"/>
      <c r="B621" s="438"/>
      <c r="C621" s="441" t="s">
        <v>295</v>
      </c>
      <c r="D621" s="666" t="s">
        <v>453</v>
      </c>
      <c r="E621" s="700"/>
      <c r="F621" s="701">
        <f t="shared" si="123"/>
        <v>0</v>
      </c>
      <c r="G621" s="697">
        <v>139.04</v>
      </c>
      <c r="H621" s="592">
        <f t="shared" si="122"/>
        <v>0</v>
      </c>
      <c r="I621" s="595">
        <f t="shared" ref="I621:I633" si="124">+G621*F621</f>
        <v>0</v>
      </c>
      <c r="J621" s="352"/>
    </row>
    <row r="622" spans="1:10" ht="35.25" customHeight="1" x14ac:dyDescent="0.3">
      <c r="A622" s="1134"/>
      <c r="B622" s="438"/>
      <c r="C622" s="441" t="s">
        <v>357</v>
      </c>
      <c r="D622" s="666" t="s">
        <v>358</v>
      </c>
      <c r="E622" s="700"/>
      <c r="F622" s="701">
        <f t="shared" si="123"/>
        <v>0</v>
      </c>
      <c r="G622" s="715">
        <v>20.5</v>
      </c>
      <c r="H622" s="592">
        <f t="shared" si="122"/>
        <v>0</v>
      </c>
      <c r="I622" s="595">
        <f t="shared" si="124"/>
        <v>0</v>
      </c>
      <c r="J622" s="352"/>
    </row>
    <row r="623" spans="1:10" ht="35.25" customHeight="1" x14ac:dyDescent="0.3">
      <c r="A623" s="1134"/>
      <c r="B623" s="438"/>
      <c r="C623" s="441" t="s">
        <v>288</v>
      </c>
      <c r="D623" s="666" t="s">
        <v>177</v>
      </c>
      <c r="E623" s="700"/>
      <c r="F623" s="701">
        <f t="shared" si="123"/>
        <v>0</v>
      </c>
      <c r="G623" s="697">
        <v>14.79</v>
      </c>
      <c r="H623" s="592">
        <f t="shared" si="122"/>
        <v>0</v>
      </c>
      <c r="I623" s="595">
        <f t="shared" si="124"/>
        <v>0</v>
      </c>
      <c r="J623" s="352"/>
    </row>
    <row r="624" spans="1:10" ht="35.25" customHeight="1" x14ac:dyDescent="0.3">
      <c r="A624" s="1134"/>
      <c r="B624" s="438"/>
      <c r="C624" s="441" t="s">
        <v>295</v>
      </c>
      <c r="D624" s="666" t="s">
        <v>265</v>
      </c>
      <c r="E624" s="700"/>
      <c r="F624" s="701">
        <f t="shared" si="123"/>
        <v>1920</v>
      </c>
      <c r="G624" s="697">
        <v>139.04</v>
      </c>
      <c r="H624" s="592">
        <f t="shared" si="122"/>
        <v>0</v>
      </c>
      <c r="I624" s="595">
        <f t="shared" si="124"/>
        <v>266956.79999999999</v>
      </c>
      <c r="J624" s="352"/>
    </row>
    <row r="625" spans="1:10" ht="35.25" customHeight="1" x14ac:dyDescent="0.3">
      <c r="A625" s="1134"/>
      <c r="B625" s="438"/>
      <c r="C625" s="441" t="s">
        <v>391</v>
      </c>
      <c r="D625" s="667" t="s">
        <v>356</v>
      </c>
      <c r="E625" s="700"/>
      <c r="F625" s="701">
        <f t="shared" si="123"/>
        <v>0</v>
      </c>
      <c r="G625" s="697">
        <v>147.58000000000001</v>
      </c>
      <c r="H625" s="592">
        <f t="shared" si="122"/>
        <v>0</v>
      </c>
      <c r="I625" s="595">
        <f t="shared" si="124"/>
        <v>0</v>
      </c>
      <c r="J625" s="352"/>
    </row>
    <row r="626" spans="1:10" ht="35.25" customHeight="1" x14ac:dyDescent="0.3">
      <c r="A626" s="1134"/>
      <c r="B626" s="438"/>
      <c r="C626" s="441" t="s">
        <v>313</v>
      </c>
      <c r="D626" s="667" t="s">
        <v>265</v>
      </c>
      <c r="E626" s="700"/>
      <c r="F626" s="701">
        <f t="shared" si="123"/>
        <v>36720</v>
      </c>
      <c r="G626" s="697">
        <v>18.84</v>
      </c>
      <c r="H626" s="592">
        <f t="shared" si="122"/>
        <v>0</v>
      </c>
      <c r="I626" s="595">
        <f t="shared" si="124"/>
        <v>691804.8</v>
      </c>
      <c r="J626" s="352"/>
    </row>
    <row r="627" spans="1:10" ht="35.25" customHeight="1" x14ac:dyDescent="0.3">
      <c r="A627" s="1134"/>
      <c r="B627" s="438"/>
      <c r="C627" s="441" t="s">
        <v>322</v>
      </c>
      <c r="D627" s="667" t="s">
        <v>232</v>
      </c>
      <c r="E627" s="700"/>
      <c r="F627" s="701">
        <f t="shared" si="123"/>
        <v>0</v>
      </c>
      <c r="G627" s="697">
        <v>21.18</v>
      </c>
      <c r="H627" s="592">
        <f t="shared" si="122"/>
        <v>0</v>
      </c>
      <c r="I627" s="595">
        <f t="shared" si="124"/>
        <v>0</v>
      </c>
      <c r="J627" s="352"/>
    </row>
    <row r="628" spans="1:10" ht="35.25" customHeight="1" x14ac:dyDescent="0.3">
      <c r="A628" s="1134"/>
      <c r="B628" s="438"/>
      <c r="C628" s="441" t="s">
        <v>324</v>
      </c>
      <c r="D628" s="667" t="s">
        <v>325</v>
      </c>
      <c r="E628" s="700"/>
      <c r="F628" s="701">
        <f t="shared" si="123"/>
        <v>0</v>
      </c>
      <c r="G628" s="697">
        <v>21.28</v>
      </c>
      <c r="H628" s="592">
        <f t="shared" si="122"/>
        <v>0</v>
      </c>
      <c r="I628" s="595">
        <f t="shared" si="124"/>
        <v>0</v>
      </c>
      <c r="J628" s="352"/>
    </row>
    <row r="629" spans="1:10" ht="35.25" customHeight="1" x14ac:dyDescent="0.3">
      <c r="A629" s="1134"/>
      <c r="B629" s="438"/>
      <c r="C629" s="441" t="s">
        <v>378</v>
      </c>
      <c r="D629" s="667" t="s">
        <v>374</v>
      </c>
      <c r="E629" s="700"/>
      <c r="F629" s="701">
        <f t="shared" si="123"/>
        <v>0</v>
      </c>
      <c r="G629" s="697">
        <v>143.28</v>
      </c>
      <c r="H629" s="592">
        <f t="shared" si="122"/>
        <v>0</v>
      </c>
      <c r="I629" s="595">
        <f t="shared" si="124"/>
        <v>0</v>
      </c>
      <c r="J629" s="352"/>
    </row>
    <row r="630" spans="1:10" ht="35.25" customHeight="1" x14ac:dyDescent="0.3">
      <c r="A630" s="1134"/>
      <c r="B630" s="438"/>
      <c r="C630" s="441" t="s">
        <v>472</v>
      </c>
      <c r="D630" s="667"/>
      <c r="E630" s="700"/>
      <c r="F630" s="701">
        <f t="shared" si="123"/>
        <v>0</v>
      </c>
      <c r="G630" s="697">
        <v>14.79</v>
      </c>
      <c r="H630" s="592">
        <f t="shared" si="122"/>
        <v>0</v>
      </c>
      <c r="I630" s="595">
        <f t="shared" si="124"/>
        <v>0</v>
      </c>
      <c r="J630" s="352"/>
    </row>
    <row r="631" spans="1:10" ht="35.25" customHeight="1" x14ac:dyDescent="0.3">
      <c r="A631" s="1134"/>
      <c r="B631" s="438"/>
      <c r="C631" s="441" t="s">
        <v>451</v>
      </c>
      <c r="D631" s="666" t="s">
        <v>177</v>
      </c>
      <c r="E631" s="700"/>
      <c r="F631" s="701">
        <f t="shared" si="123"/>
        <v>498432</v>
      </c>
      <c r="G631" s="697">
        <v>14.55</v>
      </c>
      <c r="H631" s="592">
        <f t="shared" si="122"/>
        <v>0</v>
      </c>
      <c r="I631" s="595">
        <f t="shared" si="124"/>
        <v>7252185.6000000006</v>
      </c>
      <c r="J631" s="352"/>
    </row>
    <row r="632" spans="1:10" ht="35.25" customHeight="1" x14ac:dyDescent="0.3">
      <c r="A632" s="1134"/>
      <c r="B632" s="438"/>
      <c r="C632" s="441" t="s">
        <v>327</v>
      </c>
      <c r="D632" s="667" t="s">
        <v>188</v>
      </c>
      <c r="E632" s="700"/>
      <c r="F632" s="701">
        <f t="shared" si="123"/>
        <v>0</v>
      </c>
      <c r="G632" s="697">
        <v>21.28</v>
      </c>
      <c r="H632" s="592">
        <f t="shared" si="122"/>
        <v>0</v>
      </c>
      <c r="I632" s="595">
        <f t="shared" si="124"/>
        <v>0</v>
      </c>
      <c r="J632" s="352"/>
    </row>
    <row r="633" spans="1:10" ht="35.25" customHeight="1" thickBot="1" x14ac:dyDescent="0.35">
      <c r="A633" s="1134"/>
      <c r="B633" s="438"/>
      <c r="C633" s="441" t="s">
        <v>336</v>
      </c>
      <c r="D633" s="668" t="s">
        <v>178</v>
      </c>
      <c r="E633" s="700"/>
      <c r="F633" s="676">
        <f t="shared" si="123"/>
        <v>0</v>
      </c>
      <c r="G633" s="697">
        <v>36.44</v>
      </c>
      <c r="H633" s="592">
        <f t="shared" si="122"/>
        <v>0</v>
      </c>
      <c r="I633" s="595">
        <f t="shared" si="124"/>
        <v>0</v>
      </c>
      <c r="J633" s="352"/>
    </row>
    <row r="634" spans="1:10" ht="35.25" customHeight="1" thickBot="1" x14ac:dyDescent="0.35">
      <c r="A634" s="1134"/>
      <c r="B634" s="1129" t="s">
        <v>266</v>
      </c>
      <c r="C634" s="1130"/>
      <c r="D634" s="809"/>
      <c r="E634" s="326">
        <f>SUM(E619:E633)</f>
        <v>0</v>
      </c>
      <c r="F634" s="698">
        <f>SUM(F619:F633)</f>
        <v>537072</v>
      </c>
      <c r="G634" s="326"/>
      <c r="H634" s="587">
        <f>SUM(H619:H633)</f>
        <v>0</v>
      </c>
      <c r="I634" s="580">
        <f>SUM(I619:I633)</f>
        <v>8210947.2000000011</v>
      </c>
      <c r="J634" s="349"/>
    </row>
    <row r="635" spans="1:10" ht="35.25" customHeight="1" x14ac:dyDescent="0.3">
      <c r="A635" s="1134"/>
      <c r="B635" s="807"/>
      <c r="C635" s="279" t="s">
        <v>271</v>
      </c>
      <c r="D635" s="434" t="s">
        <v>238</v>
      </c>
      <c r="E635" s="280"/>
      <c r="F635" s="435">
        <f>+E635+F541</f>
        <v>0</v>
      </c>
      <c r="G635" s="578">
        <v>160.44999999999999</v>
      </c>
      <c r="H635" s="593">
        <f t="shared" ref="H635:H640" si="125">E635*G635</f>
        <v>0</v>
      </c>
      <c r="I635" s="596">
        <f t="shared" ref="I635:I640" si="126">+G635*F635</f>
        <v>0</v>
      </c>
      <c r="J635" s="373"/>
    </row>
    <row r="636" spans="1:10" ht="35.25" customHeight="1" x14ac:dyDescent="0.3">
      <c r="A636" s="1134"/>
      <c r="B636" s="807"/>
      <c r="C636" s="279" t="s">
        <v>287</v>
      </c>
      <c r="D636" s="434" t="s">
        <v>93</v>
      </c>
      <c r="E636" s="280"/>
      <c r="F636" s="435">
        <f t="shared" ref="F636:F640" si="127">+E636+F542</f>
        <v>37620</v>
      </c>
      <c r="G636" s="578">
        <v>27</v>
      </c>
      <c r="H636" s="593">
        <f t="shared" si="125"/>
        <v>0</v>
      </c>
      <c r="I636" s="596">
        <f t="shared" si="126"/>
        <v>1015740</v>
      </c>
      <c r="J636" s="373"/>
    </row>
    <row r="637" spans="1:10" ht="35.25" customHeight="1" x14ac:dyDescent="0.3">
      <c r="A637" s="1134"/>
      <c r="B637" s="807"/>
      <c r="C637" s="279" t="s">
        <v>287</v>
      </c>
      <c r="D637" s="434" t="s">
        <v>292</v>
      </c>
      <c r="E637" s="280"/>
      <c r="F637" s="435">
        <f t="shared" si="127"/>
        <v>0</v>
      </c>
      <c r="G637" s="578">
        <v>27.5</v>
      </c>
      <c r="H637" s="593">
        <f t="shared" si="125"/>
        <v>0</v>
      </c>
      <c r="I637" s="596">
        <f t="shared" si="126"/>
        <v>0</v>
      </c>
      <c r="J637" s="373"/>
    </row>
    <row r="638" spans="1:10" ht="35.25" customHeight="1" x14ac:dyDescent="0.3">
      <c r="A638" s="1134"/>
      <c r="B638" s="807"/>
      <c r="C638" s="279" t="s">
        <v>276</v>
      </c>
      <c r="D638" s="434" t="s">
        <v>292</v>
      </c>
      <c r="E638" s="280"/>
      <c r="F638" s="435">
        <f t="shared" si="127"/>
        <v>0</v>
      </c>
      <c r="G638" s="578">
        <v>34.5</v>
      </c>
      <c r="H638" s="593">
        <f t="shared" si="125"/>
        <v>0</v>
      </c>
      <c r="I638" s="596">
        <f t="shared" si="126"/>
        <v>0</v>
      </c>
      <c r="J638" s="373"/>
    </row>
    <row r="639" spans="1:10" ht="35.25" customHeight="1" x14ac:dyDescent="0.3">
      <c r="A639" s="1134"/>
      <c r="B639" s="807"/>
      <c r="C639" s="279" t="s">
        <v>473</v>
      </c>
      <c r="D639" s="434" t="s">
        <v>440</v>
      </c>
      <c r="E639" s="280"/>
      <c r="F639" s="435">
        <f t="shared" si="127"/>
        <v>0</v>
      </c>
      <c r="G639" s="578">
        <v>10.57</v>
      </c>
      <c r="H639" s="593">
        <f t="shared" si="125"/>
        <v>0</v>
      </c>
      <c r="I639" s="596">
        <f t="shared" si="126"/>
        <v>0</v>
      </c>
      <c r="J639" s="373"/>
    </row>
    <row r="640" spans="1:10" ht="35.25" customHeight="1" thickBot="1" x14ac:dyDescent="0.35">
      <c r="A640" s="1134"/>
      <c r="B640" s="807"/>
      <c r="C640" s="279" t="s">
        <v>276</v>
      </c>
      <c r="D640" s="434" t="s">
        <v>440</v>
      </c>
      <c r="E640" s="280"/>
      <c r="F640" s="435">
        <f t="shared" si="127"/>
        <v>0</v>
      </c>
      <c r="G640" s="578">
        <v>55.76</v>
      </c>
      <c r="H640" s="593">
        <f t="shared" si="125"/>
        <v>0</v>
      </c>
      <c r="I640" s="596">
        <f t="shared" si="126"/>
        <v>0</v>
      </c>
      <c r="J640" s="373"/>
    </row>
    <row r="641" spans="1:13" ht="35.25" customHeight="1" thickBot="1" x14ac:dyDescent="0.35">
      <c r="A641" s="1134"/>
      <c r="B641" s="1129" t="s">
        <v>267</v>
      </c>
      <c r="C641" s="1130"/>
      <c r="D641" s="809"/>
      <c r="E641" s="326">
        <f>SUM(E635:E640)</f>
        <v>0</v>
      </c>
      <c r="F641" s="326">
        <f>SUM(F635:F640)</f>
        <v>37620</v>
      </c>
      <c r="G641" s="326"/>
      <c r="H641" s="587">
        <f>SUM(H635:H640)</f>
        <v>0</v>
      </c>
      <c r="I641" s="580">
        <f>SUM(I635:I640)</f>
        <v>1015740</v>
      </c>
      <c r="J641" s="349"/>
    </row>
    <row r="642" spans="1:13" ht="35.25" customHeight="1" x14ac:dyDescent="0.3">
      <c r="A642" s="1134"/>
      <c r="B642" s="807"/>
      <c r="C642" s="279" t="s">
        <v>277</v>
      </c>
      <c r="D642" s="434" t="s">
        <v>278</v>
      </c>
      <c r="E642" s="280"/>
      <c r="F642" s="435">
        <f>+E642+F548</f>
        <v>3</v>
      </c>
      <c r="G642" s="578">
        <v>2500</v>
      </c>
      <c r="H642" s="593">
        <f t="shared" ref="H642:H645" si="128">E642*G642</f>
        <v>0</v>
      </c>
      <c r="I642" s="596">
        <f>+G642*F642</f>
        <v>7500</v>
      </c>
      <c r="J642" s="373"/>
    </row>
    <row r="643" spans="1:13" ht="35.25" customHeight="1" x14ac:dyDescent="0.3">
      <c r="A643" s="1134"/>
      <c r="B643" s="807"/>
      <c r="C643" s="279" t="s">
        <v>454</v>
      </c>
      <c r="D643" s="434"/>
      <c r="E643" s="280"/>
      <c r="F643" s="435">
        <f t="shared" ref="F643:F645" si="129">+E643+F549</f>
        <v>0</v>
      </c>
      <c r="G643" s="578">
        <v>30000</v>
      </c>
      <c r="H643" s="593">
        <f t="shared" si="128"/>
        <v>0</v>
      </c>
      <c r="I643" s="596">
        <f>+G643*F643</f>
        <v>0</v>
      </c>
      <c r="J643" s="373"/>
    </row>
    <row r="644" spans="1:13" ht="35.25" customHeight="1" x14ac:dyDescent="0.3">
      <c r="A644" s="1134"/>
      <c r="B644" s="807"/>
      <c r="C644" s="279" t="s">
        <v>379</v>
      </c>
      <c r="D644" s="434" t="s">
        <v>304</v>
      </c>
      <c r="E644" s="280"/>
      <c r="F644" s="435">
        <f t="shared" si="129"/>
        <v>0</v>
      </c>
      <c r="G644" s="578">
        <v>360</v>
      </c>
      <c r="H644" s="593">
        <f t="shared" si="128"/>
        <v>0</v>
      </c>
      <c r="I644" s="596">
        <f>+G644*F644</f>
        <v>0</v>
      </c>
      <c r="J644" s="373"/>
    </row>
    <row r="645" spans="1:13" ht="35.25" customHeight="1" thickBot="1" x14ac:dyDescent="0.35">
      <c r="A645" s="1134"/>
      <c r="B645" s="807"/>
      <c r="C645" s="279" t="s">
        <v>427</v>
      </c>
      <c r="D645" s="434" t="s">
        <v>304</v>
      </c>
      <c r="E645" s="280"/>
      <c r="F645" s="435">
        <f t="shared" si="129"/>
        <v>0</v>
      </c>
      <c r="G645" s="579">
        <v>10</v>
      </c>
      <c r="H645" s="593">
        <f t="shared" si="128"/>
        <v>0</v>
      </c>
      <c r="I645" s="596">
        <f t="shared" ref="I645" si="130">+G645*F645</f>
        <v>0</v>
      </c>
      <c r="J645" s="373"/>
    </row>
    <row r="646" spans="1:13" ht="35.25" customHeight="1" thickBot="1" x14ac:dyDescent="0.35">
      <c r="A646" s="1134"/>
      <c r="B646" s="1129" t="s">
        <v>272</v>
      </c>
      <c r="C646" s="1130"/>
      <c r="D646" s="809"/>
      <c r="E646" s="326">
        <f>SUM(E642:E645)</f>
        <v>0</v>
      </c>
      <c r="F646" s="326">
        <f>SUM(F642:F645)</f>
        <v>3</v>
      </c>
      <c r="G646" s="326"/>
      <c r="H646" s="587">
        <f>SUM(H642:H645)</f>
        <v>0</v>
      </c>
      <c r="I646" s="580">
        <f>SUM(I642:I645)</f>
        <v>7500</v>
      </c>
      <c r="J646" s="373"/>
    </row>
    <row r="647" spans="1:13" ht="35.25" customHeight="1" thickBot="1" x14ac:dyDescent="0.35">
      <c r="A647" s="1134"/>
      <c r="B647" s="807"/>
      <c r="C647" s="279"/>
      <c r="D647" s="434"/>
      <c r="E647" s="280"/>
      <c r="F647" s="317"/>
      <c r="G647" s="579"/>
      <c r="H647" s="588"/>
      <c r="I647" s="282"/>
      <c r="J647" s="373"/>
    </row>
    <row r="648" spans="1:13" ht="35.25" customHeight="1" thickBot="1" x14ac:dyDescent="0.35">
      <c r="A648" s="1135"/>
      <c r="B648" s="1129" t="s">
        <v>269</v>
      </c>
      <c r="C648" s="1130"/>
      <c r="D648" s="805"/>
      <c r="E648" s="326">
        <f>+E646+E641+E634</f>
        <v>0</v>
      </c>
      <c r="F648" s="326">
        <f>+F646+F641+F634</f>
        <v>574695</v>
      </c>
      <c r="G648" s="326"/>
      <c r="H648" s="580">
        <f>+H641+H634+H646</f>
        <v>0</v>
      </c>
      <c r="I648" s="580">
        <f>+I641+I634+I646</f>
        <v>9234187.2000000011</v>
      </c>
      <c r="J648" s="373"/>
      <c r="K648" s="704"/>
      <c r="M648" s="704"/>
    </row>
    <row r="649" spans="1:13" ht="35.25" customHeight="1" x14ac:dyDescent="0.3">
      <c r="A649" s="1133" t="s">
        <v>101</v>
      </c>
      <c r="B649" s="807"/>
      <c r="C649" s="279" t="s">
        <v>281</v>
      </c>
      <c r="D649" s="434" t="s">
        <v>178</v>
      </c>
      <c r="E649" s="280"/>
      <c r="F649" s="435">
        <f>+E649+F555</f>
        <v>0</v>
      </c>
      <c r="G649" s="602">
        <v>13.25</v>
      </c>
      <c r="H649" s="597">
        <f t="shared" ref="H649:H677" si="131">E649*G649</f>
        <v>0</v>
      </c>
      <c r="I649" s="596">
        <f t="shared" ref="I649:I677" si="132">+G649*F649</f>
        <v>0</v>
      </c>
      <c r="J649" s="373"/>
      <c r="K649" s="704"/>
    </row>
    <row r="650" spans="1:13" ht="35.25" customHeight="1" x14ac:dyDescent="0.3">
      <c r="A650" s="1134"/>
      <c r="B650" s="807"/>
      <c r="C650" s="279" t="s">
        <v>282</v>
      </c>
      <c r="D650" s="434"/>
      <c r="E650" s="280"/>
      <c r="F650" s="435">
        <f t="shared" ref="F650:F704" si="133">+E650+F556</f>
        <v>0</v>
      </c>
      <c r="G650" s="603">
        <v>5000</v>
      </c>
      <c r="H650" s="597">
        <f t="shared" si="131"/>
        <v>0</v>
      </c>
      <c r="I650" s="596">
        <f t="shared" si="132"/>
        <v>0</v>
      </c>
      <c r="J650" s="373"/>
      <c r="K650" s="704"/>
    </row>
    <row r="651" spans="1:13" ht="35.25" customHeight="1" x14ac:dyDescent="0.3">
      <c r="A651" s="1134"/>
      <c r="B651" s="807"/>
      <c r="C651" s="279" t="s">
        <v>282</v>
      </c>
      <c r="D651" s="434"/>
      <c r="E651" s="280"/>
      <c r="F651" s="435">
        <f t="shared" si="133"/>
        <v>0</v>
      </c>
      <c r="G651" s="603">
        <v>18000</v>
      </c>
      <c r="H651" s="597">
        <f t="shared" si="131"/>
        <v>0</v>
      </c>
      <c r="I651" s="596">
        <f t="shared" si="132"/>
        <v>0</v>
      </c>
      <c r="J651" s="373"/>
    </row>
    <row r="652" spans="1:13" ht="35.25" customHeight="1" x14ac:dyDescent="0.3">
      <c r="A652" s="1134"/>
      <c r="B652" s="807"/>
      <c r="C652" s="279" t="s">
        <v>465</v>
      </c>
      <c r="D652" s="434" t="s">
        <v>338</v>
      </c>
      <c r="E652" s="280"/>
      <c r="F652" s="435">
        <f t="shared" si="133"/>
        <v>0</v>
      </c>
      <c r="G652" s="602">
        <v>24.93</v>
      </c>
      <c r="H652" s="597">
        <f t="shared" si="131"/>
        <v>0</v>
      </c>
      <c r="I652" s="596">
        <f t="shared" si="132"/>
        <v>0</v>
      </c>
      <c r="J652" s="373"/>
    </row>
    <row r="653" spans="1:13" ht="35.25" customHeight="1" x14ac:dyDescent="0.3">
      <c r="A653" s="1134"/>
      <c r="B653" s="807"/>
      <c r="C653" s="746" t="s">
        <v>466</v>
      </c>
      <c r="D653" s="747" t="s">
        <v>92</v>
      </c>
      <c r="E653" s="280"/>
      <c r="F653" s="435">
        <f t="shared" si="133"/>
        <v>0</v>
      </c>
      <c r="G653" s="602">
        <v>20.8</v>
      </c>
      <c r="H653" s="597">
        <f t="shared" si="131"/>
        <v>0</v>
      </c>
      <c r="I653" s="596">
        <f t="shared" si="132"/>
        <v>0</v>
      </c>
      <c r="J653" s="373"/>
    </row>
    <row r="654" spans="1:13" ht="35.25" customHeight="1" x14ac:dyDescent="0.3">
      <c r="A654" s="1134"/>
      <c r="B654" s="807"/>
      <c r="C654" s="746" t="s">
        <v>467</v>
      </c>
      <c r="D654" s="747" t="s">
        <v>468</v>
      </c>
      <c r="E654" s="280"/>
      <c r="F654" s="435">
        <f t="shared" si="133"/>
        <v>0</v>
      </c>
      <c r="G654" s="602">
        <v>24.93</v>
      </c>
      <c r="H654" s="597">
        <f t="shared" si="131"/>
        <v>0</v>
      </c>
      <c r="I654" s="596">
        <f t="shared" si="132"/>
        <v>0</v>
      </c>
      <c r="J654" s="373"/>
    </row>
    <row r="655" spans="1:13" ht="35.25" customHeight="1" x14ac:dyDescent="0.3">
      <c r="A655" s="1134"/>
      <c r="B655" s="807"/>
      <c r="C655" s="746" t="s">
        <v>467</v>
      </c>
      <c r="D655" s="747" t="s">
        <v>468</v>
      </c>
      <c r="E655" s="280"/>
      <c r="F655" s="435">
        <f t="shared" si="133"/>
        <v>0</v>
      </c>
      <c r="G655" s="602">
        <v>25.49</v>
      </c>
      <c r="H655" s="597">
        <f t="shared" si="131"/>
        <v>0</v>
      </c>
      <c r="I655" s="596">
        <f t="shared" si="132"/>
        <v>0</v>
      </c>
      <c r="J655" s="373"/>
    </row>
    <row r="656" spans="1:13" s="757" customFormat="1" ht="35.25" customHeight="1" x14ac:dyDescent="0.3">
      <c r="A656" s="1134"/>
      <c r="B656" s="748"/>
      <c r="C656" s="749" t="s">
        <v>469</v>
      </c>
      <c r="D656" s="750" t="s">
        <v>309</v>
      </c>
      <c r="E656" s="751"/>
      <c r="F656" s="752">
        <f t="shared" si="133"/>
        <v>0</v>
      </c>
      <c r="G656" s="753">
        <v>24.41</v>
      </c>
      <c r="H656" s="754">
        <f t="shared" si="131"/>
        <v>0</v>
      </c>
      <c r="I656" s="755">
        <f t="shared" si="132"/>
        <v>0</v>
      </c>
      <c r="J656" s="756"/>
    </row>
    <row r="657" spans="1:10" ht="35.25" customHeight="1" x14ac:dyDescent="0.3">
      <c r="A657" s="1134"/>
      <c r="B657" s="807"/>
      <c r="C657" s="279" t="s">
        <v>444</v>
      </c>
      <c r="D657" s="434" t="s">
        <v>423</v>
      </c>
      <c r="E657" s="280"/>
      <c r="F657" s="435">
        <f t="shared" si="133"/>
        <v>0</v>
      </c>
      <c r="G657" s="602">
        <v>20.76</v>
      </c>
      <c r="H657" s="597">
        <f t="shared" si="131"/>
        <v>0</v>
      </c>
      <c r="I657" s="596">
        <f t="shared" si="132"/>
        <v>0</v>
      </c>
      <c r="J657" s="373"/>
    </row>
    <row r="658" spans="1:10" ht="35.25" customHeight="1" x14ac:dyDescent="0.3">
      <c r="A658" s="1134"/>
      <c r="B658" s="807"/>
      <c r="C658" s="279" t="s">
        <v>298</v>
      </c>
      <c r="D658" s="434" t="s">
        <v>107</v>
      </c>
      <c r="E658" s="280"/>
      <c r="F658" s="435">
        <f t="shared" si="133"/>
        <v>0</v>
      </c>
      <c r="G658" s="602">
        <v>24.93</v>
      </c>
      <c r="H658" s="597">
        <f t="shared" si="131"/>
        <v>0</v>
      </c>
      <c r="I658" s="596">
        <f t="shared" si="132"/>
        <v>0</v>
      </c>
      <c r="J658" s="373"/>
    </row>
    <row r="659" spans="1:10" ht="35.25" customHeight="1" x14ac:dyDescent="0.3">
      <c r="A659" s="1134"/>
      <c r="B659" s="807"/>
      <c r="C659" s="279" t="s">
        <v>299</v>
      </c>
      <c r="D659" s="434" t="s">
        <v>280</v>
      </c>
      <c r="E659" s="280"/>
      <c r="F659" s="435">
        <f t="shared" si="133"/>
        <v>0</v>
      </c>
      <c r="G659" s="602">
        <v>24.93</v>
      </c>
      <c r="H659" s="597">
        <f t="shared" si="131"/>
        <v>0</v>
      </c>
      <c r="I659" s="596">
        <f t="shared" si="132"/>
        <v>0</v>
      </c>
      <c r="J659" s="373"/>
    </row>
    <row r="660" spans="1:10" ht="35.25" customHeight="1" x14ac:dyDescent="0.3">
      <c r="A660" s="1134"/>
      <c r="B660" s="807"/>
      <c r="C660" s="279" t="s">
        <v>425</v>
      </c>
      <c r="D660" s="434" t="s">
        <v>309</v>
      </c>
      <c r="E660" s="280"/>
      <c r="F660" s="435">
        <f t="shared" si="133"/>
        <v>0</v>
      </c>
      <c r="G660" s="602">
        <v>23.78</v>
      </c>
      <c r="H660" s="597">
        <f t="shared" si="131"/>
        <v>0</v>
      </c>
      <c r="I660" s="596">
        <f t="shared" si="132"/>
        <v>0</v>
      </c>
      <c r="J660" s="373"/>
    </row>
    <row r="661" spans="1:10" ht="35.25" customHeight="1" x14ac:dyDescent="0.3">
      <c r="A661" s="1134"/>
      <c r="B661" s="807"/>
      <c r="C661" s="279" t="s">
        <v>354</v>
      </c>
      <c r="D661" s="434" t="s">
        <v>309</v>
      </c>
      <c r="E661" s="280"/>
      <c r="F661" s="435">
        <f t="shared" si="133"/>
        <v>0</v>
      </c>
      <c r="G661" s="602">
        <v>37.4566666666</v>
      </c>
      <c r="H661" s="597">
        <f t="shared" si="131"/>
        <v>0</v>
      </c>
      <c r="I661" s="596">
        <f t="shared" si="132"/>
        <v>0</v>
      </c>
      <c r="J661" s="373"/>
    </row>
    <row r="662" spans="1:10" ht="35.25" customHeight="1" x14ac:dyDescent="0.3">
      <c r="A662" s="1134"/>
      <c r="B662" s="807"/>
      <c r="C662" s="279" t="s">
        <v>355</v>
      </c>
      <c r="D662" s="434" t="s">
        <v>309</v>
      </c>
      <c r="E662" s="280"/>
      <c r="F662" s="435">
        <f t="shared" si="133"/>
        <v>0</v>
      </c>
      <c r="G662" s="602">
        <v>37.89</v>
      </c>
      <c r="H662" s="597">
        <f t="shared" si="131"/>
        <v>0</v>
      </c>
      <c r="I662" s="596">
        <f t="shared" si="132"/>
        <v>0</v>
      </c>
      <c r="J662" s="373"/>
    </row>
    <row r="663" spans="1:10" ht="35.25" customHeight="1" x14ac:dyDescent="0.3">
      <c r="A663" s="1134"/>
      <c r="B663" s="807"/>
      <c r="C663" s="279" t="s">
        <v>461</v>
      </c>
      <c r="D663" s="434" t="s">
        <v>92</v>
      </c>
      <c r="E663" s="280"/>
      <c r="F663" s="435">
        <f t="shared" si="133"/>
        <v>0</v>
      </c>
      <c r="G663" s="602">
        <v>28.31</v>
      </c>
      <c r="H663" s="597">
        <f t="shared" si="131"/>
        <v>0</v>
      </c>
      <c r="I663" s="596">
        <f t="shared" si="132"/>
        <v>0</v>
      </c>
      <c r="J663" s="373"/>
    </row>
    <row r="664" spans="1:10" ht="35.25" customHeight="1" x14ac:dyDescent="0.3">
      <c r="A664" s="1134"/>
      <c r="B664" s="807"/>
      <c r="C664" s="279" t="s">
        <v>461</v>
      </c>
      <c r="D664" s="434" t="s">
        <v>423</v>
      </c>
      <c r="E664" s="280"/>
      <c r="F664" s="435">
        <f t="shared" si="133"/>
        <v>0</v>
      </c>
      <c r="G664" s="602">
        <v>28.88</v>
      </c>
      <c r="H664" s="597">
        <f t="shared" si="131"/>
        <v>0</v>
      </c>
      <c r="I664" s="596">
        <f t="shared" si="132"/>
        <v>0</v>
      </c>
      <c r="J664" s="373"/>
    </row>
    <row r="665" spans="1:10" ht="35.25" customHeight="1" x14ac:dyDescent="0.3">
      <c r="A665" s="1134"/>
      <c r="B665" s="807"/>
      <c r="C665" s="279" t="s">
        <v>462</v>
      </c>
      <c r="D665" s="434" t="s">
        <v>423</v>
      </c>
      <c r="E665" s="280"/>
      <c r="F665" s="435">
        <f t="shared" si="133"/>
        <v>0</v>
      </c>
      <c r="G665" s="602">
        <v>28.21</v>
      </c>
      <c r="H665" s="597">
        <f t="shared" si="131"/>
        <v>0</v>
      </c>
      <c r="I665" s="596">
        <f t="shared" si="132"/>
        <v>0</v>
      </c>
      <c r="J665" s="373"/>
    </row>
    <row r="666" spans="1:10" ht="35.25" customHeight="1" x14ac:dyDescent="0.3">
      <c r="A666" s="1134"/>
      <c r="B666" s="807"/>
      <c r="C666" s="279" t="s">
        <v>463</v>
      </c>
      <c r="D666" s="434" t="s">
        <v>338</v>
      </c>
      <c r="E666" s="280"/>
      <c r="F666" s="435">
        <f t="shared" si="133"/>
        <v>0</v>
      </c>
      <c r="G666" s="602">
        <v>39</v>
      </c>
      <c r="H666" s="597">
        <f t="shared" si="131"/>
        <v>0</v>
      </c>
      <c r="I666" s="596">
        <f t="shared" si="132"/>
        <v>0</v>
      </c>
      <c r="J666" s="373"/>
    </row>
    <row r="667" spans="1:10" ht="35.25" customHeight="1" x14ac:dyDescent="0.3">
      <c r="A667" s="1134"/>
      <c r="B667" s="807"/>
      <c r="C667" s="279" t="s">
        <v>463</v>
      </c>
      <c r="D667" s="434" t="s">
        <v>92</v>
      </c>
      <c r="E667" s="280"/>
      <c r="F667" s="435">
        <f t="shared" si="133"/>
        <v>0</v>
      </c>
      <c r="G667" s="602">
        <v>32.65</v>
      </c>
      <c r="H667" s="597">
        <f t="shared" si="131"/>
        <v>0</v>
      </c>
      <c r="I667" s="596">
        <f t="shared" si="132"/>
        <v>0</v>
      </c>
      <c r="J667" s="373"/>
    </row>
    <row r="668" spans="1:10" ht="35.25" customHeight="1" x14ac:dyDescent="0.3">
      <c r="A668" s="1134"/>
      <c r="B668" s="807"/>
      <c r="C668" s="279" t="s">
        <v>463</v>
      </c>
      <c r="D668" s="434" t="s">
        <v>423</v>
      </c>
      <c r="E668" s="280"/>
      <c r="F668" s="435">
        <f t="shared" si="133"/>
        <v>0</v>
      </c>
      <c r="G668" s="602">
        <v>33.299999999999997</v>
      </c>
      <c r="H668" s="597">
        <f t="shared" si="131"/>
        <v>0</v>
      </c>
      <c r="I668" s="596">
        <f t="shared" si="132"/>
        <v>0</v>
      </c>
      <c r="J668" s="373"/>
    </row>
    <row r="669" spans="1:10" ht="35.25" customHeight="1" x14ac:dyDescent="0.3">
      <c r="A669" s="1134"/>
      <c r="B669" s="807"/>
      <c r="C669" s="279" t="s">
        <v>299</v>
      </c>
      <c r="D669" s="434" t="s">
        <v>279</v>
      </c>
      <c r="E669" s="280"/>
      <c r="F669" s="435">
        <f t="shared" si="133"/>
        <v>0</v>
      </c>
      <c r="G669" s="602">
        <v>24.93</v>
      </c>
      <c r="H669" s="597">
        <f t="shared" si="131"/>
        <v>0</v>
      </c>
      <c r="I669" s="596">
        <f t="shared" si="132"/>
        <v>0</v>
      </c>
      <c r="J669" s="373"/>
    </row>
    <row r="670" spans="1:10" ht="35.25" customHeight="1" x14ac:dyDescent="0.3">
      <c r="A670" s="1134"/>
      <c r="B670" s="807"/>
      <c r="C670" s="279" t="s">
        <v>299</v>
      </c>
      <c r="D670" s="434"/>
      <c r="E670" s="280"/>
      <c r="F670" s="435">
        <f t="shared" si="133"/>
        <v>0</v>
      </c>
      <c r="G670" s="602">
        <v>24.93</v>
      </c>
      <c r="H670" s="597">
        <f t="shared" si="131"/>
        <v>0</v>
      </c>
      <c r="I670" s="596">
        <f t="shared" si="132"/>
        <v>0</v>
      </c>
      <c r="J670" s="373"/>
    </row>
    <row r="671" spans="1:10" ht="35.25" customHeight="1" x14ac:dyDescent="0.3">
      <c r="A671" s="1134"/>
      <c r="B671" s="807"/>
      <c r="C671" s="279" t="s">
        <v>316</v>
      </c>
      <c r="D671" s="434" t="s">
        <v>289</v>
      </c>
      <c r="E671" s="280"/>
      <c r="F671" s="435">
        <f t="shared" si="133"/>
        <v>0</v>
      </c>
      <c r="G671" s="602">
        <v>34.26</v>
      </c>
      <c r="H671" s="597">
        <f t="shared" si="131"/>
        <v>0</v>
      </c>
      <c r="I671" s="596">
        <f t="shared" si="132"/>
        <v>0</v>
      </c>
      <c r="J671" s="373"/>
    </row>
    <row r="672" spans="1:10" ht="35.25" customHeight="1" x14ac:dyDescent="0.3">
      <c r="A672" s="1134"/>
      <c r="B672" s="807"/>
      <c r="C672" s="279" t="s">
        <v>328</v>
      </c>
      <c r="D672" s="434" t="s">
        <v>360</v>
      </c>
      <c r="E672" s="280"/>
      <c r="F672" s="435">
        <f t="shared" si="133"/>
        <v>0</v>
      </c>
      <c r="G672" s="602">
        <v>37.89</v>
      </c>
      <c r="H672" s="597">
        <f t="shared" si="131"/>
        <v>0</v>
      </c>
      <c r="I672" s="596">
        <f t="shared" si="132"/>
        <v>0</v>
      </c>
      <c r="J672" s="373"/>
    </row>
    <row r="673" spans="1:10" ht="35.25" customHeight="1" x14ac:dyDescent="0.3">
      <c r="A673" s="1134"/>
      <c r="B673" s="807"/>
      <c r="C673" s="279" t="s">
        <v>363</v>
      </c>
      <c r="D673" s="434" t="s">
        <v>338</v>
      </c>
      <c r="E673" s="280"/>
      <c r="F673" s="435">
        <f t="shared" si="133"/>
        <v>0</v>
      </c>
      <c r="G673" s="602">
        <v>39</v>
      </c>
      <c r="H673" s="597">
        <f t="shared" si="131"/>
        <v>0</v>
      </c>
      <c r="I673" s="596">
        <f t="shared" si="132"/>
        <v>0</v>
      </c>
      <c r="J673" s="373"/>
    </row>
    <row r="674" spans="1:10" ht="35.25" customHeight="1" x14ac:dyDescent="0.3">
      <c r="A674" s="1134"/>
      <c r="B674" s="807"/>
      <c r="C674" s="279" t="s">
        <v>299</v>
      </c>
      <c r="D674" s="434" t="s">
        <v>177</v>
      </c>
      <c r="E674" s="280"/>
      <c r="F674" s="435">
        <f t="shared" si="133"/>
        <v>0</v>
      </c>
      <c r="G674" s="602">
        <v>21.22</v>
      </c>
      <c r="H674" s="597">
        <f t="shared" si="131"/>
        <v>0</v>
      </c>
      <c r="I674" s="596">
        <f t="shared" si="132"/>
        <v>0</v>
      </c>
      <c r="J674" s="373"/>
    </row>
    <row r="675" spans="1:10" ht="35.25" customHeight="1" x14ac:dyDescent="0.3">
      <c r="A675" s="1134"/>
      <c r="B675" s="807"/>
      <c r="C675" s="279" t="s">
        <v>298</v>
      </c>
      <c r="D675" s="434" t="s">
        <v>177</v>
      </c>
      <c r="E675" s="280"/>
      <c r="F675" s="435">
        <f t="shared" si="133"/>
        <v>0</v>
      </c>
      <c r="G675" s="602">
        <v>21.22</v>
      </c>
      <c r="H675" s="597">
        <f t="shared" si="131"/>
        <v>0</v>
      </c>
      <c r="I675" s="596">
        <f t="shared" si="132"/>
        <v>0</v>
      </c>
      <c r="J675" s="373"/>
    </row>
    <row r="676" spans="1:10" ht="35.25" customHeight="1" x14ac:dyDescent="0.3">
      <c r="A676" s="1134"/>
      <c r="B676" s="807"/>
      <c r="C676" s="279" t="s">
        <v>339</v>
      </c>
      <c r="D676" s="434" t="s">
        <v>304</v>
      </c>
      <c r="E676" s="280"/>
      <c r="F676" s="435">
        <f t="shared" si="133"/>
        <v>0</v>
      </c>
      <c r="G676" s="602">
        <v>10000</v>
      </c>
      <c r="H676" s="597">
        <f t="shared" si="131"/>
        <v>0</v>
      </c>
      <c r="I676" s="596">
        <f t="shared" si="132"/>
        <v>0</v>
      </c>
      <c r="J676" s="373"/>
    </row>
    <row r="677" spans="1:10" ht="35.25" customHeight="1" thickBot="1" x14ac:dyDescent="0.35">
      <c r="A677" s="1134"/>
      <c r="B677" s="807"/>
      <c r="C677" s="279" t="s">
        <v>303</v>
      </c>
      <c r="D677" s="434" t="s">
        <v>304</v>
      </c>
      <c r="E677" s="280"/>
      <c r="F677" s="435">
        <f t="shared" si="133"/>
        <v>0</v>
      </c>
      <c r="G677" s="602">
        <v>360</v>
      </c>
      <c r="H677" s="597">
        <f t="shared" si="131"/>
        <v>0</v>
      </c>
      <c r="I677" s="596">
        <f t="shared" si="132"/>
        <v>0</v>
      </c>
      <c r="J677" s="373"/>
    </row>
    <row r="678" spans="1:10" ht="35.25" customHeight="1" thickBot="1" x14ac:dyDescent="0.35">
      <c r="A678" s="1135"/>
      <c r="B678" s="1129" t="s">
        <v>268</v>
      </c>
      <c r="C678" s="1130"/>
      <c r="D678" s="809"/>
      <c r="E678" s="326">
        <f>SUM(E649:E677)</f>
        <v>0</v>
      </c>
      <c r="F678" s="326">
        <f t="shared" si="133"/>
        <v>0</v>
      </c>
      <c r="G678" s="326"/>
      <c r="H678" s="587">
        <f>SUM(H649:H677)</f>
        <v>0</v>
      </c>
      <c r="I678" s="580">
        <f>SUM(I649:I677)</f>
        <v>0</v>
      </c>
      <c r="J678" s="373"/>
    </row>
    <row r="679" spans="1:10" ht="35.25" customHeight="1" x14ac:dyDescent="0.3">
      <c r="A679" s="1133" t="s">
        <v>102</v>
      </c>
      <c r="B679" s="807"/>
      <c r="C679" s="279" t="s">
        <v>509</v>
      </c>
      <c r="D679" s="434" t="s">
        <v>238</v>
      </c>
      <c r="E679" s="280">
        <v>2300</v>
      </c>
      <c r="F679" s="435">
        <f t="shared" si="133"/>
        <v>5700</v>
      </c>
      <c r="G679" s="803">
        <v>624.26</v>
      </c>
      <c r="H679" s="593">
        <f>E679*G679</f>
        <v>1435798</v>
      </c>
      <c r="I679" s="596">
        <f t="shared" ref="I679:I681" si="134">+G679*F679</f>
        <v>3558282</v>
      </c>
      <c r="J679" s="373"/>
    </row>
    <row r="680" spans="1:10" ht="35.25" customHeight="1" x14ac:dyDescent="0.3">
      <c r="A680" s="1134"/>
      <c r="B680" s="807"/>
      <c r="C680" s="279" t="s">
        <v>273</v>
      </c>
      <c r="D680" s="434" t="s">
        <v>238</v>
      </c>
      <c r="E680" s="280">
        <v>320</v>
      </c>
      <c r="F680" s="435">
        <f t="shared" si="133"/>
        <v>320</v>
      </c>
      <c r="G680" s="602">
        <v>430.02</v>
      </c>
      <c r="H680" s="593">
        <f t="shared" ref="H680:H701" si="135">E680*G680</f>
        <v>137606.39999999999</v>
      </c>
      <c r="I680" s="596">
        <f t="shared" si="134"/>
        <v>137606.39999999999</v>
      </c>
      <c r="J680" s="373"/>
    </row>
    <row r="681" spans="1:10" ht="35.25" customHeight="1" x14ac:dyDescent="0.3">
      <c r="A681" s="1134"/>
      <c r="B681" s="807"/>
      <c r="C681" s="279" t="s">
        <v>390</v>
      </c>
      <c r="D681" s="434" t="s">
        <v>238</v>
      </c>
      <c r="E681" s="280"/>
      <c r="F681" s="435">
        <f t="shared" si="133"/>
        <v>0</v>
      </c>
      <c r="G681" s="602">
        <v>445.38</v>
      </c>
      <c r="H681" s="593">
        <f t="shared" si="135"/>
        <v>0</v>
      </c>
      <c r="I681" s="596">
        <f t="shared" si="134"/>
        <v>0</v>
      </c>
      <c r="J681" s="373"/>
    </row>
    <row r="682" spans="1:10" ht="35.25" customHeight="1" x14ac:dyDescent="0.3">
      <c r="A682" s="1134"/>
      <c r="B682" s="807"/>
      <c r="C682" s="279" t="s">
        <v>301</v>
      </c>
      <c r="D682" s="434" t="s">
        <v>238</v>
      </c>
      <c r="E682" s="280"/>
      <c r="F682" s="435">
        <f t="shared" si="133"/>
        <v>8640</v>
      </c>
      <c r="G682" s="602">
        <v>63.55</v>
      </c>
      <c r="H682" s="593">
        <f t="shared" si="135"/>
        <v>0</v>
      </c>
      <c r="I682" s="596">
        <f>+G682*F682</f>
        <v>549072</v>
      </c>
      <c r="J682" s="373"/>
    </row>
    <row r="683" spans="1:10" ht="35.25" customHeight="1" x14ac:dyDescent="0.3">
      <c r="A683" s="1134"/>
      <c r="B683" s="807"/>
      <c r="C683" s="279" t="s">
        <v>514</v>
      </c>
      <c r="D683" s="434" t="s">
        <v>238</v>
      </c>
      <c r="E683" s="280"/>
      <c r="F683" s="435">
        <f t="shared" si="133"/>
        <v>21600</v>
      </c>
      <c r="G683" s="602">
        <v>71.44</v>
      </c>
      <c r="H683" s="593">
        <f t="shared" si="135"/>
        <v>0</v>
      </c>
      <c r="I683" s="596">
        <f>+G683*F683</f>
        <v>1543104</v>
      </c>
      <c r="J683" s="373"/>
    </row>
    <row r="684" spans="1:10" ht="35.25" customHeight="1" x14ac:dyDescent="0.3">
      <c r="A684" s="1134"/>
      <c r="B684" s="807"/>
      <c r="C684" s="279" t="s">
        <v>275</v>
      </c>
      <c r="D684" s="434" t="s">
        <v>238</v>
      </c>
      <c r="E684" s="280">
        <v>15840</v>
      </c>
      <c r="F684" s="435">
        <f t="shared" si="133"/>
        <v>25920</v>
      </c>
      <c r="G684" s="602">
        <v>71.44</v>
      </c>
      <c r="H684" s="593">
        <f t="shared" si="135"/>
        <v>1131609.5999999999</v>
      </c>
      <c r="I684" s="596">
        <f t="shared" ref="I684:I701" si="136">+G684*F684</f>
        <v>1851724.8</v>
      </c>
      <c r="J684" s="373"/>
    </row>
    <row r="685" spans="1:10" ht="35.25" customHeight="1" x14ac:dyDescent="0.3">
      <c r="A685" s="1134"/>
      <c r="B685" s="807"/>
      <c r="C685" s="279" t="s">
        <v>276</v>
      </c>
      <c r="D685" s="434" t="s">
        <v>238</v>
      </c>
      <c r="E685" s="280"/>
      <c r="F685" s="435">
        <f t="shared" si="133"/>
        <v>0</v>
      </c>
      <c r="G685" s="602">
        <v>36.5</v>
      </c>
      <c r="H685" s="593">
        <f t="shared" si="135"/>
        <v>0</v>
      </c>
      <c r="I685" s="596">
        <f t="shared" si="136"/>
        <v>0</v>
      </c>
      <c r="J685" s="373"/>
    </row>
    <row r="686" spans="1:10" ht="35.25" customHeight="1" x14ac:dyDescent="0.3">
      <c r="A686" s="1134"/>
      <c r="B686" s="807"/>
      <c r="C686" s="279" t="s">
        <v>426</v>
      </c>
      <c r="D686" s="434" t="s">
        <v>238</v>
      </c>
      <c r="E686" s="280"/>
      <c r="F686" s="435">
        <f t="shared" si="133"/>
        <v>0</v>
      </c>
      <c r="G686" s="602">
        <v>320.35000000000002</v>
      </c>
      <c r="H686" s="593">
        <f t="shared" si="135"/>
        <v>0</v>
      </c>
      <c r="I686" s="596">
        <f t="shared" si="136"/>
        <v>0</v>
      </c>
      <c r="J686" s="373"/>
    </row>
    <row r="687" spans="1:10" ht="35.25" customHeight="1" x14ac:dyDescent="0.3">
      <c r="A687" s="1134"/>
      <c r="B687" s="807"/>
      <c r="C687" s="279" t="s">
        <v>285</v>
      </c>
      <c r="D687" s="434" t="s">
        <v>238</v>
      </c>
      <c r="E687" s="280"/>
      <c r="F687" s="435">
        <f t="shared" si="133"/>
        <v>0</v>
      </c>
      <c r="G687" s="602">
        <v>320.35000000000002</v>
      </c>
      <c r="H687" s="593">
        <f t="shared" si="135"/>
        <v>0</v>
      </c>
      <c r="I687" s="596">
        <f t="shared" si="136"/>
        <v>0</v>
      </c>
      <c r="J687" s="373"/>
    </row>
    <row r="688" spans="1:10" ht="35.25" customHeight="1" x14ac:dyDescent="0.3">
      <c r="A688" s="1134"/>
      <c r="B688" s="807"/>
      <c r="C688" s="279" t="s">
        <v>296</v>
      </c>
      <c r="D688" s="434" t="s">
        <v>238</v>
      </c>
      <c r="E688" s="280"/>
      <c r="F688" s="435">
        <f t="shared" si="133"/>
        <v>0</v>
      </c>
      <c r="G688" s="602">
        <v>434.41</v>
      </c>
      <c r="H688" s="593">
        <f t="shared" si="135"/>
        <v>0</v>
      </c>
      <c r="I688" s="596">
        <f t="shared" si="136"/>
        <v>0</v>
      </c>
      <c r="J688" s="373"/>
    </row>
    <row r="689" spans="1:10" ht="35.25" customHeight="1" x14ac:dyDescent="0.3">
      <c r="A689" s="1134"/>
      <c r="B689" s="807"/>
      <c r="C689" s="279" t="s">
        <v>282</v>
      </c>
      <c r="D689" s="434" t="s">
        <v>238</v>
      </c>
      <c r="E689" s="280"/>
      <c r="F689" s="435">
        <f t="shared" si="133"/>
        <v>0</v>
      </c>
      <c r="G689" s="602">
        <v>29690</v>
      </c>
      <c r="H689" s="593">
        <f t="shared" si="135"/>
        <v>0</v>
      </c>
      <c r="I689" s="596">
        <f t="shared" si="136"/>
        <v>0</v>
      </c>
      <c r="J689" s="373"/>
    </row>
    <row r="690" spans="1:10" ht="35.25" customHeight="1" x14ac:dyDescent="0.3">
      <c r="A690" s="1134"/>
      <c r="B690" s="807"/>
      <c r="C690" s="279" t="s">
        <v>282</v>
      </c>
      <c r="D690" s="434" t="s">
        <v>238</v>
      </c>
      <c r="E690" s="280"/>
      <c r="F690" s="435">
        <f t="shared" si="133"/>
        <v>1</v>
      </c>
      <c r="G690" s="602">
        <v>26445</v>
      </c>
      <c r="H690" s="593">
        <f t="shared" si="135"/>
        <v>0</v>
      </c>
      <c r="I690" s="596">
        <f t="shared" si="136"/>
        <v>26445</v>
      </c>
      <c r="J690" s="373"/>
    </row>
    <row r="691" spans="1:10" ht="35.25" customHeight="1" x14ac:dyDescent="0.3">
      <c r="A691" s="1134"/>
      <c r="B691" s="807"/>
      <c r="C691" s="279" t="s">
        <v>282</v>
      </c>
      <c r="D691" s="434"/>
      <c r="E691" s="280"/>
      <c r="F691" s="435">
        <f t="shared" si="133"/>
        <v>0</v>
      </c>
      <c r="G691" s="602">
        <v>33947.884599999998</v>
      </c>
      <c r="H691" s="593">
        <f t="shared" si="135"/>
        <v>0</v>
      </c>
      <c r="I691" s="596">
        <f t="shared" si="136"/>
        <v>0</v>
      </c>
      <c r="J691" s="373"/>
    </row>
    <row r="692" spans="1:10" ht="35.25" customHeight="1" x14ac:dyDescent="0.3">
      <c r="A692" s="1134"/>
      <c r="B692" s="807"/>
      <c r="C692" s="279" t="s">
        <v>311</v>
      </c>
      <c r="D692" s="434" t="s">
        <v>337</v>
      </c>
      <c r="E692" s="280"/>
      <c r="F692" s="435">
        <f t="shared" si="133"/>
        <v>0</v>
      </c>
      <c r="G692" s="602">
        <v>50</v>
      </c>
      <c r="H692" s="593">
        <f t="shared" si="135"/>
        <v>0</v>
      </c>
      <c r="I692" s="596">
        <f t="shared" si="136"/>
        <v>0</v>
      </c>
      <c r="J692" s="373"/>
    </row>
    <row r="693" spans="1:10" ht="35.25" customHeight="1" x14ac:dyDescent="0.3">
      <c r="A693" s="1134"/>
      <c r="B693" s="807"/>
      <c r="C693" s="279" t="s">
        <v>311</v>
      </c>
      <c r="D693" s="434"/>
      <c r="E693" s="280"/>
      <c r="F693" s="435">
        <f t="shared" si="133"/>
        <v>0</v>
      </c>
      <c r="G693" s="602">
        <v>10</v>
      </c>
      <c r="H693" s="593">
        <f t="shared" si="135"/>
        <v>0</v>
      </c>
      <c r="I693" s="596">
        <f t="shared" si="136"/>
        <v>0</v>
      </c>
      <c r="J693" s="373"/>
    </row>
    <row r="694" spans="1:10" ht="35.25" customHeight="1" x14ac:dyDescent="0.3">
      <c r="A694" s="1134"/>
      <c r="B694" s="807"/>
      <c r="C694" s="279" t="s">
        <v>329</v>
      </c>
      <c r="D694" s="434" t="s">
        <v>370</v>
      </c>
      <c r="E694" s="280"/>
      <c r="F694" s="435">
        <f t="shared" si="133"/>
        <v>0</v>
      </c>
      <c r="G694" s="602">
        <v>57.64</v>
      </c>
      <c r="H694" s="593">
        <f t="shared" si="135"/>
        <v>0</v>
      </c>
      <c r="I694" s="596">
        <f t="shared" si="136"/>
        <v>0</v>
      </c>
      <c r="J694" s="373"/>
    </row>
    <row r="695" spans="1:10" ht="35.25" customHeight="1" x14ac:dyDescent="0.3">
      <c r="A695" s="1134"/>
      <c r="B695" s="807"/>
      <c r="C695" s="279" t="s">
        <v>329</v>
      </c>
      <c r="D695" s="434" t="s">
        <v>364</v>
      </c>
      <c r="E695" s="280"/>
      <c r="F695" s="435">
        <f t="shared" si="133"/>
        <v>0</v>
      </c>
      <c r="G695" s="602">
        <v>57.64</v>
      </c>
      <c r="H695" s="593">
        <f t="shared" si="135"/>
        <v>0</v>
      </c>
      <c r="I695" s="596">
        <f t="shared" si="136"/>
        <v>0</v>
      </c>
      <c r="J695" s="373"/>
    </row>
    <row r="696" spans="1:10" ht="35.25" customHeight="1" x14ac:dyDescent="0.3">
      <c r="A696" s="1134"/>
      <c r="B696" s="807"/>
      <c r="C696" s="279" t="s">
        <v>330</v>
      </c>
      <c r="D696" s="434" t="s">
        <v>331</v>
      </c>
      <c r="E696" s="280"/>
      <c r="F696" s="435">
        <f t="shared" si="133"/>
        <v>0</v>
      </c>
      <c r="G696" s="602">
        <v>434.41</v>
      </c>
      <c r="H696" s="593">
        <f t="shared" si="135"/>
        <v>0</v>
      </c>
      <c r="I696" s="596">
        <f t="shared" si="136"/>
        <v>0</v>
      </c>
      <c r="J696" s="373"/>
    </row>
    <row r="697" spans="1:10" ht="35.25" customHeight="1" x14ac:dyDescent="0.3">
      <c r="A697" s="1134"/>
      <c r="B697" s="807"/>
      <c r="C697" s="279" t="s">
        <v>343</v>
      </c>
      <c r="D697" s="434" t="s">
        <v>238</v>
      </c>
      <c r="E697" s="280"/>
      <c r="F697" s="435">
        <f t="shared" si="133"/>
        <v>0</v>
      </c>
      <c r="G697" s="602">
        <v>624.26</v>
      </c>
      <c r="H697" s="593">
        <f t="shared" si="135"/>
        <v>0</v>
      </c>
      <c r="I697" s="596">
        <f t="shared" si="136"/>
        <v>0</v>
      </c>
      <c r="J697" s="373"/>
    </row>
    <row r="698" spans="1:10" ht="35.25" customHeight="1" x14ac:dyDescent="0.3">
      <c r="A698" s="1134"/>
      <c r="B698" s="807"/>
      <c r="C698" s="279" t="s">
        <v>332</v>
      </c>
      <c r="D698" s="434" t="s">
        <v>331</v>
      </c>
      <c r="E698" s="280"/>
      <c r="F698" s="435">
        <f t="shared" si="133"/>
        <v>0</v>
      </c>
      <c r="G698" s="602">
        <v>63.55</v>
      </c>
      <c r="H698" s="593">
        <f t="shared" si="135"/>
        <v>0</v>
      </c>
      <c r="I698" s="596">
        <f t="shared" si="136"/>
        <v>0</v>
      </c>
      <c r="J698" s="373"/>
    </row>
    <row r="699" spans="1:10" ht="35.25" customHeight="1" x14ac:dyDescent="0.3">
      <c r="A699" s="1134"/>
      <c r="B699" s="807"/>
      <c r="C699" s="279" t="s">
        <v>371</v>
      </c>
      <c r="D699" s="434" t="s">
        <v>238</v>
      </c>
      <c r="E699" s="280"/>
      <c r="F699" s="435">
        <f t="shared" si="133"/>
        <v>0</v>
      </c>
      <c r="G699" s="602">
        <v>59.96</v>
      </c>
      <c r="H699" s="593">
        <f t="shared" si="135"/>
        <v>0</v>
      </c>
      <c r="I699" s="596">
        <f t="shared" si="136"/>
        <v>0</v>
      </c>
      <c r="J699" s="373"/>
    </row>
    <row r="700" spans="1:10" ht="35.25" customHeight="1" x14ac:dyDescent="0.3">
      <c r="A700" s="1134"/>
      <c r="B700" s="807"/>
      <c r="C700" s="279" t="s">
        <v>419</v>
      </c>
      <c r="D700" s="434" t="s">
        <v>331</v>
      </c>
      <c r="E700" s="280"/>
      <c r="F700" s="435">
        <f t="shared" si="133"/>
        <v>0</v>
      </c>
      <c r="G700" s="602">
        <v>53.86</v>
      </c>
      <c r="H700" s="593">
        <f t="shared" si="135"/>
        <v>0</v>
      </c>
      <c r="I700" s="596">
        <f t="shared" si="136"/>
        <v>0</v>
      </c>
      <c r="J700" s="373"/>
    </row>
    <row r="701" spans="1:10" ht="35.25" customHeight="1" x14ac:dyDescent="0.3">
      <c r="A701" s="1134"/>
      <c r="B701" s="807"/>
      <c r="C701" s="279" t="s">
        <v>379</v>
      </c>
      <c r="D701" s="434"/>
      <c r="E701" s="280"/>
      <c r="F701" s="435">
        <f t="shared" si="133"/>
        <v>0</v>
      </c>
      <c r="G701" s="602">
        <v>360</v>
      </c>
      <c r="H701" s="593">
        <f t="shared" si="135"/>
        <v>0</v>
      </c>
      <c r="I701" s="596">
        <f t="shared" si="136"/>
        <v>0</v>
      </c>
      <c r="J701" s="373"/>
    </row>
    <row r="702" spans="1:10" ht="35.25" customHeight="1" x14ac:dyDescent="0.3">
      <c r="A702" s="1134"/>
      <c r="B702" s="807"/>
      <c r="C702" s="279" t="s">
        <v>471</v>
      </c>
      <c r="D702" s="434"/>
      <c r="E702" s="280"/>
      <c r="F702" s="435">
        <f t="shared" si="133"/>
        <v>0</v>
      </c>
      <c r="G702" s="602"/>
      <c r="H702" s="593">
        <f>+E702</f>
        <v>0</v>
      </c>
      <c r="I702" s="596">
        <f>+H702</f>
        <v>0</v>
      </c>
      <c r="J702" s="373"/>
    </row>
    <row r="703" spans="1:10" ht="35.25" customHeight="1" x14ac:dyDescent="0.3">
      <c r="A703" s="1134"/>
      <c r="B703" s="807"/>
      <c r="C703" s="279" t="s">
        <v>282</v>
      </c>
      <c r="D703" s="434"/>
      <c r="E703" s="280"/>
      <c r="F703" s="435">
        <f t="shared" si="133"/>
        <v>0</v>
      </c>
      <c r="G703" s="602">
        <v>39450</v>
      </c>
      <c r="H703" s="593">
        <f t="shared" ref="H703:H704" si="137">E703*G703</f>
        <v>0</v>
      </c>
      <c r="I703" s="596">
        <f t="shared" ref="I703:I704" si="138">+G703*F703</f>
        <v>0</v>
      </c>
      <c r="J703" s="373"/>
    </row>
    <row r="704" spans="1:10" ht="35.25" customHeight="1" thickBot="1" x14ac:dyDescent="0.35">
      <c r="A704" s="1134"/>
      <c r="B704" s="807"/>
      <c r="C704" s="279" t="s">
        <v>329</v>
      </c>
      <c r="D704" s="434" t="s">
        <v>443</v>
      </c>
      <c r="E704" s="280"/>
      <c r="F704" s="435">
        <f t="shared" si="133"/>
        <v>0</v>
      </c>
      <c r="G704" s="602">
        <v>57.64</v>
      </c>
      <c r="H704" s="593">
        <f t="shared" si="137"/>
        <v>0</v>
      </c>
      <c r="I704" s="596">
        <f t="shared" si="138"/>
        <v>0</v>
      </c>
      <c r="J704" s="373"/>
    </row>
    <row r="705" spans="1:10" ht="35.25" customHeight="1" thickBot="1" x14ac:dyDescent="0.35">
      <c r="A705" s="1135"/>
      <c r="B705" s="1129" t="s">
        <v>270</v>
      </c>
      <c r="C705" s="1130"/>
      <c r="D705" s="809"/>
      <c r="E705" s="326">
        <f>SUM(E679:E704)</f>
        <v>18460</v>
      </c>
      <c r="F705" s="326">
        <f>SUM(F679:F704)</f>
        <v>62181</v>
      </c>
      <c r="G705" s="326"/>
      <c r="H705" s="590">
        <f>SUM(H679:H704)</f>
        <v>2705014</v>
      </c>
      <c r="I705" s="580">
        <f>SUM(I679:I704)</f>
        <v>7666234.2000000002</v>
      </c>
      <c r="J705" s="372"/>
    </row>
    <row r="706" spans="1:10" ht="35.25" customHeight="1" thickBot="1" x14ac:dyDescent="0.35">
      <c r="A706" s="812"/>
      <c r="B706" s="437"/>
      <c r="C706" s="279" t="s">
        <v>379</v>
      </c>
      <c r="D706" s="434"/>
      <c r="E706" s="280"/>
      <c r="F706" s="281">
        <f>+E706</f>
        <v>0</v>
      </c>
      <c r="G706" s="334"/>
      <c r="H706" s="589">
        <f t="shared" ref="H706" si="139">E706*G706</f>
        <v>0</v>
      </c>
      <c r="I706" s="282">
        <f t="shared" ref="I706" si="140">+G706*F706</f>
        <v>0</v>
      </c>
      <c r="J706" s="373"/>
    </row>
    <row r="707" spans="1:10" ht="35.25" customHeight="1" thickBot="1" x14ac:dyDescent="0.35">
      <c r="A707" s="812"/>
      <c r="B707" s="1129" t="s">
        <v>224</v>
      </c>
      <c r="C707" s="1130"/>
      <c r="D707" s="805"/>
      <c r="E707" s="326"/>
      <c r="F707" s="327"/>
      <c r="G707" s="326"/>
      <c r="H707" s="587"/>
      <c r="I707" s="324">
        <f>SUM(I706)</f>
        <v>0</v>
      </c>
      <c r="J707" s="349"/>
    </row>
    <row r="708" spans="1:10" ht="35.25" customHeight="1" thickBot="1" x14ac:dyDescent="0.35">
      <c r="A708" s="319"/>
      <c r="B708" s="1131" t="s">
        <v>174</v>
      </c>
      <c r="C708" s="1132"/>
      <c r="D708" s="806"/>
      <c r="E708" s="374">
        <f>+E705+E678+E648+E646</f>
        <v>18460</v>
      </c>
      <c r="F708" s="374">
        <f>+F705+F678+F648+F646</f>
        <v>636879</v>
      </c>
      <c r="G708" s="374"/>
      <c r="H708" s="374"/>
      <c r="I708" s="374">
        <f>+I705+I678+I648+I707</f>
        <v>16900421.400000002</v>
      </c>
      <c r="J708" s="375"/>
    </row>
    <row r="709" spans="1:10" ht="35.25" customHeight="1" x14ac:dyDescent="0.3">
      <c r="A709" s="1057" t="s">
        <v>1</v>
      </c>
      <c r="B709" s="1060" t="s">
        <v>2</v>
      </c>
      <c r="C709" s="1138" t="s">
        <v>396</v>
      </c>
      <c r="D709" s="1115" t="s">
        <v>397</v>
      </c>
      <c r="E709" s="1142" t="s">
        <v>525</v>
      </c>
      <c r="F709" s="1067"/>
      <c r="G709" s="1067"/>
      <c r="H709" s="1067"/>
      <c r="I709" s="1067"/>
      <c r="J709" s="1068"/>
    </row>
    <row r="710" spans="1:10" ht="35.25" customHeight="1" x14ac:dyDescent="0.3">
      <c r="A710" s="1136"/>
      <c r="B710" s="1137"/>
      <c r="C710" s="1139"/>
      <c r="D710" s="1116"/>
      <c r="E710" s="1143" t="s">
        <v>412</v>
      </c>
      <c r="F710" s="1144"/>
      <c r="G710" s="1143" t="s">
        <v>411</v>
      </c>
      <c r="H710" s="1145"/>
      <c r="I710" s="1145"/>
      <c r="J710" s="1144"/>
    </row>
    <row r="711" spans="1:10" ht="35.25" customHeight="1" x14ac:dyDescent="0.3">
      <c r="A711" s="1058"/>
      <c r="B711" s="1061"/>
      <c r="C711" s="1140"/>
      <c r="D711" s="1116"/>
      <c r="E711" s="1069" t="s">
        <v>413</v>
      </c>
      <c r="F711" s="1071" t="s">
        <v>414</v>
      </c>
      <c r="G711" s="1147" t="s">
        <v>90</v>
      </c>
      <c r="H711" s="1149" t="s">
        <v>91</v>
      </c>
      <c r="I711" s="1149" t="s">
        <v>91</v>
      </c>
      <c r="J711" s="1151" t="s">
        <v>12</v>
      </c>
    </row>
    <row r="712" spans="1:10" ht="35.25" customHeight="1" thickBot="1" x14ac:dyDescent="0.35">
      <c r="A712" s="1059"/>
      <c r="B712" s="1062"/>
      <c r="C712" s="1141"/>
      <c r="D712" s="1117"/>
      <c r="E712" s="1070"/>
      <c r="F712" s="1146"/>
      <c r="G712" s="1148"/>
      <c r="H712" s="1150"/>
      <c r="I712" s="1150"/>
      <c r="J712" s="1152"/>
    </row>
    <row r="713" spans="1:10" ht="35.25" customHeight="1" x14ac:dyDescent="0.3">
      <c r="A713" s="1133" t="s">
        <v>103</v>
      </c>
      <c r="B713" s="439"/>
      <c r="C713" s="577" t="s">
        <v>442</v>
      </c>
      <c r="D713" s="665" t="s">
        <v>374</v>
      </c>
      <c r="E713" s="699"/>
      <c r="F713" s="674">
        <f>+E713+F619</f>
        <v>0</v>
      </c>
      <c r="G713" s="732">
        <v>107.85</v>
      </c>
      <c r="H713" s="591">
        <f t="shared" ref="H713:H727" si="141">E713*G713</f>
        <v>0</v>
      </c>
      <c r="I713" s="594">
        <f>+G713*F713</f>
        <v>0</v>
      </c>
      <c r="J713" s="351"/>
    </row>
    <row r="714" spans="1:10" ht="35.25" customHeight="1" x14ac:dyDescent="0.3">
      <c r="A714" s="1134"/>
      <c r="B714" s="438"/>
      <c r="C714" s="441" t="s">
        <v>264</v>
      </c>
      <c r="D714" s="666" t="s">
        <v>265</v>
      </c>
      <c r="E714" s="700"/>
      <c r="F714" s="701">
        <f t="shared" ref="F714:F727" si="142">+E714+F620</f>
        <v>0</v>
      </c>
      <c r="G714" s="697">
        <v>11</v>
      </c>
      <c r="H714" s="592">
        <f t="shared" si="141"/>
        <v>0</v>
      </c>
      <c r="I714" s="595">
        <f>+G714*F714</f>
        <v>0</v>
      </c>
      <c r="J714" s="352"/>
    </row>
    <row r="715" spans="1:10" ht="35.25" customHeight="1" x14ac:dyDescent="0.3">
      <c r="A715" s="1134"/>
      <c r="B715" s="438"/>
      <c r="C715" s="441" t="s">
        <v>295</v>
      </c>
      <c r="D715" s="666" t="s">
        <v>453</v>
      </c>
      <c r="E715" s="700">
        <v>640</v>
      </c>
      <c r="F715" s="701">
        <f t="shared" si="142"/>
        <v>640</v>
      </c>
      <c r="G715" s="697">
        <v>139.04</v>
      </c>
      <c r="H715" s="592">
        <f t="shared" si="141"/>
        <v>88985.599999999991</v>
      </c>
      <c r="I715" s="595">
        <f t="shared" ref="I715:I727" si="143">+G715*F715</f>
        <v>88985.599999999991</v>
      </c>
      <c r="J715" s="352"/>
    </row>
    <row r="716" spans="1:10" ht="35.25" customHeight="1" x14ac:dyDescent="0.3">
      <c r="A716" s="1134"/>
      <c r="B716" s="438"/>
      <c r="C716" s="441" t="s">
        <v>531</v>
      </c>
      <c r="D716" s="666" t="s">
        <v>529</v>
      </c>
      <c r="E716" s="700">
        <v>12240</v>
      </c>
      <c r="F716" s="701">
        <f t="shared" si="142"/>
        <v>12240</v>
      </c>
      <c r="G716" s="715">
        <v>20.66</v>
      </c>
      <c r="H716" s="592">
        <f t="shared" si="141"/>
        <v>252878.4</v>
      </c>
      <c r="I716" s="595">
        <f t="shared" si="143"/>
        <v>252878.4</v>
      </c>
      <c r="J716" s="352"/>
    </row>
    <row r="717" spans="1:10" ht="35.25" customHeight="1" x14ac:dyDescent="0.3">
      <c r="A717" s="1134"/>
      <c r="B717" s="438"/>
      <c r="C717" s="441" t="s">
        <v>288</v>
      </c>
      <c r="D717" s="666" t="s">
        <v>177</v>
      </c>
      <c r="E717" s="700"/>
      <c r="F717" s="701">
        <f t="shared" si="142"/>
        <v>0</v>
      </c>
      <c r="G717" s="697">
        <v>14.79</v>
      </c>
      <c r="H717" s="592">
        <f t="shared" si="141"/>
        <v>0</v>
      </c>
      <c r="I717" s="595">
        <f t="shared" si="143"/>
        <v>0</v>
      </c>
      <c r="J717" s="352"/>
    </row>
    <row r="718" spans="1:10" ht="35.25" customHeight="1" x14ac:dyDescent="0.3">
      <c r="A718" s="1134"/>
      <c r="B718" s="438"/>
      <c r="C718" s="441" t="s">
        <v>295</v>
      </c>
      <c r="D718" s="666" t="s">
        <v>265</v>
      </c>
      <c r="E718" s="700">
        <v>1280</v>
      </c>
      <c r="F718" s="701">
        <f t="shared" si="142"/>
        <v>3200</v>
      </c>
      <c r="G718" s="697">
        <v>139.04</v>
      </c>
      <c r="H718" s="592">
        <f t="shared" si="141"/>
        <v>177971.19999999998</v>
      </c>
      <c r="I718" s="595">
        <f t="shared" si="143"/>
        <v>444928</v>
      </c>
      <c r="J718" s="352"/>
    </row>
    <row r="719" spans="1:10" ht="35.25" customHeight="1" x14ac:dyDescent="0.3">
      <c r="A719" s="1134"/>
      <c r="B719" s="438"/>
      <c r="C719" s="441" t="s">
        <v>391</v>
      </c>
      <c r="D719" s="667" t="s">
        <v>356</v>
      </c>
      <c r="E719" s="700"/>
      <c r="F719" s="701">
        <f t="shared" si="142"/>
        <v>0</v>
      </c>
      <c r="G719" s="697">
        <v>147.58000000000001</v>
      </c>
      <c r="H719" s="592">
        <f t="shared" si="141"/>
        <v>0</v>
      </c>
      <c r="I719" s="595">
        <f t="shared" si="143"/>
        <v>0</v>
      </c>
      <c r="J719" s="352"/>
    </row>
    <row r="720" spans="1:10" ht="35.25" customHeight="1" x14ac:dyDescent="0.3">
      <c r="A720" s="1134"/>
      <c r="B720" s="438"/>
      <c r="C720" s="441" t="s">
        <v>313</v>
      </c>
      <c r="D720" s="667" t="s">
        <v>265</v>
      </c>
      <c r="E720" s="700"/>
      <c r="F720" s="701">
        <f t="shared" si="142"/>
        <v>36720</v>
      </c>
      <c r="G720" s="697">
        <v>18.84</v>
      </c>
      <c r="H720" s="592">
        <f t="shared" si="141"/>
        <v>0</v>
      </c>
      <c r="I720" s="595">
        <f t="shared" si="143"/>
        <v>691804.8</v>
      </c>
      <c r="J720" s="352"/>
    </row>
    <row r="721" spans="1:10" ht="35.25" customHeight="1" x14ac:dyDescent="0.3">
      <c r="A721" s="1134"/>
      <c r="B721" s="438"/>
      <c r="C721" s="441" t="s">
        <v>322</v>
      </c>
      <c r="D721" s="667" t="s">
        <v>232</v>
      </c>
      <c r="E721" s="700"/>
      <c r="F721" s="701">
        <f t="shared" si="142"/>
        <v>0</v>
      </c>
      <c r="G721" s="697">
        <v>21.18</v>
      </c>
      <c r="H721" s="592">
        <f t="shared" si="141"/>
        <v>0</v>
      </c>
      <c r="I721" s="595">
        <f t="shared" si="143"/>
        <v>0</v>
      </c>
      <c r="J721" s="352"/>
    </row>
    <row r="722" spans="1:10" ht="35.25" customHeight="1" x14ac:dyDescent="0.3">
      <c r="A722" s="1134"/>
      <c r="B722" s="438"/>
      <c r="C722" s="441" t="s">
        <v>324</v>
      </c>
      <c r="D722" s="667" t="s">
        <v>325</v>
      </c>
      <c r="E722" s="700"/>
      <c r="F722" s="701">
        <f t="shared" si="142"/>
        <v>0</v>
      </c>
      <c r="G722" s="697">
        <v>21.28</v>
      </c>
      <c r="H722" s="592">
        <f t="shared" si="141"/>
        <v>0</v>
      </c>
      <c r="I722" s="595">
        <f t="shared" si="143"/>
        <v>0</v>
      </c>
      <c r="J722" s="352"/>
    </row>
    <row r="723" spans="1:10" ht="35.25" customHeight="1" x14ac:dyDescent="0.3">
      <c r="A723" s="1134"/>
      <c r="B723" s="438"/>
      <c r="C723" s="441" t="s">
        <v>378</v>
      </c>
      <c r="D723" s="667" t="s">
        <v>374</v>
      </c>
      <c r="E723" s="700"/>
      <c r="F723" s="701">
        <f t="shared" si="142"/>
        <v>0</v>
      </c>
      <c r="G723" s="697">
        <v>143.28</v>
      </c>
      <c r="H723" s="592">
        <f t="shared" si="141"/>
        <v>0</v>
      </c>
      <c r="I723" s="595">
        <f t="shared" si="143"/>
        <v>0</v>
      </c>
      <c r="J723" s="352"/>
    </row>
    <row r="724" spans="1:10" ht="35.25" customHeight="1" x14ac:dyDescent="0.3">
      <c r="A724" s="1134"/>
      <c r="B724" s="438"/>
      <c r="C724" s="441" t="s">
        <v>472</v>
      </c>
      <c r="D724" s="667"/>
      <c r="E724" s="700"/>
      <c r="F724" s="701">
        <f t="shared" si="142"/>
        <v>0</v>
      </c>
      <c r="G724" s="697">
        <v>14.79</v>
      </c>
      <c r="H724" s="592">
        <f t="shared" si="141"/>
        <v>0</v>
      </c>
      <c r="I724" s="595">
        <f t="shared" si="143"/>
        <v>0</v>
      </c>
      <c r="J724" s="352"/>
    </row>
    <row r="725" spans="1:10" ht="35.25" customHeight="1" x14ac:dyDescent="0.3">
      <c r="A725" s="1134"/>
      <c r="B725" s="438"/>
      <c r="C725" s="441" t="s">
        <v>451</v>
      </c>
      <c r="D725" s="666" t="s">
        <v>177</v>
      </c>
      <c r="E725" s="700"/>
      <c r="F725" s="701">
        <f t="shared" si="142"/>
        <v>498432</v>
      </c>
      <c r="G725" s="697">
        <v>14.55</v>
      </c>
      <c r="H725" s="592">
        <f t="shared" si="141"/>
        <v>0</v>
      </c>
      <c r="I725" s="595">
        <f t="shared" si="143"/>
        <v>7252185.6000000006</v>
      </c>
      <c r="J725" s="352"/>
    </row>
    <row r="726" spans="1:10" ht="35.25" customHeight="1" x14ac:dyDescent="0.3">
      <c r="A726" s="1134"/>
      <c r="B726" s="438"/>
      <c r="C726" s="441" t="s">
        <v>327</v>
      </c>
      <c r="D726" s="667" t="s">
        <v>188</v>
      </c>
      <c r="E726" s="700"/>
      <c r="F726" s="701">
        <f t="shared" si="142"/>
        <v>0</v>
      </c>
      <c r="G726" s="697">
        <v>21.28</v>
      </c>
      <c r="H726" s="592">
        <f t="shared" si="141"/>
        <v>0</v>
      </c>
      <c r="I726" s="595">
        <f t="shared" si="143"/>
        <v>0</v>
      </c>
      <c r="J726" s="352"/>
    </row>
    <row r="727" spans="1:10" ht="35.25" customHeight="1" thickBot="1" x14ac:dyDescent="0.35">
      <c r="A727" s="1134"/>
      <c r="B727" s="438"/>
      <c r="C727" s="441" t="s">
        <v>336</v>
      </c>
      <c r="D727" s="668" t="s">
        <v>178</v>
      </c>
      <c r="E727" s="700"/>
      <c r="F727" s="676">
        <f t="shared" si="142"/>
        <v>0</v>
      </c>
      <c r="G727" s="697">
        <v>36.44</v>
      </c>
      <c r="H727" s="592">
        <f t="shared" si="141"/>
        <v>0</v>
      </c>
      <c r="I727" s="595">
        <f t="shared" si="143"/>
        <v>0</v>
      </c>
      <c r="J727" s="352"/>
    </row>
    <row r="728" spans="1:10" ht="35.25" customHeight="1" thickBot="1" x14ac:dyDescent="0.35">
      <c r="A728" s="1134"/>
      <c r="B728" s="1129" t="s">
        <v>266</v>
      </c>
      <c r="C728" s="1130"/>
      <c r="D728" s="820"/>
      <c r="E728" s="326">
        <f>SUM(E713:E727)</f>
        <v>14160</v>
      </c>
      <c r="F728" s="698">
        <f>SUM(F713:F727)</f>
        <v>551232</v>
      </c>
      <c r="G728" s="326"/>
      <c r="H728" s="587">
        <f>SUM(H713:H727)</f>
        <v>519835.19999999995</v>
      </c>
      <c r="I728" s="580">
        <f>SUM(I713:I727)</f>
        <v>8730782.4000000004</v>
      </c>
      <c r="J728" s="349"/>
    </row>
    <row r="729" spans="1:10" ht="35.25" customHeight="1" x14ac:dyDescent="0.3">
      <c r="A729" s="1134"/>
      <c r="B729" s="818"/>
      <c r="C729" s="279" t="s">
        <v>271</v>
      </c>
      <c r="D729" s="434" t="s">
        <v>238</v>
      </c>
      <c r="E729" s="280"/>
      <c r="F729" s="435">
        <f>+E729+F635</f>
        <v>0</v>
      </c>
      <c r="G729" s="578">
        <v>160.44999999999999</v>
      </c>
      <c r="H729" s="593">
        <f t="shared" ref="H729:H734" si="144">E729*G729</f>
        <v>0</v>
      </c>
      <c r="I729" s="596">
        <f t="shared" ref="I729:I734" si="145">+G729*F729</f>
        <v>0</v>
      </c>
      <c r="J729" s="373"/>
    </row>
    <row r="730" spans="1:10" ht="35.25" customHeight="1" x14ac:dyDescent="0.3">
      <c r="A730" s="1134"/>
      <c r="B730" s="818"/>
      <c r="C730" s="279" t="s">
        <v>287</v>
      </c>
      <c r="D730" s="434" t="s">
        <v>93</v>
      </c>
      <c r="E730" s="280"/>
      <c r="F730" s="435">
        <f t="shared" ref="F730:F734" si="146">+E730+F636</f>
        <v>37620</v>
      </c>
      <c r="G730" s="578">
        <v>27</v>
      </c>
      <c r="H730" s="593">
        <f t="shared" si="144"/>
        <v>0</v>
      </c>
      <c r="I730" s="596">
        <f t="shared" si="145"/>
        <v>1015740</v>
      </c>
      <c r="J730" s="373"/>
    </row>
    <row r="731" spans="1:10" ht="35.25" customHeight="1" x14ac:dyDescent="0.3">
      <c r="A731" s="1134"/>
      <c r="B731" s="818"/>
      <c r="C731" s="279" t="s">
        <v>287</v>
      </c>
      <c r="D731" s="434" t="s">
        <v>292</v>
      </c>
      <c r="E731" s="280"/>
      <c r="F731" s="435">
        <f t="shared" si="146"/>
        <v>0</v>
      </c>
      <c r="G731" s="578">
        <v>27.5</v>
      </c>
      <c r="H731" s="593">
        <f t="shared" si="144"/>
        <v>0</v>
      </c>
      <c r="I731" s="596">
        <f t="shared" si="145"/>
        <v>0</v>
      </c>
      <c r="J731" s="373"/>
    </row>
    <row r="732" spans="1:10" ht="35.25" customHeight="1" x14ac:dyDescent="0.3">
      <c r="A732" s="1134"/>
      <c r="B732" s="818"/>
      <c r="C732" s="279" t="s">
        <v>276</v>
      </c>
      <c r="D732" s="434" t="s">
        <v>292</v>
      </c>
      <c r="E732" s="280"/>
      <c r="F732" s="435">
        <f t="shared" si="146"/>
        <v>0</v>
      </c>
      <c r="G732" s="578">
        <v>34.5</v>
      </c>
      <c r="H732" s="593">
        <f t="shared" si="144"/>
        <v>0</v>
      </c>
      <c r="I732" s="596">
        <f t="shared" si="145"/>
        <v>0</v>
      </c>
      <c r="J732" s="373"/>
    </row>
    <row r="733" spans="1:10" ht="35.25" customHeight="1" x14ac:dyDescent="0.3">
      <c r="A733" s="1134"/>
      <c r="B733" s="818"/>
      <c r="C733" s="279" t="s">
        <v>473</v>
      </c>
      <c r="D733" s="434" t="s">
        <v>440</v>
      </c>
      <c r="E733" s="280"/>
      <c r="F733" s="435">
        <f t="shared" si="146"/>
        <v>0</v>
      </c>
      <c r="G733" s="578">
        <v>10.57</v>
      </c>
      <c r="H733" s="593">
        <f t="shared" si="144"/>
        <v>0</v>
      </c>
      <c r="I733" s="596">
        <f t="shared" si="145"/>
        <v>0</v>
      </c>
      <c r="J733" s="373"/>
    </row>
    <row r="734" spans="1:10" ht="35.25" customHeight="1" thickBot="1" x14ac:dyDescent="0.35">
      <c r="A734" s="1134"/>
      <c r="B734" s="818"/>
      <c r="C734" s="279" t="s">
        <v>276</v>
      </c>
      <c r="D734" s="434" t="s">
        <v>440</v>
      </c>
      <c r="E734" s="280"/>
      <c r="F734" s="435">
        <f t="shared" si="146"/>
        <v>0</v>
      </c>
      <c r="G734" s="578">
        <v>55.76</v>
      </c>
      <c r="H734" s="593">
        <f t="shared" si="144"/>
        <v>0</v>
      </c>
      <c r="I734" s="596">
        <f t="shared" si="145"/>
        <v>0</v>
      </c>
      <c r="J734" s="373"/>
    </row>
    <row r="735" spans="1:10" ht="35.25" customHeight="1" thickBot="1" x14ac:dyDescent="0.35">
      <c r="A735" s="1134"/>
      <c r="B735" s="1129" t="s">
        <v>267</v>
      </c>
      <c r="C735" s="1130"/>
      <c r="D735" s="820"/>
      <c r="E735" s="326">
        <f>SUM(E729:E734)</f>
        <v>0</v>
      </c>
      <c r="F735" s="326">
        <f>SUM(F729:F734)</f>
        <v>37620</v>
      </c>
      <c r="G735" s="326"/>
      <c r="H735" s="587">
        <f>SUM(H729:H734)</f>
        <v>0</v>
      </c>
      <c r="I735" s="580">
        <f>SUM(I729:I734)</f>
        <v>1015740</v>
      </c>
      <c r="J735" s="349"/>
    </row>
    <row r="736" spans="1:10" ht="35.25" customHeight="1" x14ac:dyDescent="0.3">
      <c r="A736" s="1134"/>
      <c r="B736" s="818"/>
      <c r="C736" s="279" t="s">
        <v>277</v>
      </c>
      <c r="D736" s="434" t="s">
        <v>278</v>
      </c>
      <c r="E736" s="280"/>
      <c r="F736" s="435">
        <f>+E736+F642</f>
        <v>3</v>
      </c>
      <c r="G736" s="578">
        <v>2500</v>
      </c>
      <c r="H736" s="593">
        <f t="shared" ref="H736:H739" si="147">E736*G736</f>
        <v>0</v>
      </c>
      <c r="I736" s="596">
        <f>+G736*F736</f>
        <v>7500</v>
      </c>
      <c r="J736" s="373"/>
    </row>
    <row r="737" spans="1:13" ht="35.25" customHeight="1" x14ac:dyDescent="0.3">
      <c r="A737" s="1134"/>
      <c r="B737" s="818"/>
      <c r="C737" s="279" t="s">
        <v>454</v>
      </c>
      <c r="D737" s="434"/>
      <c r="E737" s="280"/>
      <c r="F737" s="435">
        <f t="shared" ref="F737:F739" si="148">+E737+F643</f>
        <v>0</v>
      </c>
      <c r="G737" s="578">
        <v>30000</v>
      </c>
      <c r="H737" s="593">
        <f t="shared" si="147"/>
        <v>0</v>
      </c>
      <c r="I737" s="596">
        <f>+G737*F737</f>
        <v>0</v>
      </c>
      <c r="J737" s="373"/>
    </row>
    <row r="738" spans="1:13" ht="35.25" customHeight="1" x14ac:dyDescent="0.3">
      <c r="A738" s="1134"/>
      <c r="B738" s="818"/>
      <c r="C738" s="279" t="s">
        <v>379</v>
      </c>
      <c r="D738" s="434" t="s">
        <v>304</v>
      </c>
      <c r="E738" s="280"/>
      <c r="F738" s="435">
        <f t="shared" si="148"/>
        <v>0</v>
      </c>
      <c r="G738" s="578">
        <v>360</v>
      </c>
      <c r="H738" s="593">
        <f t="shared" si="147"/>
        <v>0</v>
      </c>
      <c r="I738" s="596">
        <f>+G738*F738</f>
        <v>0</v>
      </c>
      <c r="J738" s="373"/>
    </row>
    <row r="739" spans="1:13" ht="35.25" customHeight="1" thickBot="1" x14ac:dyDescent="0.35">
      <c r="A739" s="1134"/>
      <c r="B739" s="818"/>
      <c r="C739" s="279" t="s">
        <v>427</v>
      </c>
      <c r="D739" s="434" t="s">
        <v>304</v>
      </c>
      <c r="E739" s="280"/>
      <c r="F739" s="435">
        <f t="shared" si="148"/>
        <v>0</v>
      </c>
      <c r="G739" s="579">
        <v>10</v>
      </c>
      <c r="H739" s="593">
        <f t="shared" si="147"/>
        <v>0</v>
      </c>
      <c r="I739" s="596">
        <f t="shared" ref="I739" si="149">+G739*F739</f>
        <v>0</v>
      </c>
      <c r="J739" s="373"/>
    </row>
    <row r="740" spans="1:13" ht="35.25" customHeight="1" thickBot="1" x14ac:dyDescent="0.35">
      <c r="A740" s="1134"/>
      <c r="B740" s="1129" t="s">
        <v>272</v>
      </c>
      <c r="C740" s="1130"/>
      <c r="D740" s="820"/>
      <c r="E740" s="326">
        <f>SUM(E736:E739)</f>
        <v>0</v>
      </c>
      <c r="F740" s="326">
        <f>SUM(F736:F739)</f>
        <v>3</v>
      </c>
      <c r="G740" s="326"/>
      <c r="H740" s="587">
        <f>SUM(H736:H739)</f>
        <v>0</v>
      </c>
      <c r="I740" s="580">
        <f>SUM(I736:I739)</f>
        <v>7500</v>
      </c>
      <c r="J740" s="373"/>
    </row>
    <row r="741" spans="1:13" ht="35.25" customHeight="1" thickBot="1" x14ac:dyDescent="0.35">
      <c r="A741" s="1134"/>
      <c r="B741" s="818"/>
      <c r="C741" s="279"/>
      <c r="D741" s="434"/>
      <c r="E741" s="280"/>
      <c r="F741" s="317"/>
      <c r="G741" s="579"/>
      <c r="H741" s="588"/>
      <c r="I741" s="282"/>
      <c r="J741" s="373"/>
    </row>
    <row r="742" spans="1:13" ht="35.25" customHeight="1" thickBot="1" x14ac:dyDescent="0.35">
      <c r="A742" s="1135"/>
      <c r="B742" s="1129" t="s">
        <v>269</v>
      </c>
      <c r="C742" s="1130"/>
      <c r="D742" s="816"/>
      <c r="E742" s="326">
        <f>+E740+E735+E728</f>
        <v>14160</v>
      </c>
      <c r="F742" s="326">
        <f>+F740+F735+F728</f>
        <v>588855</v>
      </c>
      <c r="G742" s="326"/>
      <c r="H742" s="580">
        <f>+H735+H728+H740</f>
        <v>519835.19999999995</v>
      </c>
      <c r="I742" s="580">
        <f>+I735+I728+I740</f>
        <v>9754022.4000000004</v>
      </c>
      <c r="J742" s="373"/>
      <c r="K742" s="704"/>
      <c r="M742" s="704"/>
    </row>
    <row r="743" spans="1:13" ht="35.25" customHeight="1" x14ac:dyDescent="0.3">
      <c r="A743" s="1133" t="s">
        <v>101</v>
      </c>
      <c r="B743" s="818"/>
      <c r="C743" s="279" t="s">
        <v>281</v>
      </c>
      <c r="D743" s="434" t="s">
        <v>178</v>
      </c>
      <c r="E743" s="280"/>
      <c r="F743" s="435">
        <f>+E743+F649</f>
        <v>0</v>
      </c>
      <c r="G743" s="602">
        <v>13.25</v>
      </c>
      <c r="H743" s="597">
        <f t="shared" ref="H743:H771" si="150">E743*G743</f>
        <v>0</v>
      </c>
      <c r="I743" s="596">
        <f t="shared" ref="I743:I771" si="151">+G743*F743</f>
        <v>0</v>
      </c>
      <c r="J743" s="373"/>
      <c r="K743" s="704"/>
    </row>
    <row r="744" spans="1:13" ht="35.25" customHeight="1" x14ac:dyDescent="0.3">
      <c r="A744" s="1134"/>
      <c r="B744" s="818"/>
      <c r="C744" s="279" t="s">
        <v>282</v>
      </c>
      <c r="D744" s="434"/>
      <c r="E744" s="280"/>
      <c r="F744" s="435">
        <f t="shared" ref="F744:F798" si="152">+E744+F650</f>
        <v>0</v>
      </c>
      <c r="G744" s="603">
        <v>5000</v>
      </c>
      <c r="H744" s="597">
        <f t="shared" si="150"/>
        <v>0</v>
      </c>
      <c r="I744" s="596">
        <f t="shared" si="151"/>
        <v>0</v>
      </c>
      <c r="J744" s="373"/>
      <c r="K744" s="704"/>
    </row>
    <row r="745" spans="1:13" ht="35.25" customHeight="1" x14ac:dyDescent="0.3">
      <c r="A745" s="1134"/>
      <c r="B745" s="818"/>
      <c r="C745" s="279" t="s">
        <v>282</v>
      </c>
      <c r="D745" s="434"/>
      <c r="E745" s="280"/>
      <c r="F745" s="435">
        <f t="shared" si="152"/>
        <v>0</v>
      </c>
      <c r="G745" s="603">
        <v>18000</v>
      </c>
      <c r="H745" s="597">
        <f t="shared" si="150"/>
        <v>0</v>
      </c>
      <c r="I745" s="596">
        <f t="shared" si="151"/>
        <v>0</v>
      </c>
      <c r="J745" s="373"/>
    </row>
    <row r="746" spans="1:13" ht="35.25" customHeight="1" x14ac:dyDescent="0.3">
      <c r="A746" s="1134"/>
      <c r="B746" s="818"/>
      <c r="C746" s="279" t="s">
        <v>465</v>
      </c>
      <c r="D746" s="434" t="s">
        <v>338</v>
      </c>
      <c r="E746" s="280"/>
      <c r="F746" s="435">
        <f t="shared" si="152"/>
        <v>0</v>
      </c>
      <c r="G746" s="602">
        <v>24.93</v>
      </c>
      <c r="H746" s="597">
        <f t="shared" si="150"/>
        <v>0</v>
      </c>
      <c r="I746" s="596">
        <f t="shared" si="151"/>
        <v>0</v>
      </c>
      <c r="J746" s="373"/>
    </row>
    <row r="747" spans="1:13" ht="35.25" customHeight="1" x14ac:dyDescent="0.3">
      <c r="A747" s="1134"/>
      <c r="B747" s="818"/>
      <c r="C747" s="746" t="s">
        <v>466</v>
      </c>
      <c r="D747" s="747" t="s">
        <v>92</v>
      </c>
      <c r="E747" s="280"/>
      <c r="F747" s="435">
        <f t="shared" si="152"/>
        <v>0</v>
      </c>
      <c r="G747" s="602">
        <v>20.8</v>
      </c>
      <c r="H747" s="597">
        <f t="shared" si="150"/>
        <v>0</v>
      </c>
      <c r="I747" s="596">
        <f t="shared" si="151"/>
        <v>0</v>
      </c>
      <c r="J747" s="373"/>
    </row>
    <row r="748" spans="1:13" ht="35.25" customHeight="1" x14ac:dyDescent="0.3">
      <c r="A748" s="1134"/>
      <c r="B748" s="818"/>
      <c r="C748" s="746" t="s">
        <v>467</v>
      </c>
      <c r="D748" s="747" t="s">
        <v>468</v>
      </c>
      <c r="E748" s="280"/>
      <c r="F748" s="435">
        <f t="shared" si="152"/>
        <v>0</v>
      </c>
      <c r="G748" s="602">
        <v>24.93</v>
      </c>
      <c r="H748" s="597">
        <f t="shared" si="150"/>
        <v>0</v>
      </c>
      <c r="I748" s="596">
        <f t="shared" si="151"/>
        <v>0</v>
      </c>
      <c r="J748" s="373"/>
    </row>
    <row r="749" spans="1:13" ht="35.25" customHeight="1" x14ac:dyDescent="0.3">
      <c r="A749" s="1134"/>
      <c r="B749" s="818"/>
      <c r="C749" s="746" t="s">
        <v>467</v>
      </c>
      <c r="D749" s="747" t="s">
        <v>468</v>
      </c>
      <c r="E749" s="280"/>
      <c r="F749" s="435">
        <f t="shared" si="152"/>
        <v>0</v>
      </c>
      <c r="G749" s="602">
        <v>25.49</v>
      </c>
      <c r="H749" s="597">
        <f t="shared" si="150"/>
        <v>0</v>
      </c>
      <c r="I749" s="596">
        <f t="shared" si="151"/>
        <v>0</v>
      </c>
      <c r="J749" s="373"/>
    </row>
    <row r="750" spans="1:13" s="757" customFormat="1" ht="35.25" customHeight="1" x14ac:dyDescent="0.3">
      <c r="A750" s="1134"/>
      <c r="B750" s="748"/>
      <c r="C750" s="749" t="s">
        <v>469</v>
      </c>
      <c r="D750" s="750" t="s">
        <v>309</v>
      </c>
      <c r="E750" s="751"/>
      <c r="F750" s="752">
        <f t="shared" si="152"/>
        <v>0</v>
      </c>
      <c r="G750" s="753">
        <v>24.41</v>
      </c>
      <c r="H750" s="754">
        <f t="shared" si="150"/>
        <v>0</v>
      </c>
      <c r="I750" s="755">
        <f t="shared" si="151"/>
        <v>0</v>
      </c>
      <c r="J750" s="756"/>
    </row>
    <row r="751" spans="1:13" ht="35.25" customHeight="1" x14ac:dyDescent="0.3">
      <c r="A751" s="1134"/>
      <c r="B751" s="818"/>
      <c r="C751" s="279" t="s">
        <v>444</v>
      </c>
      <c r="D751" s="434" t="s">
        <v>423</v>
      </c>
      <c r="E751" s="280"/>
      <c r="F751" s="435">
        <f t="shared" si="152"/>
        <v>0</v>
      </c>
      <c r="G751" s="602">
        <v>20.76</v>
      </c>
      <c r="H751" s="597">
        <f t="shared" si="150"/>
        <v>0</v>
      </c>
      <c r="I751" s="596">
        <f t="shared" si="151"/>
        <v>0</v>
      </c>
      <c r="J751" s="373"/>
    </row>
    <row r="752" spans="1:13" ht="35.25" customHeight="1" x14ac:dyDescent="0.3">
      <c r="A752" s="1134"/>
      <c r="B752" s="818"/>
      <c r="C752" s="279" t="s">
        <v>298</v>
      </c>
      <c r="D752" s="434" t="s">
        <v>107</v>
      </c>
      <c r="E752" s="280"/>
      <c r="F752" s="435">
        <f t="shared" si="152"/>
        <v>0</v>
      </c>
      <c r="G752" s="602">
        <v>24.93</v>
      </c>
      <c r="H752" s="597">
        <f t="shared" si="150"/>
        <v>0</v>
      </c>
      <c r="I752" s="596">
        <f t="shared" si="151"/>
        <v>0</v>
      </c>
      <c r="J752" s="373"/>
    </row>
    <row r="753" spans="1:10" ht="35.25" customHeight="1" x14ac:dyDescent="0.3">
      <c r="A753" s="1134"/>
      <c r="B753" s="818"/>
      <c r="C753" s="279" t="s">
        <v>299</v>
      </c>
      <c r="D753" s="434" t="s">
        <v>280</v>
      </c>
      <c r="E753" s="280"/>
      <c r="F753" s="435">
        <f t="shared" si="152"/>
        <v>0</v>
      </c>
      <c r="G753" s="602">
        <v>24.93</v>
      </c>
      <c r="H753" s="597">
        <f t="shared" si="150"/>
        <v>0</v>
      </c>
      <c r="I753" s="596">
        <f t="shared" si="151"/>
        <v>0</v>
      </c>
      <c r="J753" s="373"/>
    </row>
    <row r="754" spans="1:10" ht="35.25" customHeight="1" x14ac:dyDescent="0.3">
      <c r="A754" s="1134"/>
      <c r="B754" s="818"/>
      <c r="C754" s="279" t="s">
        <v>425</v>
      </c>
      <c r="D754" s="434" t="s">
        <v>309</v>
      </c>
      <c r="E754" s="280"/>
      <c r="F754" s="435">
        <f t="shared" si="152"/>
        <v>0</v>
      </c>
      <c r="G754" s="602">
        <v>23.78</v>
      </c>
      <c r="H754" s="597">
        <f t="shared" si="150"/>
        <v>0</v>
      </c>
      <c r="I754" s="596">
        <f t="shared" si="151"/>
        <v>0</v>
      </c>
      <c r="J754" s="373"/>
    </row>
    <row r="755" spans="1:10" ht="35.25" customHeight="1" x14ac:dyDescent="0.3">
      <c r="A755" s="1134"/>
      <c r="B755" s="818"/>
      <c r="C755" s="279" t="s">
        <v>354</v>
      </c>
      <c r="D755" s="434" t="s">
        <v>309</v>
      </c>
      <c r="E755" s="280"/>
      <c r="F755" s="435">
        <f t="shared" si="152"/>
        <v>0</v>
      </c>
      <c r="G755" s="602">
        <v>37.4566666666</v>
      </c>
      <c r="H755" s="597">
        <f t="shared" si="150"/>
        <v>0</v>
      </c>
      <c r="I755" s="596">
        <f t="shared" si="151"/>
        <v>0</v>
      </c>
      <c r="J755" s="373"/>
    </row>
    <row r="756" spans="1:10" ht="35.25" customHeight="1" x14ac:dyDescent="0.3">
      <c r="A756" s="1134"/>
      <c r="B756" s="818"/>
      <c r="C756" s="279" t="s">
        <v>355</v>
      </c>
      <c r="D756" s="434" t="s">
        <v>309</v>
      </c>
      <c r="E756" s="280"/>
      <c r="F756" s="435">
        <f t="shared" si="152"/>
        <v>0</v>
      </c>
      <c r="G756" s="602">
        <v>37.89</v>
      </c>
      <c r="H756" s="597">
        <f t="shared" si="150"/>
        <v>0</v>
      </c>
      <c r="I756" s="596">
        <f t="shared" si="151"/>
        <v>0</v>
      </c>
      <c r="J756" s="373"/>
    </row>
    <row r="757" spans="1:10" ht="35.25" customHeight="1" x14ac:dyDescent="0.3">
      <c r="A757" s="1134"/>
      <c r="B757" s="818"/>
      <c r="C757" s="279" t="s">
        <v>461</v>
      </c>
      <c r="D757" s="434" t="s">
        <v>92</v>
      </c>
      <c r="E757" s="280"/>
      <c r="F757" s="435">
        <f t="shared" si="152"/>
        <v>0</v>
      </c>
      <c r="G757" s="602">
        <v>28.31</v>
      </c>
      <c r="H757" s="597">
        <f t="shared" si="150"/>
        <v>0</v>
      </c>
      <c r="I757" s="596">
        <f t="shared" si="151"/>
        <v>0</v>
      </c>
      <c r="J757" s="373"/>
    </row>
    <row r="758" spans="1:10" ht="35.25" customHeight="1" x14ac:dyDescent="0.3">
      <c r="A758" s="1134"/>
      <c r="B758" s="818"/>
      <c r="C758" s="279" t="s">
        <v>461</v>
      </c>
      <c r="D758" s="434" t="s">
        <v>423</v>
      </c>
      <c r="E758" s="280"/>
      <c r="F758" s="435">
        <f t="shared" si="152"/>
        <v>0</v>
      </c>
      <c r="G758" s="602">
        <v>28.88</v>
      </c>
      <c r="H758" s="597">
        <f t="shared" si="150"/>
        <v>0</v>
      </c>
      <c r="I758" s="596">
        <f t="shared" si="151"/>
        <v>0</v>
      </c>
      <c r="J758" s="373"/>
    </row>
    <row r="759" spans="1:10" ht="35.25" customHeight="1" x14ac:dyDescent="0.3">
      <c r="A759" s="1134"/>
      <c r="B759" s="818"/>
      <c r="C759" s="279" t="s">
        <v>462</v>
      </c>
      <c r="D759" s="434" t="s">
        <v>423</v>
      </c>
      <c r="E759" s="280"/>
      <c r="F759" s="435">
        <f t="shared" si="152"/>
        <v>0</v>
      </c>
      <c r="G759" s="602">
        <v>28.21</v>
      </c>
      <c r="H759" s="597">
        <f t="shared" si="150"/>
        <v>0</v>
      </c>
      <c r="I759" s="596">
        <f t="shared" si="151"/>
        <v>0</v>
      </c>
      <c r="J759" s="373"/>
    </row>
    <row r="760" spans="1:10" ht="35.25" customHeight="1" x14ac:dyDescent="0.3">
      <c r="A760" s="1134"/>
      <c r="B760" s="818"/>
      <c r="C760" s="279" t="s">
        <v>463</v>
      </c>
      <c r="D760" s="434" t="s">
        <v>338</v>
      </c>
      <c r="E760" s="280"/>
      <c r="F760" s="435">
        <f t="shared" si="152"/>
        <v>0</v>
      </c>
      <c r="G760" s="602">
        <v>39</v>
      </c>
      <c r="H760" s="597">
        <f t="shared" si="150"/>
        <v>0</v>
      </c>
      <c r="I760" s="596">
        <f t="shared" si="151"/>
        <v>0</v>
      </c>
      <c r="J760" s="373"/>
    </row>
    <row r="761" spans="1:10" ht="35.25" customHeight="1" x14ac:dyDescent="0.3">
      <c r="A761" s="1134"/>
      <c r="B761" s="818"/>
      <c r="C761" s="279" t="s">
        <v>463</v>
      </c>
      <c r="D761" s="434" t="s">
        <v>92</v>
      </c>
      <c r="E761" s="280"/>
      <c r="F761" s="435">
        <f t="shared" si="152"/>
        <v>0</v>
      </c>
      <c r="G761" s="602">
        <v>32.65</v>
      </c>
      <c r="H761" s="597">
        <f t="shared" si="150"/>
        <v>0</v>
      </c>
      <c r="I761" s="596">
        <f t="shared" si="151"/>
        <v>0</v>
      </c>
      <c r="J761" s="373"/>
    </row>
    <row r="762" spans="1:10" ht="35.25" customHeight="1" x14ac:dyDescent="0.3">
      <c r="A762" s="1134"/>
      <c r="B762" s="818"/>
      <c r="C762" s="279" t="s">
        <v>463</v>
      </c>
      <c r="D762" s="434" t="s">
        <v>423</v>
      </c>
      <c r="E762" s="280"/>
      <c r="F762" s="435">
        <f t="shared" si="152"/>
        <v>0</v>
      </c>
      <c r="G762" s="602">
        <v>33.299999999999997</v>
      </c>
      <c r="H762" s="597">
        <f t="shared" si="150"/>
        <v>0</v>
      </c>
      <c r="I762" s="596">
        <f t="shared" si="151"/>
        <v>0</v>
      </c>
      <c r="J762" s="373"/>
    </row>
    <row r="763" spans="1:10" ht="35.25" customHeight="1" x14ac:dyDescent="0.3">
      <c r="A763" s="1134"/>
      <c r="B763" s="818"/>
      <c r="C763" s="279" t="s">
        <v>299</v>
      </c>
      <c r="D763" s="434" t="s">
        <v>279</v>
      </c>
      <c r="E763" s="280"/>
      <c r="F763" s="435">
        <f t="shared" si="152"/>
        <v>0</v>
      </c>
      <c r="G763" s="602">
        <v>24.93</v>
      </c>
      <c r="H763" s="597">
        <f t="shared" si="150"/>
        <v>0</v>
      </c>
      <c r="I763" s="596">
        <f t="shared" si="151"/>
        <v>0</v>
      </c>
      <c r="J763" s="373"/>
    </row>
    <row r="764" spans="1:10" ht="35.25" customHeight="1" x14ac:dyDescent="0.3">
      <c r="A764" s="1134"/>
      <c r="B764" s="818"/>
      <c r="C764" s="279" t="s">
        <v>299</v>
      </c>
      <c r="D764" s="434"/>
      <c r="E764" s="280"/>
      <c r="F764" s="435">
        <f t="shared" si="152"/>
        <v>0</v>
      </c>
      <c r="G764" s="602">
        <v>24.93</v>
      </c>
      <c r="H764" s="597">
        <f t="shared" si="150"/>
        <v>0</v>
      </c>
      <c r="I764" s="596">
        <f t="shared" si="151"/>
        <v>0</v>
      </c>
      <c r="J764" s="373"/>
    </row>
    <row r="765" spans="1:10" ht="35.25" customHeight="1" x14ac:dyDescent="0.3">
      <c r="A765" s="1134"/>
      <c r="B765" s="818"/>
      <c r="C765" s="279" t="s">
        <v>316</v>
      </c>
      <c r="D765" s="434" t="s">
        <v>289</v>
      </c>
      <c r="E765" s="280"/>
      <c r="F765" s="435">
        <f t="shared" si="152"/>
        <v>0</v>
      </c>
      <c r="G765" s="602">
        <v>34.26</v>
      </c>
      <c r="H765" s="597">
        <f t="shared" si="150"/>
        <v>0</v>
      </c>
      <c r="I765" s="596">
        <f t="shared" si="151"/>
        <v>0</v>
      </c>
      <c r="J765" s="373"/>
    </row>
    <row r="766" spans="1:10" ht="35.25" customHeight="1" x14ac:dyDescent="0.3">
      <c r="A766" s="1134"/>
      <c r="B766" s="818"/>
      <c r="C766" s="279" t="s">
        <v>328</v>
      </c>
      <c r="D766" s="434" t="s">
        <v>360</v>
      </c>
      <c r="E766" s="280"/>
      <c r="F766" s="435">
        <f t="shared" si="152"/>
        <v>0</v>
      </c>
      <c r="G766" s="602">
        <v>37.89</v>
      </c>
      <c r="H766" s="597">
        <f t="shared" si="150"/>
        <v>0</v>
      </c>
      <c r="I766" s="596">
        <f t="shared" si="151"/>
        <v>0</v>
      </c>
      <c r="J766" s="373"/>
    </row>
    <row r="767" spans="1:10" ht="35.25" customHeight="1" x14ac:dyDescent="0.3">
      <c r="A767" s="1134"/>
      <c r="B767" s="818"/>
      <c r="C767" s="279" t="s">
        <v>363</v>
      </c>
      <c r="D767" s="434" t="s">
        <v>338</v>
      </c>
      <c r="E767" s="280"/>
      <c r="F767" s="435">
        <f t="shared" si="152"/>
        <v>0</v>
      </c>
      <c r="G767" s="602">
        <v>39</v>
      </c>
      <c r="H767" s="597">
        <f t="shared" si="150"/>
        <v>0</v>
      </c>
      <c r="I767" s="596">
        <f t="shared" si="151"/>
        <v>0</v>
      </c>
      <c r="J767" s="373"/>
    </row>
    <row r="768" spans="1:10" ht="35.25" customHeight="1" x14ac:dyDescent="0.3">
      <c r="A768" s="1134"/>
      <c r="B768" s="818"/>
      <c r="C768" s="279" t="s">
        <v>299</v>
      </c>
      <c r="D768" s="434" t="s">
        <v>177</v>
      </c>
      <c r="E768" s="280"/>
      <c r="F768" s="435">
        <f t="shared" si="152"/>
        <v>0</v>
      </c>
      <c r="G768" s="602">
        <v>21.22</v>
      </c>
      <c r="H768" s="597">
        <f t="shared" si="150"/>
        <v>0</v>
      </c>
      <c r="I768" s="596">
        <f t="shared" si="151"/>
        <v>0</v>
      </c>
      <c r="J768" s="373"/>
    </row>
    <row r="769" spans="1:10" ht="35.25" customHeight="1" x14ac:dyDescent="0.3">
      <c r="A769" s="1134"/>
      <c r="B769" s="818"/>
      <c r="C769" s="279" t="s">
        <v>298</v>
      </c>
      <c r="D769" s="434" t="s">
        <v>177</v>
      </c>
      <c r="E769" s="280"/>
      <c r="F769" s="435">
        <f t="shared" si="152"/>
        <v>0</v>
      </c>
      <c r="G769" s="602">
        <v>21.22</v>
      </c>
      <c r="H769" s="597">
        <f t="shared" si="150"/>
        <v>0</v>
      </c>
      <c r="I769" s="596">
        <f t="shared" si="151"/>
        <v>0</v>
      </c>
      <c r="J769" s="373"/>
    </row>
    <row r="770" spans="1:10" ht="35.25" customHeight="1" x14ac:dyDescent="0.3">
      <c r="A770" s="1134"/>
      <c r="B770" s="818"/>
      <c r="C770" s="279" t="s">
        <v>339</v>
      </c>
      <c r="D770" s="434" t="s">
        <v>304</v>
      </c>
      <c r="E770" s="280"/>
      <c r="F770" s="435">
        <f t="shared" si="152"/>
        <v>0</v>
      </c>
      <c r="G770" s="602">
        <v>10000</v>
      </c>
      <c r="H770" s="597">
        <f t="shared" si="150"/>
        <v>0</v>
      </c>
      <c r="I770" s="596">
        <f t="shared" si="151"/>
        <v>0</v>
      </c>
      <c r="J770" s="373"/>
    </row>
    <row r="771" spans="1:10" ht="35.25" customHeight="1" thickBot="1" x14ac:dyDescent="0.35">
      <c r="A771" s="1134"/>
      <c r="B771" s="818"/>
      <c r="C771" s="279" t="s">
        <v>303</v>
      </c>
      <c r="D771" s="434" t="s">
        <v>304</v>
      </c>
      <c r="E771" s="280"/>
      <c r="F771" s="435">
        <f t="shared" si="152"/>
        <v>0</v>
      </c>
      <c r="G771" s="602">
        <v>360</v>
      </c>
      <c r="H771" s="597">
        <f t="shared" si="150"/>
        <v>0</v>
      </c>
      <c r="I771" s="596">
        <f t="shared" si="151"/>
        <v>0</v>
      </c>
      <c r="J771" s="373"/>
    </row>
    <row r="772" spans="1:10" ht="35.25" customHeight="1" thickBot="1" x14ac:dyDescent="0.35">
      <c r="A772" s="1135"/>
      <c r="B772" s="1129" t="s">
        <v>268</v>
      </c>
      <c r="C772" s="1130"/>
      <c r="D772" s="820"/>
      <c r="E772" s="326">
        <f>SUM(E743:E771)</f>
        <v>0</v>
      </c>
      <c r="F772" s="326">
        <f t="shared" si="152"/>
        <v>0</v>
      </c>
      <c r="G772" s="326"/>
      <c r="H772" s="587">
        <f>SUM(H743:H771)</f>
        <v>0</v>
      </c>
      <c r="I772" s="580">
        <f>SUM(I743:I771)</f>
        <v>0</v>
      </c>
      <c r="J772" s="373"/>
    </row>
    <row r="773" spans="1:10" ht="35.25" customHeight="1" x14ac:dyDescent="0.3">
      <c r="A773" s="1133" t="s">
        <v>102</v>
      </c>
      <c r="B773" s="818"/>
      <c r="C773" s="279" t="s">
        <v>509</v>
      </c>
      <c r="D773" s="434" t="s">
        <v>238</v>
      </c>
      <c r="E773" s="280">
        <v>500</v>
      </c>
      <c r="F773" s="435">
        <f t="shared" si="152"/>
        <v>6200</v>
      </c>
      <c r="G773" s="803">
        <v>624.26</v>
      </c>
      <c r="H773" s="593">
        <f>E773*G773</f>
        <v>312130</v>
      </c>
      <c r="I773" s="596">
        <f t="shared" ref="I773:I775" si="153">+G773*F773</f>
        <v>3870412</v>
      </c>
      <c r="J773" s="373"/>
    </row>
    <row r="774" spans="1:10" ht="35.25" customHeight="1" x14ac:dyDescent="0.3">
      <c r="A774" s="1134"/>
      <c r="B774" s="818"/>
      <c r="C774" s="279" t="s">
        <v>273</v>
      </c>
      <c r="D774" s="434" t="s">
        <v>238</v>
      </c>
      <c r="E774" s="280">
        <v>320</v>
      </c>
      <c r="F774" s="435">
        <f t="shared" si="152"/>
        <v>640</v>
      </c>
      <c r="G774" s="602">
        <v>430.02</v>
      </c>
      <c r="H774" s="593">
        <f t="shared" ref="H774:H795" si="154">E774*G774</f>
        <v>137606.39999999999</v>
      </c>
      <c r="I774" s="596">
        <f t="shared" si="153"/>
        <v>275212.79999999999</v>
      </c>
      <c r="J774" s="373"/>
    </row>
    <row r="775" spans="1:10" ht="35.25" customHeight="1" x14ac:dyDescent="0.3">
      <c r="A775" s="1134"/>
      <c r="B775" s="818"/>
      <c r="C775" s="279" t="s">
        <v>390</v>
      </c>
      <c r="D775" s="434" t="s">
        <v>238</v>
      </c>
      <c r="E775" s="280"/>
      <c r="F775" s="435">
        <f t="shared" si="152"/>
        <v>0</v>
      </c>
      <c r="G775" s="602">
        <v>445.38</v>
      </c>
      <c r="H775" s="593">
        <f t="shared" si="154"/>
        <v>0</v>
      </c>
      <c r="I775" s="596">
        <f t="shared" si="153"/>
        <v>0</v>
      </c>
      <c r="J775" s="373"/>
    </row>
    <row r="776" spans="1:10" ht="35.25" customHeight="1" x14ac:dyDescent="0.3">
      <c r="A776" s="1134"/>
      <c r="B776" s="818"/>
      <c r="C776" s="279" t="s">
        <v>301</v>
      </c>
      <c r="D776" s="434" t="s">
        <v>238</v>
      </c>
      <c r="E776" s="280"/>
      <c r="F776" s="435">
        <f t="shared" si="152"/>
        <v>8640</v>
      </c>
      <c r="G776" s="602">
        <v>63.55</v>
      </c>
      <c r="H776" s="593">
        <f t="shared" si="154"/>
        <v>0</v>
      </c>
      <c r="I776" s="596">
        <f>+G776*F776</f>
        <v>549072</v>
      </c>
      <c r="J776" s="373"/>
    </row>
    <row r="777" spans="1:10" ht="35.25" customHeight="1" x14ac:dyDescent="0.3">
      <c r="A777" s="1134"/>
      <c r="B777" s="818"/>
      <c r="C777" s="279" t="s">
        <v>514</v>
      </c>
      <c r="D777" s="434" t="s">
        <v>238</v>
      </c>
      <c r="E777" s="280">
        <v>23040</v>
      </c>
      <c r="F777" s="435">
        <f t="shared" si="152"/>
        <v>44640</v>
      </c>
      <c r="G777" s="602">
        <v>71.44</v>
      </c>
      <c r="H777" s="593">
        <f t="shared" si="154"/>
        <v>1645977.5999999999</v>
      </c>
      <c r="I777" s="596">
        <f>+G777*F777</f>
        <v>3189081.6</v>
      </c>
      <c r="J777" s="373"/>
    </row>
    <row r="778" spans="1:10" ht="35.25" customHeight="1" x14ac:dyDescent="0.3">
      <c r="A778" s="1134"/>
      <c r="B778" s="818"/>
      <c r="C778" s="279" t="s">
        <v>275</v>
      </c>
      <c r="D778" s="434" t="s">
        <v>238</v>
      </c>
      <c r="E778" s="280">
        <v>8400</v>
      </c>
      <c r="F778" s="435">
        <f t="shared" si="152"/>
        <v>34320</v>
      </c>
      <c r="G778" s="602">
        <v>71.44</v>
      </c>
      <c r="H778" s="593">
        <f t="shared" si="154"/>
        <v>600096</v>
      </c>
      <c r="I778" s="596">
        <f t="shared" ref="I778:I795" si="155">+G778*F778</f>
        <v>2451820.7999999998</v>
      </c>
      <c r="J778" s="373"/>
    </row>
    <row r="779" spans="1:10" ht="35.25" customHeight="1" x14ac:dyDescent="0.3">
      <c r="A779" s="1134"/>
      <c r="B779" s="818"/>
      <c r="C779" s="279" t="s">
        <v>276</v>
      </c>
      <c r="D779" s="434" t="s">
        <v>238</v>
      </c>
      <c r="E779" s="280"/>
      <c r="F779" s="435">
        <f t="shared" si="152"/>
        <v>0</v>
      </c>
      <c r="G779" s="602">
        <v>36.5</v>
      </c>
      <c r="H779" s="593">
        <f t="shared" si="154"/>
        <v>0</v>
      </c>
      <c r="I779" s="596">
        <f t="shared" si="155"/>
        <v>0</v>
      </c>
      <c r="J779" s="373"/>
    </row>
    <row r="780" spans="1:10" ht="35.25" customHeight="1" x14ac:dyDescent="0.3">
      <c r="A780" s="1134"/>
      <c r="B780" s="818"/>
      <c r="C780" s="279" t="s">
        <v>527</v>
      </c>
      <c r="D780" s="434" t="s">
        <v>238</v>
      </c>
      <c r="E780" s="280">
        <v>2000</v>
      </c>
      <c r="F780" s="435">
        <f t="shared" si="152"/>
        <v>2000</v>
      </c>
      <c r="G780" s="602">
        <v>320.35000000000002</v>
      </c>
      <c r="H780" s="593">
        <f t="shared" si="154"/>
        <v>640700</v>
      </c>
      <c r="I780" s="596">
        <f t="shared" si="155"/>
        <v>640700</v>
      </c>
      <c r="J780" s="373"/>
    </row>
    <row r="781" spans="1:10" ht="35.25" customHeight="1" x14ac:dyDescent="0.3">
      <c r="A781" s="1134"/>
      <c r="B781" s="818"/>
      <c r="C781" s="279" t="s">
        <v>285</v>
      </c>
      <c r="D781" s="434" t="s">
        <v>238</v>
      </c>
      <c r="E781" s="280"/>
      <c r="F781" s="435">
        <f t="shared" si="152"/>
        <v>0</v>
      </c>
      <c r="G781" s="602">
        <v>320.35000000000002</v>
      </c>
      <c r="H781" s="593">
        <f t="shared" si="154"/>
        <v>0</v>
      </c>
      <c r="I781" s="596">
        <f t="shared" si="155"/>
        <v>0</v>
      </c>
      <c r="J781" s="373"/>
    </row>
    <row r="782" spans="1:10" ht="35.25" customHeight="1" x14ac:dyDescent="0.3">
      <c r="A782" s="1134"/>
      <c r="B782" s="818"/>
      <c r="C782" s="279" t="s">
        <v>296</v>
      </c>
      <c r="D782" s="434" t="s">
        <v>238</v>
      </c>
      <c r="E782" s="280"/>
      <c r="F782" s="435">
        <f t="shared" si="152"/>
        <v>0</v>
      </c>
      <c r="G782" s="602">
        <v>434.41</v>
      </c>
      <c r="H782" s="593">
        <f t="shared" si="154"/>
        <v>0</v>
      </c>
      <c r="I782" s="596">
        <f t="shared" si="155"/>
        <v>0</v>
      </c>
      <c r="J782" s="373"/>
    </row>
    <row r="783" spans="1:10" ht="35.25" customHeight="1" x14ac:dyDescent="0.3">
      <c r="A783" s="1134"/>
      <c r="B783" s="818"/>
      <c r="C783" s="279" t="s">
        <v>282</v>
      </c>
      <c r="D783" s="434" t="s">
        <v>238</v>
      </c>
      <c r="E783" s="280"/>
      <c r="F783" s="435">
        <f t="shared" si="152"/>
        <v>0</v>
      </c>
      <c r="G783" s="602">
        <v>29690</v>
      </c>
      <c r="H783" s="593">
        <f t="shared" si="154"/>
        <v>0</v>
      </c>
      <c r="I783" s="596">
        <f t="shared" si="155"/>
        <v>0</v>
      </c>
      <c r="J783" s="373"/>
    </row>
    <row r="784" spans="1:10" ht="35.25" customHeight="1" x14ac:dyDescent="0.3">
      <c r="A784" s="1134"/>
      <c r="B784" s="818"/>
      <c r="C784" s="279" t="s">
        <v>282</v>
      </c>
      <c r="D784" s="434" t="s">
        <v>238</v>
      </c>
      <c r="E784" s="280"/>
      <c r="F784" s="435">
        <f t="shared" si="152"/>
        <v>1</v>
      </c>
      <c r="G784" s="602">
        <v>26445</v>
      </c>
      <c r="H784" s="593">
        <f t="shared" si="154"/>
        <v>0</v>
      </c>
      <c r="I784" s="596">
        <f t="shared" si="155"/>
        <v>26445</v>
      </c>
      <c r="J784" s="373"/>
    </row>
    <row r="785" spans="1:10" ht="35.25" customHeight="1" x14ac:dyDescent="0.3">
      <c r="A785" s="1134"/>
      <c r="B785" s="818"/>
      <c r="C785" s="279" t="s">
        <v>282</v>
      </c>
      <c r="D785" s="434"/>
      <c r="E785" s="280"/>
      <c r="F785" s="435">
        <f t="shared" si="152"/>
        <v>0</v>
      </c>
      <c r="G785" s="602">
        <v>33947.884599999998</v>
      </c>
      <c r="H785" s="593">
        <f t="shared" si="154"/>
        <v>0</v>
      </c>
      <c r="I785" s="596">
        <f t="shared" si="155"/>
        <v>0</v>
      </c>
      <c r="J785" s="373"/>
    </row>
    <row r="786" spans="1:10" ht="35.25" customHeight="1" x14ac:dyDescent="0.3">
      <c r="A786" s="1134"/>
      <c r="B786" s="818"/>
      <c r="C786" s="279" t="s">
        <v>311</v>
      </c>
      <c r="D786" s="434" t="s">
        <v>337</v>
      </c>
      <c r="E786" s="280"/>
      <c r="F786" s="435">
        <f t="shared" si="152"/>
        <v>0</v>
      </c>
      <c r="G786" s="602">
        <v>50</v>
      </c>
      <c r="H786" s="593">
        <f t="shared" si="154"/>
        <v>0</v>
      </c>
      <c r="I786" s="596">
        <f t="shared" si="155"/>
        <v>0</v>
      </c>
      <c r="J786" s="373"/>
    </row>
    <row r="787" spans="1:10" ht="35.25" customHeight="1" x14ac:dyDescent="0.3">
      <c r="A787" s="1134"/>
      <c r="B787" s="818"/>
      <c r="C787" s="279" t="s">
        <v>311</v>
      </c>
      <c r="D787" s="434"/>
      <c r="E787" s="280"/>
      <c r="F787" s="435">
        <f t="shared" si="152"/>
        <v>0</v>
      </c>
      <c r="G787" s="602">
        <v>10</v>
      </c>
      <c r="H787" s="593">
        <f t="shared" si="154"/>
        <v>0</v>
      </c>
      <c r="I787" s="596">
        <f t="shared" si="155"/>
        <v>0</v>
      </c>
      <c r="J787" s="373"/>
    </row>
    <row r="788" spans="1:10" ht="35.25" customHeight="1" x14ac:dyDescent="0.3">
      <c r="A788" s="1134"/>
      <c r="B788" s="818"/>
      <c r="C788" s="279" t="s">
        <v>329</v>
      </c>
      <c r="D788" s="434" t="s">
        <v>370</v>
      </c>
      <c r="E788" s="280"/>
      <c r="F788" s="435">
        <f t="shared" si="152"/>
        <v>0</v>
      </c>
      <c r="G788" s="602">
        <v>57.64</v>
      </c>
      <c r="H788" s="593">
        <f t="shared" si="154"/>
        <v>0</v>
      </c>
      <c r="I788" s="596">
        <f t="shared" si="155"/>
        <v>0</v>
      </c>
      <c r="J788" s="373"/>
    </row>
    <row r="789" spans="1:10" ht="35.25" customHeight="1" x14ac:dyDescent="0.3">
      <c r="A789" s="1134"/>
      <c r="B789" s="818"/>
      <c r="C789" s="279" t="s">
        <v>329</v>
      </c>
      <c r="D789" s="434" t="s">
        <v>364</v>
      </c>
      <c r="E789" s="280"/>
      <c r="F789" s="435">
        <f t="shared" si="152"/>
        <v>0</v>
      </c>
      <c r="G789" s="602">
        <v>57.64</v>
      </c>
      <c r="H789" s="593">
        <f t="shared" si="154"/>
        <v>0</v>
      </c>
      <c r="I789" s="596">
        <f t="shared" si="155"/>
        <v>0</v>
      </c>
      <c r="J789" s="373"/>
    </row>
    <row r="790" spans="1:10" ht="35.25" customHeight="1" x14ac:dyDescent="0.3">
      <c r="A790" s="1134"/>
      <c r="B790" s="818"/>
      <c r="C790" s="279" t="s">
        <v>330</v>
      </c>
      <c r="D790" s="434" t="s">
        <v>331</v>
      </c>
      <c r="E790" s="280"/>
      <c r="F790" s="435">
        <f t="shared" si="152"/>
        <v>0</v>
      </c>
      <c r="G790" s="602">
        <v>434.41</v>
      </c>
      <c r="H790" s="593">
        <f t="shared" si="154"/>
        <v>0</v>
      </c>
      <c r="I790" s="596">
        <f t="shared" si="155"/>
        <v>0</v>
      </c>
      <c r="J790" s="373"/>
    </row>
    <row r="791" spans="1:10" ht="35.25" customHeight="1" x14ac:dyDescent="0.3">
      <c r="A791" s="1134"/>
      <c r="B791" s="818"/>
      <c r="C791" s="279" t="s">
        <v>343</v>
      </c>
      <c r="D791" s="434" t="s">
        <v>238</v>
      </c>
      <c r="E791" s="280"/>
      <c r="F791" s="435">
        <f t="shared" si="152"/>
        <v>0</v>
      </c>
      <c r="G791" s="602">
        <v>624.26</v>
      </c>
      <c r="H791" s="593">
        <f t="shared" si="154"/>
        <v>0</v>
      </c>
      <c r="I791" s="596">
        <f t="shared" si="155"/>
        <v>0</v>
      </c>
      <c r="J791" s="373"/>
    </row>
    <row r="792" spans="1:10" ht="35.25" customHeight="1" x14ac:dyDescent="0.3">
      <c r="A792" s="1134"/>
      <c r="B792" s="818"/>
      <c r="C792" s="279" t="s">
        <v>332</v>
      </c>
      <c r="D792" s="434" t="s">
        <v>331</v>
      </c>
      <c r="E792" s="280"/>
      <c r="F792" s="435">
        <f t="shared" si="152"/>
        <v>0</v>
      </c>
      <c r="G792" s="602">
        <v>63.55</v>
      </c>
      <c r="H792" s="593">
        <f t="shared" si="154"/>
        <v>0</v>
      </c>
      <c r="I792" s="596">
        <f t="shared" si="155"/>
        <v>0</v>
      </c>
      <c r="J792" s="373"/>
    </row>
    <row r="793" spans="1:10" ht="35.25" customHeight="1" x14ac:dyDescent="0.3">
      <c r="A793" s="1134"/>
      <c r="B793" s="818"/>
      <c r="C793" s="279" t="s">
        <v>371</v>
      </c>
      <c r="D793" s="434" t="s">
        <v>238</v>
      </c>
      <c r="E793" s="280"/>
      <c r="F793" s="435">
        <f t="shared" si="152"/>
        <v>0</v>
      </c>
      <c r="G793" s="602">
        <v>59.96</v>
      </c>
      <c r="H793" s="593">
        <f t="shared" si="154"/>
        <v>0</v>
      </c>
      <c r="I793" s="596">
        <f t="shared" si="155"/>
        <v>0</v>
      </c>
      <c r="J793" s="373"/>
    </row>
    <row r="794" spans="1:10" ht="35.25" customHeight="1" x14ac:dyDescent="0.3">
      <c r="A794" s="1134"/>
      <c r="B794" s="818"/>
      <c r="C794" s="279" t="s">
        <v>419</v>
      </c>
      <c r="D794" s="434" t="s">
        <v>331</v>
      </c>
      <c r="E794" s="280"/>
      <c r="F794" s="435">
        <f t="shared" si="152"/>
        <v>0</v>
      </c>
      <c r="G794" s="602">
        <v>53.86</v>
      </c>
      <c r="H794" s="593">
        <f t="shared" si="154"/>
        <v>0</v>
      </c>
      <c r="I794" s="596">
        <f t="shared" si="155"/>
        <v>0</v>
      </c>
      <c r="J794" s="373"/>
    </row>
    <row r="795" spans="1:10" ht="35.25" customHeight="1" x14ac:dyDescent="0.3">
      <c r="A795" s="1134"/>
      <c r="B795" s="818"/>
      <c r="C795" s="279" t="s">
        <v>379</v>
      </c>
      <c r="D795" s="434"/>
      <c r="E795" s="280"/>
      <c r="F795" s="435">
        <f t="shared" si="152"/>
        <v>0</v>
      </c>
      <c r="G795" s="602">
        <v>360</v>
      </c>
      <c r="H795" s="593">
        <f t="shared" si="154"/>
        <v>0</v>
      </c>
      <c r="I795" s="596">
        <f t="shared" si="155"/>
        <v>0</v>
      </c>
      <c r="J795" s="373"/>
    </row>
    <row r="796" spans="1:10" ht="35.25" customHeight="1" x14ac:dyDescent="0.3">
      <c r="A796" s="1134"/>
      <c r="B796" s="818"/>
      <c r="C796" s="279" t="s">
        <v>471</v>
      </c>
      <c r="D796" s="434"/>
      <c r="E796" s="280"/>
      <c r="F796" s="435">
        <f t="shared" si="152"/>
        <v>0</v>
      </c>
      <c r="G796" s="602"/>
      <c r="H796" s="593">
        <f>+E796</f>
        <v>0</v>
      </c>
      <c r="I796" s="596">
        <f>+H796</f>
        <v>0</v>
      </c>
      <c r="J796" s="373"/>
    </row>
    <row r="797" spans="1:10" ht="35.25" customHeight="1" x14ac:dyDescent="0.3">
      <c r="A797" s="1134"/>
      <c r="B797" s="818"/>
      <c r="C797" s="279" t="s">
        <v>282</v>
      </c>
      <c r="D797" s="434"/>
      <c r="E797" s="280"/>
      <c r="F797" s="435">
        <f t="shared" si="152"/>
        <v>0</v>
      </c>
      <c r="G797" s="602">
        <v>39450</v>
      </c>
      <c r="H797" s="593">
        <f t="shared" ref="H797:H798" si="156">E797*G797</f>
        <v>0</v>
      </c>
      <c r="I797" s="596">
        <f t="shared" ref="I797:I798" si="157">+G797*F797</f>
        <v>0</v>
      </c>
      <c r="J797" s="373"/>
    </row>
    <row r="798" spans="1:10" ht="35.25" customHeight="1" thickBot="1" x14ac:dyDescent="0.35">
      <c r="A798" s="1134"/>
      <c r="B798" s="818"/>
      <c r="C798" s="279" t="s">
        <v>329</v>
      </c>
      <c r="D798" s="434" t="s">
        <v>443</v>
      </c>
      <c r="E798" s="280"/>
      <c r="F798" s="435">
        <f t="shared" si="152"/>
        <v>0</v>
      </c>
      <c r="G798" s="602">
        <v>57.64</v>
      </c>
      <c r="H798" s="593">
        <f t="shared" si="156"/>
        <v>0</v>
      </c>
      <c r="I798" s="596">
        <f t="shared" si="157"/>
        <v>0</v>
      </c>
      <c r="J798" s="373"/>
    </row>
    <row r="799" spans="1:10" ht="35.25" customHeight="1" thickBot="1" x14ac:dyDescent="0.35">
      <c r="A799" s="1135"/>
      <c r="B799" s="1129" t="s">
        <v>270</v>
      </c>
      <c r="C799" s="1130"/>
      <c r="D799" s="820"/>
      <c r="E799" s="326">
        <f>SUM(E773:E798)</f>
        <v>34260</v>
      </c>
      <c r="F799" s="326">
        <f>SUM(F773:F798)</f>
        <v>96441</v>
      </c>
      <c r="G799" s="326"/>
      <c r="H799" s="590">
        <f>SUM(H773:H798)</f>
        <v>3336510</v>
      </c>
      <c r="I799" s="580">
        <f>SUM(I773:I798)</f>
        <v>11002744.199999999</v>
      </c>
      <c r="J799" s="372"/>
    </row>
    <row r="800" spans="1:10" ht="35.25" customHeight="1" thickBot="1" x14ac:dyDescent="0.35">
      <c r="A800" s="823"/>
      <c r="B800" s="437"/>
      <c r="C800" s="279" t="s">
        <v>379</v>
      </c>
      <c r="D800" s="434"/>
      <c r="E800" s="280"/>
      <c r="F800" s="281">
        <f>+E800</f>
        <v>0</v>
      </c>
      <c r="G800" s="334"/>
      <c r="H800" s="589">
        <f t="shared" ref="H800" si="158">E800*G800</f>
        <v>0</v>
      </c>
      <c r="I800" s="282">
        <f t="shared" ref="I800" si="159">+G800*F800</f>
        <v>0</v>
      </c>
      <c r="J800" s="373"/>
    </row>
    <row r="801" spans="1:10" ht="35.25" customHeight="1" thickBot="1" x14ac:dyDescent="0.35">
      <c r="A801" s="823"/>
      <c r="B801" s="1129" t="s">
        <v>224</v>
      </c>
      <c r="C801" s="1130"/>
      <c r="D801" s="816"/>
      <c r="E801" s="326"/>
      <c r="F801" s="327"/>
      <c r="G801" s="326"/>
      <c r="H801" s="587"/>
      <c r="I801" s="324">
        <f>SUM(I800)</f>
        <v>0</v>
      </c>
      <c r="J801" s="349"/>
    </row>
    <row r="802" spans="1:10" ht="35.25" customHeight="1" thickBot="1" x14ac:dyDescent="0.35">
      <c r="A802" s="319"/>
      <c r="B802" s="1131" t="s">
        <v>174</v>
      </c>
      <c r="C802" s="1132"/>
      <c r="D802" s="817"/>
      <c r="E802" s="374">
        <f>+E799+E772+E742+E740</f>
        <v>48420</v>
      </c>
      <c r="F802" s="374">
        <f>+F799+F772+F742+F740</f>
        <v>685299</v>
      </c>
      <c r="G802" s="374"/>
      <c r="H802" s="374"/>
      <c r="I802" s="374">
        <f>+I799+I772+I742+I801</f>
        <v>20756766.600000001</v>
      </c>
      <c r="J802" s="375"/>
    </row>
    <row r="803" spans="1:10" ht="35.25" customHeight="1" x14ac:dyDescent="0.3">
      <c r="A803" s="1057" t="s">
        <v>1</v>
      </c>
      <c r="B803" s="1060" t="s">
        <v>2</v>
      </c>
      <c r="C803" s="1138" t="s">
        <v>396</v>
      </c>
      <c r="D803" s="1115" t="s">
        <v>397</v>
      </c>
      <c r="E803" s="1142" t="s">
        <v>532</v>
      </c>
      <c r="F803" s="1067"/>
      <c r="G803" s="1067"/>
      <c r="H803" s="1067"/>
      <c r="I803" s="1067"/>
      <c r="J803" s="1068"/>
    </row>
    <row r="804" spans="1:10" ht="35.25" customHeight="1" x14ac:dyDescent="0.3">
      <c r="A804" s="1136"/>
      <c r="B804" s="1137"/>
      <c r="C804" s="1139"/>
      <c r="D804" s="1116"/>
      <c r="E804" s="1143" t="s">
        <v>412</v>
      </c>
      <c r="F804" s="1144"/>
      <c r="G804" s="1143" t="s">
        <v>411</v>
      </c>
      <c r="H804" s="1145"/>
      <c r="I804" s="1145"/>
      <c r="J804" s="1144"/>
    </row>
    <row r="805" spans="1:10" ht="35.25" customHeight="1" x14ac:dyDescent="0.3">
      <c r="A805" s="1058"/>
      <c r="B805" s="1061"/>
      <c r="C805" s="1140"/>
      <c r="D805" s="1116"/>
      <c r="E805" s="1069" t="s">
        <v>413</v>
      </c>
      <c r="F805" s="1071" t="s">
        <v>414</v>
      </c>
      <c r="G805" s="1147" t="s">
        <v>90</v>
      </c>
      <c r="H805" s="1149" t="s">
        <v>91</v>
      </c>
      <c r="I805" s="1149" t="s">
        <v>91</v>
      </c>
      <c r="J805" s="1151" t="s">
        <v>12</v>
      </c>
    </row>
    <row r="806" spans="1:10" ht="35.25" customHeight="1" thickBot="1" x14ac:dyDescent="0.35">
      <c r="A806" s="1059"/>
      <c r="B806" s="1062"/>
      <c r="C806" s="1141"/>
      <c r="D806" s="1117"/>
      <c r="E806" s="1070"/>
      <c r="F806" s="1146"/>
      <c r="G806" s="1148"/>
      <c r="H806" s="1150"/>
      <c r="I806" s="1150"/>
      <c r="J806" s="1152"/>
    </row>
    <row r="807" spans="1:10" ht="35.25" customHeight="1" x14ac:dyDescent="0.3">
      <c r="A807" s="1133" t="s">
        <v>103</v>
      </c>
      <c r="B807" s="439"/>
      <c r="C807" s="577" t="s">
        <v>538</v>
      </c>
      <c r="D807" s="665" t="s">
        <v>539</v>
      </c>
      <c r="E807" s="699">
        <v>1024</v>
      </c>
      <c r="F807" s="674">
        <f>+E807+F713</f>
        <v>1024</v>
      </c>
      <c r="G807" s="732">
        <v>109.77</v>
      </c>
      <c r="H807" s="591">
        <f t="shared" ref="H807:H821" si="160">E807*G807</f>
        <v>112404.48</v>
      </c>
      <c r="I807" s="594">
        <f>+G807*F807</f>
        <v>112404.48</v>
      </c>
      <c r="J807" s="351"/>
    </row>
    <row r="808" spans="1:10" ht="35.25" customHeight="1" x14ac:dyDescent="0.3">
      <c r="A808" s="1134"/>
      <c r="B808" s="438"/>
      <c r="C808" s="441" t="s">
        <v>264</v>
      </c>
      <c r="D808" s="666" t="s">
        <v>265</v>
      </c>
      <c r="E808" s="700"/>
      <c r="F808" s="701">
        <f t="shared" ref="F808:F821" si="161">+E808+F714</f>
        <v>0</v>
      </c>
      <c r="G808" s="697">
        <v>11</v>
      </c>
      <c r="H808" s="592">
        <f t="shared" si="160"/>
        <v>0</v>
      </c>
      <c r="I808" s="595">
        <f>+G808*F808</f>
        <v>0</v>
      </c>
      <c r="J808" s="352"/>
    </row>
    <row r="809" spans="1:10" ht="35.25" customHeight="1" x14ac:dyDescent="0.3">
      <c r="A809" s="1134"/>
      <c r="B809" s="438"/>
      <c r="C809" s="441" t="s">
        <v>295</v>
      </c>
      <c r="D809" s="666" t="s">
        <v>453</v>
      </c>
      <c r="E809" s="700"/>
      <c r="F809" s="701">
        <f t="shared" si="161"/>
        <v>640</v>
      </c>
      <c r="G809" s="697">
        <v>139.04</v>
      </c>
      <c r="H809" s="592">
        <f t="shared" si="160"/>
        <v>0</v>
      </c>
      <c r="I809" s="595">
        <f t="shared" ref="I809:I821" si="162">+G809*F809</f>
        <v>88985.599999999991</v>
      </c>
      <c r="J809" s="352"/>
    </row>
    <row r="810" spans="1:10" ht="35.25" customHeight="1" x14ac:dyDescent="0.3">
      <c r="A810" s="1134"/>
      <c r="B810" s="438"/>
      <c r="C810" s="441" t="s">
        <v>531</v>
      </c>
      <c r="D810" s="666" t="s">
        <v>529</v>
      </c>
      <c r="E810" s="700"/>
      <c r="F810" s="701">
        <f t="shared" si="161"/>
        <v>12240</v>
      </c>
      <c r="G810" s="715">
        <v>20.66</v>
      </c>
      <c r="H810" s="592">
        <f t="shared" si="160"/>
        <v>0</v>
      </c>
      <c r="I810" s="595">
        <f t="shared" si="162"/>
        <v>252878.4</v>
      </c>
      <c r="J810" s="352"/>
    </row>
    <row r="811" spans="1:10" ht="35.25" customHeight="1" x14ac:dyDescent="0.3">
      <c r="A811" s="1134"/>
      <c r="B811" s="438"/>
      <c r="C811" s="441" t="s">
        <v>288</v>
      </c>
      <c r="D811" s="666" t="s">
        <v>177</v>
      </c>
      <c r="E811" s="700"/>
      <c r="F811" s="701">
        <f t="shared" si="161"/>
        <v>0</v>
      </c>
      <c r="G811" s="697">
        <v>14.79</v>
      </c>
      <c r="H811" s="592">
        <f t="shared" si="160"/>
        <v>0</v>
      </c>
      <c r="I811" s="595">
        <f t="shared" si="162"/>
        <v>0</v>
      </c>
      <c r="J811" s="352"/>
    </row>
    <row r="812" spans="1:10" ht="35.25" customHeight="1" x14ac:dyDescent="0.3">
      <c r="A812" s="1134"/>
      <c r="B812" s="438"/>
      <c r="C812" s="441" t="s">
        <v>295</v>
      </c>
      <c r="D812" s="666" t="s">
        <v>265</v>
      </c>
      <c r="E812" s="700">
        <v>1920</v>
      </c>
      <c r="F812" s="701">
        <f t="shared" si="161"/>
        <v>5120</v>
      </c>
      <c r="G812" s="697">
        <v>139.04</v>
      </c>
      <c r="H812" s="592">
        <f t="shared" si="160"/>
        <v>266956.79999999999</v>
      </c>
      <c r="I812" s="595">
        <f t="shared" si="162"/>
        <v>711884.79999999993</v>
      </c>
      <c r="J812" s="352"/>
    </row>
    <row r="813" spans="1:10" ht="35.25" customHeight="1" x14ac:dyDescent="0.3">
      <c r="A813" s="1134"/>
      <c r="B813" s="438"/>
      <c r="C813" s="441" t="s">
        <v>537</v>
      </c>
      <c r="D813" s="666" t="s">
        <v>265</v>
      </c>
      <c r="E813" s="700">
        <v>640</v>
      </c>
      <c r="F813" s="701">
        <f t="shared" si="161"/>
        <v>640</v>
      </c>
      <c r="G813" s="697">
        <v>135.96</v>
      </c>
      <c r="H813" s="592">
        <f t="shared" si="160"/>
        <v>87014.400000000009</v>
      </c>
      <c r="I813" s="595">
        <f t="shared" si="162"/>
        <v>87014.400000000009</v>
      </c>
      <c r="J813" s="352"/>
    </row>
    <row r="814" spans="1:10" ht="35.25" customHeight="1" x14ac:dyDescent="0.3">
      <c r="A814" s="1134"/>
      <c r="B814" s="438"/>
      <c r="C814" s="441" t="s">
        <v>313</v>
      </c>
      <c r="D814" s="667" t="s">
        <v>265</v>
      </c>
      <c r="E814" s="700">
        <v>12240</v>
      </c>
      <c r="F814" s="701">
        <f t="shared" si="161"/>
        <v>48960</v>
      </c>
      <c r="G814" s="697">
        <v>18.84</v>
      </c>
      <c r="H814" s="592">
        <f t="shared" si="160"/>
        <v>230601.60000000001</v>
      </c>
      <c r="I814" s="595">
        <f t="shared" si="162"/>
        <v>922406.40000000002</v>
      </c>
      <c r="J814" s="352"/>
    </row>
    <row r="815" spans="1:10" ht="35.25" customHeight="1" x14ac:dyDescent="0.3">
      <c r="A815" s="1134"/>
      <c r="B815" s="438"/>
      <c r="C815" s="441" t="s">
        <v>322</v>
      </c>
      <c r="D815" s="667" t="s">
        <v>232</v>
      </c>
      <c r="E815" s="700"/>
      <c r="F815" s="701">
        <f t="shared" si="161"/>
        <v>0</v>
      </c>
      <c r="G815" s="697">
        <v>21.18</v>
      </c>
      <c r="H815" s="592">
        <f t="shared" si="160"/>
        <v>0</v>
      </c>
      <c r="I815" s="595">
        <f t="shared" si="162"/>
        <v>0</v>
      </c>
      <c r="J815" s="352"/>
    </row>
    <row r="816" spans="1:10" ht="35.25" customHeight="1" x14ac:dyDescent="0.3">
      <c r="A816" s="1134"/>
      <c r="B816" s="438"/>
      <c r="C816" s="441" t="s">
        <v>324</v>
      </c>
      <c r="D816" s="667" t="s">
        <v>325</v>
      </c>
      <c r="E816" s="700"/>
      <c r="F816" s="701">
        <f t="shared" si="161"/>
        <v>0</v>
      </c>
      <c r="G816" s="697">
        <v>21.28</v>
      </c>
      <c r="H816" s="592">
        <f t="shared" si="160"/>
        <v>0</v>
      </c>
      <c r="I816" s="595">
        <f t="shared" si="162"/>
        <v>0</v>
      </c>
      <c r="J816" s="352"/>
    </row>
    <row r="817" spans="1:10" ht="35.25" customHeight="1" x14ac:dyDescent="0.3">
      <c r="A817" s="1134"/>
      <c r="B817" s="438"/>
      <c r="C817" s="441" t="s">
        <v>378</v>
      </c>
      <c r="D817" s="667" t="s">
        <v>374</v>
      </c>
      <c r="E817" s="700"/>
      <c r="F817" s="701">
        <f t="shared" si="161"/>
        <v>0</v>
      </c>
      <c r="G817" s="697">
        <v>143.28</v>
      </c>
      <c r="H817" s="592">
        <f t="shared" si="160"/>
        <v>0</v>
      </c>
      <c r="I817" s="595">
        <f t="shared" si="162"/>
        <v>0</v>
      </c>
      <c r="J817" s="352"/>
    </row>
    <row r="818" spans="1:10" ht="35.25" customHeight="1" x14ac:dyDescent="0.3">
      <c r="A818" s="1134"/>
      <c r="B818" s="438"/>
      <c r="C818" s="441" t="s">
        <v>472</v>
      </c>
      <c r="D818" s="667"/>
      <c r="E818" s="700"/>
      <c r="F818" s="701">
        <f t="shared" si="161"/>
        <v>0</v>
      </c>
      <c r="G818" s="697">
        <v>14.79</v>
      </c>
      <c r="H818" s="592">
        <f t="shared" si="160"/>
        <v>0</v>
      </c>
      <c r="I818" s="595">
        <f t="shared" si="162"/>
        <v>0</v>
      </c>
      <c r="J818" s="352"/>
    </row>
    <row r="819" spans="1:10" ht="35.25" customHeight="1" x14ac:dyDescent="0.3">
      <c r="A819" s="1134"/>
      <c r="B819" s="438"/>
      <c r="C819" s="441" t="s">
        <v>451</v>
      </c>
      <c r="D819" s="666" t="s">
        <v>177</v>
      </c>
      <c r="E819" s="700"/>
      <c r="F819" s="701">
        <f t="shared" si="161"/>
        <v>498432</v>
      </c>
      <c r="G819" s="697">
        <v>14.55</v>
      </c>
      <c r="H819" s="592">
        <f t="shared" si="160"/>
        <v>0</v>
      </c>
      <c r="I819" s="595">
        <f t="shared" si="162"/>
        <v>7252185.6000000006</v>
      </c>
      <c r="J819" s="352"/>
    </row>
    <row r="820" spans="1:10" ht="35.25" customHeight="1" x14ac:dyDescent="0.3">
      <c r="A820" s="1134"/>
      <c r="B820" s="438"/>
      <c r="C820" s="441" t="s">
        <v>327</v>
      </c>
      <c r="D820" s="667" t="s">
        <v>188</v>
      </c>
      <c r="E820" s="700"/>
      <c r="F820" s="701">
        <f t="shared" si="161"/>
        <v>0</v>
      </c>
      <c r="G820" s="697">
        <v>21.28</v>
      </c>
      <c r="H820" s="592">
        <f t="shared" si="160"/>
        <v>0</v>
      </c>
      <c r="I820" s="595">
        <f t="shared" si="162"/>
        <v>0</v>
      </c>
      <c r="J820" s="352"/>
    </row>
    <row r="821" spans="1:10" ht="35.25" customHeight="1" thickBot="1" x14ac:dyDescent="0.35">
      <c r="A821" s="1134"/>
      <c r="B821" s="438"/>
      <c r="C821" s="441" t="s">
        <v>336</v>
      </c>
      <c r="D821" s="668" t="s">
        <v>178</v>
      </c>
      <c r="E821" s="700"/>
      <c r="F821" s="676">
        <f t="shared" si="161"/>
        <v>0</v>
      </c>
      <c r="G821" s="697">
        <v>36.44</v>
      </c>
      <c r="H821" s="592">
        <f t="shared" si="160"/>
        <v>0</v>
      </c>
      <c r="I821" s="595">
        <f t="shared" si="162"/>
        <v>0</v>
      </c>
      <c r="J821" s="352"/>
    </row>
    <row r="822" spans="1:10" ht="35.25" customHeight="1" thickBot="1" x14ac:dyDescent="0.35">
      <c r="A822" s="1134"/>
      <c r="B822" s="1129" t="s">
        <v>266</v>
      </c>
      <c r="C822" s="1130"/>
      <c r="D822" s="865"/>
      <c r="E822" s="326">
        <f>SUM(E807:E821)</f>
        <v>15824</v>
      </c>
      <c r="F822" s="698">
        <f>SUM(F807:F821)</f>
        <v>567056</v>
      </c>
      <c r="G822" s="326"/>
      <c r="H822" s="587">
        <f>SUM(H807:H821)</f>
        <v>696977.28</v>
      </c>
      <c r="I822" s="580">
        <f>SUM(I807:I821)</f>
        <v>9427759.6799999997</v>
      </c>
      <c r="J822" s="349"/>
    </row>
    <row r="823" spans="1:10" ht="35.25" customHeight="1" x14ac:dyDescent="0.3">
      <c r="A823" s="1134"/>
      <c r="B823" s="863"/>
      <c r="C823" s="279" t="s">
        <v>271</v>
      </c>
      <c r="D823" s="434" t="s">
        <v>238</v>
      </c>
      <c r="E823" s="280"/>
      <c r="F823" s="435">
        <f>+E823+F729</f>
        <v>0</v>
      </c>
      <c r="G823" s="578">
        <v>160.44999999999999</v>
      </c>
      <c r="H823" s="593">
        <f t="shared" ref="H823:H828" si="163">E823*G823</f>
        <v>0</v>
      </c>
      <c r="I823" s="596">
        <f t="shared" ref="I823:I828" si="164">+G823*F823</f>
        <v>0</v>
      </c>
      <c r="J823" s="373"/>
    </row>
    <row r="824" spans="1:10" ht="35.25" customHeight="1" x14ac:dyDescent="0.3">
      <c r="A824" s="1134"/>
      <c r="B824" s="863"/>
      <c r="C824" s="279" t="s">
        <v>287</v>
      </c>
      <c r="D824" s="434" t="s">
        <v>93</v>
      </c>
      <c r="E824" s="280">
        <v>16140</v>
      </c>
      <c r="F824" s="435">
        <f t="shared" ref="F824:F828" si="165">+E824+F730</f>
        <v>53760</v>
      </c>
      <c r="G824" s="578">
        <v>27</v>
      </c>
      <c r="H824" s="593">
        <f t="shared" si="163"/>
        <v>435780</v>
      </c>
      <c r="I824" s="596">
        <f t="shared" si="164"/>
        <v>1451520</v>
      </c>
      <c r="J824" s="373"/>
    </row>
    <row r="825" spans="1:10" ht="35.25" customHeight="1" x14ac:dyDescent="0.3">
      <c r="A825" s="1134"/>
      <c r="B825" s="863"/>
      <c r="C825" s="279" t="s">
        <v>287</v>
      </c>
      <c r="D825" s="434" t="s">
        <v>292</v>
      </c>
      <c r="E825" s="280"/>
      <c r="F825" s="435">
        <f t="shared" si="165"/>
        <v>0</v>
      </c>
      <c r="G825" s="578">
        <v>27.5</v>
      </c>
      <c r="H825" s="593">
        <f t="shared" si="163"/>
        <v>0</v>
      </c>
      <c r="I825" s="596">
        <f t="shared" si="164"/>
        <v>0</v>
      </c>
      <c r="J825" s="373"/>
    </row>
    <row r="826" spans="1:10" ht="35.25" customHeight="1" x14ac:dyDescent="0.3">
      <c r="A826" s="1134"/>
      <c r="B826" s="863"/>
      <c r="C826" s="279" t="s">
        <v>276</v>
      </c>
      <c r="D826" s="434" t="s">
        <v>292</v>
      </c>
      <c r="E826" s="280"/>
      <c r="F826" s="435">
        <f t="shared" si="165"/>
        <v>0</v>
      </c>
      <c r="G826" s="578">
        <v>34.5</v>
      </c>
      <c r="H826" s="593">
        <f t="shared" si="163"/>
        <v>0</v>
      </c>
      <c r="I826" s="596">
        <f t="shared" si="164"/>
        <v>0</v>
      </c>
      <c r="J826" s="373"/>
    </row>
    <row r="827" spans="1:10" ht="35.25" customHeight="1" x14ac:dyDescent="0.3">
      <c r="A827" s="1134"/>
      <c r="B827" s="863"/>
      <c r="C827" s="279" t="s">
        <v>473</v>
      </c>
      <c r="D827" s="434" t="s">
        <v>440</v>
      </c>
      <c r="E827" s="280"/>
      <c r="F827" s="435">
        <f t="shared" si="165"/>
        <v>0</v>
      </c>
      <c r="G827" s="578">
        <v>10.57</v>
      </c>
      <c r="H827" s="593">
        <f t="shared" si="163"/>
        <v>0</v>
      </c>
      <c r="I827" s="596">
        <f t="shared" si="164"/>
        <v>0</v>
      </c>
      <c r="J827" s="373"/>
    </row>
    <row r="828" spans="1:10" ht="35.25" customHeight="1" thickBot="1" x14ac:dyDescent="0.35">
      <c r="A828" s="1134"/>
      <c r="B828" s="863"/>
      <c r="C828" s="279" t="s">
        <v>276</v>
      </c>
      <c r="D828" s="434" t="s">
        <v>440</v>
      </c>
      <c r="E828" s="280"/>
      <c r="F828" s="435">
        <f t="shared" si="165"/>
        <v>0</v>
      </c>
      <c r="G828" s="578">
        <v>55.76</v>
      </c>
      <c r="H828" s="593">
        <f t="shared" si="163"/>
        <v>0</v>
      </c>
      <c r="I828" s="596">
        <f t="shared" si="164"/>
        <v>0</v>
      </c>
      <c r="J828" s="373"/>
    </row>
    <row r="829" spans="1:10" ht="35.25" customHeight="1" thickBot="1" x14ac:dyDescent="0.35">
      <c r="A829" s="1134"/>
      <c r="B829" s="1129" t="s">
        <v>267</v>
      </c>
      <c r="C829" s="1130"/>
      <c r="D829" s="865"/>
      <c r="E829" s="326">
        <f>SUM(E823:E828)</f>
        <v>16140</v>
      </c>
      <c r="F829" s="326">
        <f>SUM(F823:F828)</f>
        <v>53760</v>
      </c>
      <c r="G829" s="326"/>
      <c r="H829" s="587">
        <f>SUM(H823:H828)</f>
        <v>435780</v>
      </c>
      <c r="I829" s="580">
        <f>SUM(I823:I828)</f>
        <v>1451520</v>
      </c>
      <c r="J829" s="349"/>
    </row>
    <row r="830" spans="1:10" ht="35.25" customHeight="1" x14ac:dyDescent="0.3">
      <c r="A830" s="1134"/>
      <c r="B830" s="863"/>
      <c r="C830" s="279" t="s">
        <v>277</v>
      </c>
      <c r="D830" s="434" t="s">
        <v>278</v>
      </c>
      <c r="E830" s="280"/>
      <c r="F830" s="435">
        <f>+E830+F736</f>
        <v>3</v>
      </c>
      <c r="G830" s="578">
        <v>2500</v>
      </c>
      <c r="H830" s="593">
        <f t="shared" ref="H830:H833" si="166">E830*G830</f>
        <v>0</v>
      </c>
      <c r="I830" s="596">
        <f>+G830*F830</f>
        <v>7500</v>
      </c>
      <c r="J830" s="373"/>
    </row>
    <row r="831" spans="1:10" ht="35.25" customHeight="1" x14ac:dyDescent="0.3">
      <c r="A831" s="1134"/>
      <c r="B831" s="863"/>
      <c r="C831" s="279" t="s">
        <v>454</v>
      </c>
      <c r="D831" s="434"/>
      <c r="E831" s="280"/>
      <c r="F831" s="435">
        <f t="shared" ref="F831:F833" si="167">+E831+F737</f>
        <v>0</v>
      </c>
      <c r="G831" s="578">
        <v>30000</v>
      </c>
      <c r="H831" s="593">
        <f t="shared" si="166"/>
        <v>0</v>
      </c>
      <c r="I831" s="596">
        <f>+G831*F831</f>
        <v>0</v>
      </c>
      <c r="J831" s="373"/>
    </row>
    <row r="832" spans="1:10" ht="35.25" customHeight="1" x14ac:dyDescent="0.3">
      <c r="A832" s="1134"/>
      <c r="B832" s="863"/>
      <c r="C832" s="279" t="s">
        <v>379</v>
      </c>
      <c r="D832" s="434" t="s">
        <v>304</v>
      </c>
      <c r="E832" s="280"/>
      <c r="F832" s="435">
        <f t="shared" si="167"/>
        <v>0</v>
      </c>
      <c r="G832" s="578">
        <v>360</v>
      </c>
      <c r="H832" s="593">
        <f t="shared" si="166"/>
        <v>0</v>
      </c>
      <c r="I832" s="596">
        <f>+G832*F832</f>
        <v>0</v>
      </c>
      <c r="J832" s="373"/>
    </row>
    <row r="833" spans="1:13" ht="35.25" customHeight="1" thickBot="1" x14ac:dyDescent="0.35">
      <c r="A833" s="1134"/>
      <c r="B833" s="863"/>
      <c r="C833" s="279" t="s">
        <v>427</v>
      </c>
      <c r="D833" s="434" t="s">
        <v>304</v>
      </c>
      <c r="E833" s="280"/>
      <c r="F833" s="435">
        <f t="shared" si="167"/>
        <v>0</v>
      </c>
      <c r="G833" s="579">
        <v>10</v>
      </c>
      <c r="H833" s="593">
        <f t="shared" si="166"/>
        <v>0</v>
      </c>
      <c r="I833" s="596">
        <f t="shared" ref="I833" si="168">+G833*F833</f>
        <v>0</v>
      </c>
      <c r="J833" s="373"/>
    </row>
    <row r="834" spans="1:13" ht="35.25" customHeight="1" thickBot="1" x14ac:dyDescent="0.35">
      <c r="A834" s="1134"/>
      <c r="B834" s="1129" t="s">
        <v>272</v>
      </c>
      <c r="C834" s="1130"/>
      <c r="D834" s="865"/>
      <c r="E834" s="326">
        <f>SUM(E830:E833)</f>
        <v>0</v>
      </c>
      <c r="F834" s="326">
        <f>SUM(F830:F833)</f>
        <v>3</v>
      </c>
      <c r="G834" s="326"/>
      <c r="H834" s="587">
        <f>SUM(H830:H833)</f>
        <v>0</v>
      </c>
      <c r="I834" s="580">
        <f>SUM(I830:I833)</f>
        <v>7500</v>
      </c>
      <c r="J834" s="373"/>
    </row>
    <row r="835" spans="1:13" ht="35.25" customHeight="1" thickBot="1" x14ac:dyDescent="0.35">
      <c r="A835" s="1134"/>
      <c r="B835" s="863"/>
      <c r="C835" s="279"/>
      <c r="D835" s="434"/>
      <c r="E835" s="280"/>
      <c r="F835" s="317"/>
      <c r="G835" s="579"/>
      <c r="H835" s="588"/>
      <c r="I835" s="282"/>
      <c r="J835" s="373"/>
    </row>
    <row r="836" spans="1:13" ht="35.25" customHeight="1" thickBot="1" x14ac:dyDescent="0.35">
      <c r="A836" s="1135"/>
      <c r="B836" s="1129" t="s">
        <v>269</v>
      </c>
      <c r="C836" s="1130"/>
      <c r="D836" s="861"/>
      <c r="E836" s="326">
        <f>+E834+E829+E822</f>
        <v>31964</v>
      </c>
      <c r="F836" s="326">
        <f>+F834+F829+F822</f>
        <v>620819</v>
      </c>
      <c r="G836" s="326"/>
      <c r="H836" s="580">
        <f>+H829+H822+H834</f>
        <v>1132757.28</v>
      </c>
      <c r="I836" s="580">
        <f>+I829+I822+I834</f>
        <v>10886779.68</v>
      </c>
      <c r="J836" s="373"/>
      <c r="K836" s="704"/>
      <c r="M836" s="704"/>
    </row>
    <row r="837" spans="1:13" ht="35.25" customHeight="1" x14ac:dyDescent="0.3">
      <c r="A837" s="1133" t="s">
        <v>101</v>
      </c>
      <c r="B837" s="863"/>
      <c r="C837" s="279" t="s">
        <v>281</v>
      </c>
      <c r="D837" s="434" t="s">
        <v>178</v>
      </c>
      <c r="E837" s="280"/>
      <c r="F837" s="435">
        <f>+E837+F743</f>
        <v>0</v>
      </c>
      <c r="G837" s="602">
        <v>13.25</v>
      </c>
      <c r="H837" s="597">
        <f t="shared" ref="H837:H865" si="169">E837*G837</f>
        <v>0</v>
      </c>
      <c r="I837" s="596">
        <f t="shared" ref="I837:I865" si="170">+G837*F837</f>
        <v>0</v>
      </c>
      <c r="J837" s="373"/>
      <c r="K837" s="704"/>
    </row>
    <row r="838" spans="1:13" ht="35.25" customHeight="1" x14ac:dyDescent="0.3">
      <c r="A838" s="1134"/>
      <c r="B838" s="863"/>
      <c r="C838" s="279" t="s">
        <v>282</v>
      </c>
      <c r="D838" s="434"/>
      <c r="E838" s="280"/>
      <c r="F838" s="435">
        <f t="shared" ref="F838:F892" si="171">+E838+F744</f>
        <v>0</v>
      </c>
      <c r="G838" s="603">
        <v>5000</v>
      </c>
      <c r="H838" s="597">
        <f t="shared" si="169"/>
        <v>0</v>
      </c>
      <c r="I838" s="596">
        <f t="shared" si="170"/>
        <v>0</v>
      </c>
      <c r="J838" s="373"/>
      <c r="K838" s="704"/>
    </row>
    <row r="839" spans="1:13" ht="35.25" customHeight="1" x14ac:dyDescent="0.3">
      <c r="A839" s="1134"/>
      <c r="B839" s="863"/>
      <c r="C839" s="279" t="s">
        <v>282</v>
      </c>
      <c r="D839" s="434"/>
      <c r="E839" s="280"/>
      <c r="F839" s="435">
        <f t="shared" si="171"/>
        <v>0</v>
      </c>
      <c r="G839" s="603">
        <v>18000</v>
      </c>
      <c r="H839" s="597">
        <f t="shared" si="169"/>
        <v>0</v>
      </c>
      <c r="I839" s="596">
        <f t="shared" si="170"/>
        <v>0</v>
      </c>
      <c r="J839" s="373"/>
    </row>
    <row r="840" spans="1:13" ht="35.25" customHeight="1" x14ac:dyDescent="0.3">
      <c r="A840" s="1134"/>
      <c r="B840" s="863"/>
      <c r="C840" s="279" t="s">
        <v>465</v>
      </c>
      <c r="D840" s="434" t="s">
        <v>338</v>
      </c>
      <c r="E840" s="280"/>
      <c r="F840" s="435">
        <f t="shared" si="171"/>
        <v>0</v>
      </c>
      <c r="G840" s="602">
        <v>24.93</v>
      </c>
      <c r="H840" s="597">
        <f t="shared" si="169"/>
        <v>0</v>
      </c>
      <c r="I840" s="596">
        <f t="shared" si="170"/>
        <v>0</v>
      </c>
      <c r="J840" s="373"/>
    </row>
    <row r="841" spans="1:13" ht="35.25" customHeight="1" x14ac:dyDescent="0.3">
      <c r="A841" s="1134"/>
      <c r="B841" s="863"/>
      <c r="C841" s="746" t="s">
        <v>466</v>
      </c>
      <c r="D841" s="747" t="s">
        <v>92</v>
      </c>
      <c r="E841" s="280"/>
      <c r="F841" s="435">
        <f t="shared" si="171"/>
        <v>0</v>
      </c>
      <c r="G841" s="602">
        <v>20.8</v>
      </c>
      <c r="H841" s="597">
        <f t="shared" si="169"/>
        <v>0</v>
      </c>
      <c r="I841" s="596">
        <f t="shared" si="170"/>
        <v>0</v>
      </c>
      <c r="J841" s="373"/>
    </row>
    <row r="842" spans="1:13" ht="35.25" customHeight="1" x14ac:dyDescent="0.3">
      <c r="A842" s="1134"/>
      <c r="B842" s="863"/>
      <c r="C842" s="746" t="s">
        <v>467</v>
      </c>
      <c r="D842" s="747" t="s">
        <v>468</v>
      </c>
      <c r="E842" s="280"/>
      <c r="F842" s="435">
        <f t="shared" si="171"/>
        <v>0</v>
      </c>
      <c r="G842" s="602">
        <v>24.93</v>
      </c>
      <c r="H842" s="597">
        <f t="shared" si="169"/>
        <v>0</v>
      </c>
      <c r="I842" s="596">
        <f t="shared" si="170"/>
        <v>0</v>
      </c>
      <c r="J842" s="373"/>
    </row>
    <row r="843" spans="1:13" ht="35.25" customHeight="1" x14ac:dyDescent="0.3">
      <c r="A843" s="1134"/>
      <c r="B843" s="863"/>
      <c r="C843" s="746" t="s">
        <v>467</v>
      </c>
      <c r="D843" s="747" t="s">
        <v>468</v>
      </c>
      <c r="E843" s="280"/>
      <c r="F843" s="435">
        <f t="shared" si="171"/>
        <v>0</v>
      </c>
      <c r="G843" s="602">
        <v>25.49</v>
      </c>
      <c r="H843" s="597">
        <f t="shared" si="169"/>
        <v>0</v>
      </c>
      <c r="I843" s="596">
        <f t="shared" si="170"/>
        <v>0</v>
      </c>
      <c r="J843" s="373"/>
    </row>
    <row r="844" spans="1:13" s="757" customFormat="1" ht="35.25" customHeight="1" x14ac:dyDescent="0.3">
      <c r="A844" s="1134"/>
      <c r="B844" s="748"/>
      <c r="C844" s="749" t="s">
        <v>469</v>
      </c>
      <c r="D844" s="750" t="s">
        <v>309</v>
      </c>
      <c r="E844" s="751"/>
      <c r="F844" s="752">
        <f t="shared" si="171"/>
        <v>0</v>
      </c>
      <c r="G844" s="753">
        <v>24.41</v>
      </c>
      <c r="H844" s="754">
        <f t="shared" si="169"/>
        <v>0</v>
      </c>
      <c r="I844" s="755">
        <f t="shared" si="170"/>
        <v>0</v>
      </c>
      <c r="J844" s="756"/>
    </row>
    <row r="845" spans="1:13" ht="35.25" customHeight="1" x14ac:dyDescent="0.3">
      <c r="A845" s="1134"/>
      <c r="B845" s="863"/>
      <c r="C845" s="279" t="s">
        <v>444</v>
      </c>
      <c r="D845" s="434" t="s">
        <v>423</v>
      </c>
      <c r="E845" s="280"/>
      <c r="F845" s="435">
        <f t="shared" si="171"/>
        <v>0</v>
      </c>
      <c r="G845" s="602">
        <v>20.76</v>
      </c>
      <c r="H845" s="597">
        <f t="shared" si="169"/>
        <v>0</v>
      </c>
      <c r="I845" s="596">
        <f t="shared" si="170"/>
        <v>0</v>
      </c>
      <c r="J845" s="373"/>
    </row>
    <row r="846" spans="1:13" ht="35.25" customHeight="1" x14ac:dyDescent="0.3">
      <c r="A846" s="1134"/>
      <c r="B846" s="863"/>
      <c r="C846" s="279" t="s">
        <v>298</v>
      </c>
      <c r="D846" s="434" t="s">
        <v>107</v>
      </c>
      <c r="E846" s="280"/>
      <c r="F846" s="435">
        <f t="shared" si="171"/>
        <v>0</v>
      </c>
      <c r="G846" s="602">
        <v>24.93</v>
      </c>
      <c r="H846" s="597">
        <f t="shared" si="169"/>
        <v>0</v>
      </c>
      <c r="I846" s="596">
        <f t="shared" si="170"/>
        <v>0</v>
      </c>
      <c r="J846" s="373"/>
    </row>
    <row r="847" spans="1:13" ht="35.25" customHeight="1" x14ac:dyDescent="0.3">
      <c r="A847" s="1134"/>
      <c r="B847" s="863"/>
      <c r="C847" s="279" t="s">
        <v>299</v>
      </c>
      <c r="D847" s="434" t="s">
        <v>280</v>
      </c>
      <c r="E847" s="280"/>
      <c r="F847" s="435">
        <f t="shared" si="171"/>
        <v>0</v>
      </c>
      <c r="G847" s="602">
        <v>24.93</v>
      </c>
      <c r="H847" s="597">
        <f t="shared" si="169"/>
        <v>0</v>
      </c>
      <c r="I847" s="596">
        <f t="shared" si="170"/>
        <v>0</v>
      </c>
      <c r="J847" s="373"/>
    </row>
    <row r="848" spans="1:13" ht="35.25" customHeight="1" x14ac:dyDescent="0.3">
      <c r="A848" s="1134"/>
      <c r="B848" s="863"/>
      <c r="C848" s="279" t="s">
        <v>425</v>
      </c>
      <c r="D848" s="434" t="s">
        <v>309</v>
      </c>
      <c r="E848" s="280"/>
      <c r="F848" s="435">
        <f t="shared" si="171"/>
        <v>0</v>
      </c>
      <c r="G848" s="602">
        <v>23.78</v>
      </c>
      <c r="H848" s="597">
        <f t="shared" si="169"/>
        <v>0</v>
      </c>
      <c r="I848" s="596">
        <f t="shared" si="170"/>
        <v>0</v>
      </c>
      <c r="J848" s="373"/>
    </row>
    <row r="849" spans="1:10" ht="35.25" customHeight="1" x14ac:dyDescent="0.3">
      <c r="A849" s="1134"/>
      <c r="B849" s="863"/>
      <c r="C849" s="279" t="s">
        <v>354</v>
      </c>
      <c r="D849" s="434" t="s">
        <v>309</v>
      </c>
      <c r="E849" s="280"/>
      <c r="F849" s="435">
        <f t="shared" si="171"/>
        <v>0</v>
      </c>
      <c r="G849" s="602">
        <v>37.4566666666</v>
      </c>
      <c r="H849" s="597">
        <f t="shared" si="169"/>
        <v>0</v>
      </c>
      <c r="I849" s="596">
        <f t="shared" si="170"/>
        <v>0</v>
      </c>
      <c r="J849" s="373"/>
    </row>
    <row r="850" spans="1:10" ht="35.25" customHeight="1" x14ac:dyDescent="0.3">
      <c r="A850" s="1134"/>
      <c r="B850" s="863"/>
      <c r="C850" s="279" t="s">
        <v>355</v>
      </c>
      <c r="D850" s="434" t="s">
        <v>309</v>
      </c>
      <c r="E850" s="280"/>
      <c r="F850" s="435">
        <f t="shared" si="171"/>
        <v>0</v>
      </c>
      <c r="G850" s="602">
        <v>37.89</v>
      </c>
      <c r="H850" s="597">
        <f t="shared" si="169"/>
        <v>0</v>
      </c>
      <c r="I850" s="596">
        <f t="shared" si="170"/>
        <v>0</v>
      </c>
      <c r="J850" s="373"/>
    </row>
    <row r="851" spans="1:10" ht="35.25" customHeight="1" x14ac:dyDescent="0.3">
      <c r="A851" s="1134"/>
      <c r="B851" s="863"/>
      <c r="C851" s="279" t="s">
        <v>461</v>
      </c>
      <c r="D851" s="434" t="s">
        <v>92</v>
      </c>
      <c r="E851" s="280"/>
      <c r="F851" s="435">
        <f t="shared" si="171"/>
        <v>0</v>
      </c>
      <c r="G851" s="602">
        <v>28.31</v>
      </c>
      <c r="H851" s="597">
        <f t="shared" si="169"/>
        <v>0</v>
      </c>
      <c r="I851" s="596">
        <f t="shared" si="170"/>
        <v>0</v>
      </c>
      <c r="J851" s="373"/>
    </row>
    <row r="852" spans="1:10" ht="35.25" customHeight="1" x14ac:dyDescent="0.3">
      <c r="A852" s="1134"/>
      <c r="B852" s="863"/>
      <c r="C852" s="279" t="s">
        <v>461</v>
      </c>
      <c r="D852" s="434" t="s">
        <v>423</v>
      </c>
      <c r="E852" s="280"/>
      <c r="F852" s="435">
        <f t="shared" si="171"/>
        <v>0</v>
      </c>
      <c r="G852" s="602">
        <v>28.88</v>
      </c>
      <c r="H852" s="597">
        <f t="shared" si="169"/>
        <v>0</v>
      </c>
      <c r="I852" s="596">
        <f t="shared" si="170"/>
        <v>0</v>
      </c>
      <c r="J852" s="373"/>
    </row>
    <row r="853" spans="1:10" ht="35.25" customHeight="1" x14ac:dyDescent="0.3">
      <c r="A853" s="1134"/>
      <c r="B853" s="863"/>
      <c r="C853" s="279" t="s">
        <v>462</v>
      </c>
      <c r="D853" s="434" t="s">
        <v>423</v>
      </c>
      <c r="E853" s="280"/>
      <c r="F853" s="435">
        <f t="shared" si="171"/>
        <v>0</v>
      </c>
      <c r="G853" s="602">
        <v>28.21</v>
      </c>
      <c r="H853" s="597">
        <f t="shared" si="169"/>
        <v>0</v>
      </c>
      <c r="I853" s="596">
        <f t="shared" si="170"/>
        <v>0</v>
      </c>
      <c r="J853" s="373"/>
    </row>
    <row r="854" spans="1:10" ht="35.25" customHeight="1" x14ac:dyDescent="0.3">
      <c r="A854" s="1134"/>
      <c r="B854" s="863"/>
      <c r="C854" s="279" t="s">
        <v>463</v>
      </c>
      <c r="D854" s="434" t="s">
        <v>338</v>
      </c>
      <c r="E854" s="280"/>
      <c r="F854" s="435">
        <f t="shared" si="171"/>
        <v>0</v>
      </c>
      <c r="G854" s="602">
        <v>39</v>
      </c>
      <c r="H854" s="597">
        <f t="shared" si="169"/>
        <v>0</v>
      </c>
      <c r="I854" s="596">
        <f t="shared" si="170"/>
        <v>0</v>
      </c>
      <c r="J854" s="373"/>
    </row>
    <row r="855" spans="1:10" ht="35.25" customHeight="1" x14ac:dyDescent="0.3">
      <c r="A855" s="1134"/>
      <c r="B855" s="863"/>
      <c r="C855" s="279" t="s">
        <v>463</v>
      </c>
      <c r="D855" s="434" t="s">
        <v>92</v>
      </c>
      <c r="E855" s="280"/>
      <c r="F855" s="435">
        <f t="shared" si="171"/>
        <v>0</v>
      </c>
      <c r="G855" s="602">
        <v>32.65</v>
      </c>
      <c r="H855" s="597">
        <f t="shared" si="169"/>
        <v>0</v>
      </c>
      <c r="I855" s="596">
        <f t="shared" si="170"/>
        <v>0</v>
      </c>
      <c r="J855" s="373"/>
    </row>
    <row r="856" spans="1:10" ht="35.25" customHeight="1" x14ac:dyDescent="0.3">
      <c r="A856" s="1134"/>
      <c r="B856" s="863"/>
      <c r="C856" s="279" t="s">
        <v>463</v>
      </c>
      <c r="D856" s="434" t="s">
        <v>423</v>
      </c>
      <c r="E856" s="280"/>
      <c r="F856" s="435">
        <f t="shared" si="171"/>
        <v>0</v>
      </c>
      <c r="G856" s="602">
        <v>33.299999999999997</v>
      </c>
      <c r="H856" s="597">
        <f t="shared" si="169"/>
        <v>0</v>
      </c>
      <c r="I856" s="596">
        <f t="shared" si="170"/>
        <v>0</v>
      </c>
      <c r="J856" s="373"/>
    </row>
    <row r="857" spans="1:10" ht="35.25" customHeight="1" x14ac:dyDescent="0.3">
      <c r="A857" s="1134"/>
      <c r="B857" s="863"/>
      <c r="C857" s="279" t="s">
        <v>299</v>
      </c>
      <c r="D857" s="434" t="s">
        <v>279</v>
      </c>
      <c r="E857" s="280"/>
      <c r="F857" s="435">
        <f t="shared" si="171"/>
        <v>0</v>
      </c>
      <c r="G857" s="602">
        <v>24.93</v>
      </c>
      <c r="H857" s="597">
        <f t="shared" si="169"/>
        <v>0</v>
      </c>
      <c r="I857" s="596">
        <f t="shared" si="170"/>
        <v>0</v>
      </c>
      <c r="J857" s="373"/>
    </row>
    <row r="858" spans="1:10" ht="35.25" customHeight="1" x14ac:dyDescent="0.3">
      <c r="A858" s="1134"/>
      <c r="B858" s="863"/>
      <c r="C858" s="279" t="s">
        <v>299</v>
      </c>
      <c r="D858" s="434"/>
      <c r="E858" s="280"/>
      <c r="F858" s="435">
        <f t="shared" si="171"/>
        <v>0</v>
      </c>
      <c r="G858" s="602">
        <v>24.93</v>
      </c>
      <c r="H858" s="597">
        <f t="shared" si="169"/>
        <v>0</v>
      </c>
      <c r="I858" s="596">
        <f t="shared" si="170"/>
        <v>0</v>
      </c>
      <c r="J858" s="373"/>
    </row>
    <row r="859" spans="1:10" ht="35.25" customHeight="1" x14ac:dyDescent="0.3">
      <c r="A859" s="1134"/>
      <c r="B859" s="863"/>
      <c r="C859" s="279" t="s">
        <v>316</v>
      </c>
      <c r="D859" s="434" t="s">
        <v>289</v>
      </c>
      <c r="E859" s="280"/>
      <c r="F859" s="435">
        <f t="shared" si="171"/>
        <v>0</v>
      </c>
      <c r="G859" s="602">
        <v>34.26</v>
      </c>
      <c r="H859" s="597">
        <f t="shared" si="169"/>
        <v>0</v>
      </c>
      <c r="I859" s="596">
        <f t="shared" si="170"/>
        <v>0</v>
      </c>
      <c r="J859" s="373"/>
    </row>
    <row r="860" spans="1:10" ht="35.25" customHeight="1" x14ac:dyDescent="0.3">
      <c r="A860" s="1134"/>
      <c r="B860" s="863"/>
      <c r="C860" s="279" t="s">
        <v>328</v>
      </c>
      <c r="D860" s="434" t="s">
        <v>360</v>
      </c>
      <c r="E860" s="280"/>
      <c r="F860" s="435">
        <f t="shared" si="171"/>
        <v>0</v>
      </c>
      <c r="G860" s="602">
        <v>37.89</v>
      </c>
      <c r="H860" s="597">
        <f t="shared" si="169"/>
        <v>0</v>
      </c>
      <c r="I860" s="596">
        <f t="shared" si="170"/>
        <v>0</v>
      </c>
      <c r="J860" s="373"/>
    </row>
    <row r="861" spans="1:10" ht="35.25" customHeight="1" x14ac:dyDescent="0.3">
      <c r="A861" s="1134"/>
      <c r="B861" s="863"/>
      <c r="C861" s="279" t="s">
        <v>363</v>
      </c>
      <c r="D861" s="434" t="s">
        <v>338</v>
      </c>
      <c r="E861" s="280"/>
      <c r="F861" s="435">
        <f t="shared" si="171"/>
        <v>0</v>
      </c>
      <c r="G861" s="602">
        <v>39</v>
      </c>
      <c r="H861" s="597">
        <f t="shared" si="169"/>
        <v>0</v>
      </c>
      <c r="I861" s="596">
        <f t="shared" si="170"/>
        <v>0</v>
      </c>
      <c r="J861" s="373"/>
    </row>
    <row r="862" spans="1:10" ht="35.25" customHeight="1" x14ac:dyDescent="0.3">
      <c r="A862" s="1134"/>
      <c r="B862" s="863"/>
      <c r="C862" s="279" t="s">
        <v>299</v>
      </c>
      <c r="D862" s="434" t="s">
        <v>177</v>
      </c>
      <c r="E862" s="280"/>
      <c r="F862" s="435">
        <f t="shared" si="171"/>
        <v>0</v>
      </c>
      <c r="G862" s="602">
        <v>21.22</v>
      </c>
      <c r="H862" s="597">
        <f t="shared" si="169"/>
        <v>0</v>
      </c>
      <c r="I862" s="596">
        <f t="shared" si="170"/>
        <v>0</v>
      </c>
      <c r="J862" s="373"/>
    </row>
    <row r="863" spans="1:10" ht="35.25" customHeight="1" x14ac:dyDescent="0.3">
      <c r="A863" s="1134"/>
      <c r="B863" s="863"/>
      <c r="C863" s="279" t="s">
        <v>298</v>
      </c>
      <c r="D863" s="434" t="s">
        <v>177</v>
      </c>
      <c r="E863" s="280"/>
      <c r="F863" s="435">
        <f t="shared" si="171"/>
        <v>0</v>
      </c>
      <c r="G863" s="602">
        <v>21.22</v>
      </c>
      <c r="H863" s="597">
        <f t="shared" si="169"/>
        <v>0</v>
      </c>
      <c r="I863" s="596">
        <f t="shared" si="170"/>
        <v>0</v>
      </c>
      <c r="J863" s="373"/>
    </row>
    <row r="864" spans="1:10" ht="35.25" customHeight="1" x14ac:dyDescent="0.3">
      <c r="A864" s="1134"/>
      <c r="B864" s="863"/>
      <c r="C864" s="279" t="s">
        <v>339</v>
      </c>
      <c r="D864" s="434" t="s">
        <v>304</v>
      </c>
      <c r="E864" s="280"/>
      <c r="F864" s="435">
        <f t="shared" si="171"/>
        <v>0</v>
      </c>
      <c r="G864" s="602">
        <v>10000</v>
      </c>
      <c r="H864" s="597">
        <f t="shared" si="169"/>
        <v>0</v>
      </c>
      <c r="I864" s="596">
        <f t="shared" si="170"/>
        <v>0</v>
      </c>
      <c r="J864" s="373"/>
    </row>
    <row r="865" spans="1:10" ht="35.25" customHeight="1" thickBot="1" x14ac:dyDescent="0.35">
      <c r="A865" s="1134"/>
      <c r="B865" s="863"/>
      <c r="C865" s="279" t="s">
        <v>303</v>
      </c>
      <c r="D865" s="434" t="s">
        <v>304</v>
      </c>
      <c r="E865" s="280"/>
      <c r="F865" s="435">
        <f t="shared" si="171"/>
        <v>0</v>
      </c>
      <c r="G865" s="602">
        <v>360</v>
      </c>
      <c r="H865" s="597">
        <f t="shared" si="169"/>
        <v>0</v>
      </c>
      <c r="I865" s="596">
        <f t="shared" si="170"/>
        <v>0</v>
      </c>
      <c r="J865" s="373"/>
    </row>
    <row r="866" spans="1:10" ht="35.25" customHeight="1" thickBot="1" x14ac:dyDescent="0.35">
      <c r="A866" s="1135"/>
      <c r="B866" s="1129" t="s">
        <v>268</v>
      </c>
      <c r="C866" s="1130"/>
      <c r="D866" s="865"/>
      <c r="E866" s="326">
        <f>SUM(E837:E865)</f>
        <v>0</v>
      </c>
      <c r="F866" s="326">
        <f t="shared" si="171"/>
        <v>0</v>
      </c>
      <c r="G866" s="326"/>
      <c r="H866" s="587">
        <f>SUM(H837:H865)</f>
        <v>0</v>
      </c>
      <c r="I866" s="580">
        <f>SUM(I837:I865)</f>
        <v>0</v>
      </c>
      <c r="J866" s="373"/>
    </row>
    <row r="867" spans="1:10" ht="35.25" customHeight="1" x14ac:dyDescent="0.3">
      <c r="A867" s="1133" t="s">
        <v>102</v>
      </c>
      <c r="B867" s="863"/>
      <c r="C867" s="279" t="s">
        <v>509</v>
      </c>
      <c r="D867" s="434" t="s">
        <v>238</v>
      </c>
      <c r="E867" s="280"/>
      <c r="F867" s="435">
        <f t="shared" si="171"/>
        <v>6200</v>
      </c>
      <c r="G867" s="803">
        <v>624.26</v>
      </c>
      <c r="H867" s="593">
        <f>E867*G867</f>
        <v>0</v>
      </c>
      <c r="I867" s="596">
        <f t="shared" ref="I867:I869" si="172">+G867*F867</f>
        <v>3870412</v>
      </c>
      <c r="J867" s="373"/>
    </row>
    <row r="868" spans="1:10" ht="35.25" customHeight="1" x14ac:dyDescent="0.3">
      <c r="A868" s="1134"/>
      <c r="B868" s="863"/>
      <c r="C868" s="279" t="s">
        <v>273</v>
      </c>
      <c r="D868" s="434" t="s">
        <v>238</v>
      </c>
      <c r="E868" s="280"/>
      <c r="F868" s="435">
        <f t="shared" si="171"/>
        <v>640</v>
      </c>
      <c r="G868" s="602">
        <v>430.02</v>
      </c>
      <c r="H868" s="593">
        <f t="shared" ref="H868:H889" si="173">E868*G868</f>
        <v>0</v>
      </c>
      <c r="I868" s="596">
        <f t="shared" si="172"/>
        <v>275212.79999999999</v>
      </c>
      <c r="J868" s="373"/>
    </row>
    <row r="869" spans="1:10" ht="35.25" customHeight="1" x14ac:dyDescent="0.3">
      <c r="A869" s="1134"/>
      <c r="B869" s="863"/>
      <c r="C869" s="279" t="s">
        <v>390</v>
      </c>
      <c r="D869" s="434" t="s">
        <v>238</v>
      </c>
      <c r="E869" s="280"/>
      <c r="F869" s="435">
        <f t="shared" si="171"/>
        <v>0</v>
      </c>
      <c r="G869" s="602">
        <v>445.38</v>
      </c>
      <c r="H869" s="593">
        <f t="shared" si="173"/>
        <v>0</v>
      </c>
      <c r="I869" s="596">
        <f t="shared" si="172"/>
        <v>0</v>
      </c>
      <c r="J869" s="373"/>
    </row>
    <row r="870" spans="1:10" ht="35.25" customHeight="1" x14ac:dyDescent="0.3">
      <c r="A870" s="1134"/>
      <c r="B870" s="863"/>
      <c r="C870" s="279" t="s">
        <v>301</v>
      </c>
      <c r="D870" s="434" t="s">
        <v>238</v>
      </c>
      <c r="E870" s="280"/>
      <c r="F870" s="435">
        <f t="shared" si="171"/>
        <v>8640</v>
      </c>
      <c r="G870" s="602">
        <v>63.55</v>
      </c>
      <c r="H870" s="593">
        <f t="shared" si="173"/>
        <v>0</v>
      </c>
      <c r="I870" s="596">
        <f>+G870*F870</f>
        <v>549072</v>
      </c>
      <c r="J870" s="373"/>
    </row>
    <row r="871" spans="1:10" ht="35.25" customHeight="1" x14ac:dyDescent="0.3">
      <c r="A871" s="1134"/>
      <c r="B871" s="863"/>
      <c r="C871" s="279" t="s">
        <v>514</v>
      </c>
      <c r="D871" s="434" t="s">
        <v>238</v>
      </c>
      <c r="E871" s="280">
        <v>3660</v>
      </c>
      <c r="F871" s="435">
        <f t="shared" si="171"/>
        <v>48300</v>
      </c>
      <c r="G871" s="602">
        <v>71.44</v>
      </c>
      <c r="H871" s="593">
        <f t="shared" si="173"/>
        <v>261470.4</v>
      </c>
      <c r="I871" s="596">
        <f>+G871*F871</f>
        <v>3450552</v>
      </c>
      <c r="J871" s="373"/>
    </row>
    <row r="872" spans="1:10" ht="35.25" customHeight="1" x14ac:dyDescent="0.3">
      <c r="A872" s="1134"/>
      <c r="B872" s="863"/>
      <c r="C872" s="279" t="s">
        <v>275</v>
      </c>
      <c r="D872" s="434" t="s">
        <v>238</v>
      </c>
      <c r="E872" s="280">
        <v>8400</v>
      </c>
      <c r="F872" s="435">
        <f t="shared" si="171"/>
        <v>42720</v>
      </c>
      <c r="G872" s="602">
        <v>71.44</v>
      </c>
      <c r="H872" s="593">
        <f t="shared" si="173"/>
        <v>600096</v>
      </c>
      <c r="I872" s="596">
        <f t="shared" ref="I872:I889" si="174">+G872*F872</f>
        <v>3051916.8</v>
      </c>
      <c r="J872" s="373"/>
    </row>
    <row r="873" spans="1:10" ht="35.25" customHeight="1" x14ac:dyDescent="0.3">
      <c r="A873" s="1134"/>
      <c r="B873" s="863"/>
      <c r="C873" s="279" t="s">
        <v>276</v>
      </c>
      <c r="D873" s="434" t="s">
        <v>238</v>
      </c>
      <c r="E873" s="280"/>
      <c r="F873" s="435">
        <f t="shared" si="171"/>
        <v>0</v>
      </c>
      <c r="G873" s="602">
        <v>36.5</v>
      </c>
      <c r="H873" s="593">
        <f t="shared" si="173"/>
        <v>0</v>
      </c>
      <c r="I873" s="596">
        <f t="shared" si="174"/>
        <v>0</v>
      </c>
      <c r="J873" s="373"/>
    </row>
    <row r="874" spans="1:10" ht="35.25" customHeight="1" x14ac:dyDescent="0.3">
      <c r="A874" s="1134"/>
      <c r="B874" s="863"/>
      <c r="C874" s="279" t="s">
        <v>527</v>
      </c>
      <c r="D874" s="434" t="s">
        <v>238</v>
      </c>
      <c r="E874" s="280"/>
      <c r="F874" s="435">
        <f t="shared" si="171"/>
        <v>2000</v>
      </c>
      <c r="G874" s="602">
        <v>320.35000000000002</v>
      </c>
      <c r="H874" s="593">
        <f t="shared" si="173"/>
        <v>0</v>
      </c>
      <c r="I874" s="596">
        <f t="shared" si="174"/>
        <v>640700</v>
      </c>
      <c r="J874" s="373"/>
    </row>
    <row r="875" spans="1:10" ht="35.25" customHeight="1" x14ac:dyDescent="0.3">
      <c r="A875" s="1134"/>
      <c r="B875" s="863"/>
      <c r="C875" s="279" t="s">
        <v>285</v>
      </c>
      <c r="D875" s="434" t="s">
        <v>238</v>
      </c>
      <c r="E875" s="280"/>
      <c r="F875" s="435">
        <f t="shared" si="171"/>
        <v>0</v>
      </c>
      <c r="G875" s="602">
        <v>320.35000000000002</v>
      </c>
      <c r="H875" s="593">
        <f t="shared" si="173"/>
        <v>0</v>
      </c>
      <c r="I875" s="596">
        <f t="shared" si="174"/>
        <v>0</v>
      </c>
      <c r="J875" s="373"/>
    </row>
    <row r="876" spans="1:10" ht="35.25" customHeight="1" x14ac:dyDescent="0.3">
      <c r="A876" s="1134"/>
      <c r="B876" s="863"/>
      <c r="C876" s="279" t="s">
        <v>296</v>
      </c>
      <c r="D876" s="434" t="s">
        <v>238</v>
      </c>
      <c r="E876" s="280"/>
      <c r="F876" s="435">
        <f t="shared" si="171"/>
        <v>0</v>
      </c>
      <c r="G876" s="602">
        <v>434.41</v>
      </c>
      <c r="H876" s="593">
        <f t="shared" si="173"/>
        <v>0</v>
      </c>
      <c r="I876" s="596">
        <f t="shared" si="174"/>
        <v>0</v>
      </c>
      <c r="J876" s="373"/>
    </row>
    <row r="877" spans="1:10" ht="35.25" customHeight="1" x14ac:dyDescent="0.3">
      <c r="A877" s="1134"/>
      <c r="B877" s="863"/>
      <c r="C877" s="279" t="s">
        <v>282</v>
      </c>
      <c r="D877" s="434" t="s">
        <v>238</v>
      </c>
      <c r="E877" s="280"/>
      <c r="F877" s="435">
        <f t="shared" si="171"/>
        <v>0</v>
      </c>
      <c r="G877" s="602">
        <v>29690</v>
      </c>
      <c r="H877" s="593">
        <f t="shared" si="173"/>
        <v>0</v>
      </c>
      <c r="I877" s="596">
        <f t="shared" si="174"/>
        <v>0</v>
      </c>
      <c r="J877" s="373"/>
    </row>
    <row r="878" spans="1:10" ht="35.25" customHeight="1" x14ac:dyDescent="0.3">
      <c r="A878" s="1134"/>
      <c r="B878" s="863"/>
      <c r="C878" s="279" t="s">
        <v>282</v>
      </c>
      <c r="D878" s="434" t="s">
        <v>238</v>
      </c>
      <c r="E878" s="280"/>
      <c r="F878" s="435">
        <f t="shared" si="171"/>
        <v>1</v>
      </c>
      <c r="G878" s="602">
        <v>26445</v>
      </c>
      <c r="H878" s="593">
        <f t="shared" si="173"/>
        <v>0</v>
      </c>
      <c r="I878" s="596">
        <f t="shared" si="174"/>
        <v>26445</v>
      </c>
      <c r="J878" s="373"/>
    </row>
    <row r="879" spans="1:10" ht="35.25" customHeight="1" x14ac:dyDescent="0.3">
      <c r="A879" s="1134"/>
      <c r="B879" s="863"/>
      <c r="C879" s="279" t="s">
        <v>282</v>
      </c>
      <c r="D879" s="434"/>
      <c r="E879" s="280"/>
      <c r="F879" s="435">
        <f t="shared" si="171"/>
        <v>0</v>
      </c>
      <c r="G879" s="602">
        <v>33947.884599999998</v>
      </c>
      <c r="H879" s="593">
        <f t="shared" si="173"/>
        <v>0</v>
      </c>
      <c r="I879" s="596">
        <f t="shared" si="174"/>
        <v>0</v>
      </c>
      <c r="J879" s="373"/>
    </row>
    <row r="880" spans="1:10" ht="35.25" customHeight="1" x14ac:dyDescent="0.3">
      <c r="A880" s="1134"/>
      <c r="B880" s="863"/>
      <c r="C880" s="279" t="s">
        <v>311</v>
      </c>
      <c r="D880" s="434" t="s">
        <v>337</v>
      </c>
      <c r="E880" s="280"/>
      <c r="F880" s="435">
        <f t="shared" si="171"/>
        <v>0</v>
      </c>
      <c r="G880" s="602">
        <v>50</v>
      </c>
      <c r="H880" s="593">
        <f t="shared" si="173"/>
        <v>0</v>
      </c>
      <c r="I880" s="596">
        <f t="shared" si="174"/>
        <v>0</v>
      </c>
      <c r="J880" s="373"/>
    </row>
    <row r="881" spans="1:10" ht="35.25" customHeight="1" x14ac:dyDescent="0.3">
      <c r="A881" s="1134"/>
      <c r="B881" s="863"/>
      <c r="C881" s="279" t="s">
        <v>311</v>
      </c>
      <c r="D881" s="434"/>
      <c r="E881" s="280"/>
      <c r="F881" s="435">
        <f t="shared" si="171"/>
        <v>0</v>
      </c>
      <c r="G881" s="602">
        <v>10</v>
      </c>
      <c r="H881" s="593">
        <f t="shared" si="173"/>
        <v>0</v>
      </c>
      <c r="I881" s="596">
        <f t="shared" si="174"/>
        <v>0</v>
      </c>
      <c r="J881" s="373"/>
    </row>
    <row r="882" spans="1:10" ht="35.25" customHeight="1" x14ac:dyDescent="0.3">
      <c r="A882" s="1134"/>
      <c r="B882" s="863"/>
      <c r="C882" s="279" t="s">
        <v>329</v>
      </c>
      <c r="D882" s="434" t="s">
        <v>370</v>
      </c>
      <c r="E882" s="280"/>
      <c r="F882" s="435">
        <f t="shared" si="171"/>
        <v>0</v>
      </c>
      <c r="G882" s="602">
        <v>57.64</v>
      </c>
      <c r="H882" s="593">
        <f t="shared" si="173"/>
        <v>0</v>
      </c>
      <c r="I882" s="596">
        <f t="shared" si="174"/>
        <v>0</v>
      </c>
      <c r="J882" s="373"/>
    </row>
    <row r="883" spans="1:10" ht="35.25" customHeight="1" x14ac:dyDescent="0.3">
      <c r="A883" s="1134"/>
      <c r="B883" s="863"/>
      <c r="C883" s="279" t="s">
        <v>329</v>
      </c>
      <c r="D883" s="434" t="s">
        <v>364</v>
      </c>
      <c r="E883" s="280"/>
      <c r="F883" s="435">
        <f t="shared" si="171"/>
        <v>0</v>
      </c>
      <c r="G883" s="602">
        <v>57.64</v>
      </c>
      <c r="H883" s="593">
        <f t="shared" si="173"/>
        <v>0</v>
      </c>
      <c r="I883" s="596">
        <f t="shared" si="174"/>
        <v>0</v>
      </c>
      <c r="J883" s="373"/>
    </row>
    <row r="884" spans="1:10" ht="35.25" customHeight="1" x14ac:dyDescent="0.3">
      <c r="A884" s="1134"/>
      <c r="B884" s="863"/>
      <c r="C884" s="279" t="s">
        <v>330</v>
      </c>
      <c r="D884" s="434" t="s">
        <v>331</v>
      </c>
      <c r="E884" s="280"/>
      <c r="F884" s="435">
        <f t="shared" si="171"/>
        <v>0</v>
      </c>
      <c r="G884" s="602">
        <v>434.41</v>
      </c>
      <c r="H884" s="593">
        <f t="shared" si="173"/>
        <v>0</v>
      </c>
      <c r="I884" s="596">
        <f t="shared" si="174"/>
        <v>0</v>
      </c>
      <c r="J884" s="373"/>
    </row>
    <row r="885" spans="1:10" ht="35.25" customHeight="1" x14ac:dyDescent="0.3">
      <c r="A885" s="1134"/>
      <c r="B885" s="863"/>
      <c r="C885" s="279" t="s">
        <v>343</v>
      </c>
      <c r="D885" s="434" t="s">
        <v>238</v>
      </c>
      <c r="E885" s="280"/>
      <c r="F885" s="435">
        <f t="shared" si="171"/>
        <v>0</v>
      </c>
      <c r="G885" s="602">
        <v>624.26</v>
      </c>
      <c r="H885" s="593">
        <f t="shared" si="173"/>
        <v>0</v>
      </c>
      <c r="I885" s="596">
        <f t="shared" si="174"/>
        <v>0</v>
      </c>
      <c r="J885" s="373"/>
    </row>
    <row r="886" spans="1:10" ht="35.25" customHeight="1" x14ac:dyDescent="0.3">
      <c r="A886" s="1134"/>
      <c r="B886" s="863"/>
      <c r="C886" s="279" t="s">
        <v>332</v>
      </c>
      <c r="D886" s="434" t="s">
        <v>331</v>
      </c>
      <c r="E886" s="280"/>
      <c r="F886" s="435">
        <f t="shared" si="171"/>
        <v>0</v>
      </c>
      <c r="G886" s="602">
        <v>63.55</v>
      </c>
      <c r="H886" s="593">
        <f t="shared" si="173"/>
        <v>0</v>
      </c>
      <c r="I886" s="596">
        <f t="shared" si="174"/>
        <v>0</v>
      </c>
      <c r="J886" s="373"/>
    </row>
    <row r="887" spans="1:10" ht="35.25" customHeight="1" x14ac:dyDescent="0.3">
      <c r="A887" s="1134"/>
      <c r="B887" s="863"/>
      <c r="C887" s="279" t="s">
        <v>371</v>
      </c>
      <c r="D887" s="434" t="s">
        <v>238</v>
      </c>
      <c r="E887" s="280"/>
      <c r="F887" s="435">
        <f t="shared" si="171"/>
        <v>0</v>
      </c>
      <c r="G887" s="602">
        <v>59.96</v>
      </c>
      <c r="H887" s="593">
        <f t="shared" si="173"/>
        <v>0</v>
      </c>
      <c r="I887" s="596">
        <f t="shared" si="174"/>
        <v>0</v>
      </c>
      <c r="J887" s="373"/>
    </row>
    <row r="888" spans="1:10" ht="35.25" customHeight="1" x14ac:dyDescent="0.3">
      <c r="A888" s="1134"/>
      <c r="B888" s="863"/>
      <c r="C888" s="279" t="s">
        <v>419</v>
      </c>
      <c r="D888" s="434" t="s">
        <v>331</v>
      </c>
      <c r="E888" s="280"/>
      <c r="F888" s="435">
        <f t="shared" si="171"/>
        <v>0</v>
      </c>
      <c r="G888" s="602">
        <v>53.86</v>
      </c>
      <c r="H888" s="593">
        <f t="shared" si="173"/>
        <v>0</v>
      </c>
      <c r="I888" s="596">
        <f t="shared" si="174"/>
        <v>0</v>
      </c>
      <c r="J888" s="373"/>
    </row>
    <row r="889" spans="1:10" ht="35.25" customHeight="1" x14ac:dyDescent="0.3">
      <c r="A889" s="1134"/>
      <c r="B889" s="863"/>
      <c r="C889" s="279" t="s">
        <v>379</v>
      </c>
      <c r="D889" s="434"/>
      <c r="E889" s="280"/>
      <c r="F889" s="435">
        <f t="shared" si="171"/>
        <v>0</v>
      </c>
      <c r="G889" s="602">
        <v>360</v>
      </c>
      <c r="H889" s="593">
        <f t="shared" si="173"/>
        <v>0</v>
      </c>
      <c r="I889" s="596">
        <f t="shared" si="174"/>
        <v>0</v>
      </c>
      <c r="J889" s="373"/>
    </row>
    <row r="890" spans="1:10" ht="35.25" customHeight="1" x14ac:dyDescent="0.3">
      <c r="A890" s="1134"/>
      <c r="B890" s="863"/>
      <c r="C890" s="279" t="s">
        <v>471</v>
      </c>
      <c r="D890" s="434"/>
      <c r="E890" s="280"/>
      <c r="F890" s="435">
        <f t="shared" si="171"/>
        <v>0</v>
      </c>
      <c r="G890" s="602"/>
      <c r="H890" s="593">
        <f>+E890</f>
        <v>0</v>
      </c>
      <c r="I890" s="596">
        <f>+H890</f>
        <v>0</v>
      </c>
      <c r="J890" s="373"/>
    </row>
    <row r="891" spans="1:10" ht="35.25" customHeight="1" x14ac:dyDescent="0.3">
      <c r="A891" s="1134"/>
      <c r="B891" s="863"/>
      <c r="C891" s="279" t="s">
        <v>282</v>
      </c>
      <c r="D891" s="434"/>
      <c r="E891" s="280"/>
      <c r="F891" s="435">
        <f t="shared" si="171"/>
        <v>0</v>
      </c>
      <c r="G891" s="602">
        <v>39450</v>
      </c>
      <c r="H891" s="593">
        <f t="shared" ref="H891:H892" si="175">E891*G891</f>
        <v>0</v>
      </c>
      <c r="I891" s="596">
        <f t="shared" ref="I891:I892" si="176">+G891*F891</f>
        <v>0</v>
      </c>
      <c r="J891" s="373"/>
    </row>
    <row r="892" spans="1:10" ht="35.25" customHeight="1" thickBot="1" x14ac:dyDescent="0.35">
      <c r="A892" s="1134"/>
      <c r="B892" s="863"/>
      <c r="C892" s="279" t="s">
        <v>329</v>
      </c>
      <c r="D892" s="434" t="s">
        <v>443</v>
      </c>
      <c r="E892" s="280"/>
      <c r="F892" s="435">
        <f t="shared" si="171"/>
        <v>0</v>
      </c>
      <c r="G892" s="602">
        <v>57.64</v>
      </c>
      <c r="H892" s="593">
        <f t="shared" si="175"/>
        <v>0</v>
      </c>
      <c r="I892" s="596">
        <f t="shared" si="176"/>
        <v>0</v>
      </c>
      <c r="J892" s="373"/>
    </row>
    <row r="893" spans="1:10" ht="35.25" customHeight="1" thickBot="1" x14ac:dyDescent="0.35">
      <c r="A893" s="1135"/>
      <c r="B893" s="1129" t="s">
        <v>270</v>
      </c>
      <c r="C893" s="1130"/>
      <c r="D893" s="865"/>
      <c r="E893" s="326">
        <f>SUM(E867:E892)</f>
        <v>12060</v>
      </c>
      <c r="F893" s="326">
        <f>SUM(F867:F892)</f>
        <v>108501</v>
      </c>
      <c r="G893" s="326"/>
      <c r="H893" s="590">
        <f>SUM(H867:H892)</f>
        <v>861566.4</v>
      </c>
      <c r="I893" s="580">
        <f>SUM(I867:I892)</f>
        <v>11864310.6</v>
      </c>
      <c r="J893" s="372"/>
    </row>
    <row r="894" spans="1:10" ht="35.25" customHeight="1" thickBot="1" x14ac:dyDescent="0.35">
      <c r="A894" s="868"/>
      <c r="B894" s="437"/>
      <c r="C894" s="279" t="s">
        <v>379</v>
      </c>
      <c r="D894" s="434"/>
      <c r="E894" s="280"/>
      <c r="F894" s="281">
        <f>+E894</f>
        <v>0</v>
      </c>
      <c r="G894" s="334"/>
      <c r="H894" s="589">
        <f t="shared" ref="H894" si="177">E894*G894</f>
        <v>0</v>
      </c>
      <c r="I894" s="282">
        <f t="shared" ref="I894" si="178">+G894*F894</f>
        <v>0</v>
      </c>
      <c r="J894" s="373"/>
    </row>
    <row r="895" spans="1:10" ht="35.25" customHeight="1" thickBot="1" x14ac:dyDescent="0.35">
      <c r="A895" s="868"/>
      <c r="B895" s="1129" t="s">
        <v>224</v>
      </c>
      <c r="C895" s="1130"/>
      <c r="D895" s="861"/>
      <c r="E895" s="326"/>
      <c r="F895" s="327"/>
      <c r="G895" s="326"/>
      <c r="H895" s="587"/>
      <c r="I895" s="324">
        <f>SUM(I894)</f>
        <v>0</v>
      </c>
      <c r="J895" s="349"/>
    </row>
    <row r="896" spans="1:10" ht="35.25" customHeight="1" thickBot="1" x14ac:dyDescent="0.35">
      <c r="A896" s="319"/>
      <c r="B896" s="1131" t="s">
        <v>174</v>
      </c>
      <c r="C896" s="1132"/>
      <c r="D896" s="862"/>
      <c r="E896" s="374">
        <f>+E893+E866+E836+E834</f>
        <v>44024</v>
      </c>
      <c r="F896" s="374">
        <f>+F893+F866+F836+F834</f>
        <v>729323</v>
      </c>
      <c r="G896" s="374"/>
      <c r="H896" s="374"/>
      <c r="I896" s="374">
        <f>+I893+I866+I836+I895</f>
        <v>22751090.280000001</v>
      </c>
      <c r="J896" s="375"/>
    </row>
    <row r="897" spans="1:10" ht="35.25" customHeight="1" x14ac:dyDescent="0.3">
      <c r="A897" s="1057" t="s">
        <v>1</v>
      </c>
      <c r="B897" s="1060" t="s">
        <v>2</v>
      </c>
      <c r="C897" s="1138" t="s">
        <v>396</v>
      </c>
      <c r="D897" s="1115" t="s">
        <v>397</v>
      </c>
      <c r="E897" s="1142" t="s">
        <v>542</v>
      </c>
      <c r="F897" s="1067"/>
      <c r="G897" s="1067"/>
      <c r="H897" s="1067"/>
      <c r="I897" s="1067"/>
      <c r="J897" s="1068"/>
    </row>
    <row r="898" spans="1:10" ht="35.25" customHeight="1" x14ac:dyDescent="0.3">
      <c r="A898" s="1136"/>
      <c r="B898" s="1137"/>
      <c r="C898" s="1139"/>
      <c r="D898" s="1116"/>
      <c r="E898" s="1143" t="s">
        <v>412</v>
      </c>
      <c r="F898" s="1144"/>
      <c r="G898" s="1143" t="s">
        <v>411</v>
      </c>
      <c r="H898" s="1145"/>
      <c r="I898" s="1145"/>
      <c r="J898" s="1144"/>
    </row>
    <row r="899" spans="1:10" ht="35.25" customHeight="1" x14ac:dyDescent="0.3">
      <c r="A899" s="1058"/>
      <c r="B899" s="1061"/>
      <c r="C899" s="1140"/>
      <c r="D899" s="1116"/>
      <c r="E899" s="1069" t="s">
        <v>413</v>
      </c>
      <c r="F899" s="1071" t="s">
        <v>414</v>
      </c>
      <c r="G899" s="1147" t="s">
        <v>90</v>
      </c>
      <c r="H899" s="1149" t="s">
        <v>91</v>
      </c>
      <c r="I899" s="1149" t="s">
        <v>91</v>
      </c>
      <c r="J899" s="1151" t="s">
        <v>12</v>
      </c>
    </row>
    <row r="900" spans="1:10" ht="35.25" customHeight="1" thickBot="1" x14ac:dyDescent="0.35">
      <c r="A900" s="1059"/>
      <c r="B900" s="1062"/>
      <c r="C900" s="1141"/>
      <c r="D900" s="1117"/>
      <c r="E900" s="1070"/>
      <c r="F900" s="1146"/>
      <c r="G900" s="1148"/>
      <c r="H900" s="1150"/>
      <c r="I900" s="1150"/>
      <c r="J900" s="1152"/>
    </row>
    <row r="901" spans="1:10" ht="35.25" customHeight="1" x14ac:dyDescent="0.3">
      <c r="A901" s="1133" t="s">
        <v>103</v>
      </c>
      <c r="B901" s="439"/>
      <c r="C901" s="577" t="s">
        <v>538</v>
      </c>
      <c r="D901" s="665" t="s">
        <v>539</v>
      </c>
      <c r="E901" s="699"/>
      <c r="F901" s="674">
        <f>+E901+F807</f>
        <v>1024</v>
      </c>
      <c r="G901" s="732">
        <v>109.77</v>
      </c>
      <c r="H901" s="591">
        <f t="shared" ref="H901:H915" si="179">E901*G901</f>
        <v>0</v>
      </c>
      <c r="I901" s="594">
        <f>+G901*F901</f>
        <v>112404.48</v>
      </c>
      <c r="J901" s="351"/>
    </row>
    <row r="902" spans="1:10" ht="35.25" customHeight="1" x14ac:dyDescent="0.3">
      <c r="A902" s="1134"/>
      <c r="B902" s="438"/>
      <c r="C902" s="441" t="s">
        <v>264</v>
      </c>
      <c r="D902" s="666" t="s">
        <v>265</v>
      </c>
      <c r="E902" s="700"/>
      <c r="F902" s="701">
        <f t="shared" ref="F902:F915" si="180">+E902+F808</f>
        <v>0</v>
      </c>
      <c r="G902" s="697">
        <v>11</v>
      </c>
      <c r="H902" s="592">
        <f t="shared" si="179"/>
        <v>0</v>
      </c>
      <c r="I902" s="595">
        <f>+G902*F902</f>
        <v>0</v>
      </c>
      <c r="J902" s="352"/>
    </row>
    <row r="903" spans="1:10" ht="35.25" customHeight="1" x14ac:dyDescent="0.3">
      <c r="A903" s="1134"/>
      <c r="B903" s="438"/>
      <c r="C903" s="441" t="s">
        <v>295</v>
      </c>
      <c r="D903" s="666" t="s">
        <v>453</v>
      </c>
      <c r="E903" s="700"/>
      <c r="F903" s="701">
        <f t="shared" si="180"/>
        <v>640</v>
      </c>
      <c r="G903" s="697">
        <v>139.04</v>
      </c>
      <c r="H903" s="592">
        <f t="shared" si="179"/>
        <v>0</v>
      </c>
      <c r="I903" s="595">
        <f t="shared" ref="I903:I915" si="181">+G903*F903</f>
        <v>88985.599999999991</v>
      </c>
      <c r="J903" s="352"/>
    </row>
    <row r="904" spans="1:10" ht="35.25" customHeight="1" x14ac:dyDescent="0.3">
      <c r="A904" s="1134"/>
      <c r="B904" s="438"/>
      <c r="C904" s="441" t="s">
        <v>531</v>
      </c>
      <c r="D904" s="666" t="s">
        <v>529</v>
      </c>
      <c r="E904" s="700"/>
      <c r="F904" s="701">
        <f t="shared" si="180"/>
        <v>12240</v>
      </c>
      <c r="G904" s="715">
        <v>20.66</v>
      </c>
      <c r="H904" s="592">
        <f t="shared" si="179"/>
        <v>0</v>
      </c>
      <c r="I904" s="595">
        <f t="shared" si="181"/>
        <v>252878.4</v>
      </c>
      <c r="J904" s="352"/>
    </row>
    <row r="905" spans="1:10" ht="35.25" customHeight="1" x14ac:dyDescent="0.3">
      <c r="A905" s="1134"/>
      <c r="B905" s="438"/>
      <c r="C905" s="441" t="s">
        <v>288</v>
      </c>
      <c r="D905" s="666" t="s">
        <v>177</v>
      </c>
      <c r="E905" s="700"/>
      <c r="F905" s="701">
        <f t="shared" si="180"/>
        <v>0</v>
      </c>
      <c r="G905" s="697">
        <v>14.79</v>
      </c>
      <c r="H905" s="592">
        <f t="shared" si="179"/>
        <v>0</v>
      </c>
      <c r="I905" s="595">
        <f t="shared" si="181"/>
        <v>0</v>
      </c>
      <c r="J905" s="352"/>
    </row>
    <row r="906" spans="1:10" ht="35.25" customHeight="1" x14ac:dyDescent="0.3">
      <c r="A906" s="1134"/>
      <c r="B906" s="438"/>
      <c r="C906" s="441" t="s">
        <v>295</v>
      </c>
      <c r="D906" s="666" t="s">
        <v>265</v>
      </c>
      <c r="E906" s="700"/>
      <c r="F906" s="701">
        <f t="shared" si="180"/>
        <v>5120</v>
      </c>
      <c r="G906" s="697">
        <v>139.04</v>
      </c>
      <c r="H906" s="592">
        <f t="shared" si="179"/>
        <v>0</v>
      </c>
      <c r="I906" s="595">
        <f t="shared" si="181"/>
        <v>711884.79999999993</v>
      </c>
      <c r="J906" s="352"/>
    </row>
    <row r="907" spans="1:10" ht="35.25" customHeight="1" x14ac:dyDescent="0.3">
      <c r="A907" s="1134"/>
      <c r="B907" s="438"/>
      <c r="C907" s="441" t="s">
        <v>537</v>
      </c>
      <c r="D907" s="666" t="s">
        <v>265</v>
      </c>
      <c r="E907" s="700"/>
      <c r="F907" s="701">
        <f t="shared" si="180"/>
        <v>640</v>
      </c>
      <c r="G907" s="697">
        <v>135.96</v>
      </c>
      <c r="H907" s="592">
        <f t="shared" si="179"/>
        <v>0</v>
      </c>
      <c r="I907" s="595">
        <f t="shared" si="181"/>
        <v>87014.400000000009</v>
      </c>
      <c r="J907" s="352"/>
    </row>
    <row r="908" spans="1:10" ht="35.25" customHeight="1" x14ac:dyDescent="0.3">
      <c r="A908" s="1134"/>
      <c r="B908" s="438"/>
      <c r="C908" s="441" t="s">
        <v>313</v>
      </c>
      <c r="D908" s="667" t="s">
        <v>265</v>
      </c>
      <c r="E908" s="700"/>
      <c r="F908" s="701">
        <f t="shared" si="180"/>
        <v>48960</v>
      </c>
      <c r="G908" s="697">
        <v>18.84</v>
      </c>
      <c r="H908" s="592">
        <f t="shared" si="179"/>
        <v>0</v>
      </c>
      <c r="I908" s="595">
        <f t="shared" si="181"/>
        <v>922406.40000000002</v>
      </c>
      <c r="J908" s="352"/>
    </row>
    <row r="909" spans="1:10" ht="35.25" customHeight="1" x14ac:dyDescent="0.3">
      <c r="A909" s="1134"/>
      <c r="B909" s="438"/>
      <c r="C909" s="441" t="s">
        <v>322</v>
      </c>
      <c r="D909" s="667" t="s">
        <v>232</v>
      </c>
      <c r="E909" s="700"/>
      <c r="F909" s="701">
        <f t="shared" si="180"/>
        <v>0</v>
      </c>
      <c r="G909" s="697">
        <v>21.18</v>
      </c>
      <c r="H909" s="592">
        <f t="shared" si="179"/>
        <v>0</v>
      </c>
      <c r="I909" s="595">
        <f t="shared" si="181"/>
        <v>0</v>
      </c>
      <c r="J909" s="352"/>
    </row>
    <row r="910" spans="1:10" ht="35.25" customHeight="1" x14ac:dyDescent="0.3">
      <c r="A910" s="1134"/>
      <c r="B910" s="438"/>
      <c r="C910" s="441" t="s">
        <v>324</v>
      </c>
      <c r="D910" s="667" t="s">
        <v>325</v>
      </c>
      <c r="E910" s="700"/>
      <c r="F910" s="701">
        <f t="shared" si="180"/>
        <v>0</v>
      </c>
      <c r="G910" s="697">
        <v>21.28</v>
      </c>
      <c r="H910" s="592">
        <f t="shared" si="179"/>
        <v>0</v>
      </c>
      <c r="I910" s="595">
        <f t="shared" si="181"/>
        <v>0</v>
      </c>
      <c r="J910" s="352"/>
    </row>
    <row r="911" spans="1:10" ht="35.25" customHeight="1" x14ac:dyDescent="0.3">
      <c r="A911" s="1134"/>
      <c r="B911" s="438"/>
      <c r="C911" s="441" t="s">
        <v>378</v>
      </c>
      <c r="D911" s="667" t="s">
        <v>374</v>
      </c>
      <c r="E911" s="700"/>
      <c r="F911" s="701">
        <f t="shared" si="180"/>
        <v>0</v>
      </c>
      <c r="G911" s="697">
        <v>143.28</v>
      </c>
      <c r="H911" s="592">
        <f t="shared" si="179"/>
        <v>0</v>
      </c>
      <c r="I911" s="595">
        <f t="shared" si="181"/>
        <v>0</v>
      </c>
      <c r="J911" s="352"/>
    </row>
    <row r="912" spans="1:10" ht="35.25" customHeight="1" x14ac:dyDescent="0.3">
      <c r="A912" s="1134"/>
      <c r="B912" s="438"/>
      <c r="C912" s="441" t="s">
        <v>472</v>
      </c>
      <c r="D912" s="667"/>
      <c r="E912" s="700"/>
      <c r="F912" s="701">
        <f t="shared" si="180"/>
        <v>0</v>
      </c>
      <c r="G912" s="697">
        <v>14.79</v>
      </c>
      <c r="H912" s="592">
        <f t="shared" si="179"/>
        <v>0</v>
      </c>
      <c r="I912" s="595">
        <f t="shared" si="181"/>
        <v>0</v>
      </c>
      <c r="J912" s="352"/>
    </row>
    <row r="913" spans="1:10" ht="35.25" customHeight="1" x14ac:dyDescent="0.3">
      <c r="A913" s="1134"/>
      <c r="B913" s="438"/>
      <c r="C913" s="441" t="s">
        <v>451</v>
      </c>
      <c r="D913" s="666" t="s">
        <v>177</v>
      </c>
      <c r="E913" s="700"/>
      <c r="F913" s="701">
        <f t="shared" si="180"/>
        <v>498432</v>
      </c>
      <c r="G913" s="697">
        <v>14.55</v>
      </c>
      <c r="H913" s="592">
        <f t="shared" si="179"/>
        <v>0</v>
      </c>
      <c r="I913" s="595">
        <f t="shared" si="181"/>
        <v>7252185.6000000006</v>
      </c>
      <c r="J913" s="352"/>
    </row>
    <row r="914" spans="1:10" ht="35.25" customHeight="1" x14ac:dyDescent="0.3">
      <c r="A914" s="1134"/>
      <c r="B914" s="438"/>
      <c r="C914" s="441" t="s">
        <v>327</v>
      </c>
      <c r="D914" s="667" t="s">
        <v>188</v>
      </c>
      <c r="E914" s="700"/>
      <c r="F914" s="701">
        <f t="shared" si="180"/>
        <v>0</v>
      </c>
      <c r="G914" s="697">
        <v>21.28</v>
      </c>
      <c r="H914" s="592">
        <f t="shared" si="179"/>
        <v>0</v>
      </c>
      <c r="I914" s="595">
        <f t="shared" si="181"/>
        <v>0</v>
      </c>
      <c r="J914" s="352"/>
    </row>
    <row r="915" spans="1:10" ht="35.25" customHeight="1" thickBot="1" x14ac:dyDescent="0.35">
      <c r="A915" s="1134"/>
      <c r="B915" s="438"/>
      <c r="C915" s="441" t="s">
        <v>336</v>
      </c>
      <c r="D915" s="668" t="s">
        <v>178</v>
      </c>
      <c r="E915" s="700"/>
      <c r="F915" s="676">
        <f t="shared" si="180"/>
        <v>0</v>
      </c>
      <c r="G915" s="697">
        <v>36.44</v>
      </c>
      <c r="H915" s="592">
        <f t="shared" si="179"/>
        <v>0</v>
      </c>
      <c r="I915" s="595">
        <f t="shared" si="181"/>
        <v>0</v>
      </c>
      <c r="J915" s="352"/>
    </row>
    <row r="916" spans="1:10" ht="35.25" customHeight="1" thickBot="1" x14ac:dyDescent="0.35">
      <c r="A916" s="1134"/>
      <c r="B916" s="1129" t="s">
        <v>266</v>
      </c>
      <c r="C916" s="1130"/>
      <c r="D916" s="889"/>
      <c r="E916" s="326">
        <f>SUM(E901:E915)</f>
        <v>0</v>
      </c>
      <c r="F916" s="698">
        <f>SUM(F901:F915)</f>
        <v>567056</v>
      </c>
      <c r="G916" s="326"/>
      <c r="H916" s="587">
        <f>SUM(H901:H915)</f>
        <v>0</v>
      </c>
      <c r="I916" s="580">
        <f>SUM(I901:I915)</f>
        <v>9427759.6799999997</v>
      </c>
      <c r="J916" s="349"/>
    </row>
    <row r="917" spans="1:10" ht="35.25" customHeight="1" x14ac:dyDescent="0.3">
      <c r="A917" s="1134"/>
      <c r="B917" s="887"/>
      <c r="C917" s="279" t="s">
        <v>271</v>
      </c>
      <c r="D917" s="434" t="s">
        <v>238</v>
      </c>
      <c r="E917" s="280"/>
      <c r="F917" s="435">
        <f>+E917+F823</f>
        <v>0</v>
      </c>
      <c r="G917" s="578">
        <v>160.44999999999999</v>
      </c>
      <c r="H917" s="593">
        <f t="shared" ref="H917:H922" si="182">E917*G917</f>
        <v>0</v>
      </c>
      <c r="I917" s="596">
        <f t="shared" ref="I917:I922" si="183">+G917*F917</f>
        <v>0</v>
      </c>
      <c r="J917" s="373"/>
    </row>
    <row r="918" spans="1:10" ht="35.25" customHeight="1" x14ac:dyDescent="0.3">
      <c r="A918" s="1134"/>
      <c r="B918" s="887"/>
      <c r="C918" s="279" t="s">
        <v>287</v>
      </c>
      <c r="D918" s="434" t="s">
        <v>93</v>
      </c>
      <c r="E918" s="280"/>
      <c r="F918" s="435">
        <f t="shared" ref="F918:F922" si="184">+E918+F824</f>
        <v>53760</v>
      </c>
      <c r="G918" s="578">
        <v>27</v>
      </c>
      <c r="H918" s="593">
        <f t="shared" si="182"/>
        <v>0</v>
      </c>
      <c r="I918" s="596">
        <f t="shared" si="183"/>
        <v>1451520</v>
      </c>
      <c r="J918" s="373"/>
    </row>
    <row r="919" spans="1:10" ht="35.25" customHeight="1" x14ac:dyDescent="0.3">
      <c r="A919" s="1134"/>
      <c r="B919" s="887"/>
      <c r="C919" s="279" t="s">
        <v>287</v>
      </c>
      <c r="D919" s="434" t="s">
        <v>292</v>
      </c>
      <c r="E919" s="280"/>
      <c r="F919" s="435">
        <f t="shared" si="184"/>
        <v>0</v>
      </c>
      <c r="G919" s="578">
        <v>27.5</v>
      </c>
      <c r="H919" s="593">
        <f t="shared" si="182"/>
        <v>0</v>
      </c>
      <c r="I919" s="596">
        <f t="shared" si="183"/>
        <v>0</v>
      </c>
      <c r="J919" s="373"/>
    </row>
    <row r="920" spans="1:10" ht="35.25" customHeight="1" x14ac:dyDescent="0.3">
      <c r="A920" s="1134"/>
      <c r="B920" s="887"/>
      <c r="C920" s="279" t="s">
        <v>276</v>
      </c>
      <c r="D920" s="434" t="s">
        <v>292</v>
      </c>
      <c r="E920" s="280"/>
      <c r="F920" s="435">
        <f t="shared" si="184"/>
        <v>0</v>
      </c>
      <c r="G920" s="578">
        <v>34.5</v>
      </c>
      <c r="H920" s="593">
        <f t="shared" si="182"/>
        <v>0</v>
      </c>
      <c r="I920" s="596">
        <f t="shared" si="183"/>
        <v>0</v>
      </c>
      <c r="J920" s="373"/>
    </row>
    <row r="921" spans="1:10" ht="35.25" customHeight="1" x14ac:dyDescent="0.3">
      <c r="A921" s="1134"/>
      <c r="B921" s="887"/>
      <c r="C921" s="279" t="s">
        <v>473</v>
      </c>
      <c r="D921" s="434" t="s">
        <v>440</v>
      </c>
      <c r="E921" s="280">
        <v>31200</v>
      </c>
      <c r="F921" s="435">
        <f t="shared" si="184"/>
        <v>31200</v>
      </c>
      <c r="G921" s="578">
        <v>10.57</v>
      </c>
      <c r="H921" s="593">
        <f t="shared" si="182"/>
        <v>329784</v>
      </c>
      <c r="I921" s="596">
        <f t="shared" si="183"/>
        <v>329784</v>
      </c>
      <c r="J921" s="373"/>
    </row>
    <row r="922" spans="1:10" ht="35.25" customHeight="1" thickBot="1" x14ac:dyDescent="0.35">
      <c r="A922" s="1134"/>
      <c r="B922" s="887"/>
      <c r="C922" s="279" t="s">
        <v>276</v>
      </c>
      <c r="D922" s="434" t="s">
        <v>440</v>
      </c>
      <c r="E922" s="280">
        <v>26</v>
      </c>
      <c r="F922" s="435">
        <f t="shared" si="184"/>
        <v>26</v>
      </c>
      <c r="G922" s="578">
        <v>55.76</v>
      </c>
      <c r="H922" s="593">
        <f t="shared" si="182"/>
        <v>1449.76</v>
      </c>
      <c r="I922" s="596">
        <f t="shared" si="183"/>
        <v>1449.76</v>
      </c>
      <c r="J922" s="373"/>
    </row>
    <row r="923" spans="1:10" ht="35.25" customHeight="1" thickBot="1" x14ac:dyDescent="0.35">
      <c r="A923" s="1134"/>
      <c r="B923" s="1129" t="s">
        <v>267</v>
      </c>
      <c r="C923" s="1130"/>
      <c r="D923" s="889"/>
      <c r="E923" s="326">
        <f>SUM(E917:E922)</f>
        <v>31226</v>
      </c>
      <c r="F923" s="326">
        <f>SUM(F917:F922)</f>
        <v>84986</v>
      </c>
      <c r="G923" s="326"/>
      <c r="H923" s="587">
        <f>SUM(H917:H922)</f>
        <v>331233.76</v>
      </c>
      <c r="I923" s="580">
        <f>SUM(I917:I922)</f>
        <v>1782753.76</v>
      </c>
      <c r="J923" s="349"/>
    </row>
    <row r="924" spans="1:10" ht="35.25" customHeight="1" x14ac:dyDescent="0.3">
      <c r="A924" s="1134"/>
      <c r="B924" s="887"/>
      <c r="C924" s="279" t="s">
        <v>277</v>
      </c>
      <c r="D924" s="434" t="s">
        <v>278</v>
      </c>
      <c r="E924" s="280">
        <v>2</v>
      </c>
      <c r="F924" s="435">
        <f>+E924+F830</f>
        <v>5</v>
      </c>
      <c r="G924" s="578">
        <v>2500</v>
      </c>
      <c r="H924" s="593">
        <f t="shared" ref="H924:H927" si="185">E924*G924</f>
        <v>5000</v>
      </c>
      <c r="I924" s="596">
        <f>+G924*F924</f>
        <v>12500</v>
      </c>
      <c r="J924" s="373"/>
    </row>
    <row r="925" spans="1:10" ht="35.25" customHeight="1" x14ac:dyDescent="0.3">
      <c r="A925" s="1134"/>
      <c r="B925" s="887"/>
      <c r="C925" s="279" t="s">
        <v>454</v>
      </c>
      <c r="D925" s="434"/>
      <c r="E925" s="280"/>
      <c r="F925" s="435">
        <f t="shared" ref="F925:F927" si="186">+E925+F831</f>
        <v>0</v>
      </c>
      <c r="G925" s="578">
        <v>30000</v>
      </c>
      <c r="H925" s="593">
        <f t="shared" si="185"/>
        <v>0</v>
      </c>
      <c r="I925" s="596">
        <f>+G925*F925</f>
        <v>0</v>
      </c>
      <c r="J925" s="373"/>
    </row>
    <row r="926" spans="1:10" ht="35.25" customHeight="1" x14ac:dyDescent="0.3">
      <c r="A926" s="1134"/>
      <c r="B926" s="887"/>
      <c r="C926" s="279" t="s">
        <v>379</v>
      </c>
      <c r="D926" s="434" t="s">
        <v>304</v>
      </c>
      <c r="E926" s="280"/>
      <c r="F926" s="435">
        <f t="shared" si="186"/>
        <v>0</v>
      </c>
      <c r="G926" s="578">
        <v>360</v>
      </c>
      <c r="H926" s="593">
        <f t="shared" si="185"/>
        <v>0</v>
      </c>
      <c r="I926" s="596">
        <f>+G926*F926</f>
        <v>0</v>
      </c>
      <c r="J926" s="373"/>
    </row>
    <row r="927" spans="1:10" ht="35.25" customHeight="1" thickBot="1" x14ac:dyDescent="0.35">
      <c r="A927" s="1134"/>
      <c r="B927" s="887"/>
      <c r="C927" s="279" t="s">
        <v>427</v>
      </c>
      <c r="D927" s="434" t="s">
        <v>304</v>
      </c>
      <c r="E927" s="280"/>
      <c r="F927" s="435">
        <f t="shared" si="186"/>
        <v>0</v>
      </c>
      <c r="G927" s="579">
        <v>10</v>
      </c>
      <c r="H927" s="593">
        <f t="shared" si="185"/>
        <v>0</v>
      </c>
      <c r="I927" s="596">
        <f t="shared" ref="I927" si="187">+G927*F927</f>
        <v>0</v>
      </c>
      <c r="J927" s="373"/>
    </row>
    <row r="928" spans="1:10" ht="35.25" customHeight="1" thickBot="1" x14ac:dyDescent="0.35">
      <c r="A928" s="1134"/>
      <c r="B928" s="1129" t="s">
        <v>272</v>
      </c>
      <c r="C928" s="1130"/>
      <c r="D928" s="889"/>
      <c r="E928" s="326">
        <f>SUM(E924:E927)</f>
        <v>2</v>
      </c>
      <c r="F928" s="326">
        <f>SUM(F924:F927)</f>
        <v>5</v>
      </c>
      <c r="G928" s="326"/>
      <c r="H928" s="587">
        <f>SUM(H924:H927)</f>
        <v>5000</v>
      </c>
      <c r="I928" s="580">
        <f>SUM(I924:I927)</f>
        <v>12500</v>
      </c>
      <c r="J928" s="373"/>
    </row>
    <row r="929" spans="1:13" ht="35.25" customHeight="1" thickBot="1" x14ac:dyDescent="0.35">
      <c r="A929" s="1134"/>
      <c r="B929" s="887"/>
      <c r="C929" s="279"/>
      <c r="D929" s="434"/>
      <c r="E929" s="280"/>
      <c r="F929" s="317"/>
      <c r="G929" s="579"/>
      <c r="H929" s="588"/>
      <c r="I929" s="282"/>
      <c r="J929" s="373"/>
    </row>
    <row r="930" spans="1:13" ht="35.25" customHeight="1" thickBot="1" x14ac:dyDescent="0.35">
      <c r="A930" s="1135"/>
      <c r="B930" s="1129" t="s">
        <v>269</v>
      </c>
      <c r="C930" s="1130"/>
      <c r="D930" s="885"/>
      <c r="E930" s="326">
        <f>+E928+E923+E916</f>
        <v>31228</v>
      </c>
      <c r="F930" s="326">
        <f>+F928+F923+F916</f>
        <v>652047</v>
      </c>
      <c r="G930" s="326"/>
      <c r="H930" s="580">
        <f>+H923+H916+H928</f>
        <v>336233.76</v>
      </c>
      <c r="I930" s="580">
        <f>+I923+I916+I928</f>
        <v>11223013.439999999</v>
      </c>
      <c r="J930" s="373"/>
      <c r="K930" s="704"/>
      <c r="M930" s="704"/>
    </row>
    <row r="931" spans="1:13" ht="35.25" customHeight="1" x14ac:dyDescent="0.3">
      <c r="A931" s="1133" t="s">
        <v>101</v>
      </c>
      <c r="B931" s="887"/>
      <c r="C931" s="279" t="s">
        <v>281</v>
      </c>
      <c r="D931" s="434" t="s">
        <v>178</v>
      </c>
      <c r="E931" s="280"/>
      <c r="F931" s="435">
        <f>+E931+F837</f>
        <v>0</v>
      </c>
      <c r="G931" s="602">
        <v>13.25</v>
      </c>
      <c r="H931" s="597">
        <f t="shared" ref="H931:H959" si="188">E931*G931</f>
        <v>0</v>
      </c>
      <c r="I931" s="596">
        <f t="shared" ref="I931:I959" si="189">+G931*F931</f>
        <v>0</v>
      </c>
      <c r="J931" s="373"/>
      <c r="K931" s="704"/>
    </row>
    <row r="932" spans="1:13" ht="35.25" customHeight="1" x14ac:dyDescent="0.3">
      <c r="A932" s="1134"/>
      <c r="B932" s="887"/>
      <c r="C932" s="279" t="s">
        <v>282</v>
      </c>
      <c r="D932" s="434"/>
      <c r="E932" s="280"/>
      <c r="F932" s="435">
        <f t="shared" ref="F932:F986" si="190">+E932+F838</f>
        <v>0</v>
      </c>
      <c r="G932" s="603">
        <v>5000</v>
      </c>
      <c r="H932" s="597">
        <f t="shared" si="188"/>
        <v>0</v>
      </c>
      <c r="I932" s="596">
        <f t="shared" si="189"/>
        <v>0</v>
      </c>
      <c r="J932" s="373"/>
      <c r="K932" s="704"/>
    </row>
    <row r="933" spans="1:13" ht="35.25" customHeight="1" x14ac:dyDescent="0.3">
      <c r="A933" s="1134"/>
      <c r="B933" s="887"/>
      <c r="C933" s="279" t="s">
        <v>282</v>
      </c>
      <c r="D933" s="434"/>
      <c r="E933" s="280"/>
      <c r="F933" s="435">
        <f t="shared" si="190"/>
        <v>0</v>
      </c>
      <c r="G933" s="603">
        <v>18000</v>
      </c>
      <c r="H933" s="597">
        <f t="shared" si="188"/>
        <v>0</v>
      </c>
      <c r="I933" s="596">
        <f t="shared" si="189"/>
        <v>0</v>
      </c>
      <c r="J933" s="373"/>
    </row>
    <row r="934" spans="1:13" ht="35.25" customHeight="1" x14ac:dyDescent="0.3">
      <c r="A934" s="1134"/>
      <c r="B934" s="887"/>
      <c r="C934" s="279" t="s">
        <v>465</v>
      </c>
      <c r="D934" s="434" t="s">
        <v>338</v>
      </c>
      <c r="E934" s="280"/>
      <c r="F934" s="435">
        <f t="shared" si="190"/>
        <v>0</v>
      </c>
      <c r="G934" s="602">
        <v>24.93</v>
      </c>
      <c r="H934" s="597">
        <f t="shared" si="188"/>
        <v>0</v>
      </c>
      <c r="I934" s="596">
        <f t="shared" si="189"/>
        <v>0</v>
      </c>
      <c r="J934" s="373"/>
    </row>
    <row r="935" spans="1:13" ht="35.25" customHeight="1" x14ac:dyDescent="0.3">
      <c r="A935" s="1134"/>
      <c r="B935" s="887"/>
      <c r="C935" s="746" t="s">
        <v>466</v>
      </c>
      <c r="D935" s="747" t="s">
        <v>92</v>
      </c>
      <c r="E935" s="280"/>
      <c r="F935" s="435">
        <f t="shared" si="190"/>
        <v>0</v>
      </c>
      <c r="G935" s="602">
        <v>20.8</v>
      </c>
      <c r="H935" s="597">
        <f t="shared" si="188"/>
        <v>0</v>
      </c>
      <c r="I935" s="596">
        <f t="shared" si="189"/>
        <v>0</v>
      </c>
      <c r="J935" s="373"/>
    </row>
    <row r="936" spans="1:13" ht="35.25" customHeight="1" x14ac:dyDescent="0.3">
      <c r="A936" s="1134"/>
      <c r="B936" s="887"/>
      <c r="C936" s="746" t="s">
        <v>467</v>
      </c>
      <c r="D936" s="747" t="s">
        <v>468</v>
      </c>
      <c r="E936" s="280"/>
      <c r="F936" s="435">
        <f t="shared" si="190"/>
        <v>0</v>
      </c>
      <c r="G936" s="602">
        <v>24.93</v>
      </c>
      <c r="H936" s="597">
        <f t="shared" si="188"/>
        <v>0</v>
      </c>
      <c r="I936" s="596">
        <f t="shared" si="189"/>
        <v>0</v>
      </c>
      <c r="J936" s="373"/>
    </row>
    <row r="937" spans="1:13" ht="35.25" customHeight="1" x14ac:dyDescent="0.3">
      <c r="A937" s="1134"/>
      <c r="B937" s="887"/>
      <c r="C937" s="746" t="s">
        <v>467</v>
      </c>
      <c r="D937" s="747" t="s">
        <v>468</v>
      </c>
      <c r="E937" s="280"/>
      <c r="F937" s="435">
        <f t="shared" si="190"/>
        <v>0</v>
      </c>
      <c r="G937" s="602">
        <v>25.49</v>
      </c>
      <c r="H937" s="597">
        <f t="shared" si="188"/>
        <v>0</v>
      </c>
      <c r="I937" s="596">
        <f t="shared" si="189"/>
        <v>0</v>
      </c>
      <c r="J937" s="373"/>
    </row>
    <row r="938" spans="1:13" s="757" customFormat="1" ht="35.25" customHeight="1" x14ac:dyDescent="0.3">
      <c r="A938" s="1134"/>
      <c r="B938" s="748"/>
      <c r="C938" s="749" t="s">
        <v>469</v>
      </c>
      <c r="D938" s="750" t="s">
        <v>309</v>
      </c>
      <c r="E938" s="751"/>
      <c r="F938" s="752">
        <f t="shared" si="190"/>
        <v>0</v>
      </c>
      <c r="G938" s="753">
        <v>24.41</v>
      </c>
      <c r="H938" s="754">
        <f t="shared" si="188"/>
        <v>0</v>
      </c>
      <c r="I938" s="755">
        <f t="shared" si="189"/>
        <v>0</v>
      </c>
      <c r="J938" s="756"/>
    </row>
    <row r="939" spans="1:13" ht="35.25" customHeight="1" x14ac:dyDescent="0.3">
      <c r="A939" s="1134"/>
      <c r="B939" s="887"/>
      <c r="C939" s="279" t="s">
        <v>444</v>
      </c>
      <c r="D939" s="434" t="s">
        <v>423</v>
      </c>
      <c r="E939" s="280"/>
      <c r="F939" s="435">
        <f t="shared" si="190"/>
        <v>0</v>
      </c>
      <c r="G939" s="602">
        <v>20.76</v>
      </c>
      <c r="H939" s="597">
        <f t="shared" si="188"/>
        <v>0</v>
      </c>
      <c r="I939" s="596">
        <f t="shared" si="189"/>
        <v>0</v>
      </c>
      <c r="J939" s="373"/>
    </row>
    <row r="940" spans="1:13" ht="35.25" customHeight="1" x14ac:dyDescent="0.3">
      <c r="A940" s="1134"/>
      <c r="B940" s="887"/>
      <c r="C940" s="279" t="s">
        <v>298</v>
      </c>
      <c r="D940" s="434" t="s">
        <v>107</v>
      </c>
      <c r="E940" s="280"/>
      <c r="F940" s="435">
        <f t="shared" si="190"/>
        <v>0</v>
      </c>
      <c r="G940" s="602">
        <v>24.93</v>
      </c>
      <c r="H940" s="597">
        <f t="shared" si="188"/>
        <v>0</v>
      </c>
      <c r="I940" s="596">
        <f t="shared" si="189"/>
        <v>0</v>
      </c>
      <c r="J940" s="373"/>
    </row>
    <row r="941" spans="1:13" ht="35.25" customHeight="1" x14ac:dyDescent="0.3">
      <c r="A941" s="1134"/>
      <c r="B941" s="887"/>
      <c r="C941" s="279" t="s">
        <v>299</v>
      </c>
      <c r="D941" s="434" t="s">
        <v>280</v>
      </c>
      <c r="E941" s="280"/>
      <c r="F941" s="435">
        <f t="shared" si="190"/>
        <v>0</v>
      </c>
      <c r="G941" s="602">
        <v>24.93</v>
      </c>
      <c r="H941" s="597">
        <f t="shared" si="188"/>
        <v>0</v>
      </c>
      <c r="I941" s="596">
        <f t="shared" si="189"/>
        <v>0</v>
      </c>
      <c r="J941" s="373"/>
    </row>
    <row r="942" spans="1:13" ht="35.25" customHeight="1" x14ac:dyDescent="0.3">
      <c r="A942" s="1134"/>
      <c r="B942" s="887"/>
      <c r="C942" s="279" t="s">
        <v>425</v>
      </c>
      <c r="D942" s="434" t="s">
        <v>309</v>
      </c>
      <c r="E942" s="280"/>
      <c r="F942" s="435">
        <f t="shared" si="190"/>
        <v>0</v>
      </c>
      <c r="G942" s="602">
        <v>23.78</v>
      </c>
      <c r="H942" s="597">
        <f t="shared" si="188"/>
        <v>0</v>
      </c>
      <c r="I942" s="596">
        <f t="shared" si="189"/>
        <v>0</v>
      </c>
      <c r="J942" s="373"/>
    </row>
    <row r="943" spans="1:13" ht="35.25" customHeight="1" x14ac:dyDescent="0.3">
      <c r="A943" s="1134"/>
      <c r="B943" s="887"/>
      <c r="C943" s="279" t="s">
        <v>354</v>
      </c>
      <c r="D943" s="434" t="s">
        <v>309</v>
      </c>
      <c r="E943" s="280"/>
      <c r="F943" s="435">
        <f t="shared" si="190"/>
        <v>0</v>
      </c>
      <c r="G943" s="602">
        <v>37.4566666666</v>
      </c>
      <c r="H943" s="597">
        <f t="shared" si="188"/>
        <v>0</v>
      </c>
      <c r="I943" s="596">
        <f t="shared" si="189"/>
        <v>0</v>
      </c>
      <c r="J943" s="373"/>
    </row>
    <row r="944" spans="1:13" ht="35.25" customHeight="1" x14ac:dyDescent="0.3">
      <c r="A944" s="1134"/>
      <c r="B944" s="887"/>
      <c r="C944" s="279" t="s">
        <v>355</v>
      </c>
      <c r="D944" s="434" t="s">
        <v>309</v>
      </c>
      <c r="E944" s="280"/>
      <c r="F944" s="435">
        <f t="shared" si="190"/>
        <v>0</v>
      </c>
      <c r="G944" s="602">
        <v>37.89</v>
      </c>
      <c r="H944" s="597">
        <f t="shared" si="188"/>
        <v>0</v>
      </c>
      <c r="I944" s="596">
        <f t="shared" si="189"/>
        <v>0</v>
      </c>
      <c r="J944" s="373"/>
    </row>
    <row r="945" spans="1:10" ht="35.25" customHeight="1" x14ac:dyDescent="0.3">
      <c r="A945" s="1134"/>
      <c r="B945" s="887"/>
      <c r="C945" s="279" t="s">
        <v>461</v>
      </c>
      <c r="D945" s="434" t="s">
        <v>92</v>
      </c>
      <c r="E945" s="280"/>
      <c r="F945" s="435">
        <f t="shared" si="190"/>
        <v>0</v>
      </c>
      <c r="G945" s="602">
        <v>28.31</v>
      </c>
      <c r="H945" s="597">
        <f t="shared" si="188"/>
        <v>0</v>
      </c>
      <c r="I945" s="596">
        <f t="shared" si="189"/>
        <v>0</v>
      </c>
      <c r="J945" s="373"/>
    </row>
    <row r="946" spans="1:10" ht="35.25" customHeight="1" x14ac:dyDescent="0.3">
      <c r="A946" s="1134"/>
      <c r="B946" s="887"/>
      <c r="C946" s="279" t="s">
        <v>461</v>
      </c>
      <c r="D946" s="434" t="s">
        <v>423</v>
      </c>
      <c r="E946" s="280"/>
      <c r="F946" s="435">
        <f t="shared" si="190"/>
        <v>0</v>
      </c>
      <c r="G946" s="602">
        <v>28.88</v>
      </c>
      <c r="H946" s="597">
        <f t="shared" si="188"/>
        <v>0</v>
      </c>
      <c r="I946" s="596">
        <f t="shared" si="189"/>
        <v>0</v>
      </c>
      <c r="J946" s="373"/>
    </row>
    <row r="947" spans="1:10" ht="35.25" customHeight="1" x14ac:dyDescent="0.3">
      <c r="A947" s="1134"/>
      <c r="B947" s="887"/>
      <c r="C947" s="279" t="s">
        <v>462</v>
      </c>
      <c r="D947" s="434" t="s">
        <v>423</v>
      </c>
      <c r="E947" s="280"/>
      <c r="F947" s="435">
        <f t="shared" si="190"/>
        <v>0</v>
      </c>
      <c r="G947" s="602">
        <v>28.21</v>
      </c>
      <c r="H947" s="597">
        <f t="shared" si="188"/>
        <v>0</v>
      </c>
      <c r="I947" s="596">
        <f t="shared" si="189"/>
        <v>0</v>
      </c>
      <c r="J947" s="373"/>
    </row>
    <row r="948" spans="1:10" ht="35.25" customHeight="1" x14ac:dyDescent="0.3">
      <c r="A948" s="1134"/>
      <c r="B948" s="887"/>
      <c r="C948" s="279" t="s">
        <v>463</v>
      </c>
      <c r="D948" s="434" t="s">
        <v>338</v>
      </c>
      <c r="E948" s="280"/>
      <c r="F948" s="435">
        <f t="shared" si="190"/>
        <v>0</v>
      </c>
      <c r="G948" s="602">
        <v>39</v>
      </c>
      <c r="H948" s="597">
        <f t="shared" si="188"/>
        <v>0</v>
      </c>
      <c r="I948" s="596">
        <f t="shared" si="189"/>
        <v>0</v>
      </c>
      <c r="J948" s="373"/>
    </row>
    <row r="949" spans="1:10" ht="35.25" customHeight="1" x14ac:dyDescent="0.3">
      <c r="A949" s="1134"/>
      <c r="B949" s="887"/>
      <c r="C949" s="279" t="s">
        <v>463</v>
      </c>
      <c r="D949" s="434" t="s">
        <v>92</v>
      </c>
      <c r="E949" s="280"/>
      <c r="F949" s="435">
        <f t="shared" si="190"/>
        <v>0</v>
      </c>
      <c r="G949" s="602">
        <v>32.65</v>
      </c>
      <c r="H949" s="597">
        <f t="shared" si="188"/>
        <v>0</v>
      </c>
      <c r="I949" s="596">
        <f t="shared" si="189"/>
        <v>0</v>
      </c>
      <c r="J949" s="373"/>
    </row>
    <row r="950" spans="1:10" ht="35.25" customHeight="1" x14ac:dyDescent="0.3">
      <c r="A950" s="1134"/>
      <c r="B950" s="887"/>
      <c r="C950" s="279" t="s">
        <v>463</v>
      </c>
      <c r="D950" s="434" t="s">
        <v>423</v>
      </c>
      <c r="E950" s="280"/>
      <c r="F950" s="435">
        <f t="shared" si="190"/>
        <v>0</v>
      </c>
      <c r="G950" s="602">
        <v>33.299999999999997</v>
      </c>
      <c r="H950" s="597">
        <f t="shared" si="188"/>
        <v>0</v>
      </c>
      <c r="I950" s="596">
        <f t="shared" si="189"/>
        <v>0</v>
      </c>
      <c r="J950" s="373"/>
    </row>
    <row r="951" spans="1:10" ht="35.25" customHeight="1" x14ac:dyDescent="0.3">
      <c r="A951" s="1134"/>
      <c r="B951" s="887"/>
      <c r="C951" s="279" t="s">
        <v>299</v>
      </c>
      <c r="D951" s="434" t="s">
        <v>279</v>
      </c>
      <c r="E951" s="280"/>
      <c r="F951" s="435">
        <f t="shared" si="190"/>
        <v>0</v>
      </c>
      <c r="G951" s="602">
        <v>24.93</v>
      </c>
      <c r="H951" s="597">
        <f t="shared" si="188"/>
        <v>0</v>
      </c>
      <c r="I951" s="596">
        <f t="shared" si="189"/>
        <v>0</v>
      </c>
      <c r="J951" s="373"/>
    </row>
    <row r="952" spans="1:10" ht="35.25" customHeight="1" x14ac:dyDescent="0.3">
      <c r="A952" s="1134"/>
      <c r="B952" s="887"/>
      <c r="C952" s="279" t="s">
        <v>299</v>
      </c>
      <c r="D952" s="434"/>
      <c r="E952" s="280"/>
      <c r="F952" s="435">
        <f t="shared" si="190"/>
        <v>0</v>
      </c>
      <c r="G952" s="602">
        <v>24.93</v>
      </c>
      <c r="H952" s="597">
        <f t="shared" si="188"/>
        <v>0</v>
      </c>
      <c r="I952" s="596">
        <f t="shared" si="189"/>
        <v>0</v>
      </c>
      <c r="J952" s="373"/>
    </row>
    <row r="953" spans="1:10" ht="35.25" customHeight="1" x14ac:dyDescent="0.3">
      <c r="A953" s="1134"/>
      <c r="B953" s="887"/>
      <c r="C953" s="279" t="s">
        <v>316</v>
      </c>
      <c r="D953" s="434" t="s">
        <v>289</v>
      </c>
      <c r="E953" s="280"/>
      <c r="F953" s="435">
        <f t="shared" si="190"/>
        <v>0</v>
      </c>
      <c r="G953" s="602">
        <v>34.26</v>
      </c>
      <c r="H953" s="597">
        <f t="shared" si="188"/>
        <v>0</v>
      </c>
      <c r="I953" s="596">
        <f t="shared" si="189"/>
        <v>0</v>
      </c>
      <c r="J953" s="373"/>
    </row>
    <row r="954" spans="1:10" ht="35.25" customHeight="1" x14ac:dyDescent="0.3">
      <c r="A954" s="1134"/>
      <c r="B954" s="887"/>
      <c r="C954" s="279" t="s">
        <v>328</v>
      </c>
      <c r="D954" s="434" t="s">
        <v>360</v>
      </c>
      <c r="E954" s="280"/>
      <c r="F954" s="435">
        <f t="shared" si="190"/>
        <v>0</v>
      </c>
      <c r="G954" s="602">
        <v>37.89</v>
      </c>
      <c r="H954" s="597">
        <f t="shared" si="188"/>
        <v>0</v>
      </c>
      <c r="I954" s="596">
        <f t="shared" si="189"/>
        <v>0</v>
      </c>
      <c r="J954" s="373"/>
    </row>
    <row r="955" spans="1:10" ht="35.25" customHeight="1" x14ac:dyDescent="0.3">
      <c r="A955" s="1134"/>
      <c r="B955" s="887"/>
      <c r="C955" s="279" t="s">
        <v>363</v>
      </c>
      <c r="D955" s="434" t="s">
        <v>338</v>
      </c>
      <c r="E955" s="280"/>
      <c r="F955" s="435">
        <f t="shared" si="190"/>
        <v>0</v>
      </c>
      <c r="G955" s="602">
        <v>39</v>
      </c>
      <c r="H955" s="597">
        <f t="shared" si="188"/>
        <v>0</v>
      </c>
      <c r="I955" s="596">
        <f t="shared" si="189"/>
        <v>0</v>
      </c>
      <c r="J955" s="373"/>
    </row>
    <row r="956" spans="1:10" ht="35.25" customHeight="1" x14ac:dyDescent="0.3">
      <c r="A956" s="1134"/>
      <c r="B956" s="887"/>
      <c r="C956" s="279" t="s">
        <v>299</v>
      </c>
      <c r="D956" s="434" t="s">
        <v>177</v>
      </c>
      <c r="E956" s="280"/>
      <c r="F956" s="435">
        <f t="shared" si="190"/>
        <v>0</v>
      </c>
      <c r="G956" s="602">
        <v>21.22</v>
      </c>
      <c r="H956" s="597">
        <f t="shared" si="188"/>
        <v>0</v>
      </c>
      <c r="I956" s="596">
        <f t="shared" si="189"/>
        <v>0</v>
      </c>
      <c r="J956" s="373"/>
    </row>
    <row r="957" spans="1:10" ht="35.25" customHeight="1" x14ac:dyDescent="0.3">
      <c r="A957" s="1134"/>
      <c r="B957" s="887"/>
      <c r="C957" s="279" t="s">
        <v>298</v>
      </c>
      <c r="D957" s="434" t="s">
        <v>177</v>
      </c>
      <c r="E957" s="280"/>
      <c r="F957" s="435">
        <f t="shared" si="190"/>
        <v>0</v>
      </c>
      <c r="G957" s="602">
        <v>21.22</v>
      </c>
      <c r="H957" s="597">
        <f t="shared" si="188"/>
        <v>0</v>
      </c>
      <c r="I957" s="596">
        <f t="shared" si="189"/>
        <v>0</v>
      </c>
      <c r="J957" s="373"/>
    </row>
    <row r="958" spans="1:10" ht="35.25" customHeight="1" x14ac:dyDescent="0.3">
      <c r="A958" s="1134"/>
      <c r="B958" s="887"/>
      <c r="C958" s="279" t="s">
        <v>339</v>
      </c>
      <c r="D958" s="434" t="s">
        <v>304</v>
      </c>
      <c r="E958" s="280"/>
      <c r="F958" s="435">
        <f t="shared" si="190"/>
        <v>0</v>
      </c>
      <c r="G958" s="602">
        <v>10000</v>
      </c>
      <c r="H958" s="597">
        <f t="shared" si="188"/>
        <v>0</v>
      </c>
      <c r="I958" s="596">
        <f t="shared" si="189"/>
        <v>0</v>
      </c>
      <c r="J958" s="373"/>
    </row>
    <row r="959" spans="1:10" ht="35.25" customHeight="1" thickBot="1" x14ac:dyDescent="0.35">
      <c r="A959" s="1134"/>
      <c r="B959" s="887"/>
      <c r="C959" s="279" t="s">
        <v>303</v>
      </c>
      <c r="D959" s="434" t="s">
        <v>304</v>
      </c>
      <c r="E959" s="280"/>
      <c r="F959" s="435">
        <f t="shared" si="190"/>
        <v>0</v>
      </c>
      <c r="G959" s="602">
        <v>360</v>
      </c>
      <c r="H959" s="597">
        <f t="shared" si="188"/>
        <v>0</v>
      </c>
      <c r="I959" s="596">
        <f t="shared" si="189"/>
        <v>0</v>
      </c>
      <c r="J959" s="373"/>
    </row>
    <row r="960" spans="1:10" ht="35.25" customHeight="1" thickBot="1" x14ac:dyDescent="0.35">
      <c r="A960" s="1135"/>
      <c r="B960" s="1129" t="s">
        <v>268</v>
      </c>
      <c r="C960" s="1130"/>
      <c r="D960" s="889"/>
      <c r="E960" s="326">
        <f>SUM(E931:E959)</f>
        <v>0</v>
      </c>
      <c r="F960" s="326">
        <f t="shared" si="190"/>
        <v>0</v>
      </c>
      <c r="G960" s="326"/>
      <c r="H960" s="587">
        <f>SUM(H931:H959)</f>
        <v>0</v>
      </c>
      <c r="I960" s="580">
        <f>SUM(I931:I959)</f>
        <v>0</v>
      </c>
      <c r="J960" s="373"/>
    </row>
    <row r="961" spans="1:10" ht="35.25" customHeight="1" x14ac:dyDescent="0.3">
      <c r="A961" s="1133" t="s">
        <v>102</v>
      </c>
      <c r="B961" s="887"/>
      <c r="C961" s="279" t="s">
        <v>509</v>
      </c>
      <c r="D961" s="434" t="s">
        <v>238</v>
      </c>
      <c r="E961" s="280"/>
      <c r="F961" s="435">
        <f t="shared" si="190"/>
        <v>6200</v>
      </c>
      <c r="G961" s="803">
        <v>624.26</v>
      </c>
      <c r="H961" s="593">
        <f>E961*G961</f>
        <v>0</v>
      </c>
      <c r="I961" s="596">
        <f t="shared" ref="I961:I963" si="191">+G961*F961</f>
        <v>3870412</v>
      </c>
      <c r="J961" s="373"/>
    </row>
    <row r="962" spans="1:10" ht="35.25" customHeight="1" x14ac:dyDescent="0.3">
      <c r="A962" s="1134"/>
      <c r="B962" s="887"/>
      <c r="C962" s="279" t="s">
        <v>273</v>
      </c>
      <c r="D962" s="434" t="s">
        <v>238</v>
      </c>
      <c r="E962" s="280">
        <v>1483</v>
      </c>
      <c r="F962" s="435">
        <f t="shared" si="190"/>
        <v>2123</v>
      </c>
      <c r="G962" s="602">
        <v>430.02</v>
      </c>
      <c r="H962" s="593">
        <f t="shared" ref="H962:H983" si="192">E962*G962</f>
        <v>637719.65999999992</v>
      </c>
      <c r="I962" s="596">
        <f t="shared" si="191"/>
        <v>912932.46</v>
      </c>
      <c r="J962" s="373"/>
    </row>
    <row r="963" spans="1:10" ht="35.25" customHeight="1" x14ac:dyDescent="0.3">
      <c r="A963" s="1134"/>
      <c r="B963" s="887"/>
      <c r="C963" s="279" t="s">
        <v>390</v>
      </c>
      <c r="D963" s="434" t="s">
        <v>238</v>
      </c>
      <c r="E963" s="280"/>
      <c r="F963" s="435">
        <f t="shared" si="190"/>
        <v>0</v>
      </c>
      <c r="G963" s="602">
        <v>445.38</v>
      </c>
      <c r="H963" s="593">
        <f t="shared" si="192"/>
        <v>0</v>
      </c>
      <c r="I963" s="596">
        <f t="shared" si="191"/>
        <v>0</v>
      </c>
      <c r="J963" s="373"/>
    </row>
    <row r="964" spans="1:10" ht="35.25" customHeight="1" x14ac:dyDescent="0.3">
      <c r="A964" s="1134"/>
      <c r="B964" s="887"/>
      <c r="C964" s="279" t="s">
        <v>301</v>
      </c>
      <c r="D964" s="434" t="s">
        <v>238</v>
      </c>
      <c r="E964" s="280"/>
      <c r="F964" s="435">
        <f t="shared" si="190"/>
        <v>8640</v>
      </c>
      <c r="G964" s="602">
        <v>63.55</v>
      </c>
      <c r="H964" s="593">
        <f t="shared" si="192"/>
        <v>0</v>
      </c>
      <c r="I964" s="596">
        <f>+G964*F964</f>
        <v>549072</v>
      </c>
      <c r="J964" s="373"/>
    </row>
    <row r="965" spans="1:10" ht="35.25" customHeight="1" x14ac:dyDescent="0.3">
      <c r="A965" s="1134"/>
      <c r="B965" s="887"/>
      <c r="C965" s="279" t="s">
        <v>514</v>
      </c>
      <c r="D965" s="434" t="s">
        <v>238</v>
      </c>
      <c r="E965" s="280"/>
      <c r="F965" s="435">
        <f t="shared" si="190"/>
        <v>48300</v>
      </c>
      <c r="G965" s="602">
        <v>71.44</v>
      </c>
      <c r="H965" s="593">
        <f t="shared" si="192"/>
        <v>0</v>
      </c>
      <c r="I965" s="596">
        <f>+G965*F965</f>
        <v>3450552</v>
      </c>
      <c r="J965" s="373"/>
    </row>
    <row r="966" spans="1:10" ht="35.25" customHeight="1" x14ac:dyDescent="0.3">
      <c r="A966" s="1134"/>
      <c r="B966" s="887"/>
      <c r="C966" s="279" t="s">
        <v>275</v>
      </c>
      <c r="D966" s="434" t="s">
        <v>238</v>
      </c>
      <c r="E966" s="280">
        <v>28560</v>
      </c>
      <c r="F966" s="435">
        <f t="shared" si="190"/>
        <v>71280</v>
      </c>
      <c r="G966" s="602">
        <v>71.44</v>
      </c>
      <c r="H966" s="593">
        <f t="shared" si="192"/>
        <v>2040326.4</v>
      </c>
      <c r="I966" s="596">
        <f t="shared" ref="I966:I983" si="193">+G966*F966</f>
        <v>5092243.2</v>
      </c>
      <c r="J966" s="373"/>
    </row>
    <row r="967" spans="1:10" ht="35.25" customHeight="1" x14ac:dyDescent="0.3">
      <c r="A967" s="1134"/>
      <c r="B967" s="887"/>
      <c r="C967" s="279" t="s">
        <v>276</v>
      </c>
      <c r="D967" s="434" t="s">
        <v>238</v>
      </c>
      <c r="E967" s="280"/>
      <c r="F967" s="435">
        <f t="shared" si="190"/>
        <v>0</v>
      </c>
      <c r="G967" s="602">
        <v>36.5</v>
      </c>
      <c r="H967" s="593">
        <f t="shared" si="192"/>
        <v>0</v>
      </c>
      <c r="I967" s="596">
        <f t="shared" si="193"/>
        <v>0</v>
      </c>
      <c r="J967" s="373"/>
    </row>
    <row r="968" spans="1:10" ht="35.25" customHeight="1" x14ac:dyDescent="0.3">
      <c r="A968" s="1134"/>
      <c r="B968" s="887"/>
      <c r="C968" s="279" t="s">
        <v>527</v>
      </c>
      <c r="D968" s="434" t="s">
        <v>238</v>
      </c>
      <c r="E968" s="280"/>
      <c r="F968" s="435">
        <f t="shared" si="190"/>
        <v>2000</v>
      </c>
      <c r="G968" s="602">
        <v>320.35000000000002</v>
      </c>
      <c r="H968" s="593">
        <f t="shared" si="192"/>
        <v>0</v>
      </c>
      <c r="I968" s="596">
        <f t="shared" si="193"/>
        <v>640700</v>
      </c>
      <c r="J968" s="373"/>
    </row>
    <row r="969" spans="1:10" ht="35.25" customHeight="1" x14ac:dyDescent="0.3">
      <c r="A969" s="1134"/>
      <c r="B969" s="887"/>
      <c r="C969" s="279" t="s">
        <v>285</v>
      </c>
      <c r="D969" s="434" t="s">
        <v>238</v>
      </c>
      <c r="E969" s="280"/>
      <c r="F969" s="435">
        <f t="shared" si="190"/>
        <v>0</v>
      </c>
      <c r="G969" s="602">
        <v>320.35000000000002</v>
      </c>
      <c r="H969" s="593">
        <f t="shared" si="192"/>
        <v>0</v>
      </c>
      <c r="I969" s="596">
        <f t="shared" si="193"/>
        <v>0</v>
      </c>
      <c r="J969" s="373"/>
    </row>
    <row r="970" spans="1:10" ht="35.25" customHeight="1" x14ac:dyDescent="0.3">
      <c r="A970" s="1134"/>
      <c r="B970" s="887"/>
      <c r="C970" s="279" t="s">
        <v>296</v>
      </c>
      <c r="D970" s="434" t="s">
        <v>238</v>
      </c>
      <c r="E970" s="280"/>
      <c r="F970" s="435">
        <f t="shared" si="190"/>
        <v>0</v>
      </c>
      <c r="G970" s="602">
        <v>434.41</v>
      </c>
      <c r="H970" s="593">
        <f t="shared" si="192"/>
        <v>0</v>
      </c>
      <c r="I970" s="596">
        <f t="shared" si="193"/>
        <v>0</v>
      </c>
      <c r="J970" s="373"/>
    </row>
    <row r="971" spans="1:10" ht="35.25" customHeight="1" x14ac:dyDescent="0.3">
      <c r="A971" s="1134"/>
      <c r="B971" s="887"/>
      <c r="C971" s="279" t="s">
        <v>282</v>
      </c>
      <c r="D971" s="434" t="s">
        <v>238</v>
      </c>
      <c r="E971" s="280"/>
      <c r="F971" s="435">
        <f t="shared" si="190"/>
        <v>0</v>
      </c>
      <c r="G971" s="602">
        <v>29690</v>
      </c>
      <c r="H971" s="593">
        <f t="shared" si="192"/>
        <v>0</v>
      </c>
      <c r="I971" s="596">
        <f t="shared" si="193"/>
        <v>0</v>
      </c>
      <c r="J971" s="373"/>
    </row>
    <row r="972" spans="1:10" ht="35.25" customHeight="1" x14ac:dyDescent="0.3">
      <c r="A972" s="1134"/>
      <c r="B972" s="887"/>
      <c r="C972" s="279" t="s">
        <v>282</v>
      </c>
      <c r="D972" s="434" t="s">
        <v>238</v>
      </c>
      <c r="E972" s="280">
        <v>1</v>
      </c>
      <c r="F972" s="435">
        <f t="shared" si="190"/>
        <v>2</v>
      </c>
      <c r="G972" s="602">
        <v>26445</v>
      </c>
      <c r="H972" s="593">
        <f t="shared" si="192"/>
        <v>26445</v>
      </c>
      <c r="I972" s="596">
        <f t="shared" si="193"/>
        <v>52890</v>
      </c>
      <c r="J972" s="373"/>
    </row>
    <row r="973" spans="1:10" ht="35.25" customHeight="1" x14ac:dyDescent="0.3">
      <c r="A973" s="1134"/>
      <c r="B973" s="887"/>
      <c r="C973" s="279" t="s">
        <v>282</v>
      </c>
      <c r="D973" s="434"/>
      <c r="E973" s="280"/>
      <c r="F973" s="435">
        <f t="shared" si="190"/>
        <v>0</v>
      </c>
      <c r="G973" s="602">
        <v>33947.884599999998</v>
      </c>
      <c r="H973" s="593">
        <f t="shared" si="192"/>
        <v>0</v>
      </c>
      <c r="I973" s="596">
        <f t="shared" si="193"/>
        <v>0</v>
      </c>
      <c r="J973" s="373"/>
    </row>
    <row r="974" spans="1:10" ht="35.25" customHeight="1" x14ac:dyDescent="0.3">
      <c r="A974" s="1134"/>
      <c r="B974" s="887"/>
      <c r="C974" s="279" t="s">
        <v>311</v>
      </c>
      <c r="D974" s="434" t="s">
        <v>337</v>
      </c>
      <c r="E974" s="280"/>
      <c r="F974" s="435">
        <f t="shared" si="190"/>
        <v>0</v>
      </c>
      <c r="G974" s="602">
        <v>50</v>
      </c>
      <c r="H974" s="593">
        <f t="shared" si="192"/>
        <v>0</v>
      </c>
      <c r="I974" s="596">
        <f t="shared" si="193"/>
        <v>0</v>
      </c>
      <c r="J974" s="373"/>
    </row>
    <row r="975" spans="1:10" ht="35.25" customHeight="1" x14ac:dyDescent="0.3">
      <c r="A975" s="1134"/>
      <c r="B975" s="887"/>
      <c r="C975" s="279" t="s">
        <v>311</v>
      </c>
      <c r="D975" s="434"/>
      <c r="E975" s="280"/>
      <c r="F975" s="435">
        <f t="shared" si="190"/>
        <v>0</v>
      </c>
      <c r="G975" s="602">
        <v>10</v>
      </c>
      <c r="H975" s="593">
        <f t="shared" si="192"/>
        <v>0</v>
      </c>
      <c r="I975" s="596">
        <f t="shared" si="193"/>
        <v>0</v>
      </c>
      <c r="J975" s="373"/>
    </row>
    <row r="976" spans="1:10" ht="35.25" customHeight="1" x14ac:dyDescent="0.3">
      <c r="A976" s="1134"/>
      <c r="B976" s="887"/>
      <c r="C976" s="279" t="s">
        <v>329</v>
      </c>
      <c r="D976" s="434" t="s">
        <v>370</v>
      </c>
      <c r="E976" s="280"/>
      <c r="F976" s="435">
        <f t="shared" si="190"/>
        <v>0</v>
      </c>
      <c r="G976" s="602">
        <v>57.64</v>
      </c>
      <c r="H976" s="593">
        <f t="shared" si="192"/>
        <v>0</v>
      </c>
      <c r="I976" s="596">
        <f t="shared" si="193"/>
        <v>0</v>
      </c>
      <c r="J976" s="373"/>
    </row>
    <row r="977" spans="1:10" ht="35.25" customHeight="1" x14ac:dyDescent="0.3">
      <c r="A977" s="1134"/>
      <c r="B977" s="887"/>
      <c r="C977" s="279" t="s">
        <v>329</v>
      </c>
      <c r="D977" s="434" t="s">
        <v>364</v>
      </c>
      <c r="E977" s="280"/>
      <c r="F977" s="435">
        <f t="shared" si="190"/>
        <v>0</v>
      </c>
      <c r="G977" s="602">
        <v>57.64</v>
      </c>
      <c r="H977" s="593">
        <f t="shared" si="192"/>
        <v>0</v>
      </c>
      <c r="I977" s="596">
        <f t="shared" si="193"/>
        <v>0</v>
      </c>
      <c r="J977" s="373"/>
    </row>
    <row r="978" spans="1:10" ht="35.25" customHeight="1" x14ac:dyDescent="0.3">
      <c r="A978" s="1134"/>
      <c r="B978" s="887"/>
      <c r="C978" s="279" t="s">
        <v>330</v>
      </c>
      <c r="D978" s="434" t="s">
        <v>331</v>
      </c>
      <c r="E978" s="280"/>
      <c r="F978" s="435">
        <f t="shared" si="190"/>
        <v>0</v>
      </c>
      <c r="G978" s="602">
        <v>434.41</v>
      </c>
      <c r="H978" s="593">
        <f t="shared" si="192"/>
        <v>0</v>
      </c>
      <c r="I978" s="596">
        <f t="shared" si="193"/>
        <v>0</v>
      </c>
      <c r="J978" s="373"/>
    </row>
    <row r="979" spans="1:10" ht="35.25" customHeight="1" x14ac:dyDescent="0.3">
      <c r="A979" s="1134"/>
      <c r="B979" s="887"/>
      <c r="C979" s="279" t="s">
        <v>343</v>
      </c>
      <c r="D979" s="434" t="s">
        <v>238</v>
      </c>
      <c r="E979" s="280"/>
      <c r="F979" s="435">
        <f t="shared" si="190"/>
        <v>0</v>
      </c>
      <c r="G979" s="602">
        <v>624.26</v>
      </c>
      <c r="H979" s="593">
        <f t="shared" si="192"/>
        <v>0</v>
      </c>
      <c r="I979" s="596">
        <f t="shared" si="193"/>
        <v>0</v>
      </c>
      <c r="J979" s="373"/>
    </row>
    <row r="980" spans="1:10" ht="35.25" customHeight="1" x14ac:dyDescent="0.3">
      <c r="A980" s="1134"/>
      <c r="B980" s="887"/>
      <c r="C980" s="279" t="s">
        <v>332</v>
      </c>
      <c r="D980" s="434" t="s">
        <v>331</v>
      </c>
      <c r="E980" s="280"/>
      <c r="F980" s="435">
        <f t="shared" si="190"/>
        <v>0</v>
      </c>
      <c r="G980" s="602">
        <v>63.55</v>
      </c>
      <c r="H980" s="593">
        <f t="shared" si="192"/>
        <v>0</v>
      </c>
      <c r="I980" s="596">
        <f t="shared" si="193"/>
        <v>0</v>
      </c>
      <c r="J980" s="373"/>
    </row>
    <row r="981" spans="1:10" ht="35.25" customHeight="1" x14ac:dyDescent="0.3">
      <c r="A981" s="1134"/>
      <c r="B981" s="887"/>
      <c r="C981" s="279" t="s">
        <v>371</v>
      </c>
      <c r="D981" s="434" t="s">
        <v>238</v>
      </c>
      <c r="E981" s="280"/>
      <c r="F981" s="435">
        <f t="shared" si="190"/>
        <v>0</v>
      </c>
      <c r="G981" s="602">
        <v>59.96</v>
      </c>
      <c r="H981" s="593">
        <f t="shared" si="192"/>
        <v>0</v>
      </c>
      <c r="I981" s="596">
        <f t="shared" si="193"/>
        <v>0</v>
      </c>
      <c r="J981" s="373"/>
    </row>
    <row r="982" spans="1:10" ht="35.25" customHeight="1" x14ac:dyDescent="0.3">
      <c r="A982" s="1134"/>
      <c r="B982" s="887"/>
      <c r="C982" s="279" t="s">
        <v>419</v>
      </c>
      <c r="D982" s="434" t="s">
        <v>331</v>
      </c>
      <c r="E982" s="280"/>
      <c r="F982" s="435">
        <f t="shared" si="190"/>
        <v>0</v>
      </c>
      <c r="G982" s="602">
        <v>53.86</v>
      </c>
      <c r="H982" s="593">
        <f t="shared" si="192"/>
        <v>0</v>
      </c>
      <c r="I982" s="596">
        <f t="shared" si="193"/>
        <v>0</v>
      </c>
      <c r="J982" s="373"/>
    </row>
    <row r="983" spans="1:10" ht="35.25" customHeight="1" x14ac:dyDescent="0.3">
      <c r="A983" s="1134"/>
      <c r="B983" s="887"/>
      <c r="C983" s="279" t="s">
        <v>379</v>
      </c>
      <c r="D983" s="434"/>
      <c r="E983" s="280"/>
      <c r="F983" s="435">
        <f t="shared" si="190"/>
        <v>0</v>
      </c>
      <c r="G983" s="602">
        <v>360</v>
      </c>
      <c r="H983" s="593">
        <f t="shared" si="192"/>
        <v>0</v>
      </c>
      <c r="I983" s="596">
        <f t="shared" si="193"/>
        <v>0</v>
      </c>
      <c r="J983" s="373"/>
    </row>
    <row r="984" spans="1:10" ht="35.25" customHeight="1" x14ac:dyDescent="0.3">
      <c r="A984" s="1134"/>
      <c r="B984" s="887"/>
      <c r="C984" s="279" t="s">
        <v>471</v>
      </c>
      <c r="D984" s="434"/>
      <c r="E984" s="280"/>
      <c r="F984" s="435">
        <f t="shared" si="190"/>
        <v>0</v>
      </c>
      <c r="G984" s="602"/>
      <c r="H984" s="593">
        <f>+E984</f>
        <v>0</v>
      </c>
      <c r="I984" s="596">
        <f>+H984</f>
        <v>0</v>
      </c>
      <c r="J984" s="373"/>
    </row>
    <row r="985" spans="1:10" ht="35.25" customHeight="1" x14ac:dyDescent="0.3">
      <c r="A985" s="1134"/>
      <c r="B985" s="887"/>
      <c r="C985" s="279" t="s">
        <v>282</v>
      </c>
      <c r="D985" s="434"/>
      <c r="E985" s="280"/>
      <c r="F985" s="435">
        <f t="shared" si="190"/>
        <v>0</v>
      </c>
      <c r="G985" s="602">
        <v>39450</v>
      </c>
      <c r="H985" s="593">
        <f t="shared" ref="H985:H986" si="194">E985*G985</f>
        <v>0</v>
      </c>
      <c r="I985" s="596">
        <f t="shared" ref="I985:I986" si="195">+G985*F985</f>
        <v>0</v>
      </c>
      <c r="J985" s="373"/>
    </row>
    <row r="986" spans="1:10" ht="35.25" customHeight="1" thickBot="1" x14ac:dyDescent="0.35">
      <c r="A986" s="1134"/>
      <c r="B986" s="887"/>
      <c r="C986" s="279" t="s">
        <v>329</v>
      </c>
      <c r="D986" s="434" t="s">
        <v>443</v>
      </c>
      <c r="E986" s="280"/>
      <c r="F986" s="435">
        <f t="shared" si="190"/>
        <v>0</v>
      </c>
      <c r="G986" s="602">
        <v>57.64</v>
      </c>
      <c r="H986" s="593">
        <f t="shared" si="194"/>
        <v>0</v>
      </c>
      <c r="I986" s="596">
        <f t="shared" si="195"/>
        <v>0</v>
      </c>
      <c r="J986" s="373"/>
    </row>
    <row r="987" spans="1:10" ht="35.25" customHeight="1" thickBot="1" x14ac:dyDescent="0.35">
      <c r="A987" s="1135"/>
      <c r="B987" s="1129" t="s">
        <v>270</v>
      </c>
      <c r="C987" s="1130"/>
      <c r="D987" s="889"/>
      <c r="E987" s="326">
        <f>SUM(E961:E986)</f>
        <v>30044</v>
      </c>
      <c r="F987" s="326">
        <f>SUM(F961:F986)</f>
        <v>138545</v>
      </c>
      <c r="G987" s="326"/>
      <c r="H987" s="590">
        <f>SUM(H961:H986)</f>
        <v>2704491.0599999996</v>
      </c>
      <c r="I987" s="580">
        <f>SUM(I961:I986)</f>
        <v>14568801.66</v>
      </c>
      <c r="J987" s="372"/>
    </row>
    <row r="988" spans="1:10" ht="35.25" customHeight="1" thickBot="1" x14ac:dyDescent="0.35">
      <c r="A988" s="892"/>
      <c r="B988" s="437"/>
      <c r="C988" s="279" t="s">
        <v>379</v>
      </c>
      <c r="D988" s="434"/>
      <c r="E988" s="280"/>
      <c r="F988" s="281">
        <f>+E988</f>
        <v>0</v>
      </c>
      <c r="G988" s="334"/>
      <c r="H988" s="589">
        <f t="shared" ref="H988" si="196">E988*G988</f>
        <v>0</v>
      </c>
      <c r="I988" s="282">
        <f t="shared" ref="I988" si="197">+G988*F988</f>
        <v>0</v>
      </c>
      <c r="J988" s="373"/>
    </row>
    <row r="989" spans="1:10" ht="35.25" customHeight="1" thickBot="1" x14ac:dyDescent="0.35">
      <c r="A989" s="892"/>
      <c r="B989" s="1129" t="s">
        <v>224</v>
      </c>
      <c r="C989" s="1130"/>
      <c r="D989" s="885"/>
      <c r="E989" s="326"/>
      <c r="F989" s="327"/>
      <c r="G989" s="326"/>
      <c r="H989" s="587"/>
      <c r="I989" s="324">
        <f>SUM(I988)</f>
        <v>0</v>
      </c>
      <c r="J989" s="349"/>
    </row>
    <row r="990" spans="1:10" ht="35.25" customHeight="1" thickBot="1" x14ac:dyDescent="0.35">
      <c r="A990" s="319"/>
      <c r="B990" s="1131" t="s">
        <v>174</v>
      </c>
      <c r="C990" s="1132"/>
      <c r="D990" s="886"/>
      <c r="E990" s="374">
        <f>+E987+E960+E930+E928</f>
        <v>61274</v>
      </c>
      <c r="F990" s="374">
        <f>+F987+F960+F930+F928</f>
        <v>790597</v>
      </c>
      <c r="G990" s="374"/>
      <c r="H990" s="374"/>
      <c r="I990" s="374">
        <f>+I987+I960+I930+I989</f>
        <v>25791815.100000001</v>
      </c>
      <c r="J990" s="375"/>
    </row>
    <row r="991" spans="1:10" ht="35.25" customHeight="1" x14ac:dyDescent="0.3">
      <c r="A991" s="1057" t="s">
        <v>1</v>
      </c>
      <c r="B991" s="1060" t="s">
        <v>2</v>
      </c>
      <c r="C991" s="1138" t="s">
        <v>396</v>
      </c>
      <c r="D991" s="1115" t="s">
        <v>397</v>
      </c>
      <c r="E991" s="1142" t="s">
        <v>552</v>
      </c>
      <c r="F991" s="1067"/>
      <c r="G991" s="1067"/>
      <c r="H991" s="1067"/>
      <c r="I991" s="1067"/>
      <c r="J991" s="1068"/>
    </row>
    <row r="992" spans="1:10" ht="35.25" customHeight="1" x14ac:dyDescent="0.3">
      <c r="A992" s="1136"/>
      <c r="B992" s="1137"/>
      <c r="C992" s="1139"/>
      <c r="D992" s="1116"/>
      <c r="E992" s="1143" t="s">
        <v>412</v>
      </c>
      <c r="F992" s="1144"/>
      <c r="G992" s="1143" t="s">
        <v>411</v>
      </c>
      <c r="H992" s="1145"/>
      <c r="I992" s="1145"/>
      <c r="J992" s="1144"/>
    </row>
    <row r="993" spans="1:10" ht="35.25" customHeight="1" x14ac:dyDescent="0.3">
      <c r="A993" s="1058"/>
      <c r="B993" s="1061"/>
      <c r="C993" s="1140"/>
      <c r="D993" s="1116"/>
      <c r="E993" s="1069" t="s">
        <v>413</v>
      </c>
      <c r="F993" s="1071" t="s">
        <v>414</v>
      </c>
      <c r="G993" s="1147" t="s">
        <v>90</v>
      </c>
      <c r="H993" s="1149" t="s">
        <v>91</v>
      </c>
      <c r="I993" s="1149" t="s">
        <v>91</v>
      </c>
      <c r="J993" s="1151" t="s">
        <v>12</v>
      </c>
    </row>
    <row r="994" spans="1:10" ht="35.25" customHeight="1" thickBot="1" x14ac:dyDescent="0.35">
      <c r="A994" s="1059"/>
      <c r="B994" s="1062"/>
      <c r="C994" s="1141"/>
      <c r="D994" s="1117"/>
      <c r="E994" s="1070"/>
      <c r="F994" s="1146"/>
      <c r="G994" s="1148"/>
      <c r="H994" s="1150"/>
      <c r="I994" s="1150"/>
      <c r="J994" s="1152"/>
    </row>
    <row r="995" spans="1:10" ht="35.25" customHeight="1" x14ac:dyDescent="0.3">
      <c r="A995" s="1133" t="s">
        <v>103</v>
      </c>
      <c r="B995" s="439"/>
      <c r="C995" s="577" t="s">
        <v>538</v>
      </c>
      <c r="D995" s="665" t="s">
        <v>539</v>
      </c>
      <c r="E995" s="699"/>
      <c r="F995" s="674">
        <f>+E995+F901</f>
        <v>1024</v>
      </c>
      <c r="G995" s="732">
        <v>109.77</v>
      </c>
      <c r="H995" s="591">
        <f t="shared" ref="H995:H1009" si="198">E995*G995</f>
        <v>0</v>
      </c>
      <c r="I995" s="594">
        <f>+G995*F995</f>
        <v>112404.48</v>
      </c>
      <c r="J995" s="351"/>
    </row>
    <row r="996" spans="1:10" ht="35.25" customHeight="1" x14ac:dyDescent="0.3">
      <c r="A996" s="1134"/>
      <c r="B996" s="438"/>
      <c r="C996" s="441" t="s">
        <v>264</v>
      </c>
      <c r="D996" s="666" t="s">
        <v>265</v>
      </c>
      <c r="E996" s="700"/>
      <c r="F996" s="701">
        <f t="shared" ref="F996:F1009" si="199">+E996+F902</f>
        <v>0</v>
      </c>
      <c r="G996" s="697">
        <v>11</v>
      </c>
      <c r="H996" s="592">
        <f t="shared" si="198"/>
        <v>0</v>
      </c>
      <c r="I996" s="595">
        <f>+G996*F996</f>
        <v>0</v>
      </c>
      <c r="J996" s="352"/>
    </row>
    <row r="997" spans="1:10" ht="35.25" customHeight="1" x14ac:dyDescent="0.3">
      <c r="A997" s="1134"/>
      <c r="B997" s="438"/>
      <c r="C997" s="441" t="s">
        <v>295</v>
      </c>
      <c r="D997" s="666" t="s">
        <v>453</v>
      </c>
      <c r="E997" s="700"/>
      <c r="F997" s="701">
        <f t="shared" si="199"/>
        <v>640</v>
      </c>
      <c r="G997" s="697">
        <v>139.04</v>
      </c>
      <c r="H997" s="592">
        <f t="shared" si="198"/>
        <v>0</v>
      </c>
      <c r="I997" s="595">
        <f t="shared" ref="I997:I1009" si="200">+G997*F997</f>
        <v>88985.599999999991</v>
      </c>
      <c r="J997" s="352"/>
    </row>
    <row r="998" spans="1:10" ht="35.25" customHeight="1" x14ac:dyDescent="0.3">
      <c r="A998" s="1134"/>
      <c r="B998" s="438"/>
      <c r="C998" s="441" t="s">
        <v>531</v>
      </c>
      <c r="D998" s="666" t="s">
        <v>529</v>
      </c>
      <c r="E998" s="700"/>
      <c r="F998" s="701">
        <f t="shared" si="199"/>
        <v>12240</v>
      </c>
      <c r="G998" s="715">
        <v>20.66</v>
      </c>
      <c r="H998" s="592">
        <f t="shared" si="198"/>
        <v>0</v>
      </c>
      <c r="I998" s="595">
        <f t="shared" si="200"/>
        <v>252878.4</v>
      </c>
      <c r="J998" s="352"/>
    </row>
    <row r="999" spans="1:10" ht="35.25" customHeight="1" x14ac:dyDescent="0.3">
      <c r="A999" s="1134"/>
      <c r="B999" s="438"/>
      <c r="C999" s="441" t="s">
        <v>288</v>
      </c>
      <c r="D999" s="666" t="s">
        <v>177</v>
      </c>
      <c r="E999" s="700"/>
      <c r="F999" s="701">
        <f t="shared" si="199"/>
        <v>0</v>
      </c>
      <c r="G999" s="697">
        <v>14.79</v>
      </c>
      <c r="H999" s="592">
        <f t="shared" si="198"/>
        <v>0</v>
      </c>
      <c r="I999" s="595">
        <f t="shared" si="200"/>
        <v>0</v>
      </c>
      <c r="J999" s="352"/>
    </row>
    <row r="1000" spans="1:10" ht="35.25" customHeight="1" x14ac:dyDescent="0.3">
      <c r="A1000" s="1134"/>
      <c r="B1000" s="438"/>
      <c r="C1000" s="441" t="s">
        <v>295</v>
      </c>
      <c r="D1000" s="666" t="s">
        <v>265</v>
      </c>
      <c r="E1000" s="700"/>
      <c r="F1000" s="701">
        <f t="shared" si="199"/>
        <v>5120</v>
      </c>
      <c r="G1000" s="697">
        <v>139.04</v>
      </c>
      <c r="H1000" s="592">
        <f t="shared" si="198"/>
        <v>0</v>
      </c>
      <c r="I1000" s="595">
        <f t="shared" si="200"/>
        <v>711884.79999999993</v>
      </c>
      <c r="J1000" s="352"/>
    </row>
    <row r="1001" spans="1:10" ht="35.25" customHeight="1" x14ac:dyDescent="0.3">
      <c r="A1001" s="1134"/>
      <c r="B1001" s="438"/>
      <c r="C1001" s="441" t="s">
        <v>537</v>
      </c>
      <c r="D1001" s="666" t="s">
        <v>265</v>
      </c>
      <c r="E1001" s="700">
        <v>1920</v>
      </c>
      <c r="F1001" s="701">
        <f t="shared" si="199"/>
        <v>2560</v>
      </c>
      <c r="G1001" s="697">
        <v>135.96</v>
      </c>
      <c r="H1001" s="592">
        <f t="shared" si="198"/>
        <v>261043.20000000001</v>
      </c>
      <c r="I1001" s="595">
        <f t="shared" si="200"/>
        <v>348057.60000000003</v>
      </c>
      <c r="J1001" s="352"/>
    </row>
    <row r="1002" spans="1:10" ht="35.25" customHeight="1" x14ac:dyDescent="0.3">
      <c r="A1002" s="1134"/>
      <c r="B1002" s="438"/>
      <c r="C1002" s="441" t="s">
        <v>313</v>
      </c>
      <c r="D1002" s="667" t="s">
        <v>265</v>
      </c>
      <c r="E1002" s="700"/>
      <c r="F1002" s="701">
        <f t="shared" si="199"/>
        <v>48960</v>
      </c>
      <c r="G1002" s="697">
        <v>18.84</v>
      </c>
      <c r="H1002" s="592">
        <f t="shared" si="198"/>
        <v>0</v>
      </c>
      <c r="I1002" s="595">
        <f t="shared" si="200"/>
        <v>922406.40000000002</v>
      </c>
      <c r="J1002" s="352"/>
    </row>
    <row r="1003" spans="1:10" ht="35.25" customHeight="1" x14ac:dyDescent="0.3">
      <c r="A1003" s="1134"/>
      <c r="B1003" s="438"/>
      <c r="C1003" s="441" t="s">
        <v>322</v>
      </c>
      <c r="D1003" s="667" t="s">
        <v>232</v>
      </c>
      <c r="E1003" s="700"/>
      <c r="F1003" s="701">
        <f t="shared" si="199"/>
        <v>0</v>
      </c>
      <c r="G1003" s="697">
        <v>21.18</v>
      </c>
      <c r="H1003" s="592">
        <f t="shared" si="198"/>
        <v>0</v>
      </c>
      <c r="I1003" s="595">
        <f t="shared" si="200"/>
        <v>0</v>
      </c>
      <c r="J1003" s="352"/>
    </row>
    <row r="1004" spans="1:10" ht="35.25" customHeight="1" x14ac:dyDescent="0.3">
      <c r="A1004" s="1134"/>
      <c r="B1004" s="438"/>
      <c r="C1004" s="441" t="s">
        <v>324</v>
      </c>
      <c r="D1004" s="667" t="s">
        <v>325</v>
      </c>
      <c r="E1004" s="700"/>
      <c r="F1004" s="701">
        <f t="shared" si="199"/>
        <v>0</v>
      </c>
      <c r="G1004" s="697">
        <v>21.28</v>
      </c>
      <c r="H1004" s="592">
        <f t="shared" si="198"/>
        <v>0</v>
      </c>
      <c r="I1004" s="595">
        <f t="shared" si="200"/>
        <v>0</v>
      </c>
      <c r="J1004" s="352"/>
    </row>
    <row r="1005" spans="1:10" ht="35.25" customHeight="1" x14ac:dyDescent="0.3">
      <c r="A1005" s="1134"/>
      <c r="B1005" s="438"/>
      <c r="C1005" s="441" t="s">
        <v>378</v>
      </c>
      <c r="D1005" s="667" t="s">
        <v>374</v>
      </c>
      <c r="E1005" s="700"/>
      <c r="F1005" s="701">
        <f t="shared" si="199"/>
        <v>0</v>
      </c>
      <c r="G1005" s="697">
        <v>143.28</v>
      </c>
      <c r="H1005" s="592">
        <f t="shared" si="198"/>
        <v>0</v>
      </c>
      <c r="I1005" s="595">
        <f t="shared" si="200"/>
        <v>0</v>
      </c>
      <c r="J1005" s="352"/>
    </row>
    <row r="1006" spans="1:10" ht="35.25" customHeight="1" x14ac:dyDescent="0.3">
      <c r="A1006" s="1134"/>
      <c r="B1006" s="438"/>
      <c r="C1006" s="441" t="s">
        <v>472</v>
      </c>
      <c r="D1006" s="667"/>
      <c r="E1006" s="700"/>
      <c r="F1006" s="701">
        <f t="shared" si="199"/>
        <v>0</v>
      </c>
      <c r="G1006" s="697">
        <v>14.79</v>
      </c>
      <c r="H1006" s="592">
        <f t="shared" si="198"/>
        <v>0</v>
      </c>
      <c r="I1006" s="595">
        <f t="shared" si="200"/>
        <v>0</v>
      </c>
      <c r="J1006" s="352"/>
    </row>
    <row r="1007" spans="1:10" ht="35.25" customHeight="1" x14ac:dyDescent="0.3">
      <c r="A1007" s="1134"/>
      <c r="B1007" s="438"/>
      <c r="C1007" s="441" t="s">
        <v>451</v>
      </c>
      <c r="D1007" s="666" t="s">
        <v>177</v>
      </c>
      <c r="E1007" s="700"/>
      <c r="F1007" s="701">
        <f t="shared" si="199"/>
        <v>498432</v>
      </c>
      <c r="G1007" s="697">
        <v>14.55</v>
      </c>
      <c r="H1007" s="592">
        <f t="shared" si="198"/>
        <v>0</v>
      </c>
      <c r="I1007" s="595">
        <f t="shared" si="200"/>
        <v>7252185.6000000006</v>
      </c>
      <c r="J1007" s="352"/>
    </row>
    <row r="1008" spans="1:10" ht="35.25" customHeight="1" x14ac:dyDescent="0.3">
      <c r="A1008" s="1134"/>
      <c r="B1008" s="438"/>
      <c r="C1008" s="441" t="s">
        <v>327</v>
      </c>
      <c r="D1008" s="667" t="s">
        <v>188</v>
      </c>
      <c r="E1008" s="700"/>
      <c r="F1008" s="701">
        <f t="shared" si="199"/>
        <v>0</v>
      </c>
      <c r="G1008" s="697">
        <v>21.28</v>
      </c>
      <c r="H1008" s="592">
        <f t="shared" si="198"/>
        <v>0</v>
      </c>
      <c r="I1008" s="595">
        <f t="shared" si="200"/>
        <v>0</v>
      </c>
      <c r="J1008" s="352"/>
    </row>
    <row r="1009" spans="1:13" ht="35.25" customHeight="1" thickBot="1" x14ac:dyDescent="0.35">
      <c r="A1009" s="1134"/>
      <c r="B1009" s="438"/>
      <c r="C1009" s="441" t="s">
        <v>336</v>
      </c>
      <c r="D1009" s="668" t="s">
        <v>178</v>
      </c>
      <c r="E1009" s="700"/>
      <c r="F1009" s="676">
        <f t="shared" si="199"/>
        <v>0</v>
      </c>
      <c r="G1009" s="697">
        <v>36.44</v>
      </c>
      <c r="H1009" s="592">
        <f t="shared" si="198"/>
        <v>0</v>
      </c>
      <c r="I1009" s="595">
        <f t="shared" si="200"/>
        <v>0</v>
      </c>
      <c r="J1009" s="352"/>
    </row>
    <row r="1010" spans="1:13" ht="35.25" customHeight="1" thickBot="1" x14ac:dyDescent="0.35">
      <c r="A1010" s="1134"/>
      <c r="B1010" s="1129" t="s">
        <v>266</v>
      </c>
      <c r="C1010" s="1130"/>
      <c r="D1010" s="906"/>
      <c r="E1010" s="326">
        <f>SUM(E995:E1009)</f>
        <v>1920</v>
      </c>
      <c r="F1010" s="698">
        <f>SUM(F995:F1009)</f>
        <v>568976</v>
      </c>
      <c r="G1010" s="326"/>
      <c r="H1010" s="587">
        <f>SUM(H995:H1009)</f>
        <v>261043.20000000001</v>
      </c>
      <c r="I1010" s="580">
        <f>SUM(I995:I1009)</f>
        <v>9688802.8800000008</v>
      </c>
      <c r="J1010" s="349"/>
    </row>
    <row r="1011" spans="1:13" ht="35.25" customHeight="1" x14ac:dyDescent="0.3">
      <c r="A1011" s="1134"/>
      <c r="B1011" s="904"/>
      <c r="C1011" s="279" t="s">
        <v>271</v>
      </c>
      <c r="D1011" s="434" t="s">
        <v>238</v>
      </c>
      <c r="E1011" s="280"/>
      <c r="F1011" s="435">
        <f>+E1011+F917</f>
        <v>0</v>
      </c>
      <c r="G1011" s="578">
        <v>160.44999999999999</v>
      </c>
      <c r="H1011" s="593">
        <f t="shared" ref="H1011:H1016" si="201">E1011*G1011</f>
        <v>0</v>
      </c>
      <c r="I1011" s="596">
        <f t="shared" ref="I1011:I1016" si="202">+G1011*F1011</f>
        <v>0</v>
      </c>
      <c r="J1011" s="373"/>
    </row>
    <row r="1012" spans="1:13" ht="35.25" customHeight="1" x14ac:dyDescent="0.3">
      <c r="A1012" s="1134"/>
      <c r="B1012" s="904"/>
      <c r="C1012" s="279" t="s">
        <v>287</v>
      </c>
      <c r="D1012" s="434" t="s">
        <v>93</v>
      </c>
      <c r="E1012" s="280">
        <v>37620</v>
      </c>
      <c r="F1012" s="435">
        <f t="shared" ref="F1012:F1016" si="203">+E1012+F918</f>
        <v>91380</v>
      </c>
      <c r="G1012" s="578">
        <v>27</v>
      </c>
      <c r="H1012" s="593">
        <f t="shared" si="201"/>
        <v>1015740</v>
      </c>
      <c r="I1012" s="596">
        <f t="shared" si="202"/>
        <v>2467260</v>
      </c>
      <c r="J1012" s="373"/>
    </row>
    <row r="1013" spans="1:13" ht="35.25" customHeight="1" x14ac:dyDescent="0.3">
      <c r="A1013" s="1134"/>
      <c r="B1013" s="904"/>
      <c r="C1013" s="279" t="s">
        <v>287</v>
      </c>
      <c r="D1013" s="434" t="s">
        <v>292</v>
      </c>
      <c r="E1013" s="280"/>
      <c r="F1013" s="435">
        <f t="shared" si="203"/>
        <v>0</v>
      </c>
      <c r="G1013" s="578">
        <v>27.5</v>
      </c>
      <c r="H1013" s="593">
        <f t="shared" si="201"/>
        <v>0</v>
      </c>
      <c r="I1013" s="596">
        <f t="shared" si="202"/>
        <v>0</v>
      </c>
      <c r="J1013" s="373"/>
    </row>
    <row r="1014" spans="1:13" ht="35.25" customHeight="1" x14ac:dyDescent="0.3">
      <c r="A1014" s="1134"/>
      <c r="B1014" s="904"/>
      <c r="C1014" s="279" t="s">
        <v>276</v>
      </c>
      <c r="D1014" s="434" t="s">
        <v>292</v>
      </c>
      <c r="E1014" s="280"/>
      <c r="F1014" s="435">
        <f t="shared" si="203"/>
        <v>0</v>
      </c>
      <c r="G1014" s="578">
        <v>34.5</v>
      </c>
      <c r="H1014" s="593">
        <f t="shared" si="201"/>
        <v>0</v>
      </c>
      <c r="I1014" s="596">
        <f t="shared" si="202"/>
        <v>0</v>
      </c>
      <c r="J1014" s="373"/>
    </row>
    <row r="1015" spans="1:13" ht="35.25" customHeight="1" x14ac:dyDescent="0.3">
      <c r="A1015" s="1134"/>
      <c r="B1015" s="904"/>
      <c r="C1015" s="279" t="s">
        <v>473</v>
      </c>
      <c r="D1015" s="434" t="s">
        <v>440</v>
      </c>
      <c r="E1015" s="280"/>
      <c r="F1015" s="435">
        <f t="shared" si="203"/>
        <v>31200</v>
      </c>
      <c r="G1015" s="578">
        <v>10.57</v>
      </c>
      <c r="H1015" s="593">
        <f t="shared" si="201"/>
        <v>0</v>
      </c>
      <c r="I1015" s="596">
        <f t="shared" si="202"/>
        <v>329784</v>
      </c>
      <c r="J1015" s="373"/>
    </row>
    <row r="1016" spans="1:13" ht="35.25" customHeight="1" thickBot="1" x14ac:dyDescent="0.35">
      <c r="A1016" s="1134"/>
      <c r="B1016" s="904"/>
      <c r="C1016" s="279" t="s">
        <v>276</v>
      </c>
      <c r="D1016" s="434" t="s">
        <v>440</v>
      </c>
      <c r="E1016" s="280"/>
      <c r="F1016" s="435">
        <f t="shared" si="203"/>
        <v>26</v>
      </c>
      <c r="G1016" s="578">
        <v>55.76</v>
      </c>
      <c r="H1016" s="593">
        <f t="shared" si="201"/>
        <v>0</v>
      </c>
      <c r="I1016" s="596">
        <f t="shared" si="202"/>
        <v>1449.76</v>
      </c>
      <c r="J1016" s="373"/>
    </row>
    <row r="1017" spans="1:13" ht="35.25" customHeight="1" thickBot="1" x14ac:dyDescent="0.35">
      <c r="A1017" s="1134"/>
      <c r="B1017" s="1129" t="s">
        <v>267</v>
      </c>
      <c r="C1017" s="1130"/>
      <c r="D1017" s="906"/>
      <c r="E1017" s="326">
        <f>SUM(E1011:E1016)</f>
        <v>37620</v>
      </c>
      <c r="F1017" s="326">
        <f>SUM(F1011:F1016)</f>
        <v>122606</v>
      </c>
      <c r="G1017" s="326"/>
      <c r="H1017" s="587">
        <f>SUM(H1011:H1016)</f>
        <v>1015740</v>
      </c>
      <c r="I1017" s="580">
        <f>SUM(I1011:I1016)</f>
        <v>2798493.76</v>
      </c>
      <c r="J1017" s="349"/>
    </row>
    <row r="1018" spans="1:13" ht="35.25" customHeight="1" x14ac:dyDescent="0.3">
      <c r="A1018" s="1134"/>
      <c r="B1018" s="904"/>
      <c r="C1018" s="279" t="s">
        <v>277</v>
      </c>
      <c r="D1018" s="434" t="s">
        <v>278</v>
      </c>
      <c r="E1018" s="280"/>
      <c r="F1018" s="435">
        <f>+E1018+F924</f>
        <v>5</v>
      </c>
      <c r="G1018" s="578">
        <v>2500</v>
      </c>
      <c r="H1018" s="593">
        <f t="shared" ref="H1018:H1021" si="204">E1018*G1018</f>
        <v>0</v>
      </c>
      <c r="I1018" s="596">
        <f>+G1018*F1018</f>
        <v>12500</v>
      </c>
      <c r="J1018" s="373"/>
    </row>
    <row r="1019" spans="1:13" ht="35.25" customHeight="1" x14ac:dyDescent="0.3">
      <c r="A1019" s="1134"/>
      <c r="B1019" s="904"/>
      <c r="C1019" s="279" t="s">
        <v>454</v>
      </c>
      <c r="D1019" s="434"/>
      <c r="E1019" s="280"/>
      <c r="F1019" s="435">
        <f t="shared" ref="F1019:F1021" si="205">+E1019+F925</f>
        <v>0</v>
      </c>
      <c r="G1019" s="578">
        <v>30000</v>
      </c>
      <c r="H1019" s="593">
        <f t="shared" si="204"/>
        <v>0</v>
      </c>
      <c r="I1019" s="596">
        <f>+G1019*F1019</f>
        <v>0</v>
      </c>
      <c r="J1019" s="373"/>
    </row>
    <row r="1020" spans="1:13" ht="35.25" customHeight="1" x14ac:dyDescent="0.3">
      <c r="A1020" s="1134"/>
      <c r="B1020" s="904"/>
      <c r="C1020" s="279" t="s">
        <v>379</v>
      </c>
      <c r="D1020" s="434" t="s">
        <v>304</v>
      </c>
      <c r="E1020" s="280"/>
      <c r="F1020" s="435">
        <f t="shared" si="205"/>
        <v>0</v>
      </c>
      <c r="G1020" s="578">
        <v>360</v>
      </c>
      <c r="H1020" s="593">
        <f t="shared" si="204"/>
        <v>0</v>
      </c>
      <c r="I1020" s="596">
        <f>+G1020*F1020</f>
        <v>0</v>
      </c>
      <c r="J1020" s="373"/>
    </row>
    <row r="1021" spans="1:13" ht="35.25" customHeight="1" thickBot="1" x14ac:dyDescent="0.35">
      <c r="A1021" s="1134"/>
      <c r="B1021" s="904"/>
      <c r="C1021" s="279" t="s">
        <v>427</v>
      </c>
      <c r="D1021" s="434" t="s">
        <v>304</v>
      </c>
      <c r="E1021" s="280"/>
      <c r="F1021" s="435">
        <f t="shared" si="205"/>
        <v>0</v>
      </c>
      <c r="G1021" s="579">
        <v>10</v>
      </c>
      <c r="H1021" s="593">
        <f t="shared" si="204"/>
        <v>0</v>
      </c>
      <c r="I1021" s="596">
        <f t="shared" ref="I1021" si="206">+G1021*F1021</f>
        <v>0</v>
      </c>
      <c r="J1021" s="373"/>
    </row>
    <row r="1022" spans="1:13" ht="35.25" customHeight="1" thickBot="1" x14ac:dyDescent="0.35">
      <c r="A1022" s="1134"/>
      <c r="B1022" s="1129" t="s">
        <v>272</v>
      </c>
      <c r="C1022" s="1130"/>
      <c r="D1022" s="906"/>
      <c r="E1022" s="326">
        <f>SUM(E1018:E1021)</f>
        <v>0</v>
      </c>
      <c r="F1022" s="326">
        <f>SUM(F1018:F1021)</f>
        <v>5</v>
      </c>
      <c r="G1022" s="326"/>
      <c r="H1022" s="587">
        <f>SUM(H1018:H1021)</f>
        <v>0</v>
      </c>
      <c r="I1022" s="580">
        <f>SUM(I1018:I1021)</f>
        <v>12500</v>
      </c>
      <c r="J1022" s="373"/>
    </row>
    <row r="1023" spans="1:13" ht="35.25" customHeight="1" thickBot="1" x14ac:dyDescent="0.35">
      <c r="A1023" s="1134"/>
      <c r="B1023" s="904"/>
      <c r="C1023" s="279"/>
      <c r="D1023" s="434"/>
      <c r="E1023" s="280"/>
      <c r="F1023" s="317"/>
      <c r="G1023" s="579"/>
      <c r="H1023" s="588"/>
      <c r="I1023" s="282"/>
      <c r="J1023" s="373"/>
    </row>
    <row r="1024" spans="1:13" ht="35.25" customHeight="1" thickBot="1" x14ac:dyDescent="0.35">
      <c r="A1024" s="1135"/>
      <c r="B1024" s="1129" t="s">
        <v>269</v>
      </c>
      <c r="C1024" s="1130"/>
      <c r="D1024" s="902"/>
      <c r="E1024" s="326">
        <f>+E1022+E1017+E1010</f>
        <v>39540</v>
      </c>
      <c r="F1024" s="326">
        <f>+F1022+F1017+F1010</f>
        <v>691587</v>
      </c>
      <c r="G1024" s="326"/>
      <c r="H1024" s="580">
        <f>+H1017+H1010+H1022</f>
        <v>1276783.2</v>
      </c>
      <c r="I1024" s="580">
        <f>+I1017+I1010+I1022</f>
        <v>12499796.640000001</v>
      </c>
      <c r="J1024" s="373"/>
      <c r="K1024" s="704"/>
      <c r="M1024" s="704"/>
    </row>
    <row r="1025" spans="1:11" ht="35.25" customHeight="1" x14ac:dyDescent="0.3">
      <c r="A1025" s="1133" t="s">
        <v>101</v>
      </c>
      <c r="B1025" s="904"/>
      <c r="C1025" s="279" t="s">
        <v>281</v>
      </c>
      <c r="D1025" s="434" t="s">
        <v>178</v>
      </c>
      <c r="E1025" s="280"/>
      <c r="F1025" s="435">
        <f>+E1025+F931</f>
        <v>0</v>
      </c>
      <c r="G1025" s="602">
        <v>13.25</v>
      </c>
      <c r="H1025" s="597">
        <f t="shared" ref="H1025:H1053" si="207">E1025*G1025</f>
        <v>0</v>
      </c>
      <c r="I1025" s="596">
        <f t="shared" ref="I1025:I1053" si="208">+G1025*F1025</f>
        <v>0</v>
      </c>
      <c r="J1025" s="373"/>
      <c r="K1025" s="704"/>
    </row>
    <row r="1026" spans="1:11" ht="35.25" customHeight="1" x14ac:dyDescent="0.3">
      <c r="A1026" s="1134"/>
      <c r="B1026" s="904"/>
      <c r="C1026" s="279" t="s">
        <v>282</v>
      </c>
      <c r="D1026" s="434"/>
      <c r="E1026" s="280"/>
      <c r="F1026" s="435">
        <f t="shared" ref="F1026:F1080" si="209">+E1026+F932</f>
        <v>0</v>
      </c>
      <c r="G1026" s="603">
        <v>5000</v>
      </c>
      <c r="H1026" s="597">
        <f t="shared" si="207"/>
        <v>0</v>
      </c>
      <c r="I1026" s="596">
        <f t="shared" si="208"/>
        <v>0</v>
      </c>
      <c r="J1026" s="373"/>
      <c r="K1026" s="704"/>
    </row>
    <row r="1027" spans="1:11" ht="35.25" customHeight="1" x14ac:dyDescent="0.3">
      <c r="A1027" s="1134"/>
      <c r="B1027" s="904"/>
      <c r="C1027" s="279" t="s">
        <v>282</v>
      </c>
      <c r="D1027" s="434"/>
      <c r="E1027" s="280"/>
      <c r="F1027" s="435">
        <f t="shared" si="209"/>
        <v>0</v>
      </c>
      <c r="G1027" s="603">
        <v>18000</v>
      </c>
      <c r="H1027" s="597">
        <f t="shared" si="207"/>
        <v>0</v>
      </c>
      <c r="I1027" s="596">
        <f t="shared" si="208"/>
        <v>0</v>
      </c>
      <c r="J1027" s="373"/>
    </row>
    <row r="1028" spans="1:11" ht="35.25" customHeight="1" x14ac:dyDescent="0.3">
      <c r="A1028" s="1134"/>
      <c r="B1028" s="904"/>
      <c r="C1028" s="279" t="s">
        <v>465</v>
      </c>
      <c r="D1028" s="434" t="s">
        <v>338</v>
      </c>
      <c r="E1028" s="280"/>
      <c r="F1028" s="435">
        <f t="shared" si="209"/>
        <v>0</v>
      </c>
      <c r="G1028" s="602">
        <v>24.93</v>
      </c>
      <c r="H1028" s="597">
        <f t="shared" si="207"/>
        <v>0</v>
      </c>
      <c r="I1028" s="596">
        <f t="shared" si="208"/>
        <v>0</v>
      </c>
      <c r="J1028" s="373"/>
    </row>
    <row r="1029" spans="1:11" ht="35.25" customHeight="1" x14ac:dyDescent="0.3">
      <c r="A1029" s="1134"/>
      <c r="B1029" s="904"/>
      <c r="C1029" s="746" t="s">
        <v>466</v>
      </c>
      <c r="D1029" s="747" t="s">
        <v>92</v>
      </c>
      <c r="E1029" s="280"/>
      <c r="F1029" s="435">
        <f t="shared" si="209"/>
        <v>0</v>
      </c>
      <c r="G1029" s="602">
        <v>20.8</v>
      </c>
      <c r="H1029" s="597">
        <f t="shared" si="207"/>
        <v>0</v>
      </c>
      <c r="I1029" s="596">
        <f t="shared" si="208"/>
        <v>0</v>
      </c>
      <c r="J1029" s="373"/>
    </row>
    <row r="1030" spans="1:11" ht="35.25" customHeight="1" x14ac:dyDescent="0.3">
      <c r="A1030" s="1134"/>
      <c r="B1030" s="904"/>
      <c r="C1030" s="746" t="s">
        <v>467</v>
      </c>
      <c r="D1030" s="747" t="s">
        <v>468</v>
      </c>
      <c r="E1030" s="280"/>
      <c r="F1030" s="435">
        <f t="shared" si="209"/>
        <v>0</v>
      </c>
      <c r="G1030" s="602">
        <v>24.93</v>
      </c>
      <c r="H1030" s="597">
        <f t="shared" si="207"/>
        <v>0</v>
      </c>
      <c r="I1030" s="596">
        <f t="shared" si="208"/>
        <v>0</v>
      </c>
      <c r="J1030" s="373"/>
    </row>
    <row r="1031" spans="1:11" ht="35.25" customHeight="1" x14ac:dyDescent="0.3">
      <c r="A1031" s="1134"/>
      <c r="B1031" s="904"/>
      <c r="C1031" s="746" t="s">
        <v>467</v>
      </c>
      <c r="D1031" s="747" t="s">
        <v>468</v>
      </c>
      <c r="E1031" s="280"/>
      <c r="F1031" s="435">
        <f t="shared" si="209"/>
        <v>0</v>
      </c>
      <c r="G1031" s="602">
        <v>25.49</v>
      </c>
      <c r="H1031" s="597">
        <f t="shared" si="207"/>
        <v>0</v>
      </c>
      <c r="I1031" s="596">
        <f t="shared" si="208"/>
        <v>0</v>
      </c>
      <c r="J1031" s="373"/>
    </row>
    <row r="1032" spans="1:11" s="757" customFormat="1" ht="35.25" customHeight="1" x14ac:dyDescent="0.3">
      <c r="A1032" s="1134"/>
      <c r="B1032" s="748"/>
      <c r="C1032" s="749" t="s">
        <v>469</v>
      </c>
      <c r="D1032" s="750" t="s">
        <v>309</v>
      </c>
      <c r="E1032" s="751"/>
      <c r="F1032" s="752">
        <f t="shared" si="209"/>
        <v>0</v>
      </c>
      <c r="G1032" s="753">
        <v>24.41</v>
      </c>
      <c r="H1032" s="754">
        <f t="shared" si="207"/>
        <v>0</v>
      </c>
      <c r="I1032" s="755">
        <f t="shared" si="208"/>
        <v>0</v>
      </c>
      <c r="J1032" s="756"/>
    </row>
    <row r="1033" spans="1:11" ht="35.25" customHeight="1" x14ac:dyDescent="0.3">
      <c r="A1033" s="1134"/>
      <c r="B1033" s="904"/>
      <c r="C1033" s="279" t="s">
        <v>444</v>
      </c>
      <c r="D1033" s="434" t="s">
        <v>423</v>
      </c>
      <c r="E1033" s="280"/>
      <c r="F1033" s="435">
        <f t="shared" si="209"/>
        <v>0</v>
      </c>
      <c r="G1033" s="602">
        <v>20.76</v>
      </c>
      <c r="H1033" s="597">
        <f t="shared" si="207"/>
        <v>0</v>
      </c>
      <c r="I1033" s="596">
        <f t="shared" si="208"/>
        <v>0</v>
      </c>
      <c r="J1033" s="373"/>
    </row>
    <row r="1034" spans="1:11" ht="35.25" customHeight="1" x14ac:dyDescent="0.3">
      <c r="A1034" s="1134"/>
      <c r="B1034" s="904"/>
      <c r="C1034" s="279" t="s">
        <v>298</v>
      </c>
      <c r="D1034" s="434" t="s">
        <v>107</v>
      </c>
      <c r="E1034" s="280"/>
      <c r="F1034" s="435">
        <f t="shared" si="209"/>
        <v>0</v>
      </c>
      <c r="G1034" s="602">
        <v>24.93</v>
      </c>
      <c r="H1034" s="597">
        <f t="shared" si="207"/>
        <v>0</v>
      </c>
      <c r="I1034" s="596">
        <f t="shared" si="208"/>
        <v>0</v>
      </c>
      <c r="J1034" s="373"/>
    </row>
    <row r="1035" spans="1:11" ht="35.25" customHeight="1" x14ac:dyDescent="0.3">
      <c r="A1035" s="1134"/>
      <c r="B1035" s="904"/>
      <c r="C1035" s="279" t="s">
        <v>299</v>
      </c>
      <c r="D1035" s="434" t="s">
        <v>280</v>
      </c>
      <c r="E1035" s="280"/>
      <c r="F1035" s="435">
        <f t="shared" si="209"/>
        <v>0</v>
      </c>
      <c r="G1035" s="602">
        <v>24.93</v>
      </c>
      <c r="H1035" s="597">
        <f t="shared" si="207"/>
        <v>0</v>
      </c>
      <c r="I1035" s="596">
        <f t="shared" si="208"/>
        <v>0</v>
      </c>
      <c r="J1035" s="373"/>
    </row>
    <row r="1036" spans="1:11" ht="35.25" customHeight="1" x14ac:dyDescent="0.3">
      <c r="A1036" s="1134"/>
      <c r="B1036" s="904"/>
      <c r="C1036" s="279" t="s">
        <v>425</v>
      </c>
      <c r="D1036" s="434" t="s">
        <v>309</v>
      </c>
      <c r="E1036" s="280"/>
      <c r="F1036" s="435">
        <f t="shared" si="209"/>
        <v>0</v>
      </c>
      <c r="G1036" s="602">
        <v>23.78</v>
      </c>
      <c r="H1036" s="597">
        <f t="shared" si="207"/>
        <v>0</v>
      </c>
      <c r="I1036" s="596">
        <f t="shared" si="208"/>
        <v>0</v>
      </c>
      <c r="J1036" s="373"/>
    </row>
    <row r="1037" spans="1:11" ht="35.25" customHeight="1" x14ac:dyDescent="0.3">
      <c r="A1037" s="1134"/>
      <c r="B1037" s="904"/>
      <c r="C1037" s="279" t="s">
        <v>354</v>
      </c>
      <c r="D1037" s="434" t="s">
        <v>309</v>
      </c>
      <c r="E1037" s="280"/>
      <c r="F1037" s="435">
        <f t="shared" si="209"/>
        <v>0</v>
      </c>
      <c r="G1037" s="602">
        <v>37.4566666666</v>
      </c>
      <c r="H1037" s="597">
        <f t="shared" si="207"/>
        <v>0</v>
      </c>
      <c r="I1037" s="596">
        <f t="shared" si="208"/>
        <v>0</v>
      </c>
      <c r="J1037" s="373"/>
    </row>
    <row r="1038" spans="1:11" ht="35.25" customHeight="1" x14ac:dyDescent="0.3">
      <c r="A1038" s="1134"/>
      <c r="B1038" s="904"/>
      <c r="C1038" s="279" t="s">
        <v>355</v>
      </c>
      <c r="D1038" s="434" t="s">
        <v>309</v>
      </c>
      <c r="E1038" s="280"/>
      <c r="F1038" s="435">
        <f t="shared" si="209"/>
        <v>0</v>
      </c>
      <c r="G1038" s="602">
        <v>37.89</v>
      </c>
      <c r="H1038" s="597">
        <f t="shared" si="207"/>
        <v>0</v>
      </c>
      <c r="I1038" s="596">
        <f t="shared" si="208"/>
        <v>0</v>
      </c>
      <c r="J1038" s="373"/>
    </row>
    <row r="1039" spans="1:11" ht="35.25" customHeight="1" x14ac:dyDescent="0.3">
      <c r="A1039" s="1134"/>
      <c r="B1039" s="904"/>
      <c r="C1039" s="279" t="s">
        <v>461</v>
      </c>
      <c r="D1039" s="434" t="s">
        <v>92</v>
      </c>
      <c r="E1039" s="280"/>
      <c r="F1039" s="435">
        <f t="shared" si="209"/>
        <v>0</v>
      </c>
      <c r="G1039" s="602">
        <v>28.31</v>
      </c>
      <c r="H1039" s="597">
        <f t="shared" si="207"/>
        <v>0</v>
      </c>
      <c r="I1039" s="596">
        <f t="shared" si="208"/>
        <v>0</v>
      </c>
      <c r="J1039" s="373"/>
    </row>
    <row r="1040" spans="1:11" ht="35.25" customHeight="1" x14ac:dyDescent="0.3">
      <c r="A1040" s="1134"/>
      <c r="B1040" s="904"/>
      <c r="C1040" s="279" t="s">
        <v>461</v>
      </c>
      <c r="D1040" s="434" t="s">
        <v>423</v>
      </c>
      <c r="E1040" s="280"/>
      <c r="F1040" s="435">
        <f t="shared" si="209"/>
        <v>0</v>
      </c>
      <c r="G1040" s="602">
        <v>28.88</v>
      </c>
      <c r="H1040" s="597">
        <f t="shared" si="207"/>
        <v>0</v>
      </c>
      <c r="I1040" s="596">
        <f t="shared" si="208"/>
        <v>0</v>
      </c>
      <c r="J1040" s="373"/>
    </row>
    <row r="1041" spans="1:10" ht="35.25" customHeight="1" x14ac:dyDescent="0.3">
      <c r="A1041" s="1134"/>
      <c r="B1041" s="904"/>
      <c r="C1041" s="279" t="s">
        <v>462</v>
      </c>
      <c r="D1041" s="434" t="s">
        <v>423</v>
      </c>
      <c r="E1041" s="280"/>
      <c r="F1041" s="435">
        <f t="shared" si="209"/>
        <v>0</v>
      </c>
      <c r="G1041" s="602">
        <v>28.21</v>
      </c>
      <c r="H1041" s="597">
        <f t="shared" si="207"/>
        <v>0</v>
      </c>
      <c r="I1041" s="596">
        <f t="shared" si="208"/>
        <v>0</v>
      </c>
      <c r="J1041" s="373"/>
    </row>
    <row r="1042" spans="1:10" ht="35.25" customHeight="1" x14ac:dyDescent="0.3">
      <c r="A1042" s="1134"/>
      <c r="B1042" s="904"/>
      <c r="C1042" s="279" t="s">
        <v>463</v>
      </c>
      <c r="D1042" s="434" t="s">
        <v>338</v>
      </c>
      <c r="E1042" s="280"/>
      <c r="F1042" s="435">
        <f t="shared" si="209"/>
        <v>0</v>
      </c>
      <c r="G1042" s="602">
        <v>39</v>
      </c>
      <c r="H1042" s="597">
        <f t="shared" si="207"/>
        <v>0</v>
      </c>
      <c r="I1042" s="596">
        <f t="shared" si="208"/>
        <v>0</v>
      </c>
      <c r="J1042" s="373"/>
    </row>
    <row r="1043" spans="1:10" ht="35.25" customHeight="1" x14ac:dyDescent="0.3">
      <c r="A1043" s="1134"/>
      <c r="B1043" s="904"/>
      <c r="C1043" s="279" t="s">
        <v>463</v>
      </c>
      <c r="D1043" s="434" t="s">
        <v>92</v>
      </c>
      <c r="E1043" s="280"/>
      <c r="F1043" s="435">
        <f t="shared" si="209"/>
        <v>0</v>
      </c>
      <c r="G1043" s="602">
        <v>32.65</v>
      </c>
      <c r="H1043" s="597">
        <f t="shared" si="207"/>
        <v>0</v>
      </c>
      <c r="I1043" s="596">
        <f t="shared" si="208"/>
        <v>0</v>
      </c>
      <c r="J1043" s="373"/>
    </row>
    <row r="1044" spans="1:10" ht="35.25" customHeight="1" x14ac:dyDescent="0.3">
      <c r="A1044" s="1134"/>
      <c r="B1044" s="904"/>
      <c r="C1044" s="279" t="s">
        <v>463</v>
      </c>
      <c r="D1044" s="434" t="s">
        <v>423</v>
      </c>
      <c r="E1044" s="280"/>
      <c r="F1044" s="435">
        <f t="shared" si="209"/>
        <v>0</v>
      </c>
      <c r="G1044" s="602">
        <v>33.299999999999997</v>
      </c>
      <c r="H1044" s="597">
        <f t="shared" si="207"/>
        <v>0</v>
      </c>
      <c r="I1044" s="596">
        <f t="shared" si="208"/>
        <v>0</v>
      </c>
      <c r="J1044" s="373"/>
    </row>
    <row r="1045" spans="1:10" ht="35.25" customHeight="1" x14ac:dyDescent="0.3">
      <c r="A1045" s="1134"/>
      <c r="B1045" s="904"/>
      <c r="C1045" s="279" t="s">
        <v>299</v>
      </c>
      <c r="D1045" s="434" t="s">
        <v>279</v>
      </c>
      <c r="E1045" s="280"/>
      <c r="F1045" s="435">
        <f t="shared" si="209"/>
        <v>0</v>
      </c>
      <c r="G1045" s="602">
        <v>24.93</v>
      </c>
      <c r="H1045" s="597">
        <f t="shared" si="207"/>
        <v>0</v>
      </c>
      <c r="I1045" s="596">
        <f t="shared" si="208"/>
        <v>0</v>
      </c>
      <c r="J1045" s="373"/>
    </row>
    <row r="1046" spans="1:10" ht="35.25" customHeight="1" x14ac:dyDescent="0.3">
      <c r="A1046" s="1134"/>
      <c r="B1046" s="904"/>
      <c r="C1046" s="279" t="s">
        <v>299</v>
      </c>
      <c r="D1046" s="434"/>
      <c r="E1046" s="280"/>
      <c r="F1046" s="435">
        <f t="shared" si="209"/>
        <v>0</v>
      </c>
      <c r="G1046" s="602">
        <v>24.93</v>
      </c>
      <c r="H1046" s="597">
        <f t="shared" si="207"/>
        <v>0</v>
      </c>
      <c r="I1046" s="596">
        <f t="shared" si="208"/>
        <v>0</v>
      </c>
      <c r="J1046" s="373"/>
    </row>
    <row r="1047" spans="1:10" ht="35.25" customHeight="1" x14ac:dyDescent="0.3">
      <c r="A1047" s="1134"/>
      <c r="B1047" s="904"/>
      <c r="C1047" s="279" t="s">
        <v>316</v>
      </c>
      <c r="D1047" s="434" t="s">
        <v>289</v>
      </c>
      <c r="E1047" s="280"/>
      <c r="F1047" s="435">
        <f t="shared" si="209"/>
        <v>0</v>
      </c>
      <c r="G1047" s="602">
        <v>34.26</v>
      </c>
      <c r="H1047" s="597">
        <f t="shared" si="207"/>
        <v>0</v>
      </c>
      <c r="I1047" s="596">
        <f t="shared" si="208"/>
        <v>0</v>
      </c>
      <c r="J1047" s="373"/>
    </row>
    <row r="1048" spans="1:10" ht="35.25" customHeight="1" x14ac:dyDescent="0.3">
      <c r="A1048" s="1134"/>
      <c r="B1048" s="904"/>
      <c r="C1048" s="279" t="s">
        <v>328</v>
      </c>
      <c r="D1048" s="434" t="s">
        <v>360</v>
      </c>
      <c r="E1048" s="280"/>
      <c r="F1048" s="435">
        <f t="shared" si="209"/>
        <v>0</v>
      </c>
      <c r="G1048" s="602">
        <v>37.89</v>
      </c>
      <c r="H1048" s="597">
        <f t="shared" si="207"/>
        <v>0</v>
      </c>
      <c r="I1048" s="596">
        <f t="shared" si="208"/>
        <v>0</v>
      </c>
      <c r="J1048" s="373"/>
    </row>
    <row r="1049" spans="1:10" ht="35.25" customHeight="1" x14ac:dyDescent="0.3">
      <c r="A1049" s="1134"/>
      <c r="B1049" s="904"/>
      <c r="C1049" s="279" t="s">
        <v>363</v>
      </c>
      <c r="D1049" s="434" t="s">
        <v>338</v>
      </c>
      <c r="E1049" s="280"/>
      <c r="F1049" s="435">
        <f t="shared" si="209"/>
        <v>0</v>
      </c>
      <c r="G1049" s="602">
        <v>39</v>
      </c>
      <c r="H1049" s="597">
        <f t="shared" si="207"/>
        <v>0</v>
      </c>
      <c r="I1049" s="596">
        <f t="shared" si="208"/>
        <v>0</v>
      </c>
      <c r="J1049" s="373"/>
    </row>
    <row r="1050" spans="1:10" ht="35.25" customHeight="1" x14ac:dyDescent="0.3">
      <c r="A1050" s="1134"/>
      <c r="B1050" s="904"/>
      <c r="C1050" s="279" t="s">
        <v>299</v>
      </c>
      <c r="D1050" s="434" t="s">
        <v>177</v>
      </c>
      <c r="E1050" s="280"/>
      <c r="F1050" s="435">
        <f t="shared" si="209"/>
        <v>0</v>
      </c>
      <c r="G1050" s="602">
        <v>21.22</v>
      </c>
      <c r="H1050" s="597">
        <f t="shared" si="207"/>
        <v>0</v>
      </c>
      <c r="I1050" s="596">
        <f t="shared" si="208"/>
        <v>0</v>
      </c>
      <c r="J1050" s="373"/>
    </row>
    <row r="1051" spans="1:10" ht="35.25" customHeight="1" x14ac:dyDescent="0.3">
      <c r="A1051" s="1134"/>
      <c r="B1051" s="904"/>
      <c r="C1051" s="279" t="s">
        <v>298</v>
      </c>
      <c r="D1051" s="434" t="s">
        <v>177</v>
      </c>
      <c r="E1051" s="280"/>
      <c r="F1051" s="435">
        <f t="shared" si="209"/>
        <v>0</v>
      </c>
      <c r="G1051" s="602">
        <v>21.22</v>
      </c>
      <c r="H1051" s="597">
        <f t="shared" si="207"/>
        <v>0</v>
      </c>
      <c r="I1051" s="596">
        <f t="shared" si="208"/>
        <v>0</v>
      </c>
      <c r="J1051" s="373"/>
    </row>
    <row r="1052" spans="1:10" ht="35.25" customHeight="1" x14ac:dyDescent="0.3">
      <c r="A1052" s="1134"/>
      <c r="B1052" s="904"/>
      <c r="C1052" s="279" t="s">
        <v>339</v>
      </c>
      <c r="D1052" s="434" t="s">
        <v>304</v>
      </c>
      <c r="E1052" s="280"/>
      <c r="F1052" s="435">
        <f t="shared" si="209"/>
        <v>0</v>
      </c>
      <c r="G1052" s="602">
        <v>10000</v>
      </c>
      <c r="H1052" s="597">
        <f t="shared" si="207"/>
        <v>0</v>
      </c>
      <c r="I1052" s="596">
        <f t="shared" si="208"/>
        <v>0</v>
      </c>
      <c r="J1052" s="373"/>
    </row>
    <row r="1053" spans="1:10" ht="35.25" customHeight="1" thickBot="1" x14ac:dyDescent="0.35">
      <c r="A1053" s="1134"/>
      <c r="B1053" s="904"/>
      <c r="C1053" s="279" t="s">
        <v>303</v>
      </c>
      <c r="D1053" s="434" t="s">
        <v>304</v>
      </c>
      <c r="E1053" s="280"/>
      <c r="F1053" s="435">
        <f t="shared" si="209"/>
        <v>0</v>
      </c>
      <c r="G1053" s="602">
        <v>360</v>
      </c>
      <c r="H1053" s="597">
        <f t="shared" si="207"/>
        <v>0</v>
      </c>
      <c r="I1053" s="596">
        <f t="shared" si="208"/>
        <v>0</v>
      </c>
      <c r="J1053" s="373"/>
    </row>
    <row r="1054" spans="1:10" ht="35.25" customHeight="1" thickBot="1" x14ac:dyDescent="0.35">
      <c r="A1054" s="1135"/>
      <c r="B1054" s="1129" t="s">
        <v>268</v>
      </c>
      <c r="C1054" s="1130"/>
      <c r="D1054" s="906"/>
      <c r="E1054" s="326">
        <f>SUM(E1025:E1053)</f>
        <v>0</v>
      </c>
      <c r="F1054" s="326">
        <f t="shared" si="209"/>
        <v>0</v>
      </c>
      <c r="G1054" s="326"/>
      <c r="H1054" s="587">
        <f>SUM(H1025:H1053)</f>
        <v>0</v>
      </c>
      <c r="I1054" s="580">
        <f>SUM(I1025:I1053)</f>
        <v>0</v>
      </c>
      <c r="J1054" s="373"/>
    </row>
    <row r="1055" spans="1:10" ht="35.25" customHeight="1" x14ac:dyDescent="0.3">
      <c r="A1055" s="1133" t="s">
        <v>102</v>
      </c>
      <c r="B1055" s="904"/>
      <c r="C1055" s="279" t="s">
        <v>509</v>
      </c>
      <c r="D1055" s="434" t="s">
        <v>238</v>
      </c>
      <c r="E1055" s="280">
        <v>0</v>
      </c>
      <c r="F1055" s="435">
        <f t="shared" si="209"/>
        <v>6200</v>
      </c>
      <c r="G1055" s="803">
        <v>624.26</v>
      </c>
      <c r="H1055" s="593">
        <f>E1055*G1055</f>
        <v>0</v>
      </c>
      <c r="I1055" s="596">
        <f t="shared" ref="I1055:I1057" si="210">+G1055*F1055</f>
        <v>3870412</v>
      </c>
      <c r="J1055" s="373"/>
    </row>
    <row r="1056" spans="1:10" ht="35.25" customHeight="1" x14ac:dyDescent="0.3">
      <c r="A1056" s="1134"/>
      <c r="B1056" s="904"/>
      <c r="C1056" s="279" t="s">
        <v>273</v>
      </c>
      <c r="D1056" s="434" t="s">
        <v>238</v>
      </c>
      <c r="E1056" s="280">
        <v>640</v>
      </c>
      <c r="F1056" s="435">
        <f t="shared" si="209"/>
        <v>2763</v>
      </c>
      <c r="G1056" s="602">
        <v>430.02</v>
      </c>
      <c r="H1056" s="593">
        <f t="shared" ref="H1056:H1077" si="211">E1056*G1056</f>
        <v>275212.79999999999</v>
      </c>
      <c r="I1056" s="596">
        <f t="shared" si="210"/>
        <v>1188145.26</v>
      </c>
      <c r="J1056" s="373"/>
    </row>
    <row r="1057" spans="1:10" ht="35.25" customHeight="1" x14ac:dyDescent="0.3">
      <c r="A1057" s="1134"/>
      <c r="B1057" s="904"/>
      <c r="C1057" s="279" t="s">
        <v>390</v>
      </c>
      <c r="D1057" s="434" t="s">
        <v>238</v>
      </c>
      <c r="E1057" s="280"/>
      <c r="F1057" s="435">
        <f t="shared" si="209"/>
        <v>0</v>
      </c>
      <c r="G1057" s="602">
        <v>445.38</v>
      </c>
      <c r="H1057" s="593">
        <f t="shared" si="211"/>
        <v>0</v>
      </c>
      <c r="I1057" s="596">
        <f t="shared" si="210"/>
        <v>0</v>
      </c>
      <c r="J1057" s="373"/>
    </row>
    <row r="1058" spans="1:10" ht="35.25" customHeight="1" x14ac:dyDescent="0.3">
      <c r="A1058" s="1134"/>
      <c r="B1058" s="904"/>
      <c r="C1058" s="279" t="s">
        <v>301</v>
      </c>
      <c r="D1058" s="434" t="s">
        <v>238</v>
      </c>
      <c r="E1058" s="280"/>
      <c r="F1058" s="435">
        <f t="shared" si="209"/>
        <v>8640</v>
      </c>
      <c r="G1058" s="602">
        <v>63.55</v>
      </c>
      <c r="H1058" s="593">
        <f t="shared" si="211"/>
        <v>0</v>
      </c>
      <c r="I1058" s="596">
        <f>+G1058*F1058</f>
        <v>549072</v>
      </c>
      <c r="J1058" s="373"/>
    </row>
    <row r="1059" spans="1:10" ht="35.25" customHeight="1" x14ac:dyDescent="0.3">
      <c r="A1059" s="1134"/>
      <c r="B1059" s="904"/>
      <c r="C1059" s="279" t="s">
        <v>514</v>
      </c>
      <c r="D1059" s="434" t="s">
        <v>238</v>
      </c>
      <c r="E1059" s="280"/>
      <c r="F1059" s="435">
        <f t="shared" si="209"/>
        <v>48300</v>
      </c>
      <c r="G1059" s="602">
        <v>71.44</v>
      </c>
      <c r="H1059" s="593">
        <f t="shared" si="211"/>
        <v>0</v>
      </c>
      <c r="I1059" s="596">
        <f>+G1059*F1059</f>
        <v>3450552</v>
      </c>
      <c r="J1059" s="373"/>
    </row>
    <row r="1060" spans="1:10" ht="35.25" customHeight="1" x14ac:dyDescent="0.3">
      <c r="A1060" s="1134"/>
      <c r="B1060" s="904"/>
      <c r="C1060" s="279" t="s">
        <v>275</v>
      </c>
      <c r="D1060" s="434" t="s">
        <v>238</v>
      </c>
      <c r="E1060" s="280">
        <v>21036</v>
      </c>
      <c r="F1060" s="435">
        <f t="shared" si="209"/>
        <v>92316</v>
      </c>
      <c r="G1060" s="602">
        <v>71.44</v>
      </c>
      <c r="H1060" s="593">
        <f t="shared" si="211"/>
        <v>1502811.8399999999</v>
      </c>
      <c r="I1060" s="596">
        <f t="shared" ref="I1060:I1077" si="212">+G1060*F1060</f>
        <v>6595055.04</v>
      </c>
      <c r="J1060" s="373"/>
    </row>
    <row r="1061" spans="1:10" ht="35.25" customHeight="1" x14ac:dyDescent="0.3">
      <c r="A1061" s="1134"/>
      <c r="B1061" s="904"/>
      <c r="C1061" s="279" t="s">
        <v>276</v>
      </c>
      <c r="D1061" s="434" t="s">
        <v>238</v>
      </c>
      <c r="E1061" s="280"/>
      <c r="F1061" s="435">
        <f t="shared" si="209"/>
        <v>0</v>
      </c>
      <c r="G1061" s="602">
        <v>36.5</v>
      </c>
      <c r="H1061" s="593">
        <f t="shared" si="211"/>
        <v>0</v>
      </c>
      <c r="I1061" s="596">
        <f t="shared" si="212"/>
        <v>0</v>
      </c>
      <c r="J1061" s="373"/>
    </row>
    <row r="1062" spans="1:10" ht="35.25" customHeight="1" x14ac:dyDescent="0.3">
      <c r="A1062" s="1134"/>
      <c r="B1062" s="904"/>
      <c r="C1062" s="279" t="s">
        <v>527</v>
      </c>
      <c r="D1062" s="434" t="s">
        <v>238</v>
      </c>
      <c r="E1062" s="280">
        <v>2800</v>
      </c>
      <c r="F1062" s="435">
        <f t="shared" si="209"/>
        <v>4800</v>
      </c>
      <c r="G1062" s="602">
        <v>320.35000000000002</v>
      </c>
      <c r="H1062" s="593">
        <f t="shared" si="211"/>
        <v>896980.00000000012</v>
      </c>
      <c r="I1062" s="596">
        <f t="shared" si="212"/>
        <v>1537680</v>
      </c>
      <c r="J1062" s="373"/>
    </row>
    <row r="1063" spans="1:10" ht="35.25" customHeight="1" x14ac:dyDescent="0.3">
      <c r="A1063" s="1134"/>
      <c r="B1063" s="904"/>
      <c r="C1063" s="279" t="s">
        <v>285</v>
      </c>
      <c r="D1063" s="434" t="s">
        <v>238</v>
      </c>
      <c r="E1063" s="280"/>
      <c r="F1063" s="435">
        <f t="shared" si="209"/>
        <v>0</v>
      </c>
      <c r="G1063" s="602">
        <v>320.35000000000002</v>
      </c>
      <c r="H1063" s="593">
        <f t="shared" si="211"/>
        <v>0</v>
      </c>
      <c r="I1063" s="596">
        <f t="shared" si="212"/>
        <v>0</v>
      </c>
      <c r="J1063" s="373"/>
    </row>
    <row r="1064" spans="1:10" ht="35.25" customHeight="1" x14ac:dyDescent="0.3">
      <c r="A1064" s="1134"/>
      <c r="B1064" s="904"/>
      <c r="C1064" s="279" t="s">
        <v>296</v>
      </c>
      <c r="D1064" s="434" t="s">
        <v>238</v>
      </c>
      <c r="E1064" s="280"/>
      <c r="F1064" s="435">
        <f t="shared" si="209"/>
        <v>0</v>
      </c>
      <c r="G1064" s="602">
        <v>434.41</v>
      </c>
      <c r="H1064" s="593">
        <f t="shared" si="211"/>
        <v>0</v>
      </c>
      <c r="I1064" s="596">
        <f t="shared" si="212"/>
        <v>0</v>
      </c>
      <c r="J1064" s="373"/>
    </row>
    <row r="1065" spans="1:10" ht="35.25" customHeight="1" x14ac:dyDescent="0.3">
      <c r="A1065" s="1134"/>
      <c r="B1065" s="904"/>
      <c r="C1065" s="279" t="s">
        <v>282</v>
      </c>
      <c r="D1065" s="434" t="s">
        <v>238</v>
      </c>
      <c r="E1065" s="280"/>
      <c r="F1065" s="435">
        <f t="shared" si="209"/>
        <v>0</v>
      </c>
      <c r="G1065" s="602">
        <v>29690</v>
      </c>
      <c r="H1065" s="593">
        <f t="shared" si="211"/>
        <v>0</v>
      </c>
      <c r="I1065" s="596">
        <f t="shared" si="212"/>
        <v>0</v>
      </c>
      <c r="J1065" s="373"/>
    </row>
    <row r="1066" spans="1:10" ht="35.25" customHeight="1" x14ac:dyDescent="0.3">
      <c r="A1066" s="1134"/>
      <c r="B1066" s="904"/>
      <c r="C1066" s="279" t="s">
        <v>282</v>
      </c>
      <c r="D1066" s="434" t="s">
        <v>238</v>
      </c>
      <c r="E1066" s="280"/>
      <c r="F1066" s="435">
        <f t="shared" si="209"/>
        <v>2</v>
      </c>
      <c r="G1066" s="602">
        <v>26445</v>
      </c>
      <c r="H1066" s="593">
        <f t="shared" si="211"/>
        <v>0</v>
      </c>
      <c r="I1066" s="596">
        <f t="shared" si="212"/>
        <v>52890</v>
      </c>
      <c r="J1066" s="373"/>
    </row>
    <row r="1067" spans="1:10" ht="35.25" customHeight="1" x14ac:dyDescent="0.3">
      <c r="A1067" s="1134"/>
      <c r="B1067" s="904"/>
      <c r="C1067" s="279" t="s">
        <v>282</v>
      </c>
      <c r="D1067" s="434"/>
      <c r="E1067" s="280"/>
      <c r="F1067" s="435">
        <f t="shared" si="209"/>
        <v>0</v>
      </c>
      <c r="G1067" s="602">
        <v>33947.884599999998</v>
      </c>
      <c r="H1067" s="593">
        <f t="shared" si="211"/>
        <v>0</v>
      </c>
      <c r="I1067" s="596">
        <f t="shared" si="212"/>
        <v>0</v>
      </c>
      <c r="J1067" s="373"/>
    </row>
    <row r="1068" spans="1:10" ht="35.25" customHeight="1" x14ac:dyDescent="0.3">
      <c r="A1068" s="1134"/>
      <c r="B1068" s="904"/>
      <c r="C1068" s="279" t="s">
        <v>311</v>
      </c>
      <c r="D1068" s="434" t="s">
        <v>337</v>
      </c>
      <c r="E1068" s="280"/>
      <c r="F1068" s="435">
        <f t="shared" si="209"/>
        <v>0</v>
      </c>
      <c r="G1068" s="602">
        <v>50</v>
      </c>
      <c r="H1068" s="593">
        <f t="shared" si="211"/>
        <v>0</v>
      </c>
      <c r="I1068" s="596">
        <f t="shared" si="212"/>
        <v>0</v>
      </c>
      <c r="J1068" s="373"/>
    </row>
    <row r="1069" spans="1:10" ht="35.25" customHeight="1" x14ac:dyDescent="0.3">
      <c r="A1069" s="1134"/>
      <c r="B1069" s="904"/>
      <c r="C1069" s="279" t="s">
        <v>311</v>
      </c>
      <c r="D1069" s="434"/>
      <c r="E1069" s="280"/>
      <c r="F1069" s="435">
        <f t="shared" si="209"/>
        <v>0</v>
      </c>
      <c r="G1069" s="602">
        <v>10</v>
      </c>
      <c r="H1069" s="593">
        <f t="shared" si="211"/>
        <v>0</v>
      </c>
      <c r="I1069" s="596">
        <f t="shared" si="212"/>
        <v>0</v>
      </c>
      <c r="J1069" s="373"/>
    </row>
    <row r="1070" spans="1:10" ht="35.25" customHeight="1" x14ac:dyDescent="0.3">
      <c r="A1070" s="1134"/>
      <c r="B1070" s="904"/>
      <c r="C1070" s="279" t="s">
        <v>329</v>
      </c>
      <c r="D1070" s="434" t="s">
        <v>370</v>
      </c>
      <c r="E1070" s="280"/>
      <c r="F1070" s="435">
        <f t="shared" si="209"/>
        <v>0</v>
      </c>
      <c r="G1070" s="602">
        <v>57.64</v>
      </c>
      <c r="H1070" s="593">
        <f t="shared" si="211"/>
        <v>0</v>
      </c>
      <c r="I1070" s="596">
        <f t="shared" si="212"/>
        <v>0</v>
      </c>
      <c r="J1070" s="373"/>
    </row>
    <row r="1071" spans="1:10" ht="35.25" customHeight="1" x14ac:dyDescent="0.3">
      <c r="A1071" s="1134"/>
      <c r="B1071" s="904"/>
      <c r="C1071" s="279" t="s">
        <v>329</v>
      </c>
      <c r="D1071" s="434" t="s">
        <v>364</v>
      </c>
      <c r="E1071" s="280"/>
      <c r="F1071" s="435">
        <f t="shared" si="209"/>
        <v>0</v>
      </c>
      <c r="G1071" s="602">
        <v>57.64</v>
      </c>
      <c r="H1071" s="593">
        <f t="shared" si="211"/>
        <v>0</v>
      </c>
      <c r="I1071" s="596">
        <f t="shared" si="212"/>
        <v>0</v>
      </c>
      <c r="J1071" s="373"/>
    </row>
    <row r="1072" spans="1:10" ht="35.25" customHeight="1" x14ac:dyDescent="0.3">
      <c r="A1072" s="1134"/>
      <c r="B1072" s="904"/>
      <c r="C1072" s="279" t="s">
        <v>330</v>
      </c>
      <c r="D1072" s="434" t="s">
        <v>331</v>
      </c>
      <c r="E1072" s="280"/>
      <c r="F1072" s="435">
        <f t="shared" si="209"/>
        <v>0</v>
      </c>
      <c r="G1072" s="602">
        <v>434.41</v>
      </c>
      <c r="H1072" s="593">
        <f t="shared" si="211"/>
        <v>0</v>
      </c>
      <c r="I1072" s="596">
        <f t="shared" si="212"/>
        <v>0</v>
      </c>
      <c r="J1072" s="373"/>
    </row>
    <row r="1073" spans="1:10" ht="35.25" customHeight="1" x14ac:dyDescent="0.3">
      <c r="A1073" s="1134"/>
      <c r="B1073" s="904"/>
      <c r="C1073" s="279" t="s">
        <v>343</v>
      </c>
      <c r="D1073" s="434" t="s">
        <v>238</v>
      </c>
      <c r="E1073" s="280"/>
      <c r="F1073" s="435">
        <f t="shared" si="209"/>
        <v>0</v>
      </c>
      <c r="G1073" s="602">
        <v>624.26</v>
      </c>
      <c r="H1073" s="593">
        <f t="shared" si="211"/>
        <v>0</v>
      </c>
      <c r="I1073" s="596">
        <f t="shared" si="212"/>
        <v>0</v>
      </c>
      <c r="J1073" s="373"/>
    </row>
    <row r="1074" spans="1:10" ht="35.25" customHeight="1" x14ac:dyDescent="0.3">
      <c r="A1074" s="1134"/>
      <c r="B1074" s="904"/>
      <c r="C1074" s="279" t="s">
        <v>332</v>
      </c>
      <c r="D1074" s="434" t="s">
        <v>331</v>
      </c>
      <c r="E1074" s="280"/>
      <c r="F1074" s="435">
        <f t="shared" si="209"/>
        <v>0</v>
      </c>
      <c r="G1074" s="602">
        <v>63.55</v>
      </c>
      <c r="H1074" s="593">
        <f t="shared" si="211"/>
        <v>0</v>
      </c>
      <c r="I1074" s="596">
        <f t="shared" si="212"/>
        <v>0</v>
      </c>
      <c r="J1074" s="373"/>
    </row>
    <row r="1075" spans="1:10" ht="35.25" customHeight="1" x14ac:dyDescent="0.3">
      <c r="A1075" s="1134"/>
      <c r="B1075" s="904"/>
      <c r="C1075" s="279" t="s">
        <v>371</v>
      </c>
      <c r="D1075" s="434" t="s">
        <v>238</v>
      </c>
      <c r="E1075" s="280"/>
      <c r="F1075" s="435">
        <f t="shared" si="209"/>
        <v>0</v>
      </c>
      <c r="G1075" s="602">
        <v>59.96</v>
      </c>
      <c r="H1075" s="593">
        <f t="shared" si="211"/>
        <v>0</v>
      </c>
      <c r="I1075" s="596">
        <f t="shared" si="212"/>
        <v>0</v>
      </c>
      <c r="J1075" s="373"/>
    </row>
    <row r="1076" spans="1:10" ht="35.25" customHeight="1" x14ac:dyDescent="0.3">
      <c r="A1076" s="1134"/>
      <c r="B1076" s="904"/>
      <c r="C1076" s="279" t="s">
        <v>419</v>
      </c>
      <c r="D1076" s="434" t="s">
        <v>331</v>
      </c>
      <c r="E1076" s="280"/>
      <c r="F1076" s="435">
        <f t="shared" si="209"/>
        <v>0</v>
      </c>
      <c r="G1076" s="602">
        <v>53.86</v>
      </c>
      <c r="H1076" s="593">
        <f t="shared" si="211"/>
        <v>0</v>
      </c>
      <c r="I1076" s="596">
        <f t="shared" si="212"/>
        <v>0</v>
      </c>
      <c r="J1076" s="373"/>
    </row>
    <row r="1077" spans="1:10" ht="35.25" customHeight="1" x14ac:dyDescent="0.3">
      <c r="A1077" s="1134"/>
      <c r="B1077" s="904"/>
      <c r="C1077" s="279" t="s">
        <v>379</v>
      </c>
      <c r="D1077" s="434"/>
      <c r="E1077" s="280"/>
      <c r="F1077" s="435">
        <f t="shared" si="209"/>
        <v>0</v>
      </c>
      <c r="G1077" s="602">
        <v>360</v>
      </c>
      <c r="H1077" s="593">
        <f t="shared" si="211"/>
        <v>0</v>
      </c>
      <c r="I1077" s="596">
        <f t="shared" si="212"/>
        <v>0</v>
      </c>
      <c r="J1077" s="373"/>
    </row>
    <row r="1078" spans="1:10" ht="35.25" customHeight="1" x14ac:dyDescent="0.3">
      <c r="A1078" s="1134"/>
      <c r="B1078" s="904"/>
      <c r="C1078" s="279" t="s">
        <v>471</v>
      </c>
      <c r="D1078" s="434"/>
      <c r="E1078" s="280"/>
      <c r="F1078" s="435">
        <f t="shared" si="209"/>
        <v>0</v>
      </c>
      <c r="G1078" s="602"/>
      <c r="H1078" s="593">
        <f>+E1078</f>
        <v>0</v>
      </c>
      <c r="I1078" s="596">
        <f>+H1078</f>
        <v>0</v>
      </c>
      <c r="J1078" s="373"/>
    </row>
    <row r="1079" spans="1:10" ht="35.25" customHeight="1" x14ac:dyDescent="0.3">
      <c r="A1079" s="1134"/>
      <c r="B1079" s="904"/>
      <c r="C1079" s="279" t="s">
        <v>282</v>
      </c>
      <c r="D1079" s="434"/>
      <c r="E1079" s="280"/>
      <c r="F1079" s="435">
        <f t="shared" si="209"/>
        <v>0</v>
      </c>
      <c r="G1079" s="602">
        <v>39450</v>
      </c>
      <c r="H1079" s="593">
        <f t="shared" ref="H1079:H1080" si="213">E1079*G1079</f>
        <v>0</v>
      </c>
      <c r="I1079" s="596">
        <f t="shared" ref="I1079:I1080" si="214">+G1079*F1079</f>
        <v>0</v>
      </c>
      <c r="J1079" s="373"/>
    </row>
    <row r="1080" spans="1:10" ht="35.25" customHeight="1" thickBot="1" x14ac:dyDescent="0.35">
      <c r="A1080" s="1134"/>
      <c r="B1080" s="904"/>
      <c r="C1080" s="279" t="s">
        <v>329</v>
      </c>
      <c r="D1080" s="434" t="s">
        <v>443</v>
      </c>
      <c r="E1080" s="280"/>
      <c r="F1080" s="435">
        <f t="shared" si="209"/>
        <v>0</v>
      </c>
      <c r="G1080" s="602">
        <v>57.64</v>
      </c>
      <c r="H1080" s="593">
        <f t="shared" si="213"/>
        <v>0</v>
      </c>
      <c r="I1080" s="596">
        <f t="shared" si="214"/>
        <v>0</v>
      </c>
      <c r="J1080" s="373"/>
    </row>
    <row r="1081" spans="1:10" ht="35.25" customHeight="1" thickBot="1" x14ac:dyDescent="0.35">
      <c r="A1081" s="1135"/>
      <c r="B1081" s="1129" t="s">
        <v>270</v>
      </c>
      <c r="C1081" s="1130"/>
      <c r="D1081" s="906"/>
      <c r="E1081" s="326">
        <f>SUM(E1055:E1080)</f>
        <v>24476</v>
      </c>
      <c r="F1081" s="326">
        <f>SUM(F1055:F1080)</f>
        <v>163021</v>
      </c>
      <c r="G1081" s="326"/>
      <c r="H1081" s="590">
        <f>SUM(H1055:H1080)</f>
        <v>2675004.64</v>
      </c>
      <c r="I1081" s="580">
        <f>SUM(I1055:I1080)</f>
        <v>17243806.300000001</v>
      </c>
      <c r="J1081" s="372"/>
    </row>
    <row r="1082" spans="1:10" ht="35.25" customHeight="1" thickBot="1" x14ac:dyDescent="0.35">
      <c r="A1082" s="909"/>
      <c r="B1082" s="437"/>
      <c r="C1082" s="279" t="s">
        <v>379</v>
      </c>
      <c r="D1082" s="434"/>
      <c r="E1082" s="280"/>
      <c r="F1082" s="281">
        <f>+E1082</f>
        <v>0</v>
      </c>
      <c r="G1082" s="334"/>
      <c r="H1082" s="589">
        <f t="shared" ref="H1082" si="215">E1082*G1082</f>
        <v>0</v>
      </c>
      <c r="I1082" s="282">
        <f t="shared" ref="I1082" si="216">+G1082*F1082</f>
        <v>0</v>
      </c>
      <c r="J1082" s="373"/>
    </row>
    <row r="1083" spans="1:10" ht="35.25" customHeight="1" thickBot="1" x14ac:dyDescent="0.35">
      <c r="A1083" s="909"/>
      <c r="B1083" s="1129" t="s">
        <v>224</v>
      </c>
      <c r="C1083" s="1130"/>
      <c r="D1083" s="902"/>
      <c r="E1083" s="326"/>
      <c r="F1083" s="327"/>
      <c r="G1083" s="326"/>
      <c r="H1083" s="587"/>
      <c r="I1083" s="324">
        <f>SUM(I1082)</f>
        <v>0</v>
      </c>
      <c r="J1083" s="349"/>
    </row>
    <row r="1084" spans="1:10" ht="35.25" customHeight="1" thickBot="1" x14ac:dyDescent="0.35">
      <c r="A1084" s="319"/>
      <c r="B1084" s="1131" t="s">
        <v>174</v>
      </c>
      <c r="C1084" s="1132"/>
      <c r="D1084" s="903"/>
      <c r="E1084" s="374">
        <f>+E1081+E1054+E1024+E1022</f>
        <v>64016</v>
      </c>
      <c r="F1084" s="374">
        <f>+F1081+F1054+F1024+F1022</f>
        <v>854613</v>
      </c>
      <c r="G1084" s="374"/>
      <c r="H1084" s="374"/>
      <c r="I1084" s="374">
        <f>+I1081+I1054+I1024+I1083</f>
        <v>29743602.940000001</v>
      </c>
      <c r="J1084" s="375"/>
    </row>
    <row r="1085" spans="1:10" ht="23.4" x14ac:dyDescent="0.3">
      <c r="A1085" s="1057" t="s">
        <v>1</v>
      </c>
      <c r="B1085" s="1060" t="s">
        <v>2</v>
      </c>
      <c r="C1085" s="1138" t="s">
        <v>396</v>
      </c>
      <c r="D1085" s="1115" t="s">
        <v>397</v>
      </c>
      <c r="E1085" s="1142" t="s">
        <v>556</v>
      </c>
      <c r="F1085" s="1067"/>
      <c r="G1085" s="1067"/>
      <c r="H1085" s="1067"/>
      <c r="I1085" s="1067"/>
      <c r="J1085" s="1068"/>
    </row>
    <row r="1086" spans="1:10" ht="23.4" x14ac:dyDescent="0.3">
      <c r="A1086" s="1136"/>
      <c r="B1086" s="1137"/>
      <c r="C1086" s="1139"/>
      <c r="D1086" s="1116"/>
      <c r="E1086" s="1143" t="s">
        <v>412</v>
      </c>
      <c r="F1086" s="1144"/>
      <c r="G1086" s="1143" t="s">
        <v>411</v>
      </c>
      <c r="H1086" s="1145"/>
      <c r="I1086" s="1145"/>
      <c r="J1086" s="1144"/>
    </row>
    <row r="1087" spans="1:10" x14ac:dyDescent="0.3">
      <c r="A1087" s="1058"/>
      <c r="B1087" s="1061"/>
      <c r="C1087" s="1140"/>
      <c r="D1087" s="1116"/>
      <c r="E1087" s="1069" t="s">
        <v>413</v>
      </c>
      <c r="F1087" s="1071" t="s">
        <v>414</v>
      </c>
      <c r="G1087" s="1147" t="s">
        <v>90</v>
      </c>
      <c r="H1087" s="1149" t="s">
        <v>91</v>
      </c>
      <c r="I1087" s="1149" t="s">
        <v>91</v>
      </c>
      <c r="J1087" s="1151" t="s">
        <v>12</v>
      </c>
    </row>
    <row r="1088" spans="1:10" ht="14.4" thickBot="1" x14ac:dyDescent="0.35">
      <c r="A1088" s="1059"/>
      <c r="B1088" s="1062"/>
      <c r="C1088" s="1141"/>
      <c r="D1088" s="1117"/>
      <c r="E1088" s="1070"/>
      <c r="F1088" s="1146"/>
      <c r="G1088" s="1148"/>
      <c r="H1088" s="1150"/>
      <c r="I1088" s="1150"/>
      <c r="J1088" s="1152"/>
    </row>
    <row r="1089" spans="1:10" ht="23.4" x14ac:dyDescent="0.3">
      <c r="A1089" s="1133" t="s">
        <v>103</v>
      </c>
      <c r="B1089" s="439"/>
      <c r="C1089" s="577" t="s">
        <v>538</v>
      </c>
      <c r="D1089" s="665" t="s">
        <v>539</v>
      </c>
      <c r="E1089" s="699"/>
      <c r="F1089" s="674">
        <f>+E1089+F995</f>
        <v>1024</v>
      </c>
      <c r="G1089" s="732">
        <v>109.77</v>
      </c>
      <c r="H1089" s="591">
        <f t="shared" ref="H1089:H1103" si="217">E1089*G1089</f>
        <v>0</v>
      </c>
      <c r="I1089" s="594">
        <f>+G1089*F1089</f>
        <v>112404.48</v>
      </c>
      <c r="J1089" s="351"/>
    </row>
    <row r="1090" spans="1:10" ht="23.4" x14ac:dyDescent="0.3">
      <c r="A1090" s="1134"/>
      <c r="B1090" s="438"/>
      <c r="C1090" s="441" t="s">
        <v>264</v>
      </c>
      <c r="D1090" s="666" t="s">
        <v>265</v>
      </c>
      <c r="E1090" s="700"/>
      <c r="F1090" s="701">
        <f t="shared" ref="F1090:F1103" si="218">+E1090+F996</f>
        <v>0</v>
      </c>
      <c r="G1090" s="697">
        <v>11</v>
      </c>
      <c r="H1090" s="592">
        <f t="shared" si="217"/>
        <v>0</v>
      </c>
      <c r="I1090" s="595">
        <f>+G1090*F1090</f>
        <v>0</v>
      </c>
      <c r="J1090" s="352"/>
    </row>
    <row r="1091" spans="1:10" ht="23.4" x14ac:dyDescent="0.3">
      <c r="A1091" s="1134"/>
      <c r="B1091" s="438"/>
      <c r="C1091" s="441" t="s">
        <v>295</v>
      </c>
      <c r="D1091" s="666" t="s">
        <v>453</v>
      </c>
      <c r="E1091" s="700"/>
      <c r="F1091" s="701">
        <f t="shared" si="218"/>
        <v>640</v>
      </c>
      <c r="G1091" s="697">
        <v>139.04</v>
      </c>
      <c r="H1091" s="592">
        <f t="shared" si="217"/>
        <v>0</v>
      </c>
      <c r="I1091" s="595">
        <f t="shared" ref="I1091:I1103" si="219">+G1091*F1091</f>
        <v>88985.599999999991</v>
      </c>
      <c r="J1091" s="352"/>
    </row>
    <row r="1092" spans="1:10" ht="23.4" x14ac:dyDescent="0.3">
      <c r="A1092" s="1134"/>
      <c r="B1092" s="438"/>
      <c r="C1092" s="441" t="s">
        <v>531</v>
      </c>
      <c r="D1092" s="666" t="s">
        <v>529</v>
      </c>
      <c r="E1092" s="700"/>
      <c r="F1092" s="701">
        <f t="shared" si="218"/>
        <v>12240</v>
      </c>
      <c r="G1092" s="715">
        <v>20.66</v>
      </c>
      <c r="H1092" s="592">
        <f t="shared" si="217"/>
        <v>0</v>
      </c>
      <c r="I1092" s="595">
        <f t="shared" si="219"/>
        <v>252878.4</v>
      </c>
      <c r="J1092" s="352"/>
    </row>
    <row r="1093" spans="1:10" ht="23.4" x14ac:dyDescent="0.3">
      <c r="A1093" s="1134"/>
      <c r="B1093" s="438"/>
      <c r="C1093" s="441" t="s">
        <v>288</v>
      </c>
      <c r="D1093" s="666" t="s">
        <v>177</v>
      </c>
      <c r="E1093" s="700"/>
      <c r="F1093" s="701">
        <f t="shared" si="218"/>
        <v>0</v>
      </c>
      <c r="G1093" s="697">
        <v>14.79</v>
      </c>
      <c r="H1093" s="592">
        <f t="shared" si="217"/>
        <v>0</v>
      </c>
      <c r="I1093" s="595">
        <f t="shared" si="219"/>
        <v>0</v>
      </c>
      <c r="J1093" s="352"/>
    </row>
    <row r="1094" spans="1:10" ht="23.4" x14ac:dyDescent="0.3">
      <c r="A1094" s="1134"/>
      <c r="B1094" s="438"/>
      <c r="C1094" s="441" t="s">
        <v>295</v>
      </c>
      <c r="D1094" s="666" t="s">
        <v>265</v>
      </c>
      <c r="E1094" s="700">
        <v>0</v>
      </c>
      <c r="F1094" s="701">
        <f t="shared" si="218"/>
        <v>5120</v>
      </c>
      <c r="G1094" s="697">
        <v>139.04</v>
      </c>
      <c r="H1094" s="592">
        <f t="shared" si="217"/>
        <v>0</v>
      </c>
      <c r="I1094" s="595">
        <f t="shared" si="219"/>
        <v>711884.79999999993</v>
      </c>
      <c r="J1094" s="352"/>
    </row>
    <row r="1095" spans="1:10" ht="23.4" x14ac:dyDescent="0.3">
      <c r="A1095" s="1134"/>
      <c r="B1095" s="438"/>
      <c r="C1095" s="441" t="s">
        <v>537</v>
      </c>
      <c r="D1095" s="666" t="s">
        <v>265</v>
      </c>
      <c r="E1095" s="700">
        <v>1600</v>
      </c>
      <c r="F1095" s="701">
        <f t="shared" si="218"/>
        <v>4160</v>
      </c>
      <c r="G1095" s="697">
        <v>135.96</v>
      </c>
      <c r="H1095" s="592">
        <f t="shared" si="217"/>
        <v>217536</v>
      </c>
      <c r="I1095" s="595">
        <f t="shared" si="219"/>
        <v>565593.59999999998</v>
      </c>
      <c r="J1095" s="352"/>
    </row>
    <row r="1096" spans="1:10" ht="23.4" x14ac:dyDescent="0.3">
      <c r="A1096" s="1134"/>
      <c r="B1096" s="438"/>
      <c r="C1096" s="441" t="s">
        <v>313</v>
      </c>
      <c r="D1096" s="667" t="s">
        <v>265</v>
      </c>
      <c r="E1096" s="700">
        <v>9932</v>
      </c>
      <c r="F1096" s="701">
        <f t="shared" si="218"/>
        <v>58892</v>
      </c>
      <c r="G1096" s="697">
        <v>18.84</v>
      </c>
      <c r="H1096" s="592">
        <f t="shared" si="217"/>
        <v>187118.88</v>
      </c>
      <c r="I1096" s="595">
        <f t="shared" si="219"/>
        <v>1109525.28</v>
      </c>
      <c r="J1096" s="352"/>
    </row>
    <row r="1097" spans="1:10" ht="23.4" x14ac:dyDescent="0.3">
      <c r="A1097" s="1134"/>
      <c r="B1097" s="438"/>
      <c r="C1097" s="441" t="s">
        <v>322</v>
      </c>
      <c r="D1097" s="667" t="s">
        <v>232</v>
      </c>
      <c r="E1097" s="700"/>
      <c r="F1097" s="701">
        <f t="shared" si="218"/>
        <v>0</v>
      </c>
      <c r="G1097" s="697">
        <v>21.18</v>
      </c>
      <c r="H1097" s="592">
        <f t="shared" si="217"/>
        <v>0</v>
      </c>
      <c r="I1097" s="595">
        <f t="shared" si="219"/>
        <v>0</v>
      </c>
      <c r="J1097" s="352"/>
    </row>
    <row r="1098" spans="1:10" ht="23.4" x14ac:dyDescent="0.3">
      <c r="A1098" s="1134"/>
      <c r="B1098" s="438"/>
      <c r="C1098" s="441" t="s">
        <v>324</v>
      </c>
      <c r="D1098" s="667" t="s">
        <v>325</v>
      </c>
      <c r="E1098" s="700"/>
      <c r="F1098" s="701">
        <f t="shared" si="218"/>
        <v>0</v>
      </c>
      <c r="G1098" s="697">
        <v>21.28</v>
      </c>
      <c r="H1098" s="592">
        <f t="shared" si="217"/>
        <v>0</v>
      </c>
      <c r="I1098" s="595">
        <f t="shared" si="219"/>
        <v>0</v>
      </c>
      <c r="J1098" s="352"/>
    </row>
    <row r="1099" spans="1:10" ht="23.4" x14ac:dyDescent="0.3">
      <c r="A1099" s="1134"/>
      <c r="B1099" s="438"/>
      <c r="C1099" s="441" t="s">
        <v>378</v>
      </c>
      <c r="D1099" s="667" t="s">
        <v>374</v>
      </c>
      <c r="E1099" s="700">
        <v>9920</v>
      </c>
      <c r="F1099" s="701">
        <f t="shared" si="218"/>
        <v>9920</v>
      </c>
      <c r="G1099" s="697">
        <v>143.28</v>
      </c>
      <c r="H1099" s="592">
        <f t="shared" si="217"/>
        <v>1421337.6000000001</v>
      </c>
      <c r="I1099" s="595">
        <f t="shared" si="219"/>
        <v>1421337.6000000001</v>
      </c>
      <c r="J1099" s="352"/>
    </row>
    <row r="1100" spans="1:10" ht="23.4" x14ac:dyDescent="0.3">
      <c r="A1100" s="1134"/>
      <c r="B1100" s="438"/>
      <c r="C1100" s="441" t="s">
        <v>472</v>
      </c>
      <c r="D1100" s="667"/>
      <c r="E1100" s="700"/>
      <c r="F1100" s="701">
        <f t="shared" si="218"/>
        <v>0</v>
      </c>
      <c r="G1100" s="697">
        <v>14.79</v>
      </c>
      <c r="H1100" s="592">
        <f t="shared" si="217"/>
        <v>0</v>
      </c>
      <c r="I1100" s="595">
        <f t="shared" si="219"/>
        <v>0</v>
      </c>
      <c r="J1100" s="352"/>
    </row>
    <row r="1101" spans="1:10" ht="23.4" x14ac:dyDescent="0.3">
      <c r="A1101" s="1134"/>
      <c r="B1101" s="438"/>
      <c r="C1101" s="441" t="s">
        <v>451</v>
      </c>
      <c r="D1101" s="666" t="s">
        <v>177</v>
      </c>
      <c r="E1101" s="700"/>
      <c r="F1101" s="701">
        <f t="shared" si="218"/>
        <v>498432</v>
      </c>
      <c r="G1101" s="697">
        <v>14.55</v>
      </c>
      <c r="H1101" s="592">
        <f t="shared" si="217"/>
        <v>0</v>
      </c>
      <c r="I1101" s="595">
        <f t="shared" si="219"/>
        <v>7252185.6000000006</v>
      </c>
      <c r="J1101" s="352"/>
    </row>
    <row r="1102" spans="1:10" ht="23.4" x14ac:dyDescent="0.3">
      <c r="A1102" s="1134"/>
      <c r="B1102" s="438"/>
      <c r="C1102" s="441" t="s">
        <v>327</v>
      </c>
      <c r="D1102" s="667" t="s">
        <v>188</v>
      </c>
      <c r="E1102" s="700"/>
      <c r="F1102" s="701">
        <f t="shared" si="218"/>
        <v>0</v>
      </c>
      <c r="G1102" s="697">
        <v>21.28</v>
      </c>
      <c r="H1102" s="592">
        <f t="shared" si="217"/>
        <v>0</v>
      </c>
      <c r="I1102" s="595">
        <f t="shared" si="219"/>
        <v>0</v>
      </c>
      <c r="J1102" s="352"/>
    </row>
    <row r="1103" spans="1:10" ht="24" thickBot="1" x14ac:dyDescent="0.35">
      <c r="A1103" s="1134"/>
      <c r="B1103" s="438"/>
      <c r="C1103" s="441" t="s">
        <v>336</v>
      </c>
      <c r="D1103" s="668" t="s">
        <v>178</v>
      </c>
      <c r="E1103" s="700"/>
      <c r="F1103" s="676">
        <f t="shared" si="218"/>
        <v>0</v>
      </c>
      <c r="G1103" s="697">
        <v>36.44</v>
      </c>
      <c r="H1103" s="592">
        <f t="shared" si="217"/>
        <v>0</v>
      </c>
      <c r="I1103" s="595">
        <f t="shared" si="219"/>
        <v>0</v>
      </c>
      <c r="J1103" s="352"/>
    </row>
    <row r="1104" spans="1:10" ht="24" thickBot="1" x14ac:dyDescent="0.35">
      <c r="A1104" s="1134"/>
      <c r="B1104" s="1129" t="s">
        <v>266</v>
      </c>
      <c r="C1104" s="1130"/>
      <c r="D1104" s="923"/>
      <c r="E1104" s="326">
        <f>SUM(E1089:E1103)</f>
        <v>21452</v>
      </c>
      <c r="F1104" s="698">
        <f>SUM(F1089:F1103)</f>
        <v>590428</v>
      </c>
      <c r="G1104" s="326"/>
      <c r="H1104" s="587">
        <f>SUM(H1089:H1103)</f>
        <v>1825992.48</v>
      </c>
      <c r="I1104" s="580">
        <f>SUM(I1089:I1103)</f>
        <v>11514795.359999999</v>
      </c>
      <c r="J1104" s="349"/>
    </row>
    <row r="1105" spans="1:10" ht="23.4" x14ac:dyDescent="0.3">
      <c r="A1105" s="1134"/>
      <c r="B1105" s="921"/>
      <c r="C1105" s="279" t="s">
        <v>271</v>
      </c>
      <c r="D1105" s="434" t="s">
        <v>238</v>
      </c>
      <c r="E1105" s="280"/>
      <c r="F1105" s="435">
        <f>+E1105+F1011</f>
        <v>0</v>
      </c>
      <c r="G1105" s="578">
        <v>160.44999999999999</v>
      </c>
      <c r="H1105" s="593">
        <f t="shared" ref="H1105:H1110" si="220">E1105*G1105</f>
        <v>0</v>
      </c>
      <c r="I1105" s="596">
        <f t="shared" ref="I1105:I1110" si="221">+G1105*F1105</f>
        <v>0</v>
      </c>
      <c r="J1105" s="373"/>
    </row>
    <row r="1106" spans="1:10" ht="23.4" x14ac:dyDescent="0.3">
      <c r="A1106" s="1134"/>
      <c r="B1106" s="921"/>
      <c r="C1106" s="279" t="s">
        <v>287</v>
      </c>
      <c r="D1106" s="434" t="s">
        <v>93</v>
      </c>
      <c r="E1106" s="280">
        <v>0</v>
      </c>
      <c r="F1106" s="435">
        <f t="shared" ref="F1106:F1110" si="222">+E1106+F1012</f>
        <v>91380</v>
      </c>
      <c r="G1106" s="578">
        <v>27</v>
      </c>
      <c r="H1106" s="593">
        <f t="shared" si="220"/>
        <v>0</v>
      </c>
      <c r="I1106" s="596">
        <f t="shared" si="221"/>
        <v>2467260</v>
      </c>
      <c r="J1106" s="373"/>
    </row>
    <row r="1107" spans="1:10" ht="23.4" x14ac:dyDescent="0.3">
      <c r="A1107" s="1134"/>
      <c r="B1107" s="921"/>
      <c r="C1107" s="279" t="s">
        <v>287</v>
      </c>
      <c r="D1107" s="434" t="s">
        <v>292</v>
      </c>
      <c r="E1107" s="280"/>
      <c r="F1107" s="435">
        <f t="shared" si="222"/>
        <v>0</v>
      </c>
      <c r="G1107" s="578">
        <v>27.5</v>
      </c>
      <c r="H1107" s="593">
        <f t="shared" si="220"/>
        <v>0</v>
      </c>
      <c r="I1107" s="596">
        <f t="shared" si="221"/>
        <v>0</v>
      </c>
      <c r="J1107" s="373"/>
    </row>
    <row r="1108" spans="1:10" ht="23.4" x14ac:dyDescent="0.3">
      <c r="A1108" s="1134"/>
      <c r="B1108" s="921"/>
      <c r="C1108" s="279" t="s">
        <v>276</v>
      </c>
      <c r="D1108" s="434" t="s">
        <v>292</v>
      </c>
      <c r="E1108" s="280"/>
      <c r="F1108" s="435">
        <f t="shared" si="222"/>
        <v>0</v>
      </c>
      <c r="G1108" s="578">
        <v>34.5</v>
      </c>
      <c r="H1108" s="593">
        <f t="shared" si="220"/>
        <v>0</v>
      </c>
      <c r="I1108" s="596">
        <f t="shared" si="221"/>
        <v>0</v>
      </c>
      <c r="J1108" s="373"/>
    </row>
    <row r="1109" spans="1:10" ht="23.4" x14ac:dyDescent="0.3">
      <c r="A1109" s="1134"/>
      <c r="B1109" s="921"/>
      <c r="C1109" s="279" t="s">
        <v>473</v>
      </c>
      <c r="D1109" s="434" t="s">
        <v>440</v>
      </c>
      <c r="E1109" s="280"/>
      <c r="F1109" s="435">
        <f t="shared" si="222"/>
        <v>31200</v>
      </c>
      <c r="G1109" s="578">
        <v>10.57</v>
      </c>
      <c r="H1109" s="593">
        <f t="shared" si="220"/>
        <v>0</v>
      </c>
      <c r="I1109" s="596">
        <f t="shared" si="221"/>
        <v>329784</v>
      </c>
      <c r="J1109" s="373"/>
    </row>
    <row r="1110" spans="1:10" ht="24" thickBot="1" x14ac:dyDescent="0.35">
      <c r="A1110" s="1134"/>
      <c r="B1110" s="921"/>
      <c r="C1110" s="279" t="s">
        <v>276</v>
      </c>
      <c r="D1110" s="434" t="s">
        <v>440</v>
      </c>
      <c r="E1110" s="280"/>
      <c r="F1110" s="435">
        <f t="shared" si="222"/>
        <v>26</v>
      </c>
      <c r="G1110" s="578">
        <v>55.76</v>
      </c>
      <c r="H1110" s="593">
        <f t="shared" si="220"/>
        <v>0</v>
      </c>
      <c r="I1110" s="596">
        <f t="shared" si="221"/>
        <v>1449.76</v>
      </c>
      <c r="J1110" s="373"/>
    </row>
    <row r="1111" spans="1:10" ht="24" thickBot="1" x14ac:dyDescent="0.35">
      <c r="A1111" s="1134"/>
      <c r="B1111" s="1129" t="s">
        <v>267</v>
      </c>
      <c r="C1111" s="1130"/>
      <c r="D1111" s="923"/>
      <c r="E1111" s="326">
        <f>SUM(E1105:E1110)</f>
        <v>0</v>
      </c>
      <c r="F1111" s="326">
        <f>SUM(F1105:F1110)</f>
        <v>122606</v>
      </c>
      <c r="G1111" s="326"/>
      <c r="H1111" s="587">
        <f>SUM(H1105:H1110)</f>
        <v>0</v>
      </c>
      <c r="I1111" s="580">
        <f>SUM(I1105:I1110)</f>
        <v>2798493.76</v>
      </c>
      <c r="J1111" s="349"/>
    </row>
    <row r="1112" spans="1:10" ht="23.4" x14ac:dyDescent="0.3">
      <c r="A1112" s="1134"/>
      <c r="B1112" s="921"/>
      <c r="C1112" s="279" t="s">
        <v>277</v>
      </c>
      <c r="D1112" s="434" t="s">
        <v>278</v>
      </c>
      <c r="E1112" s="280"/>
      <c r="F1112" s="435">
        <f>+E1112+F1018</f>
        <v>5</v>
      </c>
      <c r="G1112" s="578">
        <v>2500</v>
      </c>
      <c r="H1112" s="593">
        <f t="shared" ref="H1112:H1115" si="223">E1112*G1112</f>
        <v>0</v>
      </c>
      <c r="I1112" s="596">
        <f>+G1112*F1112</f>
        <v>12500</v>
      </c>
      <c r="J1112" s="373"/>
    </row>
    <row r="1113" spans="1:10" ht="23.4" x14ac:dyDescent="0.3">
      <c r="A1113" s="1134"/>
      <c r="B1113" s="921"/>
      <c r="C1113" s="279" t="s">
        <v>454</v>
      </c>
      <c r="D1113" s="434"/>
      <c r="E1113" s="280"/>
      <c r="F1113" s="435">
        <f t="shared" ref="F1113:F1115" si="224">+E1113+F1019</f>
        <v>0</v>
      </c>
      <c r="G1113" s="578">
        <v>30000</v>
      </c>
      <c r="H1113" s="593">
        <f t="shared" si="223"/>
        <v>0</v>
      </c>
      <c r="I1113" s="596">
        <f>+G1113*F1113</f>
        <v>0</v>
      </c>
      <c r="J1113" s="373"/>
    </row>
    <row r="1114" spans="1:10" ht="23.4" x14ac:dyDescent="0.3">
      <c r="A1114" s="1134"/>
      <c r="B1114" s="921"/>
      <c r="C1114" s="279" t="s">
        <v>379</v>
      </c>
      <c r="D1114" s="434" t="s">
        <v>304</v>
      </c>
      <c r="E1114" s="280"/>
      <c r="F1114" s="435">
        <f t="shared" si="224"/>
        <v>0</v>
      </c>
      <c r="G1114" s="578">
        <v>360</v>
      </c>
      <c r="H1114" s="593">
        <f t="shared" si="223"/>
        <v>0</v>
      </c>
      <c r="I1114" s="596">
        <f>+G1114*F1114</f>
        <v>0</v>
      </c>
      <c r="J1114" s="373"/>
    </row>
    <row r="1115" spans="1:10" ht="24" thickBot="1" x14ac:dyDescent="0.35">
      <c r="A1115" s="1134"/>
      <c r="B1115" s="921"/>
      <c r="C1115" s="279" t="s">
        <v>427</v>
      </c>
      <c r="D1115" s="434" t="s">
        <v>304</v>
      </c>
      <c r="E1115" s="280"/>
      <c r="F1115" s="435">
        <f t="shared" si="224"/>
        <v>0</v>
      </c>
      <c r="G1115" s="579">
        <v>10</v>
      </c>
      <c r="H1115" s="593">
        <f t="shared" si="223"/>
        <v>0</v>
      </c>
      <c r="I1115" s="596">
        <f t="shared" ref="I1115" si="225">+G1115*F1115</f>
        <v>0</v>
      </c>
      <c r="J1115" s="373"/>
    </row>
    <row r="1116" spans="1:10" ht="24" thickBot="1" x14ac:dyDescent="0.35">
      <c r="A1116" s="1134"/>
      <c r="B1116" s="1129" t="s">
        <v>272</v>
      </c>
      <c r="C1116" s="1130"/>
      <c r="D1116" s="923"/>
      <c r="E1116" s="326">
        <f>SUM(E1112:E1115)</f>
        <v>0</v>
      </c>
      <c r="F1116" s="326">
        <f>SUM(F1112:F1115)</f>
        <v>5</v>
      </c>
      <c r="G1116" s="326"/>
      <c r="H1116" s="587">
        <f>SUM(H1112:H1115)</f>
        <v>0</v>
      </c>
      <c r="I1116" s="580">
        <f>SUM(I1112:I1115)</f>
        <v>12500</v>
      </c>
      <c r="J1116" s="373"/>
    </row>
    <row r="1117" spans="1:10" ht="24" thickBot="1" x14ac:dyDescent="0.35">
      <c r="A1117" s="1134"/>
      <c r="B1117" s="921"/>
      <c r="C1117" s="279"/>
      <c r="D1117" s="434"/>
      <c r="E1117" s="280"/>
      <c r="F1117" s="317"/>
      <c r="G1117" s="579"/>
      <c r="H1117" s="588"/>
      <c r="I1117" s="282"/>
      <c r="J1117" s="373"/>
    </row>
    <row r="1118" spans="1:10" ht="24" thickBot="1" x14ac:dyDescent="0.35">
      <c r="A1118" s="1135"/>
      <c r="B1118" s="1129" t="s">
        <v>269</v>
      </c>
      <c r="C1118" s="1130"/>
      <c r="D1118" s="919"/>
      <c r="E1118" s="326">
        <f>+E1116+E1111+E1104</f>
        <v>21452</v>
      </c>
      <c r="F1118" s="326">
        <f>+F1116+F1111+F1104</f>
        <v>713039</v>
      </c>
      <c r="G1118" s="326"/>
      <c r="H1118" s="580">
        <f>+H1111+H1104+H1116</f>
        <v>1825992.48</v>
      </c>
      <c r="I1118" s="580">
        <f>+I1111+I1104+I1116</f>
        <v>14325789.119999999</v>
      </c>
      <c r="J1118" s="373"/>
    </row>
    <row r="1119" spans="1:10" ht="23.4" x14ac:dyDescent="0.3">
      <c r="A1119" s="1133" t="s">
        <v>101</v>
      </c>
      <c r="B1119" s="921"/>
      <c r="C1119" s="279" t="s">
        <v>281</v>
      </c>
      <c r="D1119" s="434" t="s">
        <v>178</v>
      </c>
      <c r="E1119" s="280"/>
      <c r="F1119" s="435">
        <f>+E1119+F1025</f>
        <v>0</v>
      </c>
      <c r="G1119" s="602">
        <v>13.25</v>
      </c>
      <c r="H1119" s="597">
        <f t="shared" ref="H1119:H1147" si="226">E1119*G1119</f>
        <v>0</v>
      </c>
      <c r="I1119" s="596">
        <f t="shared" ref="I1119:I1147" si="227">+G1119*F1119</f>
        <v>0</v>
      </c>
      <c r="J1119" s="373"/>
    </row>
    <row r="1120" spans="1:10" ht="23.4" x14ac:dyDescent="0.3">
      <c r="A1120" s="1134"/>
      <c r="B1120" s="921"/>
      <c r="C1120" s="279" t="s">
        <v>282</v>
      </c>
      <c r="D1120" s="434"/>
      <c r="E1120" s="280"/>
      <c r="F1120" s="435">
        <f t="shared" ref="F1120:F1174" si="228">+E1120+F1026</f>
        <v>0</v>
      </c>
      <c r="G1120" s="603">
        <v>5000</v>
      </c>
      <c r="H1120" s="597">
        <f t="shared" si="226"/>
        <v>0</v>
      </c>
      <c r="I1120" s="596">
        <f t="shared" si="227"/>
        <v>0</v>
      </c>
      <c r="J1120" s="373"/>
    </row>
    <row r="1121" spans="1:10" ht="23.4" x14ac:dyDescent="0.3">
      <c r="A1121" s="1134"/>
      <c r="B1121" s="921"/>
      <c r="C1121" s="279" t="s">
        <v>282</v>
      </c>
      <c r="D1121" s="434"/>
      <c r="E1121" s="280"/>
      <c r="F1121" s="435">
        <f t="shared" si="228"/>
        <v>0</v>
      </c>
      <c r="G1121" s="603">
        <v>18000</v>
      </c>
      <c r="H1121" s="597">
        <f t="shared" si="226"/>
        <v>0</v>
      </c>
      <c r="I1121" s="596">
        <f t="shared" si="227"/>
        <v>0</v>
      </c>
      <c r="J1121" s="373"/>
    </row>
    <row r="1122" spans="1:10" ht="23.4" x14ac:dyDescent="0.3">
      <c r="A1122" s="1134"/>
      <c r="B1122" s="921"/>
      <c r="C1122" s="279" t="s">
        <v>465</v>
      </c>
      <c r="D1122" s="434" t="s">
        <v>338</v>
      </c>
      <c r="E1122" s="280"/>
      <c r="F1122" s="435">
        <f t="shared" si="228"/>
        <v>0</v>
      </c>
      <c r="G1122" s="602">
        <v>24.93</v>
      </c>
      <c r="H1122" s="597">
        <f t="shared" si="226"/>
        <v>0</v>
      </c>
      <c r="I1122" s="596">
        <f t="shared" si="227"/>
        <v>0</v>
      </c>
      <c r="J1122" s="373"/>
    </row>
    <row r="1123" spans="1:10" ht="23.4" x14ac:dyDescent="0.3">
      <c r="A1123" s="1134"/>
      <c r="B1123" s="921"/>
      <c r="C1123" s="746" t="s">
        <v>466</v>
      </c>
      <c r="D1123" s="747" t="s">
        <v>92</v>
      </c>
      <c r="E1123" s="280"/>
      <c r="F1123" s="435">
        <f t="shared" si="228"/>
        <v>0</v>
      </c>
      <c r="G1123" s="602">
        <v>20.8</v>
      </c>
      <c r="H1123" s="597">
        <f t="shared" si="226"/>
        <v>0</v>
      </c>
      <c r="I1123" s="596">
        <f t="shared" si="227"/>
        <v>0</v>
      </c>
      <c r="J1123" s="373"/>
    </row>
    <row r="1124" spans="1:10" ht="23.4" x14ac:dyDescent="0.3">
      <c r="A1124" s="1134"/>
      <c r="B1124" s="921"/>
      <c r="C1124" s="746" t="s">
        <v>467</v>
      </c>
      <c r="D1124" s="747" t="s">
        <v>468</v>
      </c>
      <c r="E1124" s="280"/>
      <c r="F1124" s="435">
        <f t="shared" si="228"/>
        <v>0</v>
      </c>
      <c r="G1124" s="602">
        <v>24.93</v>
      </c>
      <c r="H1124" s="597">
        <f t="shared" si="226"/>
        <v>0</v>
      </c>
      <c r="I1124" s="596">
        <f t="shared" si="227"/>
        <v>0</v>
      </c>
      <c r="J1124" s="373"/>
    </row>
    <row r="1125" spans="1:10" ht="23.4" x14ac:dyDescent="0.3">
      <c r="A1125" s="1134"/>
      <c r="B1125" s="921"/>
      <c r="C1125" s="746" t="s">
        <v>467</v>
      </c>
      <c r="D1125" s="747" t="s">
        <v>468</v>
      </c>
      <c r="E1125" s="280"/>
      <c r="F1125" s="435">
        <f t="shared" si="228"/>
        <v>0</v>
      </c>
      <c r="G1125" s="602">
        <v>25.49</v>
      </c>
      <c r="H1125" s="597">
        <f t="shared" si="226"/>
        <v>0</v>
      </c>
      <c r="I1125" s="596">
        <f t="shared" si="227"/>
        <v>0</v>
      </c>
      <c r="J1125" s="373"/>
    </row>
    <row r="1126" spans="1:10" ht="23.4" x14ac:dyDescent="0.3">
      <c r="A1126" s="1134"/>
      <c r="B1126" s="748"/>
      <c r="C1126" s="749" t="s">
        <v>469</v>
      </c>
      <c r="D1126" s="750" t="s">
        <v>309</v>
      </c>
      <c r="E1126" s="751"/>
      <c r="F1126" s="752">
        <f t="shared" si="228"/>
        <v>0</v>
      </c>
      <c r="G1126" s="753">
        <v>24.41</v>
      </c>
      <c r="H1126" s="754">
        <f t="shared" si="226"/>
        <v>0</v>
      </c>
      <c r="I1126" s="755">
        <f t="shared" si="227"/>
        <v>0</v>
      </c>
      <c r="J1126" s="756"/>
    </row>
    <row r="1127" spans="1:10" ht="23.4" x14ac:dyDescent="0.3">
      <c r="A1127" s="1134"/>
      <c r="B1127" s="921"/>
      <c r="C1127" s="279" t="s">
        <v>444</v>
      </c>
      <c r="D1127" s="434" t="s">
        <v>423</v>
      </c>
      <c r="E1127" s="280"/>
      <c r="F1127" s="435">
        <f t="shared" si="228"/>
        <v>0</v>
      </c>
      <c r="G1127" s="602">
        <v>20.76</v>
      </c>
      <c r="H1127" s="597">
        <f t="shared" si="226"/>
        <v>0</v>
      </c>
      <c r="I1127" s="596">
        <f t="shared" si="227"/>
        <v>0</v>
      </c>
      <c r="J1127" s="373"/>
    </row>
    <row r="1128" spans="1:10" ht="23.4" x14ac:dyDescent="0.3">
      <c r="A1128" s="1134"/>
      <c r="B1128" s="921"/>
      <c r="C1128" s="279" t="s">
        <v>298</v>
      </c>
      <c r="D1128" s="434" t="s">
        <v>107</v>
      </c>
      <c r="E1128" s="280"/>
      <c r="F1128" s="435">
        <f t="shared" si="228"/>
        <v>0</v>
      </c>
      <c r="G1128" s="602">
        <v>24.93</v>
      </c>
      <c r="H1128" s="597">
        <f t="shared" si="226"/>
        <v>0</v>
      </c>
      <c r="I1128" s="596">
        <f t="shared" si="227"/>
        <v>0</v>
      </c>
      <c r="J1128" s="373"/>
    </row>
    <row r="1129" spans="1:10" ht="23.4" x14ac:dyDescent="0.3">
      <c r="A1129" s="1134"/>
      <c r="B1129" s="921"/>
      <c r="C1129" s="279" t="s">
        <v>299</v>
      </c>
      <c r="D1129" s="434" t="s">
        <v>280</v>
      </c>
      <c r="E1129" s="280"/>
      <c r="F1129" s="435">
        <f t="shared" si="228"/>
        <v>0</v>
      </c>
      <c r="G1129" s="602">
        <v>24.93</v>
      </c>
      <c r="H1129" s="597">
        <f t="shared" si="226"/>
        <v>0</v>
      </c>
      <c r="I1129" s="596">
        <f t="shared" si="227"/>
        <v>0</v>
      </c>
      <c r="J1129" s="373"/>
    </row>
    <row r="1130" spans="1:10" ht="23.4" x14ac:dyDescent="0.3">
      <c r="A1130" s="1134"/>
      <c r="B1130" s="921"/>
      <c r="C1130" s="279" t="s">
        <v>425</v>
      </c>
      <c r="D1130" s="434" t="s">
        <v>309</v>
      </c>
      <c r="E1130" s="280"/>
      <c r="F1130" s="435">
        <f t="shared" si="228"/>
        <v>0</v>
      </c>
      <c r="G1130" s="602">
        <v>23.78</v>
      </c>
      <c r="H1130" s="597">
        <f t="shared" si="226"/>
        <v>0</v>
      </c>
      <c r="I1130" s="596">
        <f t="shared" si="227"/>
        <v>0</v>
      </c>
      <c r="J1130" s="373"/>
    </row>
    <row r="1131" spans="1:10" ht="23.4" x14ac:dyDescent="0.3">
      <c r="A1131" s="1134"/>
      <c r="B1131" s="921"/>
      <c r="C1131" s="279" t="s">
        <v>354</v>
      </c>
      <c r="D1131" s="434" t="s">
        <v>309</v>
      </c>
      <c r="E1131" s="280"/>
      <c r="F1131" s="435">
        <f t="shared" si="228"/>
        <v>0</v>
      </c>
      <c r="G1131" s="602">
        <v>37.4566666666</v>
      </c>
      <c r="H1131" s="597">
        <f t="shared" si="226"/>
        <v>0</v>
      </c>
      <c r="I1131" s="596">
        <f t="shared" si="227"/>
        <v>0</v>
      </c>
      <c r="J1131" s="373"/>
    </row>
    <row r="1132" spans="1:10" ht="23.4" x14ac:dyDescent="0.3">
      <c r="A1132" s="1134"/>
      <c r="B1132" s="921"/>
      <c r="C1132" s="279" t="s">
        <v>355</v>
      </c>
      <c r="D1132" s="434" t="s">
        <v>309</v>
      </c>
      <c r="E1132" s="280"/>
      <c r="F1132" s="435">
        <f t="shared" si="228"/>
        <v>0</v>
      </c>
      <c r="G1132" s="602">
        <v>37.89</v>
      </c>
      <c r="H1132" s="597">
        <f t="shared" si="226"/>
        <v>0</v>
      </c>
      <c r="I1132" s="596">
        <f t="shared" si="227"/>
        <v>0</v>
      </c>
      <c r="J1132" s="373"/>
    </row>
    <row r="1133" spans="1:10" ht="23.4" x14ac:dyDescent="0.3">
      <c r="A1133" s="1134"/>
      <c r="B1133" s="921"/>
      <c r="C1133" s="279" t="s">
        <v>461</v>
      </c>
      <c r="D1133" s="434" t="s">
        <v>92</v>
      </c>
      <c r="E1133" s="280"/>
      <c r="F1133" s="435">
        <f t="shared" si="228"/>
        <v>0</v>
      </c>
      <c r="G1133" s="602">
        <v>28.31</v>
      </c>
      <c r="H1133" s="597">
        <f t="shared" si="226"/>
        <v>0</v>
      </c>
      <c r="I1133" s="596">
        <f t="shared" si="227"/>
        <v>0</v>
      </c>
      <c r="J1133" s="373"/>
    </row>
    <row r="1134" spans="1:10" ht="23.4" x14ac:dyDescent="0.3">
      <c r="A1134" s="1134"/>
      <c r="B1134" s="921"/>
      <c r="C1134" s="279" t="s">
        <v>461</v>
      </c>
      <c r="D1134" s="434" t="s">
        <v>423</v>
      </c>
      <c r="E1134" s="280"/>
      <c r="F1134" s="435">
        <f t="shared" si="228"/>
        <v>0</v>
      </c>
      <c r="G1134" s="602">
        <v>28.88</v>
      </c>
      <c r="H1134" s="597">
        <f t="shared" si="226"/>
        <v>0</v>
      </c>
      <c r="I1134" s="596">
        <f t="shared" si="227"/>
        <v>0</v>
      </c>
      <c r="J1134" s="373"/>
    </row>
    <row r="1135" spans="1:10" ht="23.4" x14ac:dyDescent="0.3">
      <c r="A1135" s="1134"/>
      <c r="B1135" s="921"/>
      <c r="C1135" s="279" t="s">
        <v>462</v>
      </c>
      <c r="D1135" s="434" t="s">
        <v>423</v>
      </c>
      <c r="E1135" s="280"/>
      <c r="F1135" s="435">
        <f t="shared" si="228"/>
        <v>0</v>
      </c>
      <c r="G1135" s="602">
        <v>28.21</v>
      </c>
      <c r="H1135" s="597">
        <f t="shared" si="226"/>
        <v>0</v>
      </c>
      <c r="I1135" s="596">
        <f t="shared" si="227"/>
        <v>0</v>
      </c>
      <c r="J1135" s="373"/>
    </row>
    <row r="1136" spans="1:10" ht="23.4" x14ac:dyDescent="0.3">
      <c r="A1136" s="1134"/>
      <c r="B1136" s="921"/>
      <c r="C1136" s="279" t="s">
        <v>463</v>
      </c>
      <c r="D1136" s="434" t="s">
        <v>338</v>
      </c>
      <c r="E1136" s="280"/>
      <c r="F1136" s="435">
        <f t="shared" si="228"/>
        <v>0</v>
      </c>
      <c r="G1136" s="602">
        <v>39</v>
      </c>
      <c r="H1136" s="597">
        <f t="shared" si="226"/>
        <v>0</v>
      </c>
      <c r="I1136" s="596">
        <f t="shared" si="227"/>
        <v>0</v>
      </c>
      <c r="J1136" s="373"/>
    </row>
    <row r="1137" spans="1:10" ht="23.4" x14ac:dyDescent="0.3">
      <c r="A1137" s="1134"/>
      <c r="B1137" s="921"/>
      <c r="C1137" s="279" t="s">
        <v>463</v>
      </c>
      <c r="D1137" s="434" t="s">
        <v>92</v>
      </c>
      <c r="E1137" s="280"/>
      <c r="F1137" s="435">
        <f t="shared" si="228"/>
        <v>0</v>
      </c>
      <c r="G1137" s="602">
        <v>32.65</v>
      </c>
      <c r="H1137" s="597">
        <f t="shared" si="226"/>
        <v>0</v>
      </c>
      <c r="I1137" s="596">
        <f t="shared" si="227"/>
        <v>0</v>
      </c>
      <c r="J1137" s="373"/>
    </row>
    <row r="1138" spans="1:10" ht="23.4" x14ac:dyDescent="0.3">
      <c r="A1138" s="1134"/>
      <c r="B1138" s="921"/>
      <c r="C1138" s="279" t="s">
        <v>463</v>
      </c>
      <c r="D1138" s="434" t="s">
        <v>423</v>
      </c>
      <c r="E1138" s="280"/>
      <c r="F1138" s="435">
        <f t="shared" si="228"/>
        <v>0</v>
      </c>
      <c r="G1138" s="602">
        <v>33.299999999999997</v>
      </c>
      <c r="H1138" s="597">
        <f t="shared" si="226"/>
        <v>0</v>
      </c>
      <c r="I1138" s="596">
        <f t="shared" si="227"/>
        <v>0</v>
      </c>
      <c r="J1138" s="373"/>
    </row>
    <row r="1139" spans="1:10" ht="23.4" x14ac:dyDescent="0.3">
      <c r="A1139" s="1134"/>
      <c r="B1139" s="921"/>
      <c r="C1139" s="279" t="s">
        <v>299</v>
      </c>
      <c r="D1139" s="434" t="s">
        <v>279</v>
      </c>
      <c r="E1139" s="280"/>
      <c r="F1139" s="435">
        <f t="shared" si="228"/>
        <v>0</v>
      </c>
      <c r="G1139" s="602">
        <v>24.93</v>
      </c>
      <c r="H1139" s="597">
        <f t="shared" si="226"/>
        <v>0</v>
      </c>
      <c r="I1139" s="596">
        <f t="shared" si="227"/>
        <v>0</v>
      </c>
      <c r="J1139" s="373"/>
    </row>
    <row r="1140" spans="1:10" ht="23.4" x14ac:dyDescent="0.3">
      <c r="A1140" s="1134"/>
      <c r="B1140" s="921"/>
      <c r="C1140" s="279" t="s">
        <v>299</v>
      </c>
      <c r="D1140" s="434"/>
      <c r="E1140" s="280"/>
      <c r="F1140" s="435">
        <f t="shared" si="228"/>
        <v>0</v>
      </c>
      <c r="G1140" s="602">
        <v>24.93</v>
      </c>
      <c r="H1140" s="597">
        <f t="shared" si="226"/>
        <v>0</v>
      </c>
      <c r="I1140" s="596">
        <f t="shared" si="227"/>
        <v>0</v>
      </c>
      <c r="J1140" s="373"/>
    </row>
    <row r="1141" spans="1:10" ht="23.4" x14ac:dyDescent="0.3">
      <c r="A1141" s="1134"/>
      <c r="B1141" s="921"/>
      <c r="C1141" s="279" t="s">
        <v>316</v>
      </c>
      <c r="D1141" s="434" t="s">
        <v>289</v>
      </c>
      <c r="E1141" s="280"/>
      <c r="F1141" s="435">
        <f t="shared" si="228"/>
        <v>0</v>
      </c>
      <c r="G1141" s="602">
        <v>34.26</v>
      </c>
      <c r="H1141" s="597">
        <f t="shared" si="226"/>
        <v>0</v>
      </c>
      <c r="I1141" s="596">
        <f t="shared" si="227"/>
        <v>0</v>
      </c>
      <c r="J1141" s="373"/>
    </row>
    <row r="1142" spans="1:10" ht="23.4" x14ac:dyDescent="0.3">
      <c r="A1142" s="1134"/>
      <c r="B1142" s="921"/>
      <c r="C1142" s="279" t="s">
        <v>328</v>
      </c>
      <c r="D1142" s="434" t="s">
        <v>360</v>
      </c>
      <c r="E1142" s="280"/>
      <c r="F1142" s="435">
        <f t="shared" si="228"/>
        <v>0</v>
      </c>
      <c r="G1142" s="602">
        <v>37.89</v>
      </c>
      <c r="H1142" s="597">
        <f t="shared" si="226"/>
        <v>0</v>
      </c>
      <c r="I1142" s="596">
        <f t="shared" si="227"/>
        <v>0</v>
      </c>
      <c r="J1142" s="373"/>
    </row>
    <row r="1143" spans="1:10" ht="23.4" x14ac:dyDescent="0.3">
      <c r="A1143" s="1134"/>
      <c r="B1143" s="921"/>
      <c r="C1143" s="279" t="s">
        <v>363</v>
      </c>
      <c r="D1143" s="434" t="s">
        <v>338</v>
      </c>
      <c r="E1143" s="280"/>
      <c r="F1143" s="435">
        <f t="shared" si="228"/>
        <v>0</v>
      </c>
      <c r="G1143" s="602">
        <v>39</v>
      </c>
      <c r="H1143" s="597">
        <f t="shared" si="226"/>
        <v>0</v>
      </c>
      <c r="I1143" s="596">
        <f t="shared" si="227"/>
        <v>0</v>
      </c>
      <c r="J1143" s="373"/>
    </row>
    <row r="1144" spans="1:10" ht="23.4" x14ac:dyDescent="0.3">
      <c r="A1144" s="1134"/>
      <c r="B1144" s="921"/>
      <c r="C1144" s="279" t="s">
        <v>299</v>
      </c>
      <c r="D1144" s="434" t="s">
        <v>177</v>
      </c>
      <c r="E1144" s="280"/>
      <c r="F1144" s="435">
        <f t="shared" si="228"/>
        <v>0</v>
      </c>
      <c r="G1144" s="602">
        <v>21.22</v>
      </c>
      <c r="H1144" s="597">
        <f t="shared" si="226"/>
        <v>0</v>
      </c>
      <c r="I1144" s="596">
        <f t="shared" si="227"/>
        <v>0</v>
      </c>
      <c r="J1144" s="373"/>
    </row>
    <row r="1145" spans="1:10" ht="23.4" x14ac:dyDescent="0.3">
      <c r="A1145" s="1134"/>
      <c r="B1145" s="921"/>
      <c r="C1145" s="279" t="s">
        <v>298</v>
      </c>
      <c r="D1145" s="434" t="s">
        <v>177</v>
      </c>
      <c r="E1145" s="280"/>
      <c r="F1145" s="435">
        <f t="shared" si="228"/>
        <v>0</v>
      </c>
      <c r="G1145" s="602">
        <v>21.22</v>
      </c>
      <c r="H1145" s="597">
        <f t="shared" si="226"/>
        <v>0</v>
      </c>
      <c r="I1145" s="596">
        <f t="shared" si="227"/>
        <v>0</v>
      </c>
      <c r="J1145" s="373"/>
    </row>
    <row r="1146" spans="1:10" ht="23.4" x14ac:dyDescent="0.3">
      <c r="A1146" s="1134"/>
      <c r="B1146" s="921"/>
      <c r="C1146" s="279" t="s">
        <v>339</v>
      </c>
      <c r="D1146" s="434" t="s">
        <v>304</v>
      </c>
      <c r="E1146" s="280"/>
      <c r="F1146" s="435">
        <f t="shared" si="228"/>
        <v>0</v>
      </c>
      <c r="G1146" s="602">
        <v>10000</v>
      </c>
      <c r="H1146" s="597">
        <f t="shared" si="226"/>
        <v>0</v>
      </c>
      <c r="I1146" s="596">
        <f t="shared" si="227"/>
        <v>0</v>
      </c>
      <c r="J1146" s="373"/>
    </row>
    <row r="1147" spans="1:10" ht="24" thickBot="1" x14ac:dyDescent="0.35">
      <c r="A1147" s="1134"/>
      <c r="B1147" s="921"/>
      <c r="C1147" s="279" t="s">
        <v>303</v>
      </c>
      <c r="D1147" s="434" t="s">
        <v>304</v>
      </c>
      <c r="E1147" s="280"/>
      <c r="F1147" s="435">
        <f t="shared" si="228"/>
        <v>0</v>
      </c>
      <c r="G1147" s="602">
        <v>360</v>
      </c>
      <c r="H1147" s="597">
        <f t="shared" si="226"/>
        <v>0</v>
      </c>
      <c r="I1147" s="596">
        <f t="shared" si="227"/>
        <v>0</v>
      </c>
      <c r="J1147" s="373"/>
    </row>
    <row r="1148" spans="1:10" ht="24" thickBot="1" x14ac:dyDescent="0.35">
      <c r="A1148" s="1135"/>
      <c r="B1148" s="1129" t="s">
        <v>268</v>
      </c>
      <c r="C1148" s="1130"/>
      <c r="D1148" s="923"/>
      <c r="E1148" s="326">
        <f>SUM(E1119:E1147)</f>
        <v>0</v>
      </c>
      <c r="F1148" s="326">
        <f t="shared" si="228"/>
        <v>0</v>
      </c>
      <c r="G1148" s="326"/>
      <c r="H1148" s="587">
        <f>SUM(H1119:H1147)</f>
        <v>0</v>
      </c>
      <c r="I1148" s="580">
        <f>SUM(I1119:I1147)</f>
        <v>0</v>
      </c>
      <c r="J1148" s="373"/>
    </row>
    <row r="1149" spans="1:10" ht="23.4" x14ac:dyDescent="0.3">
      <c r="A1149" s="1133" t="s">
        <v>102</v>
      </c>
      <c r="B1149" s="921"/>
      <c r="C1149" s="279" t="s">
        <v>509</v>
      </c>
      <c r="D1149" s="434" t="s">
        <v>238</v>
      </c>
      <c r="E1149" s="280">
        <v>0</v>
      </c>
      <c r="F1149" s="435">
        <f t="shared" si="228"/>
        <v>6200</v>
      </c>
      <c r="G1149" s="803">
        <v>624.26</v>
      </c>
      <c r="H1149" s="593">
        <f>E1149*G1149</f>
        <v>0</v>
      </c>
      <c r="I1149" s="596">
        <f t="shared" ref="I1149:I1151" si="229">+G1149*F1149</f>
        <v>3870412</v>
      </c>
      <c r="J1149" s="373"/>
    </row>
    <row r="1150" spans="1:10" ht="23.4" x14ac:dyDescent="0.3">
      <c r="A1150" s="1134"/>
      <c r="B1150" s="921"/>
      <c r="C1150" s="279" t="s">
        <v>273</v>
      </c>
      <c r="D1150" s="434" t="s">
        <v>238</v>
      </c>
      <c r="E1150" s="280">
        <v>0</v>
      </c>
      <c r="F1150" s="435">
        <f t="shared" si="228"/>
        <v>2763</v>
      </c>
      <c r="G1150" s="602">
        <v>430.02</v>
      </c>
      <c r="H1150" s="593">
        <f t="shared" ref="H1150:H1171" si="230">E1150*G1150</f>
        <v>0</v>
      </c>
      <c r="I1150" s="596">
        <f t="shared" si="229"/>
        <v>1188145.26</v>
      </c>
      <c r="J1150" s="373"/>
    </row>
    <row r="1151" spans="1:10" ht="23.4" x14ac:dyDescent="0.3">
      <c r="A1151" s="1134"/>
      <c r="B1151" s="921"/>
      <c r="C1151" s="279" t="s">
        <v>390</v>
      </c>
      <c r="D1151" s="434" t="s">
        <v>238</v>
      </c>
      <c r="E1151" s="280"/>
      <c r="F1151" s="435">
        <f t="shared" si="228"/>
        <v>0</v>
      </c>
      <c r="G1151" s="602">
        <v>445.38</v>
      </c>
      <c r="H1151" s="593">
        <f t="shared" si="230"/>
        <v>0</v>
      </c>
      <c r="I1151" s="596">
        <f t="shared" si="229"/>
        <v>0</v>
      </c>
      <c r="J1151" s="373"/>
    </row>
    <row r="1152" spans="1:10" ht="23.4" x14ac:dyDescent="0.3">
      <c r="A1152" s="1134"/>
      <c r="B1152" s="921"/>
      <c r="C1152" s="279" t="s">
        <v>301</v>
      </c>
      <c r="D1152" s="434" t="s">
        <v>238</v>
      </c>
      <c r="E1152" s="280"/>
      <c r="F1152" s="435">
        <f t="shared" si="228"/>
        <v>8640</v>
      </c>
      <c r="G1152" s="602">
        <v>63.55</v>
      </c>
      <c r="H1152" s="593">
        <f t="shared" si="230"/>
        <v>0</v>
      </c>
      <c r="I1152" s="596">
        <f>+G1152*F1152</f>
        <v>549072</v>
      </c>
      <c r="J1152" s="373"/>
    </row>
    <row r="1153" spans="1:10" ht="23.4" x14ac:dyDescent="0.3">
      <c r="A1153" s="1134"/>
      <c r="B1153" s="921"/>
      <c r="C1153" s="279" t="s">
        <v>514</v>
      </c>
      <c r="D1153" s="434" t="s">
        <v>238</v>
      </c>
      <c r="E1153" s="280"/>
      <c r="F1153" s="435">
        <f t="shared" si="228"/>
        <v>48300</v>
      </c>
      <c r="G1153" s="602">
        <v>71.44</v>
      </c>
      <c r="H1153" s="593">
        <f t="shared" si="230"/>
        <v>0</v>
      </c>
      <c r="I1153" s="596">
        <f>+G1153*F1153</f>
        <v>3450552</v>
      </c>
      <c r="J1153" s="373"/>
    </row>
    <row r="1154" spans="1:10" ht="23.4" x14ac:dyDescent="0.3">
      <c r="A1154" s="1134"/>
      <c r="B1154" s="921"/>
      <c r="C1154" s="279" t="s">
        <v>275</v>
      </c>
      <c r="D1154" s="434" t="s">
        <v>238</v>
      </c>
      <c r="E1154" s="280">
        <v>59796</v>
      </c>
      <c r="F1154" s="435">
        <f t="shared" si="228"/>
        <v>152112</v>
      </c>
      <c r="G1154" s="602">
        <v>71.44</v>
      </c>
      <c r="H1154" s="593">
        <f t="shared" si="230"/>
        <v>4271826.24</v>
      </c>
      <c r="I1154" s="596">
        <f t="shared" ref="I1154:I1171" si="231">+G1154*F1154</f>
        <v>10866881.279999999</v>
      </c>
      <c r="J1154" s="373"/>
    </row>
    <row r="1155" spans="1:10" ht="23.4" x14ac:dyDescent="0.3">
      <c r="A1155" s="1134"/>
      <c r="B1155" s="921"/>
      <c r="C1155" s="279" t="s">
        <v>276</v>
      </c>
      <c r="D1155" s="434" t="s">
        <v>238</v>
      </c>
      <c r="E1155" s="280"/>
      <c r="F1155" s="435">
        <f t="shared" si="228"/>
        <v>0</v>
      </c>
      <c r="G1155" s="602">
        <v>36.5</v>
      </c>
      <c r="H1155" s="593">
        <f t="shared" si="230"/>
        <v>0</v>
      </c>
      <c r="I1155" s="596">
        <f t="shared" si="231"/>
        <v>0</v>
      </c>
      <c r="J1155" s="373"/>
    </row>
    <row r="1156" spans="1:10" ht="23.4" x14ac:dyDescent="0.3">
      <c r="A1156" s="1134"/>
      <c r="B1156" s="921"/>
      <c r="C1156" s="279" t="s">
        <v>527</v>
      </c>
      <c r="D1156" s="434" t="s">
        <v>238</v>
      </c>
      <c r="E1156" s="280">
        <v>0</v>
      </c>
      <c r="F1156" s="435">
        <f t="shared" si="228"/>
        <v>4800</v>
      </c>
      <c r="G1156" s="602">
        <v>320.35000000000002</v>
      </c>
      <c r="H1156" s="593">
        <f t="shared" si="230"/>
        <v>0</v>
      </c>
      <c r="I1156" s="596">
        <f t="shared" si="231"/>
        <v>1537680</v>
      </c>
      <c r="J1156" s="373"/>
    </row>
    <row r="1157" spans="1:10" ht="23.4" x14ac:dyDescent="0.3">
      <c r="A1157" s="1134"/>
      <c r="B1157" s="921"/>
      <c r="C1157" s="279" t="s">
        <v>285</v>
      </c>
      <c r="D1157" s="434" t="s">
        <v>238</v>
      </c>
      <c r="E1157" s="280"/>
      <c r="F1157" s="435">
        <f t="shared" si="228"/>
        <v>0</v>
      </c>
      <c r="G1157" s="602">
        <v>320.35000000000002</v>
      </c>
      <c r="H1157" s="593">
        <f t="shared" si="230"/>
        <v>0</v>
      </c>
      <c r="I1157" s="596">
        <f t="shared" si="231"/>
        <v>0</v>
      </c>
      <c r="J1157" s="373"/>
    </row>
    <row r="1158" spans="1:10" ht="23.4" x14ac:dyDescent="0.3">
      <c r="A1158" s="1134"/>
      <c r="B1158" s="921"/>
      <c r="C1158" s="279" t="s">
        <v>296</v>
      </c>
      <c r="D1158" s="434" t="s">
        <v>238</v>
      </c>
      <c r="E1158" s="280"/>
      <c r="F1158" s="435">
        <f t="shared" si="228"/>
        <v>0</v>
      </c>
      <c r="G1158" s="602">
        <v>434.41</v>
      </c>
      <c r="H1158" s="593">
        <f t="shared" si="230"/>
        <v>0</v>
      </c>
      <c r="I1158" s="596">
        <f t="shared" si="231"/>
        <v>0</v>
      </c>
      <c r="J1158" s="373"/>
    </row>
    <row r="1159" spans="1:10" ht="23.4" x14ac:dyDescent="0.3">
      <c r="A1159" s="1134"/>
      <c r="B1159" s="921"/>
      <c r="C1159" s="279" t="s">
        <v>282</v>
      </c>
      <c r="D1159" s="434" t="s">
        <v>238</v>
      </c>
      <c r="E1159" s="280"/>
      <c r="F1159" s="435">
        <f t="shared" si="228"/>
        <v>0</v>
      </c>
      <c r="G1159" s="602">
        <v>29690</v>
      </c>
      <c r="H1159" s="593">
        <f t="shared" si="230"/>
        <v>0</v>
      </c>
      <c r="I1159" s="596">
        <f t="shared" si="231"/>
        <v>0</v>
      </c>
      <c r="J1159" s="373"/>
    </row>
    <row r="1160" spans="1:10" ht="23.4" x14ac:dyDescent="0.3">
      <c r="A1160" s="1134"/>
      <c r="B1160" s="921"/>
      <c r="C1160" s="279" t="s">
        <v>282</v>
      </c>
      <c r="D1160" s="434" t="s">
        <v>238</v>
      </c>
      <c r="E1160" s="280"/>
      <c r="F1160" s="435">
        <f t="shared" si="228"/>
        <v>2</v>
      </c>
      <c r="G1160" s="602">
        <v>26445</v>
      </c>
      <c r="H1160" s="593">
        <f t="shared" si="230"/>
        <v>0</v>
      </c>
      <c r="I1160" s="596">
        <f t="shared" si="231"/>
        <v>52890</v>
      </c>
      <c r="J1160" s="373"/>
    </row>
    <row r="1161" spans="1:10" ht="23.4" x14ac:dyDescent="0.3">
      <c r="A1161" s="1134"/>
      <c r="B1161" s="921"/>
      <c r="C1161" s="279" t="s">
        <v>282</v>
      </c>
      <c r="D1161" s="434"/>
      <c r="E1161" s="280"/>
      <c r="F1161" s="435">
        <f t="shared" si="228"/>
        <v>0</v>
      </c>
      <c r="G1161" s="602">
        <v>33947.884599999998</v>
      </c>
      <c r="H1161" s="593">
        <f t="shared" si="230"/>
        <v>0</v>
      </c>
      <c r="I1161" s="596">
        <f t="shared" si="231"/>
        <v>0</v>
      </c>
      <c r="J1161" s="373"/>
    </row>
    <row r="1162" spans="1:10" ht="23.4" x14ac:dyDescent="0.3">
      <c r="A1162" s="1134"/>
      <c r="B1162" s="921"/>
      <c r="C1162" s="279" t="s">
        <v>311</v>
      </c>
      <c r="D1162" s="434" t="s">
        <v>337</v>
      </c>
      <c r="E1162" s="280"/>
      <c r="F1162" s="435">
        <f t="shared" si="228"/>
        <v>0</v>
      </c>
      <c r="G1162" s="602">
        <v>50</v>
      </c>
      <c r="H1162" s="593">
        <f t="shared" si="230"/>
        <v>0</v>
      </c>
      <c r="I1162" s="596">
        <f t="shared" si="231"/>
        <v>0</v>
      </c>
      <c r="J1162" s="373"/>
    </row>
    <row r="1163" spans="1:10" ht="23.4" x14ac:dyDescent="0.3">
      <c r="A1163" s="1134"/>
      <c r="B1163" s="921"/>
      <c r="C1163" s="279" t="s">
        <v>311</v>
      </c>
      <c r="D1163" s="434"/>
      <c r="E1163" s="280"/>
      <c r="F1163" s="435">
        <f t="shared" si="228"/>
        <v>0</v>
      </c>
      <c r="G1163" s="602">
        <v>10</v>
      </c>
      <c r="H1163" s="593">
        <f t="shared" si="230"/>
        <v>0</v>
      </c>
      <c r="I1163" s="596">
        <f t="shared" si="231"/>
        <v>0</v>
      </c>
      <c r="J1163" s="373"/>
    </row>
    <row r="1164" spans="1:10" ht="23.4" x14ac:dyDescent="0.3">
      <c r="A1164" s="1134"/>
      <c r="B1164" s="921"/>
      <c r="C1164" s="279" t="s">
        <v>329</v>
      </c>
      <c r="D1164" s="434" t="s">
        <v>370</v>
      </c>
      <c r="E1164" s="280"/>
      <c r="F1164" s="435">
        <f t="shared" si="228"/>
        <v>0</v>
      </c>
      <c r="G1164" s="602">
        <v>57.64</v>
      </c>
      <c r="H1164" s="593">
        <f t="shared" si="230"/>
        <v>0</v>
      </c>
      <c r="I1164" s="596">
        <f t="shared" si="231"/>
        <v>0</v>
      </c>
      <c r="J1164" s="373"/>
    </row>
    <row r="1165" spans="1:10" ht="23.4" x14ac:dyDescent="0.3">
      <c r="A1165" s="1134"/>
      <c r="B1165" s="921"/>
      <c r="C1165" s="279" t="s">
        <v>329</v>
      </c>
      <c r="D1165" s="434" t="s">
        <v>364</v>
      </c>
      <c r="E1165" s="280"/>
      <c r="F1165" s="435">
        <f t="shared" si="228"/>
        <v>0</v>
      </c>
      <c r="G1165" s="602">
        <v>57.64</v>
      </c>
      <c r="H1165" s="593">
        <f t="shared" si="230"/>
        <v>0</v>
      </c>
      <c r="I1165" s="596">
        <f t="shared" si="231"/>
        <v>0</v>
      </c>
      <c r="J1165" s="373"/>
    </row>
    <row r="1166" spans="1:10" ht="23.4" x14ac:dyDescent="0.3">
      <c r="A1166" s="1134"/>
      <c r="B1166" s="921"/>
      <c r="C1166" s="279" t="s">
        <v>330</v>
      </c>
      <c r="D1166" s="434" t="s">
        <v>331</v>
      </c>
      <c r="E1166" s="280"/>
      <c r="F1166" s="435">
        <f t="shared" si="228"/>
        <v>0</v>
      </c>
      <c r="G1166" s="602">
        <v>434.41</v>
      </c>
      <c r="H1166" s="593">
        <f t="shared" si="230"/>
        <v>0</v>
      </c>
      <c r="I1166" s="596">
        <f t="shared" si="231"/>
        <v>0</v>
      </c>
      <c r="J1166" s="373"/>
    </row>
    <row r="1167" spans="1:10" ht="23.4" x14ac:dyDescent="0.3">
      <c r="A1167" s="1134"/>
      <c r="B1167" s="921"/>
      <c r="C1167" s="279" t="s">
        <v>343</v>
      </c>
      <c r="D1167" s="434" t="s">
        <v>238</v>
      </c>
      <c r="E1167" s="280"/>
      <c r="F1167" s="435">
        <f t="shared" si="228"/>
        <v>0</v>
      </c>
      <c r="G1167" s="602">
        <v>624.26</v>
      </c>
      <c r="H1167" s="593">
        <f t="shared" si="230"/>
        <v>0</v>
      </c>
      <c r="I1167" s="596">
        <f t="shared" si="231"/>
        <v>0</v>
      </c>
      <c r="J1167" s="373"/>
    </row>
    <row r="1168" spans="1:10" ht="23.4" x14ac:dyDescent="0.3">
      <c r="A1168" s="1134"/>
      <c r="B1168" s="921"/>
      <c r="C1168" s="279" t="s">
        <v>332</v>
      </c>
      <c r="D1168" s="434" t="s">
        <v>331</v>
      </c>
      <c r="E1168" s="280"/>
      <c r="F1168" s="435">
        <f t="shared" si="228"/>
        <v>0</v>
      </c>
      <c r="G1168" s="602">
        <v>63.55</v>
      </c>
      <c r="H1168" s="593">
        <f t="shared" si="230"/>
        <v>0</v>
      </c>
      <c r="I1168" s="596">
        <f t="shared" si="231"/>
        <v>0</v>
      </c>
      <c r="J1168" s="373"/>
    </row>
    <row r="1169" spans="1:10" ht="23.4" x14ac:dyDescent="0.3">
      <c r="A1169" s="1134"/>
      <c r="B1169" s="921"/>
      <c r="C1169" s="279" t="s">
        <v>559</v>
      </c>
      <c r="D1169" s="434" t="s">
        <v>238</v>
      </c>
      <c r="E1169" s="280">
        <v>30000</v>
      </c>
      <c r="F1169" s="435">
        <f t="shared" si="228"/>
        <v>30000</v>
      </c>
      <c r="G1169" s="602">
        <v>59.96</v>
      </c>
      <c r="H1169" s="593">
        <f t="shared" si="230"/>
        <v>1798800</v>
      </c>
      <c r="I1169" s="596">
        <f t="shared" si="231"/>
        <v>1798800</v>
      </c>
      <c r="J1169" s="373"/>
    </row>
    <row r="1170" spans="1:10" ht="23.4" x14ac:dyDescent="0.3">
      <c r="A1170" s="1134"/>
      <c r="B1170" s="921"/>
      <c r="C1170" s="279" t="s">
        <v>419</v>
      </c>
      <c r="D1170" s="434" t="s">
        <v>331</v>
      </c>
      <c r="E1170" s="280"/>
      <c r="F1170" s="435">
        <f t="shared" si="228"/>
        <v>0</v>
      </c>
      <c r="G1170" s="602">
        <v>53.86</v>
      </c>
      <c r="H1170" s="593">
        <f t="shared" si="230"/>
        <v>0</v>
      </c>
      <c r="I1170" s="596">
        <f t="shared" si="231"/>
        <v>0</v>
      </c>
      <c r="J1170" s="373"/>
    </row>
    <row r="1171" spans="1:10" ht="23.4" x14ac:dyDescent="0.3">
      <c r="A1171" s="1134"/>
      <c r="B1171" s="921"/>
      <c r="C1171" s="279" t="s">
        <v>379</v>
      </c>
      <c r="D1171" s="434"/>
      <c r="E1171" s="280"/>
      <c r="F1171" s="435">
        <f t="shared" si="228"/>
        <v>0</v>
      </c>
      <c r="G1171" s="602">
        <v>360</v>
      </c>
      <c r="H1171" s="593">
        <f t="shared" si="230"/>
        <v>0</v>
      </c>
      <c r="I1171" s="596">
        <f t="shared" si="231"/>
        <v>0</v>
      </c>
      <c r="J1171" s="373"/>
    </row>
    <row r="1172" spans="1:10" ht="23.4" x14ac:dyDescent="0.3">
      <c r="A1172" s="1134"/>
      <c r="B1172" s="921"/>
      <c r="C1172" s="279" t="s">
        <v>471</v>
      </c>
      <c r="D1172" s="434"/>
      <c r="E1172" s="280"/>
      <c r="F1172" s="435">
        <f t="shared" si="228"/>
        <v>0</v>
      </c>
      <c r="G1172" s="602"/>
      <c r="H1172" s="593">
        <f>+E1172</f>
        <v>0</v>
      </c>
      <c r="I1172" s="596">
        <f>+H1172</f>
        <v>0</v>
      </c>
      <c r="J1172" s="373"/>
    </row>
    <row r="1173" spans="1:10" ht="23.4" x14ac:dyDescent="0.3">
      <c r="A1173" s="1134"/>
      <c r="B1173" s="921"/>
      <c r="C1173" s="279" t="s">
        <v>282</v>
      </c>
      <c r="D1173" s="434"/>
      <c r="E1173" s="280"/>
      <c r="F1173" s="435">
        <f t="shared" si="228"/>
        <v>0</v>
      </c>
      <c r="G1173" s="602">
        <v>39450</v>
      </c>
      <c r="H1173" s="593">
        <f t="shared" ref="H1173:H1174" si="232">E1173*G1173</f>
        <v>0</v>
      </c>
      <c r="I1173" s="596">
        <f t="shared" ref="I1173:I1174" si="233">+G1173*F1173</f>
        <v>0</v>
      </c>
      <c r="J1173" s="373"/>
    </row>
    <row r="1174" spans="1:10" ht="24" thickBot="1" x14ac:dyDescent="0.35">
      <c r="A1174" s="1134"/>
      <c r="B1174" s="921"/>
      <c r="C1174" s="279" t="s">
        <v>329</v>
      </c>
      <c r="D1174" s="434" t="s">
        <v>443</v>
      </c>
      <c r="E1174" s="280"/>
      <c r="F1174" s="435">
        <f t="shared" si="228"/>
        <v>0</v>
      </c>
      <c r="G1174" s="602">
        <v>57.64</v>
      </c>
      <c r="H1174" s="593">
        <f t="shared" si="232"/>
        <v>0</v>
      </c>
      <c r="I1174" s="596">
        <f t="shared" si="233"/>
        <v>0</v>
      </c>
      <c r="J1174" s="373"/>
    </row>
    <row r="1175" spans="1:10" ht="24" thickBot="1" x14ac:dyDescent="0.35">
      <c r="A1175" s="1135"/>
      <c r="B1175" s="1129" t="s">
        <v>270</v>
      </c>
      <c r="C1175" s="1130"/>
      <c r="D1175" s="923"/>
      <c r="E1175" s="326">
        <f>SUM(E1149:E1174)</f>
        <v>89796</v>
      </c>
      <c r="F1175" s="326">
        <f>SUM(F1149:F1174)</f>
        <v>252817</v>
      </c>
      <c r="G1175" s="326"/>
      <c r="H1175" s="590">
        <f>SUM(H1149:H1174)</f>
        <v>6070626.2400000002</v>
      </c>
      <c r="I1175" s="580">
        <f>SUM(I1149:I1174)</f>
        <v>23314432.539999999</v>
      </c>
      <c r="J1175" s="372"/>
    </row>
    <row r="1176" spans="1:10" ht="24" thickBot="1" x14ac:dyDescent="0.35">
      <c r="A1176" s="926"/>
      <c r="B1176" s="437"/>
      <c r="C1176" s="279" t="s">
        <v>379</v>
      </c>
      <c r="D1176" s="434"/>
      <c r="E1176" s="280"/>
      <c r="F1176" s="281">
        <f>+E1176</f>
        <v>0</v>
      </c>
      <c r="G1176" s="334"/>
      <c r="H1176" s="589">
        <f t="shared" ref="H1176" si="234">E1176*G1176</f>
        <v>0</v>
      </c>
      <c r="I1176" s="282">
        <f t="shared" ref="I1176" si="235">+G1176*F1176</f>
        <v>0</v>
      </c>
      <c r="J1176" s="373"/>
    </row>
    <row r="1177" spans="1:10" ht="24" thickBot="1" x14ac:dyDescent="0.35">
      <c r="A1177" s="926"/>
      <c r="B1177" s="1129" t="s">
        <v>224</v>
      </c>
      <c r="C1177" s="1130"/>
      <c r="D1177" s="919"/>
      <c r="E1177" s="326"/>
      <c r="F1177" s="327"/>
      <c r="G1177" s="326"/>
      <c r="H1177" s="587"/>
      <c r="I1177" s="324">
        <f>SUM(I1176)</f>
        <v>0</v>
      </c>
      <c r="J1177" s="349"/>
    </row>
    <row r="1178" spans="1:10" ht="24.6" thickBot="1" x14ac:dyDescent="0.35">
      <c r="A1178" s="319"/>
      <c r="B1178" s="1131" t="s">
        <v>174</v>
      </c>
      <c r="C1178" s="1132"/>
      <c r="D1178" s="920"/>
      <c r="E1178" s="374">
        <f>+E1175+E1148+E1118+E1116</f>
        <v>111248</v>
      </c>
      <c r="F1178" s="374">
        <f>+F1175+F1148+F1118+F1116</f>
        <v>965861</v>
      </c>
      <c r="G1178" s="374"/>
      <c r="H1178" s="374"/>
      <c r="I1178" s="374">
        <f>+I1175+I1148+I1118+I1177</f>
        <v>37640221.659999996</v>
      </c>
      <c r="J1178" s="375"/>
    </row>
    <row r="1179" spans="1:10" ht="23.4" x14ac:dyDescent="0.3">
      <c r="A1179" s="1057" t="s">
        <v>1</v>
      </c>
      <c r="B1179" s="1060" t="s">
        <v>2</v>
      </c>
      <c r="C1179" s="1138" t="s">
        <v>396</v>
      </c>
      <c r="D1179" s="1115" t="s">
        <v>397</v>
      </c>
      <c r="E1179" s="1142" t="s">
        <v>561</v>
      </c>
      <c r="F1179" s="1067"/>
      <c r="G1179" s="1067"/>
      <c r="H1179" s="1067"/>
      <c r="I1179" s="1067"/>
      <c r="J1179" s="1068"/>
    </row>
    <row r="1180" spans="1:10" ht="23.4" x14ac:dyDescent="0.3">
      <c r="A1180" s="1136"/>
      <c r="B1180" s="1137"/>
      <c r="C1180" s="1139"/>
      <c r="D1180" s="1116"/>
      <c r="E1180" s="1143" t="s">
        <v>412</v>
      </c>
      <c r="F1180" s="1144"/>
      <c r="G1180" s="1143" t="s">
        <v>411</v>
      </c>
      <c r="H1180" s="1145"/>
      <c r="I1180" s="1145"/>
      <c r="J1180" s="1144"/>
    </row>
    <row r="1181" spans="1:10" x14ac:dyDescent="0.3">
      <c r="A1181" s="1058"/>
      <c r="B1181" s="1061"/>
      <c r="C1181" s="1140"/>
      <c r="D1181" s="1116"/>
      <c r="E1181" s="1069" t="s">
        <v>413</v>
      </c>
      <c r="F1181" s="1071" t="s">
        <v>414</v>
      </c>
      <c r="G1181" s="1147" t="s">
        <v>90</v>
      </c>
      <c r="H1181" s="1149" t="s">
        <v>91</v>
      </c>
      <c r="I1181" s="1149" t="s">
        <v>91</v>
      </c>
      <c r="J1181" s="1151" t="s">
        <v>12</v>
      </c>
    </row>
    <row r="1182" spans="1:10" ht="14.4" thickBot="1" x14ac:dyDescent="0.35">
      <c r="A1182" s="1059"/>
      <c r="B1182" s="1062"/>
      <c r="C1182" s="1141"/>
      <c r="D1182" s="1117"/>
      <c r="E1182" s="1070"/>
      <c r="F1182" s="1146"/>
      <c r="G1182" s="1148"/>
      <c r="H1182" s="1150"/>
      <c r="I1182" s="1150"/>
      <c r="J1182" s="1152"/>
    </row>
    <row r="1183" spans="1:10" ht="23.4" x14ac:dyDescent="0.3">
      <c r="A1183" s="1133" t="s">
        <v>103</v>
      </c>
      <c r="B1183" s="439"/>
      <c r="C1183" s="577" t="s">
        <v>538</v>
      </c>
      <c r="D1183" s="665" t="s">
        <v>539</v>
      </c>
      <c r="E1183" s="699"/>
      <c r="F1183" s="674">
        <f>+E1183+F1089</f>
        <v>1024</v>
      </c>
      <c r="G1183" s="732">
        <v>109.77</v>
      </c>
      <c r="H1183" s="591">
        <f t="shared" ref="H1183:H1197" si="236">E1183*G1183</f>
        <v>0</v>
      </c>
      <c r="I1183" s="594">
        <f>+G1183*F1183</f>
        <v>112404.48</v>
      </c>
      <c r="J1183" s="351"/>
    </row>
    <row r="1184" spans="1:10" ht="23.4" x14ac:dyDescent="0.3">
      <c r="A1184" s="1134"/>
      <c r="B1184" s="438"/>
      <c r="C1184" s="441" t="s">
        <v>264</v>
      </c>
      <c r="D1184" s="666" t="s">
        <v>265</v>
      </c>
      <c r="E1184" s="700"/>
      <c r="F1184" s="701">
        <f t="shared" ref="F1184:F1197" si="237">+E1184+F1090</f>
        <v>0</v>
      </c>
      <c r="G1184" s="697">
        <v>11</v>
      </c>
      <c r="H1184" s="592">
        <f t="shared" si="236"/>
        <v>0</v>
      </c>
      <c r="I1184" s="595">
        <f>+G1184*F1184</f>
        <v>0</v>
      </c>
      <c r="J1184" s="352"/>
    </row>
    <row r="1185" spans="1:10" ht="23.4" x14ac:dyDescent="0.3">
      <c r="A1185" s="1134"/>
      <c r="B1185" s="438"/>
      <c r="C1185" s="441" t="s">
        <v>295</v>
      </c>
      <c r="D1185" s="666" t="s">
        <v>453</v>
      </c>
      <c r="E1185" s="700"/>
      <c r="F1185" s="701">
        <f t="shared" si="237"/>
        <v>640</v>
      </c>
      <c r="G1185" s="697">
        <v>139.04</v>
      </c>
      <c r="H1185" s="592">
        <f t="shared" si="236"/>
        <v>0</v>
      </c>
      <c r="I1185" s="595">
        <f t="shared" ref="I1185:I1197" si="238">+G1185*F1185</f>
        <v>88985.599999999991</v>
      </c>
      <c r="J1185" s="352"/>
    </row>
    <row r="1186" spans="1:10" ht="23.4" x14ac:dyDescent="0.3">
      <c r="A1186" s="1134"/>
      <c r="B1186" s="438"/>
      <c r="C1186" s="441" t="s">
        <v>531</v>
      </c>
      <c r="D1186" s="666" t="s">
        <v>529</v>
      </c>
      <c r="E1186" s="700"/>
      <c r="F1186" s="701">
        <f t="shared" si="237"/>
        <v>12240</v>
      </c>
      <c r="G1186" s="715">
        <v>20.66</v>
      </c>
      <c r="H1186" s="592">
        <f t="shared" si="236"/>
        <v>0</v>
      </c>
      <c r="I1186" s="595">
        <f t="shared" si="238"/>
        <v>252878.4</v>
      </c>
      <c r="J1186" s="352"/>
    </row>
    <row r="1187" spans="1:10" ht="23.4" x14ac:dyDescent="0.3">
      <c r="A1187" s="1134"/>
      <c r="B1187" s="438"/>
      <c r="C1187" s="441" t="s">
        <v>288</v>
      </c>
      <c r="D1187" s="666" t="s">
        <v>177</v>
      </c>
      <c r="E1187" s="700"/>
      <c r="F1187" s="701">
        <f t="shared" si="237"/>
        <v>0</v>
      </c>
      <c r="G1187" s="697">
        <v>14.79</v>
      </c>
      <c r="H1187" s="592">
        <f t="shared" si="236"/>
        <v>0</v>
      </c>
      <c r="I1187" s="595">
        <f t="shared" si="238"/>
        <v>0</v>
      </c>
      <c r="J1187" s="352"/>
    </row>
    <row r="1188" spans="1:10" ht="23.4" x14ac:dyDescent="0.3">
      <c r="A1188" s="1134"/>
      <c r="B1188" s="438"/>
      <c r="C1188" s="441" t="s">
        <v>295</v>
      </c>
      <c r="D1188" s="666" t="s">
        <v>265</v>
      </c>
      <c r="E1188" s="700">
        <v>0</v>
      </c>
      <c r="F1188" s="701">
        <f t="shared" si="237"/>
        <v>5120</v>
      </c>
      <c r="G1188" s="697">
        <v>139.04</v>
      </c>
      <c r="H1188" s="592">
        <f t="shared" si="236"/>
        <v>0</v>
      </c>
      <c r="I1188" s="595">
        <f t="shared" si="238"/>
        <v>711884.79999999993</v>
      </c>
      <c r="J1188" s="352"/>
    </row>
    <row r="1189" spans="1:10" ht="23.4" x14ac:dyDescent="0.3">
      <c r="A1189" s="1134"/>
      <c r="B1189" s="438"/>
      <c r="C1189" s="441" t="s">
        <v>537</v>
      </c>
      <c r="D1189" s="666" t="s">
        <v>265</v>
      </c>
      <c r="E1189" s="700">
        <v>0</v>
      </c>
      <c r="F1189" s="701">
        <f t="shared" si="237"/>
        <v>4160</v>
      </c>
      <c r="G1189" s="697">
        <v>135.96</v>
      </c>
      <c r="H1189" s="592">
        <f t="shared" si="236"/>
        <v>0</v>
      </c>
      <c r="I1189" s="595">
        <f t="shared" si="238"/>
        <v>565593.59999999998</v>
      </c>
      <c r="J1189" s="352"/>
    </row>
    <row r="1190" spans="1:10" ht="23.4" x14ac:dyDescent="0.3">
      <c r="A1190" s="1134"/>
      <c r="B1190" s="438"/>
      <c r="C1190" s="441" t="s">
        <v>313</v>
      </c>
      <c r="D1190" s="667" t="s">
        <v>265</v>
      </c>
      <c r="E1190" s="700">
        <v>0</v>
      </c>
      <c r="F1190" s="701">
        <f t="shared" si="237"/>
        <v>58892</v>
      </c>
      <c r="G1190" s="697">
        <v>18.84</v>
      </c>
      <c r="H1190" s="592">
        <f t="shared" si="236"/>
        <v>0</v>
      </c>
      <c r="I1190" s="595">
        <f t="shared" si="238"/>
        <v>1109525.28</v>
      </c>
      <c r="J1190" s="352"/>
    </row>
    <row r="1191" spans="1:10" ht="23.4" x14ac:dyDescent="0.3">
      <c r="A1191" s="1134"/>
      <c r="B1191" s="438"/>
      <c r="C1191" s="441" t="s">
        <v>322</v>
      </c>
      <c r="D1191" s="667" t="s">
        <v>232</v>
      </c>
      <c r="E1191" s="700"/>
      <c r="F1191" s="701">
        <f t="shared" si="237"/>
        <v>0</v>
      </c>
      <c r="G1191" s="697">
        <v>21.18</v>
      </c>
      <c r="H1191" s="592">
        <f t="shared" si="236"/>
        <v>0</v>
      </c>
      <c r="I1191" s="595">
        <f t="shared" si="238"/>
        <v>0</v>
      </c>
      <c r="J1191" s="352"/>
    </row>
    <row r="1192" spans="1:10" ht="23.4" x14ac:dyDescent="0.3">
      <c r="A1192" s="1134"/>
      <c r="B1192" s="438"/>
      <c r="C1192" s="441" t="s">
        <v>324</v>
      </c>
      <c r="D1192" s="667" t="s">
        <v>325</v>
      </c>
      <c r="E1192" s="700"/>
      <c r="F1192" s="701">
        <f t="shared" si="237"/>
        <v>0</v>
      </c>
      <c r="G1192" s="697">
        <v>21.28</v>
      </c>
      <c r="H1192" s="592">
        <f t="shared" si="236"/>
        <v>0</v>
      </c>
      <c r="I1192" s="595">
        <f t="shared" si="238"/>
        <v>0</v>
      </c>
      <c r="J1192" s="352"/>
    </row>
    <row r="1193" spans="1:10" ht="23.4" x14ac:dyDescent="0.3">
      <c r="A1193" s="1134"/>
      <c r="B1193" s="438"/>
      <c r="C1193" s="441" t="s">
        <v>378</v>
      </c>
      <c r="D1193" s="667" t="s">
        <v>374</v>
      </c>
      <c r="E1193" s="700">
        <v>0</v>
      </c>
      <c r="F1193" s="701">
        <f t="shared" si="237"/>
        <v>9920</v>
      </c>
      <c r="G1193" s="697">
        <v>143.28</v>
      </c>
      <c r="H1193" s="592">
        <f t="shared" si="236"/>
        <v>0</v>
      </c>
      <c r="I1193" s="595">
        <f t="shared" si="238"/>
        <v>1421337.6000000001</v>
      </c>
      <c r="J1193" s="352"/>
    </row>
    <row r="1194" spans="1:10" ht="23.4" x14ac:dyDescent="0.3">
      <c r="A1194" s="1134"/>
      <c r="B1194" s="438"/>
      <c r="C1194" s="441" t="s">
        <v>472</v>
      </c>
      <c r="D1194" s="667"/>
      <c r="E1194" s="700"/>
      <c r="F1194" s="701">
        <f t="shared" si="237"/>
        <v>0</v>
      </c>
      <c r="G1194" s="697">
        <v>14.79</v>
      </c>
      <c r="H1194" s="592">
        <f t="shared" si="236"/>
        <v>0</v>
      </c>
      <c r="I1194" s="595">
        <f t="shared" si="238"/>
        <v>0</v>
      </c>
      <c r="J1194" s="352"/>
    </row>
    <row r="1195" spans="1:10" ht="23.4" x14ac:dyDescent="0.3">
      <c r="A1195" s="1134"/>
      <c r="B1195" s="438"/>
      <c r="C1195" s="441" t="s">
        <v>451</v>
      </c>
      <c r="D1195" s="666" t="s">
        <v>177</v>
      </c>
      <c r="E1195" s="700"/>
      <c r="F1195" s="701">
        <f t="shared" si="237"/>
        <v>498432</v>
      </c>
      <c r="G1195" s="697">
        <v>14.55</v>
      </c>
      <c r="H1195" s="592">
        <f t="shared" si="236"/>
        <v>0</v>
      </c>
      <c r="I1195" s="595">
        <f t="shared" si="238"/>
        <v>7252185.6000000006</v>
      </c>
      <c r="J1195" s="352"/>
    </row>
    <row r="1196" spans="1:10" ht="23.4" x14ac:dyDescent="0.3">
      <c r="A1196" s="1134"/>
      <c r="B1196" s="438"/>
      <c r="C1196" s="441" t="s">
        <v>327</v>
      </c>
      <c r="D1196" s="667" t="s">
        <v>188</v>
      </c>
      <c r="E1196" s="700"/>
      <c r="F1196" s="701">
        <f t="shared" si="237"/>
        <v>0</v>
      </c>
      <c r="G1196" s="697">
        <v>21.28</v>
      </c>
      <c r="H1196" s="592">
        <f t="shared" si="236"/>
        <v>0</v>
      </c>
      <c r="I1196" s="595">
        <f t="shared" si="238"/>
        <v>0</v>
      </c>
      <c r="J1196" s="352"/>
    </row>
    <row r="1197" spans="1:10" ht="24" thickBot="1" x14ac:dyDescent="0.35">
      <c r="A1197" s="1134"/>
      <c r="B1197" s="438"/>
      <c r="C1197" s="441" t="s">
        <v>336</v>
      </c>
      <c r="D1197" s="668" t="s">
        <v>178</v>
      </c>
      <c r="E1197" s="700"/>
      <c r="F1197" s="676">
        <f t="shared" si="237"/>
        <v>0</v>
      </c>
      <c r="G1197" s="697">
        <v>36.44</v>
      </c>
      <c r="H1197" s="592">
        <f t="shared" si="236"/>
        <v>0</v>
      </c>
      <c r="I1197" s="595">
        <f t="shared" si="238"/>
        <v>0</v>
      </c>
      <c r="J1197" s="352"/>
    </row>
    <row r="1198" spans="1:10" ht="24" thickBot="1" x14ac:dyDescent="0.35">
      <c r="A1198" s="1134"/>
      <c r="B1198" s="1129" t="s">
        <v>266</v>
      </c>
      <c r="C1198" s="1130"/>
      <c r="D1198" s="942"/>
      <c r="E1198" s="326">
        <f>SUM(E1183:E1197)</f>
        <v>0</v>
      </c>
      <c r="F1198" s="698">
        <f>SUM(F1183:F1197)</f>
        <v>590428</v>
      </c>
      <c r="G1198" s="326"/>
      <c r="H1198" s="587">
        <f>SUM(H1183:H1197)</f>
        <v>0</v>
      </c>
      <c r="I1198" s="580">
        <f>SUM(I1183:I1197)</f>
        <v>11514795.359999999</v>
      </c>
      <c r="J1198" s="349"/>
    </row>
    <row r="1199" spans="1:10" ht="23.4" x14ac:dyDescent="0.3">
      <c r="A1199" s="1134"/>
      <c r="B1199" s="940"/>
      <c r="C1199" s="279" t="s">
        <v>271</v>
      </c>
      <c r="D1199" s="434" t="s">
        <v>238</v>
      </c>
      <c r="E1199" s="280"/>
      <c r="F1199" s="435">
        <f>+E1199+F1105</f>
        <v>0</v>
      </c>
      <c r="G1199" s="578">
        <v>160.44999999999999</v>
      </c>
      <c r="H1199" s="593">
        <f t="shared" ref="H1199:H1204" si="239">E1199*G1199</f>
        <v>0</v>
      </c>
      <c r="I1199" s="596">
        <f t="shared" ref="I1199:I1204" si="240">+G1199*F1199</f>
        <v>0</v>
      </c>
      <c r="J1199" s="373"/>
    </row>
    <row r="1200" spans="1:10" ht="23.4" x14ac:dyDescent="0.3">
      <c r="A1200" s="1134"/>
      <c r="B1200" s="940"/>
      <c r="C1200" s="279" t="s">
        <v>287</v>
      </c>
      <c r="D1200" s="434" t="s">
        <v>93</v>
      </c>
      <c r="E1200" s="280">
        <v>0</v>
      </c>
      <c r="F1200" s="435">
        <f t="shared" ref="F1200:F1204" si="241">+E1200+F1106</f>
        <v>91380</v>
      </c>
      <c r="G1200" s="578">
        <v>27</v>
      </c>
      <c r="H1200" s="593">
        <f t="shared" si="239"/>
        <v>0</v>
      </c>
      <c r="I1200" s="596">
        <f t="shared" si="240"/>
        <v>2467260</v>
      </c>
      <c r="J1200" s="373"/>
    </row>
    <row r="1201" spans="1:10" ht="23.4" x14ac:dyDescent="0.3">
      <c r="A1201" s="1134"/>
      <c r="B1201" s="940"/>
      <c r="C1201" s="279" t="s">
        <v>287</v>
      </c>
      <c r="D1201" s="434" t="s">
        <v>292</v>
      </c>
      <c r="E1201" s="280"/>
      <c r="F1201" s="435">
        <f t="shared" si="241"/>
        <v>0</v>
      </c>
      <c r="G1201" s="578">
        <v>27.5</v>
      </c>
      <c r="H1201" s="593">
        <f t="shared" si="239"/>
        <v>0</v>
      </c>
      <c r="I1201" s="596">
        <f t="shared" si="240"/>
        <v>0</v>
      </c>
      <c r="J1201" s="373"/>
    </row>
    <row r="1202" spans="1:10" ht="23.4" x14ac:dyDescent="0.3">
      <c r="A1202" s="1134"/>
      <c r="B1202" s="940"/>
      <c r="C1202" s="279" t="s">
        <v>276</v>
      </c>
      <c r="D1202" s="434" t="s">
        <v>292</v>
      </c>
      <c r="E1202" s="280"/>
      <c r="F1202" s="435">
        <f t="shared" si="241"/>
        <v>0</v>
      </c>
      <c r="G1202" s="578">
        <v>34.5</v>
      </c>
      <c r="H1202" s="593">
        <f t="shared" si="239"/>
        <v>0</v>
      </c>
      <c r="I1202" s="596">
        <f t="shared" si="240"/>
        <v>0</v>
      </c>
      <c r="J1202" s="373"/>
    </row>
    <row r="1203" spans="1:10" ht="23.4" x14ac:dyDescent="0.3">
      <c r="A1203" s="1134"/>
      <c r="B1203" s="940"/>
      <c r="C1203" s="279" t="s">
        <v>473</v>
      </c>
      <c r="D1203" s="434" t="s">
        <v>440</v>
      </c>
      <c r="E1203" s="280"/>
      <c r="F1203" s="435">
        <f t="shared" si="241"/>
        <v>31200</v>
      </c>
      <c r="G1203" s="578">
        <v>10.57</v>
      </c>
      <c r="H1203" s="593">
        <f t="shared" si="239"/>
        <v>0</v>
      </c>
      <c r="I1203" s="596">
        <f t="shared" si="240"/>
        <v>329784</v>
      </c>
      <c r="J1203" s="373"/>
    </row>
    <row r="1204" spans="1:10" ht="24" thickBot="1" x14ac:dyDescent="0.35">
      <c r="A1204" s="1134"/>
      <c r="B1204" s="940"/>
      <c r="C1204" s="279" t="s">
        <v>276</v>
      </c>
      <c r="D1204" s="434" t="s">
        <v>440</v>
      </c>
      <c r="E1204" s="280"/>
      <c r="F1204" s="435">
        <f t="shared" si="241"/>
        <v>26</v>
      </c>
      <c r="G1204" s="578">
        <v>55.76</v>
      </c>
      <c r="H1204" s="593">
        <f t="shared" si="239"/>
        <v>0</v>
      </c>
      <c r="I1204" s="596">
        <f t="shared" si="240"/>
        <v>1449.76</v>
      </c>
      <c r="J1204" s="373"/>
    </row>
    <row r="1205" spans="1:10" ht="24" thickBot="1" x14ac:dyDescent="0.35">
      <c r="A1205" s="1134"/>
      <c r="B1205" s="1129" t="s">
        <v>267</v>
      </c>
      <c r="C1205" s="1130"/>
      <c r="D1205" s="942"/>
      <c r="E1205" s="326">
        <f>SUM(E1199:E1204)</f>
        <v>0</v>
      </c>
      <c r="F1205" s="326">
        <f>SUM(F1199:F1204)</f>
        <v>122606</v>
      </c>
      <c r="G1205" s="326"/>
      <c r="H1205" s="587">
        <f>SUM(H1199:H1204)</f>
        <v>0</v>
      </c>
      <c r="I1205" s="580">
        <f>SUM(I1199:I1204)</f>
        <v>2798493.76</v>
      </c>
      <c r="J1205" s="349"/>
    </row>
    <row r="1206" spans="1:10" ht="23.4" x14ac:dyDescent="0.3">
      <c r="A1206" s="1134"/>
      <c r="B1206" s="940"/>
      <c r="C1206" s="279" t="s">
        <v>277</v>
      </c>
      <c r="D1206" s="434" t="s">
        <v>278</v>
      </c>
      <c r="E1206" s="280"/>
      <c r="F1206" s="435">
        <f>+E1206+F1112</f>
        <v>5</v>
      </c>
      <c r="G1206" s="578">
        <v>2500</v>
      </c>
      <c r="H1206" s="593">
        <f t="shared" ref="H1206:H1209" si="242">E1206*G1206</f>
        <v>0</v>
      </c>
      <c r="I1206" s="596">
        <f>+G1206*F1206</f>
        <v>12500</v>
      </c>
      <c r="J1206" s="373"/>
    </row>
    <row r="1207" spans="1:10" ht="23.4" x14ac:dyDescent="0.3">
      <c r="A1207" s="1134"/>
      <c r="B1207" s="940"/>
      <c r="C1207" s="279" t="s">
        <v>454</v>
      </c>
      <c r="D1207" s="434"/>
      <c r="E1207" s="280"/>
      <c r="F1207" s="435">
        <f t="shared" ref="F1207:F1209" si="243">+E1207+F1113</f>
        <v>0</v>
      </c>
      <c r="G1207" s="578">
        <v>30000</v>
      </c>
      <c r="H1207" s="593">
        <f t="shared" si="242"/>
        <v>0</v>
      </c>
      <c r="I1207" s="596">
        <f>+G1207*F1207</f>
        <v>0</v>
      </c>
      <c r="J1207" s="373"/>
    </row>
    <row r="1208" spans="1:10" ht="23.4" x14ac:dyDescent="0.3">
      <c r="A1208" s="1134"/>
      <c r="B1208" s="940"/>
      <c r="C1208" s="279" t="s">
        <v>379</v>
      </c>
      <c r="D1208" s="434" t="s">
        <v>304</v>
      </c>
      <c r="E1208" s="280"/>
      <c r="F1208" s="435">
        <f t="shared" si="243"/>
        <v>0</v>
      </c>
      <c r="G1208" s="578">
        <v>360</v>
      </c>
      <c r="H1208" s="593">
        <f t="shared" si="242"/>
        <v>0</v>
      </c>
      <c r="I1208" s="596">
        <f>+G1208*F1208</f>
        <v>0</v>
      </c>
      <c r="J1208" s="373"/>
    </row>
    <row r="1209" spans="1:10" ht="24" thickBot="1" x14ac:dyDescent="0.35">
      <c r="A1209" s="1134"/>
      <c r="B1209" s="940"/>
      <c r="C1209" s="279" t="s">
        <v>427</v>
      </c>
      <c r="D1209" s="434" t="s">
        <v>304</v>
      </c>
      <c r="E1209" s="280"/>
      <c r="F1209" s="435">
        <f t="shared" si="243"/>
        <v>0</v>
      </c>
      <c r="G1209" s="579">
        <v>10</v>
      </c>
      <c r="H1209" s="593">
        <f t="shared" si="242"/>
        <v>0</v>
      </c>
      <c r="I1209" s="596">
        <f t="shared" ref="I1209" si="244">+G1209*F1209</f>
        <v>0</v>
      </c>
      <c r="J1209" s="373"/>
    </row>
    <row r="1210" spans="1:10" ht="24" thickBot="1" x14ac:dyDescent="0.35">
      <c r="A1210" s="1134"/>
      <c r="B1210" s="1129" t="s">
        <v>272</v>
      </c>
      <c r="C1210" s="1130"/>
      <c r="D1210" s="942"/>
      <c r="E1210" s="326">
        <f>SUM(E1206:E1209)</f>
        <v>0</v>
      </c>
      <c r="F1210" s="326">
        <f>SUM(F1206:F1209)</f>
        <v>5</v>
      </c>
      <c r="G1210" s="326"/>
      <c r="H1210" s="587">
        <f>SUM(H1206:H1209)</f>
        <v>0</v>
      </c>
      <c r="I1210" s="580">
        <f>SUM(I1206:I1209)</f>
        <v>12500</v>
      </c>
      <c r="J1210" s="373"/>
    </row>
    <row r="1211" spans="1:10" ht="24" thickBot="1" x14ac:dyDescent="0.35">
      <c r="A1211" s="1134"/>
      <c r="B1211" s="940"/>
      <c r="C1211" s="279"/>
      <c r="D1211" s="434"/>
      <c r="E1211" s="280"/>
      <c r="F1211" s="317"/>
      <c r="G1211" s="579"/>
      <c r="H1211" s="588"/>
      <c r="I1211" s="282"/>
      <c r="J1211" s="373"/>
    </row>
    <row r="1212" spans="1:10" ht="24" thickBot="1" x14ac:dyDescent="0.35">
      <c r="A1212" s="1135"/>
      <c r="B1212" s="1129" t="s">
        <v>269</v>
      </c>
      <c r="C1212" s="1130"/>
      <c r="D1212" s="938"/>
      <c r="E1212" s="326">
        <f>+E1210+E1205+E1198</f>
        <v>0</v>
      </c>
      <c r="F1212" s="326">
        <f>+F1210+F1205+F1198</f>
        <v>713039</v>
      </c>
      <c r="G1212" s="326"/>
      <c r="H1212" s="580">
        <f>+H1205+H1198+H1210</f>
        <v>0</v>
      </c>
      <c r="I1212" s="580">
        <f>+I1205+I1198+I1210</f>
        <v>14325789.119999999</v>
      </c>
      <c r="J1212" s="373"/>
    </row>
    <row r="1213" spans="1:10" ht="23.4" x14ac:dyDescent="0.3">
      <c r="A1213" s="1133" t="s">
        <v>101</v>
      </c>
      <c r="B1213" s="940"/>
      <c r="C1213" s="279" t="s">
        <v>281</v>
      </c>
      <c r="D1213" s="434" t="s">
        <v>178</v>
      </c>
      <c r="E1213" s="280"/>
      <c r="F1213" s="435">
        <f>+E1213+F1119</f>
        <v>0</v>
      </c>
      <c r="G1213" s="602">
        <v>13.25</v>
      </c>
      <c r="H1213" s="597">
        <f t="shared" ref="H1213:H1241" si="245">E1213*G1213</f>
        <v>0</v>
      </c>
      <c r="I1213" s="596">
        <f t="shared" ref="I1213:I1241" si="246">+G1213*F1213</f>
        <v>0</v>
      </c>
      <c r="J1213" s="373"/>
    </row>
    <row r="1214" spans="1:10" ht="23.4" x14ac:dyDescent="0.3">
      <c r="A1214" s="1134"/>
      <c r="B1214" s="940"/>
      <c r="C1214" s="279" t="s">
        <v>282</v>
      </c>
      <c r="D1214" s="434"/>
      <c r="E1214" s="280"/>
      <c r="F1214" s="435">
        <f t="shared" ref="F1214:F1268" si="247">+E1214+F1120</f>
        <v>0</v>
      </c>
      <c r="G1214" s="603">
        <v>5000</v>
      </c>
      <c r="H1214" s="597">
        <f t="shared" si="245"/>
        <v>0</v>
      </c>
      <c r="I1214" s="596">
        <f t="shared" si="246"/>
        <v>0</v>
      </c>
      <c r="J1214" s="373"/>
    </row>
    <row r="1215" spans="1:10" ht="23.4" x14ac:dyDescent="0.3">
      <c r="A1215" s="1134"/>
      <c r="B1215" s="940"/>
      <c r="C1215" s="279" t="s">
        <v>282</v>
      </c>
      <c r="D1215" s="434"/>
      <c r="E1215" s="280"/>
      <c r="F1215" s="435">
        <f t="shared" si="247"/>
        <v>0</v>
      </c>
      <c r="G1215" s="603">
        <v>18000</v>
      </c>
      <c r="H1215" s="597">
        <f t="shared" si="245"/>
        <v>0</v>
      </c>
      <c r="I1215" s="596">
        <f t="shared" si="246"/>
        <v>0</v>
      </c>
      <c r="J1215" s="373"/>
    </row>
    <row r="1216" spans="1:10" ht="23.4" x14ac:dyDescent="0.3">
      <c r="A1216" s="1134"/>
      <c r="B1216" s="940"/>
      <c r="C1216" s="279" t="s">
        <v>465</v>
      </c>
      <c r="D1216" s="434" t="s">
        <v>338</v>
      </c>
      <c r="E1216" s="280"/>
      <c r="F1216" s="435">
        <f t="shared" si="247"/>
        <v>0</v>
      </c>
      <c r="G1216" s="602">
        <v>24.93</v>
      </c>
      <c r="H1216" s="597">
        <f t="shared" si="245"/>
        <v>0</v>
      </c>
      <c r="I1216" s="596">
        <f t="shared" si="246"/>
        <v>0</v>
      </c>
      <c r="J1216" s="373"/>
    </row>
    <row r="1217" spans="1:10" ht="23.4" x14ac:dyDescent="0.3">
      <c r="A1217" s="1134"/>
      <c r="B1217" s="940"/>
      <c r="C1217" s="746" t="s">
        <v>466</v>
      </c>
      <c r="D1217" s="747" t="s">
        <v>92</v>
      </c>
      <c r="E1217" s="280"/>
      <c r="F1217" s="435">
        <f t="shared" si="247"/>
        <v>0</v>
      </c>
      <c r="G1217" s="602">
        <v>20.8</v>
      </c>
      <c r="H1217" s="597">
        <f t="shared" si="245"/>
        <v>0</v>
      </c>
      <c r="I1217" s="596">
        <f t="shared" si="246"/>
        <v>0</v>
      </c>
      <c r="J1217" s="373"/>
    </row>
    <row r="1218" spans="1:10" ht="23.4" x14ac:dyDescent="0.3">
      <c r="A1218" s="1134"/>
      <c r="B1218" s="940"/>
      <c r="C1218" s="746" t="s">
        <v>467</v>
      </c>
      <c r="D1218" s="747" t="s">
        <v>468</v>
      </c>
      <c r="E1218" s="280"/>
      <c r="F1218" s="435">
        <f t="shared" si="247"/>
        <v>0</v>
      </c>
      <c r="G1218" s="602">
        <v>24.93</v>
      </c>
      <c r="H1218" s="597">
        <f t="shared" si="245"/>
        <v>0</v>
      </c>
      <c r="I1218" s="596">
        <f t="shared" si="246"/>
        <v>0</v>
      </c>
      <c r="J1218" s="373"/>
    </row>
    <row r="1219" spans="1:10" ht="23.4" x14ac:dyDescent="0.3">
      <c r="A1219" s="1134"/>
      <c r="B1219" s="940"/>
      <c r="C1219" s="746" t="s">
        <v>467</v>
      </c>
      <c r="D1219" s="747" t="s">
        <v>468</v>
      </c>
      <c r="E1219" s="280"/>
      <c r="F1219" s="435">
        <f t="shared" si="247"/>
        <v>0</v>
      </c>
      <c r="G1219" s="602">
        <v>25.49</v>
      </c>
      <c r="H1219" s="597">
        <f t="shared" si="245"/>
        <v>0</v>
      </c>
      <c r="I1219" s="596">
        <f t="shared" si="246"/>
        <v>0</v>
      </c>
      <c r="J1219" s="373"/>
    </row>
    <row r="1220" spans="1:10" ht="23.4" x14ac:dyDescent="0.3">
      <c r="A1220" s="1134"/>
      <c r="B1220" s="748"/>
      <c r="C1220" s="749" t="s">
        <v>469</v>
      </c>
      <c r="D1220" s="750" t="s">
        <v>309</v>
      </c>
      <c r="E1220" s="751"/>
      <c r="F1220" s="752">
        <f t="shared" si="247"/>
        <v>0</v>
      </c>
      <c r="G1220" s="753">
        <v>24.41</v>
      </c>
      <c r="H1220" s="754">
        <f t="shared" si="245"/>
        <v>0</v>
      </c>
      <c r="I1220" s="755">
        <f t="shared" si="246"/>
        <v>0</v>
      </c>
      <c r="J1220" s="756"/>
    </row>
    <row r="1221" spans="1:10" ht="23.4" x14ac:dyDescent="0.3">
      <c r="A1221" s="1134"/>
      <c r="B1221" s="940"/>
      <c r="C1221" s="279" t="s">
        <v>444</v>
      </c>
      <c r="D1221" s="434" t="s">
        <v>423</v>
      </c>
      <c r="E1221" s="280"/>
      <c r="F1221" s="435">
        <f t="shared" si="247"/>
        <v>0</v>
      </c>
      <c r="G1221" s="602">
        <v>20.76</v>
      </c>
      <c r="H1221" s="597">
        <f t="shared" si="245"/>
        <v>0</v>
      </c>
      <c r="I1221" s="596">
        <f t="shared" si="246"/>
        <v>0</v>
      </c>
      <c r="J1221" s="373"/>
    </row>
    <row r="1222" spans="1:10" ht="23.4" x14ac:dyDescent="0.3">
      <c r="A1222" s="1134"/>
      <c r="B1222" s="940"/>
      <c r="C1222" s="279" t="s">
        <v>298</v>
      </c>
      <c r="D1222" s="434" t="s">
        <v>107</v>
      </c>
      <c r="E1222" s="280"/>
      <c r="F1222" s="435">
        <f t="shared" si="247"/>
        <v>0</v>
      </c>
      <c r="G1222" s="602">
        <v>24.93</v>
      </c>
      <c r="H1222" s="597">
        <f t="shared" si="245"/>
        <v>0</v>
      </c>
      <c r="I1222" s="596">
        <f t="shared" si="246"/>
        <v>0</v>
      </c>
      <c r="J1222" s="373"/>
    </row>
    <row r="1223" spans="1:10" ht="23.4" x14ac:dyDescent="0.3">
      <c r="A1223" s="1134"/>
      <c r="B1223" s="940"/>
      <c r="C1223" s="279" t="s">
        <v>299</v>
      </c>
      <c r="D1223" s="434" t="s">
        <v>280</v>
      </c>
      <c r="E1223" s="280"/>
      <c r="F1223" s="435">
        <f t="shared" si="247"/>
        <v>0</v>
      </c>
      <c r="G1223" s="602">
        <v>24.93</v>
      </c>
      <c r="H1223" s="597">
        <f t="shared" si="245"/>
        <v>0</v>
      </c>
      <c r="I1223" s="596">
        <f t="shared" si="246"/>
        <v>0</v>
      </c>
      <c r="J1223" s="373"/>
    </row>
    <row r="1224" spans="1:10" ht="23.4" x14ac:dyDescent="0.3">
      <c r="A1224" s="1134"/>
      <c r="B1224" s="940"/>
      <c r="C1224" s="279" t="s">
        <v>425</v>
      </c>
      <c r="D1224" s="434" t="s">
        <v>309</v>
      </c>
      <c r="E1224" s="280"/>
      <c r="F1224" s="435">
        <f t="shared" si="247"/>
        <v>0</v>
      </c>
      <c r="G1224" s="602">
        <v>23.78</v>
      </c>
      <c r="H1224" s="597">
        <f t="shared" si="245"/>
        <v>0</v>
      </c>
      <c r="I1224" s="596">
        <f t="shared" si="246"/>
        <v>0</v>
      </c>
      <c r="J1224" s="373"/>
    </row>
    <row r="1225" spans="1:10" ht="23.4" x14ac:dyDescent="0.3">
      <c r="A1225" s="1134"/>
      <c r="B1225" s="940"/>
      <c r="C1225" s="279" t="s">
        <v>354</v>
      </c>
      <c r="D1225" s="434" t="s">
        <v>309</v>
      </c>
      <c r="E1225" s="280"/>
      <c r="F1225" s="435">
        <f t="shared" si="247"/>
        <v>0</v>
      </c>
      <c r="G1225" s="602">
        <v>37.4566666666</v>
      </c>
      <c r="H1225" s="597">
        <f t="shared" si="245"/>
        <v>0</v>
      </c>
      <c r="I1225" s="596">
        <f t="shared" si="246"/>
        <v>0</v>
      </c>
      <c r="J1225" s="373"/>
    </row>
    <row r="1226" spans="1:10" ht="23.4" x14ac:dyDescent="0.3">
      <c r="A1226" s="1134"/>
      <c r="B1226" s="940"/>
      <c r="C1226" s="279" t="s">
        <v>355</v>
      </c>
      <c r="D1226" s="434" t="s">
        <v>309</v>
      </c>
      <c r="E1226" s="280"/>
      <c r="F1226" s="435">
        <f t="shared" si="247"/>
        <v>0</v>
      </c>
      <c r="G1226" s="602">
        <v>37.89</v>
      </c>
      <c r="H1226" s="597">
        <f t="shared" si="245"/>
        <v>0</v>
      </c>
      <c r="I1226" s="596">
        <f t="shared" si="246"/>
        <v>0</v>
      </c>
      <c r="J1226" s="373"/>
    </row>
    <row r="1227" spans="1:10" ht="23.4" x14ac:dyDescent="0.3">
      <c r="A1227" s="1134"/>
      <c r="B1227" s="940"/>
      <c r="C1227" s="279" t="s">
        <v>461</v>
      </c>
      <c r="D1227" s="434" t="s">
        <v>92</v>
      </c>
      <c r="E1227" s="280"/>
      <c r="F1227" s="435">
        <f t="shared" si="247"/>
        <v>0</v>
      </c>
      <c r="G1227" s="602">
        <v>28.31</v>
      </c>
      <c r="H1227" s="597">
        <f t="shared" si="245"/>
        <v>0</v>
      </c>
      <c r="I1227" s="596">
        <f t="shared" si="246"/>
        <v>0</v>
      </c>
      <c r="J1227" s="373"/>
    </row>
    <row r="1228" spans="1:10" ht="23.4" x14ac:dyDescent="0.3">
      <c r="A1228" s="1134"/>
      <c r="B1228" s="940"/>
      <c r="C1228" s="279" t="s">
        <v>461</v>
      </c>
      <c r="D1228" s="434" t="s">
        <v>423</v>
      </c>
      <c r="E1228" s="280"/>
      <c r="F1228" s="435">
        <f t="shared" si="247"/>
        <v>0</v>
      </c>
      <c r="G1228" s="602">
        <v>28.88</v>
      </c>
      <c r="H1228" s="597">
        <f t="shared" si="245"/>
        <v>0</v>
      </c>
      <c r="I1228" s="596">
        <f t="shared" si="246"/>
        <v>0</v>
      </c>
      <c r="J1228" s="373"/>
    </row>
    <row r="1229" spans="1:10" ht="23.4" x14ac:dyDescent="0.3">
      <c r="A1229" s="1134"/>
      <c r="B1229" s="940"/>
      <c r="C1229" s="279" t="s">
        <v>462</v>
      </c>
      <c r="D1229" s="434" t="s">
        <v>423</v>
      </c>
      <c r="E1229" s="280"/>
      <c r="F1229" s="435">
        <f t="shared" si="247"/>
        <v>0</v>
      </c>
      <c r="G1229" s="602">
        <v>28.21</v>
      </c>
      <c r="H1229" s="597">
        <f t="shared" si="245"/>
        <v>0</v>
      </c>
      <c r="I1229" s="596">
        <f t="shared" si="246"/>
        <v>0</v>
      </c>
      <c r="J1229" s="373"/>
    </row>
    <row r="1230" spans="1:10" ht="23.4" x14ac:dyDescent="0.3">
      <c r="A1230" s="1134"/>
      <c r="B1230" s="940"/>
      <c r="C1230" s="279" t="s">
        <v>463</v>
      </c>
      <c r="D1230" s="434" t="s">
        <v>338</v>
      </c>
      <c r="E1230" s="280"/>
      <c r="F1230" s="435">
        <f t="shared" si="247"/>
        <v>0</v>
      </c>
      <c r="G1230" s="602">
        <v>39</v>
      </c>
      <c r="H1230" s="597">
        <f t="shared" si="245"/>
        <v>0</v>
      </c>
      <c r="I1230" s="596">
        <f t="shared" si="246"/>
        <v>0</v>
      </c>
      <c r="J1230" s="373"/>
    </row>
    <row r="1231" spans="1:10" ht="23.4" x14ac:dyDescent="0.3">
      <c r="A1231" s="1134"/>
      <c r="B1231" s="940"/>
      <c r="C1231" s="279" t="s">
        <v>463</v>
      </c>
      <c r="D1231" s="434" t="s">
        <v>92</v>
      </c>
      <c r="E1231" s="280"/>
      <c r="F1231" s="435">
        <f t="shared" si="247"/>
        <v>0</v>
      </c>
      <c r="G1231" s="602">
        <v>32.65</v>
      </c>
      <c r="H1231" s="597">
        <f t="shared" si="245"/>
        <v>0</v>
      </c>
      <c r="I1231" s="596">
        <f t="shared" si="246"/>
        <v>0</v>
      </c>
      <c r="J1231" s="373"/>
    </row>
    <row r="1232" spans="1:10" ht="23.4" x14ac:dyDescent="0.3">
      <c r="A1232" s="1134"/>
      <c r="B1232" s="940"/>
      <c r="C1232" s="279" t="s">
        <v>463</v>
      </c>
      <c r="D1232" s="434" t="s">
        <v>423</v>
      </c>
      <c r="E1232" s="280"/>
      <c r="F1232" s="435">
        <f t="shared" si="247"/>
        <v>0</v>
      </c>
      <c r="G1232" s="602">
        <v>33.299999999999997</v>
      </c>
      <c r="H1232" s="597">
        <f t="shared" si="245"/>
        <v>0</v>
      </c>
      <c r="I1232" s="596">
        <f t="shared" si="246"/>
        <v>0</v>
      </c>
      <c r="J1232" s="373"/>
    </row>
    <row r="1233" spans="1:10" ht="23.4" x14ac:dyDescent="0.3">
      <c r="A1233" s="1134"/>
      <c r="B1233" s="940"/>
      <c r="C1233" s="279" t="s">
        <v>299</v>
      </c>
      <c r="D1233" s="434" t="s">
        <v>279</v>
      </c>
      <c r="E1233" s="280"/>
      <c r="F1233" s="435">
        <f t="shared" si="247"/>
        <v>0</v>
      </c>
      <c r="G1233" s="602">
        <v>24.93</v>
      </c>
      <c r="H1233" s="597">
        <f t="shared" si="245"/>
        <v>0</v>
      </c>
      <c r="I1233" s="596">
        <f t="shared" si="246"/>
        <v>0</v>
      </c>
      <c r="J1233" s="373"/>
    </row>
    <row r="1234" spans="1:10" ht="23.4" x14ac:dyDescent="0.3">
      <c r="A1234" s="1134"/>
      <c r="B1234" s="940"/>
      <c r="C1234" s="279" t="s">
        <v>299</v>
      </c>
      <c r="D1234" s="434"/>
      <c r="E1234" s="280"/>
      <c r="F1234" s="435">
        <f t="shared" si="247"/>
        <v>0</v>
      </c>
      <c r="G1234" s="602">
        <v>24.93</v>
      </c>
      <c r="H1234" s="597">
        <f t="shared" si="245"/>
        <v>0</v>
      </c>
      <c r="I1234" s="596">
        <f t="shared" si="246"/>
        <v>0</v>
      </c>
      <c r="J1234" s="373"/>
    </row>
    <row r="1235" spans="1:10" ht="23.4" x14ac:dyDescent="0.3">
      <c r="A1235" s="1134"/>
      <c r="B1235" s="940"/>
      <c r="C1235" s="279" t="s">
        <v>316</v>
      </c>
      <c r="D1235" s="434" t="s">
        <v>289</v>
      </c>
      <c r="E1235" s="280"/>
      <c r="F1235" s="435">
        <f t="shared" si="247"/>
        <v>0</v>
      </c>
      <c r="G1235" s="602">
        <v>34.26</v>
      </c>
      <c r="H1235" s="597">
        <f t="shared" si="245"/>
        <v>0</v>
      </c>
      <c r="I1235" s="596">
        <f t="shared" si="246"/>
        <v>0</v>
      </c>
      <c r="J1235" s="373"/>
    </row>
    <row r="1236" spans="1:10" ht="23.4" x14ac:dyDescent="0.3">
      <c r="A1236" s="1134"/>
      <c r="B1236" s="940"/>
      <c r="C1236" s="279" t="s">
        <v>328</v>
      </c>
      <c r="D1236" s="434" t="s">
        <v>360</v>
      </c>
      <c r="E1236" s="280"/>
      <c r="F1236" s="435">
        <f t="shared" si="247"/>
        <v>0</v>
      </c>
      <c r="G1236" s="602">
        <v>37.89</v>
      </c>
      <c r="H1236" s="597">
        <f t="shared" si="245"/>
        <v>0</v>
      </c>
      <c r="I1236" s="596">
        <f t="shared" si="246"/>
        <v>0</v>
      </c>
      <c r="J1236" s="373"/>
    </row>
    <row r="1237" spans="1:10" ht="23.4" x14ac:dyDescent="0.3">
      <c r="A1237" s="1134"/>
      <c r="B1237" s="940"/>
      <c r="C1237" s="279" t="s">
        <v>363</v>
      </c>
      <c r="D1237" s="434" t="s">
        <v>338</v>
      </c>
      <c r="E1237" s="280"/>
      <c r="F1237" s="435">
        <f t="shared" si="247"/>
        <v>0</v>
      </c>
      <c r="G1237" s="602">
        <v>39</v>
      </c>
      <c r="H1237" s="597">
        <f t="shared" si="245"/>
        <v>0</v>
      </c>
      <c r="I1237" s="596">
        <f t="shared" si="246"/>
        <v>0</v>
      </c>
      <c r="J1237" s="373"/>
    </row>
    <row r="1238" spans="1:10" ht="23.4" x14ac:dyDescent="0.3">
      <c r="A1238" s="1134"/>
      <c r="B1238" s="940"/>
      <c r="C1238" s="279" t="s">
        <v>299</v>
      </c>
      <c r="D1238" s="434" t="s">
        <v>177</v>
      </c>
      <c r="E1238" s="280"/>
      <c r="F1238" s="435">
        <f t="shared" si="247"/>
        <v>0</v>
      </c>
      <c r="G1238" s="602">
        <v>21.22</v>
      </c>
      <c r="H1238" s="597">
        <f t="shared" si="245"/>
        <v>0</v>
      </c>
      <c r="I1238" s="596">
        <f t="shared" si="246"/>
        <v>0</v>
      </c>
      <c r="J1238" s="373"/>
    </row>
    <row r="1239" spans="1:10" ht="23.4" x14ac:dyDescent="0.3">
      <c r="A1239" s="1134"/>
      <c r="B1239" s="940"/>
      <c r="C1239" s="279" t="s">
        <v>298</v>
      </c>
      <c r="D1239" s="434" t="s">
        <v>177</v>
      </c>
      <c r="E1239" s="280"/>
      <c r="F1239" s="435">
        <f t="shared" si="247"/>
        <v>0</v>
      </c>
      <c r="G1239" s="602">
        <v>21.22</v>
      </c>
      <c r="H1239" s="597">
        <f t="shared" si="245"/>
        <v>0</v>
      </c>
      <c r="I1239" s="596">
        <f t="shared" si="246"/>
        <v>0</v>
      </c>
      <c r="J1239" s="373"/>
    </row>
    <row r="1240" spans="1:10" ht="23.4" x14ac:dyDescent="0.3">
      <c r="A1240" s="1134"/>
      <c r="B1240" s="940"/>
      <c r="C1240" s="279" t="s">
        <v>339</v>
      </c>
      <c r="D1240" s="434" t="s">
        <v>304</v>
      </c>
      <c r="E1240" s="280"/>
      <c r="F1240" s="435">
        <f t="shared" si="247"/>
        <v>0</v>
      </c>
      <c r="G1240" s="602">
        <v>10000</v>
      </c>
      <c r="H1240" s="597">
        <f t="shared" si="245"/>
        <v>0</v>
      </c>
      <c r="I1240" s="596">
        <f t="shared" si="246"/>
        <v>0</v>
      </c>
      <c r="J1240" s="373"/>
    </row>
    <row r="1241" spans="1:10" ht="24" thickBot="1" x14ac:dyDescent="0.35">
      <c r="A1241" s="1134"/>
      <c r="B1241" s="940"/>
      <c r="C1241" s="279" t="s">
        <v>303</v>
      </c>
      <c r="D1241" s="434" t="s">
        <v>304</v>
      </c>
      <c r="E1241" s="280"/>
      <c r="F1241" s="435">
        <f t="shared" si="247"/>
        <v>0</v>
      </c>
      <c r="G1241" s="602">
        <v>360</v>
      </c>
      <c r="H1241" s="597">
        <f t="shared" si="245"/>
        <v>0</v>
      </c>
      <c r="I1241" s="596">
        <f t="shared" si="246"/>
        <v>0</v>
      </c>
      <c r="J1241" s="373"/>
    </row>
    <row r="1242" spans="1:10" ht="24" thickBot="1" x14ac:dyDescent="0.35">
      <c r="A1242" s="1135"/>
      <c r="B1242" s="1129" t="s">
        <v>268</v>
      </c>
      <c r="C1242" s="1130"/>
      <c r="D1242" s="942"/>
      <c r="E1242" s="326">
        <f>SUM(E1213:E1241)</f>
        <v>0</v>
      </c>
      <c r="F1242" s="326">
        <f t="shared" si="247"/>
        <v>0</v>
      </c>
      <c r="G1242" s="326"/>
      <c r="H1242" s="587">
        <f>SUM(H1213:H1241)</f>
        <v>0</v>
      </c>
      <c r="I1242" s="580">
        <f>SUM(I1213:I1241)</f>
        <v>0</v>
      </c>
      <c r="J1242" s="373"/>
    </row>
    <row r="1243" spans="1:10" ht="23.4" x14ac:dyDescent="0.3">
      <c r="A1243" s="1133" t="s">
        <v>102</v>
      </c>
      <c r="B1243" s="940"/>
      <c r="C1243" s="279" t="s">
        <v>509</v>
      </c>
      <c r="D1243" s="434" t="s">
        <v>238</v>
      </c>
      <c r="E1243" s="280">
        <v>0</v>
      </c>
      <c r="F1243" s="435">
        <f t="shared" si="247"/>
        <v>6200</v>
      </c>
      <c r="G1243" s="803">
        <v>624.26</v>
      </c>
      <c r="H1243" s="593">
        <f>E1243*G1243</f>
        <v>0</v>
      </c>
      <c r="I1243" s="596">
        <f t="shared" ref="I1243:I1245" si="248">+G1243*F1243</f>
        <v>3870412</v>
      </c>
      <c r="J1243" s="373"/>
    </row>
    <row r="1244" spans="1:10" ht="23.4" x14ac:dyDescent="0.3">
      <c r="A1244" s="1134"/>
      <c r="B1244" s="940"/>
      <c r="C1244" s="279" t="s">
        <v>273</v>
      </c>
      <c r="D1244" s="434" t="s">
        <v>238</v>
      </c>
      <c r="E1244" s="280">
        <v>0</v>
      </c>
      <c r="F1244" s="435">
        <f t="shared" si="247"/>
        <v>2763</v>
      </c>
      <c r="G1244" s="602">
        <v>430.02</v>
      </c>
      <c r="H1244" s="593">
        <f t="shared" ref="H1244:H1265" si="249">E1244*G1244</f>
        <v>0</v>
      </c>
      <c r="I1244" s="596">
        <f t="shared" si="248"/>
        <v>1188145.26</v>
      </c>
      <c r="J1244" s="373"/>
    </row>
    <row r="1245" spans="1:10" ht="23.4" x14ac:dyDescent="0.3">
      <c r="A1245" s="1134"/>
      <c r="B1245" s="940"/>
      <c r="C1245" s="279" t="s">
        <v>390</v>
      </c>
      <c r="D1245" s="434" t="s">
        <v>238</v>
      </c>
      <c r="E1245" s="280"/>
      <c r="F1245" s="435">
        <f t="shared" si="247"/>
        <v>0</v>
      </c>
      <c r="G1245" s="602">
        <v>445.38</v>
      </c>
      <c r="H1245" s="593">
        <f t="shared" si="249"/>
        <v>0</v>
      </c>
      <c r="I1245" s="596">
        <f t="shared" si="248"/>
        <v>0</v>
      </c>
      <c r="J1245" s="373"/>
    </row>
    <row r="1246" spans="1:10" ht="23.4" x14ac:dyDescent="0.3">
      <c r="A1246" s="1134"/>
      <c r="B1246" s="940"/>
      <c r="C1246" s="279" t="s">
        <v>301</v>
      </c>
      <c r="D1246" s="434" t="s">
        <v>238</v>
      </c>
      <c r="E1246" s="280"/>
      <c r="F1246" s="435">
        <f t="shared" si="247"/>
        <v>8640</v>
      </c>
      <c r="G1246" s="602">
        <v>63.55</v>
      </c>
      <c r="H1246" s="593">
        <f t="shared" si="249"/>
        <v>0</v>
      </c>
      <c r="I1246" s="596">
        <f>+G1246*F1246</f>
        <v>549072</v>
      </c>
      <c r="J1246" s="373"/>
    </row>
    <row r="1247" spans="1:10" ht="23.4" x14ac:dyDescent="0.3">
      <c r="A1247" s="1134"/>
      <c r="B1247" s="940"/>
      <c r="C1247" s="279" t="s">
        <v>514</v>
      </c>
      <c r="D1247" s="434" t="s">
        <v>238</v>
      </c>
      <c r="E1247" s="280"/>
      <c r="F1247" s="435">
        <f t="shared" si="247"/>
        <v>48300</v>
      </c>
      <c r="G1247" s="602">
        <v>71.44</v>
      </c>
      <c r="H1247" s="593">
        <f t="shared" si="249"/>
        <v>0</v>
      </c>
      <c r="I1247" s="596">
        <f>+G1247*F1247</f>
        <v>3450552</v>
      </c>
      <c r="J1247" s="373"/>
    </row>
    <row r="1248" spans="1:10" ht="23.4" x14ac:dyDescent="0.3">
      <c r="A1248" s="1134"/>
      <c r="B1248" s="940"/>
      <c r="C1248" s="279" t="s">
        <v>275</v>
      </c>
      <c r="D1248" s="434" t="s">
        <v>238</v>
      </c>
      <c r="E1248" s="280">
        <v>0</v>
      </c>
      <c r="F1248" s="435">
        <f t="shared" si="247"/>
        <v>152112</v>
      </c>
      <c r="G1248" s="602">
        <v>71.44</v>
      </c>
      <c r="H1248" s="593">
        <f t="shared" si="249"/>
        <v>0</v>
      </c>
      <c r="I1248" s="596">
        <f t="shared" ref="I1248:I1265" si="250">+G1248*F1248</f>
        <v>10866881.279999999</v>
      </c>
      <c r="J1248" s="373"/>
    </row>
    <row r="1249" spans="1:10" ht="23.4" x14ac:dyDescent="0.3">
      <c r="A1249" s="1134"/>
      <c r="B1249" s="940"/>
      <c r="C1249" s="279" t="s">
        <v>276</v>
      </c>
      <c r="D1249" s="434" t="s">
        <v>238</v>
      </c>
      <c r="E1249" s="280"/>
      <c r="F1249" s="435">
        <f t="shared" si="247"/>
        <v>0</v>
      </c>
      <c r="G1249" s="602">
        <v>36.5</v>
      </c>
      <c r="H1249" s="593">
        <f t="shared" si="249"/>
        <v>0</v>
      </c>
      <c r="I1249" s="596">
        <f t="shared" si="250"/>
        <v>0</v>
      </c>
      <c r="J1249" s="373"/>
    </row>
    <row r="1250" spans="1:10" ht="23.4" x14ac:dyDescent="0.3">
      <c r="A1250" s="1134"/>
      <c r="B1250" s="940"/>
      <c r="C1250" s="279" t="s">
        <v>527</v>
      </c>
      <c r="D1250" s="434" t="s">
        <v>238</v>
      </c>
      <c r="E1250" s="280">
        <v>0</v>
      </c>
      <c r="F1250" s="435">
        <f t="shared" si="247"/>
        <v>4800</v>
      </c>
      <c r="G1250" s="602">
        <v>320.35000000000002</v>
      </c>
      <c r="H1250" s="593">
        <f t="shared" si="249"/>
        <v>0</v>
      </c>
      <c r="I1250" s="596">
        <f t="shared" si="250"/>
        <v>1537680</v>
      </c>
      <c r="J1250" s="373"/>
    </row>
    <row r="1251" spans="1:10" ht="23.4" x14ac:dyDescent="0.3">
      <c r="A1251" s="1134"/>
      <c r="B1251" s="940"/>
      <c r="C1251" s="279" t="s">
        <v>285</v>
      </c>
      <c r="D1251" s="434" t="s">
        <v>238</v>
      </c>
      <c r="E1251" s="280"/>
      <c r="F1251" s="435">
        <f t="shared" si="247"/>
        <v>0</v>
      </c>
      <c r="G1251" s="602">
        <v>320.35000000000002</v>
      </c>
      <c r="H1251" s="593">
        <f t="shared" si="249"/>
        <v>0</v>
      </c>
      <c r="I1251" s="596">
        <f t="shared" si="250"/>
        <v>0</v>
      </c>
      <c r="J1251" s="373"/>
    </row>
    <row r="1252" spans="1:10" ht="23.4" x14ac:dyDescent="0.3">
      <c r="A1252" s="1134"/>
      <c r="B1252" s="940"/>
      <c r="C1252" s="279" t="s">
        <v>296</v>
      </c>
      <c r="D1252" s="434" t="s">
        <v>238</v>
      </c>
      <c r="E1252" s="280"/>
      <c r="F1252" s="435">
        <f t="shared" si="247"/>
        <v>0</v>
      </c>
      <c r="G1252" s="602">
        <v>434.41</v>
      </c>
      <c r="H1252" s="593">
        <f t="shared" si="249"/>
        <v>0</v>
      </c>
      <c r="I1252" s="596">
        <f t="shared" si="250"/>
        <v>0</v>
      </c>
      <c r="J1252" s="373"/>
    </row>
    <row r="1253" spans="1:10" ht="23.4" x14ac:dyDescent="0.3">
      <c r="A1253" s="1134"/>
      <c r="B1253" s="940"/>
      <c r="C1253" s="279" t="s">
        <v>282</v>
      </c>
      <c r="D1253" s="434" t="s">
        <v>238</v>
      </c>
      <c r="E1253" s="280"/>
      <c r="F1253" s="435">
        <f t="shared" si="247"/>
        <v>0</v>
      </c>
      <c r="G1253" s="602">
        <v>29690</v>
      </c>
      <c r="H1253" s="593">
        <f t="shared" si="249"/>
        <v>0</v>
      </c>
      <c r="I1253" s="596">
        <f t="shared" si="250"/>
        <v>0</v>
      </c>
      <c r="J1253" s="373"/>
    </row>
    <row r="1254" spans="1:10" ht="23.4" x14ac:dyDescent="0.3">
      <c r="A1254" s="1134"/>
      <c r="B1254" s="940"/>
      <c r="C1254" s="279" t="s">
        <v>282</v>
      </c>
      <c r="D1254" s="434" t="s">
        <v>238</v>
      </c>
      <c r="E1254" s="280"/>
      <c r="F1254" s="435">
        <f t="shared" si="247"/>
        <v>2</v>
      </c>
      <c r="G1254" s="602">
        <v>26445</v>
      </c>
      <c r="H1254" s="593">
        <f t="shared" si="249"/>
        <v>0</v>
      </c>
      <c r="I1254" s="596">
        <f t="shared" si="250"/>
        <v>52890</v>
      </c>
      <c r="J1254" s="373"/>
    </row>
    <row r="1255" spans="1:10" ht="23.4" x14ac:dyDescent="0.3">
      <c r="A1255" s="1134"/>
      <c r="B1255" s="940"/>
      <c r="C1255" s="279" t="s">
        <v>282</v>
      </c>
      <c r="D1255" s="434"/>
      <c r="E1255" s="280"/>
      <c r="F1255" s="435">
        <f t="shared" si="247"/>
        <v>0</v>
      </c>
      <c r="G1255" s="602">
        <v>33947.884599999998</v>
      </c>
      <c r="H1255" s="593">
        <f t="shared" si="249"/>
        <v>0</v>
      </c>
      <c r="I1255" s="596">
        <f t="shared" si="250"/>
        <v>0</v>
      </c>
      <c r="J1255" s="373"/>
    </row>
    <row r="1256" spans="1:10" ht="23.4" x14ac:dyDescent="0.3">
      <c r="A1256" s="1134"/>
      <c r="B1256" s="940"/>
      <c r="C1256" s="279" t="s">
        <v>311</v>
      </c>
      <c r="D1256" s="434" t="s">
        <v>337</v>
      </c>
      <c r="E1256" s="280"/>
      <c r="F1256" s="435">
        <f t="shared" si="247"/>
        <v>0</v>
      </c>
      <c r="G1256" s="602">
        <v>50</v>
      </c>
      <c r="H1256" s="593">
        <f t="shared" si="249"/>
        <v>0</v>
      </c>
      <c r="I1256" s="596">
        <f t="shared" si="250"/>
        <v>0</v>
      </c>
      <c r="J1256" s="373"/>
    </row>
    <row r="1257" spans="1:10" ht="23.4" x14ac:dyDescent="0.3">
      <c r="A1257" s="1134"/>
      <c r="B1257" s="940"/>
      <c r="C1257" s="279" t="s">
        <v>311</v>
      </c>
      <c r="D1257" s="434"/>
      <c r="E1257" s="280"/>
      <c r="F1257" s="435">
        <f t="shared" si="247"/>
        <v>0</v>
      </c>
      <c r="G1257" s="602">
        <v>10</v>
      </c>
      <c r="H1257" s="593">
        <f t="shared" si="249"/>
        <v>0</v>
      </c>
      <c r="I1257" s="596">
        <f t="shared" si="250"/>
        <v>0</v>
      </c>
      <c r="J1257" s="373"/>
    </row>
    <row r="1258" spans="1:10" ht="23.4" x14ac:dyDescent="0.3">
      <c r="A1258" s="1134"/>
      <c r="B1258" s="940"/>
      <c r="C1258" s="279" t="s">
        <v>329</v>
      </c>
      <c r="D1258" s="434" t="s">
        <v>370</v>
      </c>
      <c r="E1258" s="280"/>
      <c r="F1258" s="435">
        <f t="shared" si="247"/>
        <v>0</v>
      </c>
      <c r="G1258" s="602">
        <v>57.64</v>
      </c>
      <c r="H1258" s="593">
        <f t="shared" si="249"/>
        <v>0</v>
      </c>
      <c r="I1258" s="596">
        <f t="shared" si="250"/>
        <v>0</v>
      </c>
      <c r="J1258" s="373"/>
    </row>
    <row r="1259" spans="1:10" ht="23.4" x14ac:dyDescent="0.3">
      <c r="A1259" s="1134"/>
      <c r="B1259" s="940"/>
      <c r="C1259" s="279" t="s">
        <v>329</v>
      </c>
      <c r="D1259" s="434" t="s">
        <v>364</v>
      </c>
      <c r="E1259" s="280"/>
      <c r="F1259" s="435">
        <f t="shared" si="247"/>
        <v>0</v>
      </c>
      <c r="G1259" s="602">
        <v>57.64</v>
      </c>
      <c r="H1259" s="593">
        <f t="shared" si="249"/>
        <v>0</v>
      </c>
      <c r="I1259" s="596">
        <f t="shared" si="250"/>
        <v>0</v>
      </c>
      <c r="J1259" s="373"/>
    </row>
    <row r="1260" spans="1:10" ht="23.4" x14ac:dyDescent="0.3">
      <c r="A1260" s="1134"/>
      <c r="B1260" s="940"/>
      <c r="C1260" s="279" t="s">
        <v>330</v>
      </c>
      <c r="D1260" s="434" t="s">
        <v>331</v>
      </c>
      <c r="E1260" s="280"/>
      <c r="F1260" s="435">
        <f t="shared" si="247"/>
        <v>0</v>
      </c>
      <c r="G1260" s="602">
        <v>434.41</v>
      </c>
      <c r="H1260" s="593">
        <f t="shared" si="249"/>
        <v>0</v>
      </c>
      <c r="I1260" s="596">
        <f t="shared" si="250"/>
        <v>0</v>
      </c>
      <c r="J1260" s="373"/>
    </row>
    <row r="1261" spans="1:10" ht="23.4" x14ac:dyDescent="0.3">
      <c r="A1261" s="1134"/>
      <c r="B1261" s="940"/>
      <c r="C1261" s="279" t="s">
        <v>343</v>
      </c>
      <c r="D1261" s="434" t="s">
        <v>238</v>
      </c>
      <c r="E1261" s="280"/>
      <c r="F1261" s="435">
        <f t="shared" si="247"/>
        <v>0</v>
      </c>
      <c r="G1261" s="602">
        <v>624.26</v>
      </c>
      <c r="H1261" s="593">
        <f t="shared" si="249"/>
        <v>0</v>
      </c>
      <c r="I1261" s="596">
        <f t="shared" si="250"/>
        <v>0</v>
      </c>
      <c r="J1261" s="373"/>
    </row>
    <row r="1262" spans="1:10" ht="23.4" x14ac:dyDescent="0.3">
      <c r="A1262" s="1134"/>
      <c r="B1262" s="940"/>
      <c r="C1262" s="279" t="s">
        <v>332</v>
      </c>
      <c r="D1262" s="434" t="s">
        <v>331</v>
      </c>
      <c r="E1262" s="280"/>
      <c r="F1262" s="435">
        <f t="shared" si="247"/>
        <v>0</v>
      </c>
      <c r="G1262" s="602">
        <v>63.55</v>
      </c>
      <c r="H1262" s="593">
        <f t="shared" si="249"/>
        <v>0</v>
      </c>
      <c r="I1262" s="596">
        <f t="shared" si="250"/>
        <v>0</v>
      </c>
      <c r="J1262" s="373"/>
    </row>
    <row r="1263" spans="1:10" ht="23.4" x14ac:dyDescent="0.3">
      <c r="A1263" s="1134"/>
      <c r="B1263" s="940"/>
      <c r="C1263" s="279" t="s">
        <v>559</v>
      </c>
      <c r="D1263" s="434" t="s">
        <v>238</v>
      </c>
      <c r="E1263" s="280">
        <v>0</v>
      </c>
      <c r="F1263" s="435">
        <f t="shared" si="247"/>
        <v>30000</v>
      </c>
      <c r="G1263" s="602">
        <v>59.96</v>
      </c>
      <c r="H1263" s="593">
        <f t="shared" si="249"/>
        <v>0</v>
      </c>
      <c r="I1263" s="596">
        <f t="shared" si="250"/>
        <v>1798800</v>
      </c>
      <c r="J1263" s="373"/>
    </row>
    <row r="1264" spans="1:10" ht="23.4" x14ac:dyDescent="0.3">
      <c r="A1264" s="1134"/>
      <c r="B1264" s="940"/>
      <c r="C1264" s="279" t="s">
        <v>419</v>
      </c>
      <c r="D1264" s="434" t="s">
        <v>331</v>
      </c>
      <c r="E1264" s="280"/>
      <c r="F1264" s="435">
        <f t="shared" si="247"/>
        <v>0</v>
      </c>
      <c r="G1264" s="602">
        <v>53.86</v>
      </c>
      <c r="H1264" s="593">
        <f t="shared" si="249"/>
        <v>0</v>
      </c>
      <c r="I1264" s="596">
        <f t="shared" si="250"/>
        <v>0</v>
      </c>
      <c r="J1264" s="373"/>
    </row>
    <row r="1265" spans="1:10" ht="23.4" x14ac:dyDescent="0.3">
      <c r="A1265" s="1134"/>
      <c r="B1265" s="940"/>
      <c r="C1265" s="279" t="s">
        <v>379</v>
      </c>
      <c r="D1265" s="434"/>
      <c r="E1265" s="280"/>
      <c r="F1265" s="435">
        <f t="shared" si="247"/>
        <v>0</v>
      </c>
      <c r="G1265" s="602">
        <v>360</v>
      </c>
      <c r="H1265" s="593">
        <f t="shared" si="249"/>
        <v>0</v>
      </c>
      <c r="I1265" s="596">
        <f t="shared" si="250"/>
        <v>0</v>
      </c>
      <c r="J1265" s="373"/>
    </row>
    <row r="1266" spans="1:10" ht="23.4" x14ac:dyDescent="0.3">
      <c r="A1266" s="1134"/>
      <c r="B1266" s="940"/>
      <c r="C1266" s="279" t="s">
        <v>471</v>
      </c>
      <c r="D1266" s="434"/>
      <c r="E1266" s="280"/>
      <c r="F1266" s="435">
        <f t="shared" si="247"/>
        <v>0</v>
      </c>
      <c r="G1266" s="602"/>
      <c r="H1266" s="593">
        <f>+E1266</f>
        <v>0</v>
      </c>
      <c r="I1266" s="596">
        <f>+H1266</f>
        <v>0</v>
      </c>
      <c r="J1266" s="373"/>
    </row>
    <row r="1267" spans="1:10" ht="23.4" x14ac:dyDescent="0.3">
      <c r="A1267" s="1134"/>
      <c r="B1267" s="940"/>
      <c r="C1267" s="279" t="s">
        <v>282</v>
      </c>
      <c r="D1267" s="434"/>
      <c r="E1267" s="280"/>
      <c r="F1267" s="435">
        <f t="shared" si="247"/>
        <v>0</v>
      </c>
      <c r="G1267" s="602">
        <v>39450</v>
      </c>
      <c r="H1267" s="593">
        <f t="shared" ref="H1267:H1268" si="251">E1267*G1267</f>
        <v>0</v>
      </c>
      <c r="I1267" s="596">
        <f t="shared" ref="I1267:I1268" si="252">+G1267*F1267</f>
        <v>0</v>
      </c>
      <c r="J1267" s="373"/>
    </row>
    <row r="1268" spans="1:10" ht="24" thickBot="1" x14ac:dyDescent="0.35">
      <c r="A1268" s="1134"/>
      <c r="B1268" s="940"/>
      <c r="C1268" s="279" t="s">
        <v>329</v>
      </c>
      <c r="D1268" s="434" t="s">
        <v>443</v>
      </c>
      <c r="E1268" s="280"/>
      <c r="F1268" s="435">
        <f t="shared" si="247"/>
        <v>0</v>
      </c>
      <c r="G1268" s="602">
        <v>57.64</v>
      </c>
      <c r="H1268" s="593">
        <f t="shared" si="251"/>
        <v>0</v>
      </c>
      <c r="I1268" s="596">
        <f t="shared" si="252"/>
        <v>0</v>
      </c>
      <c r="J1268" s="373"/>
    </row>
    <row r="1269" spans="1:10" ht="24" thickBot="1" x14ac:dyDescent="0.35">
      <c r="A1269" s="1135"/>
      <c r="B1269" s="1129" t="s">
        <v>270</v>
      </c>
      <c r="C1269" s="1130"/>
      <c r="D1269" s="942"/>
      <c r="E1269" s="326">
        <f>SUM(E1243:E1268)</f>
        <v>0</v>
      </c>
      <c r="F1269" s="326">
        <f>SUM(F1243:F1268)</f>
        <v>252817</v>
      </c>
      <c r="G1269" s="326"/>
      <c r="H1269" s="590">
        <f>SUM(H1243:H1268)</f>
        <v>0</v>
      </c>
      <c r="I1269" s="580">
        <f>SUM(I1243:I1268)</f>
        <v>23314432.539999999</v>
      </c>
      <c r="J1269" s="372"/>
    </row>
    <row r="1270" spans="1:10" ht="24" thickBot="1" x14ac:dyDescent="0.35">
      <c r="A1270" s="945"/>
      <c r="B1270" s="437"/>
      <c r="C1270" s="279" t="s">
        <v>379</v>
      </c>
      <c r="D1270" s="434"/>
      <c r="E1270" s="280"/>
      <c r="F1270" s="281">
        <f>+E1270</f>
        <v>0</v>
      </c>
      <c r="G1270" s="334"/>
      <c r="H1270" s="589">
        <f t="shared" ref="H1270" si="253">E1270*G1270</f>
        <v>0</v>
      </c>
      <c r="I1270" s="282">
        <f t="shared" ref="I1270" si="254">+G1270*F1270</f>
        <v>0</v>
      </c>
      <c r="J1270" s="373"/>
    </row>
    <row r="1271" spans="1:10" ht="24" thickBot="1" x14ac:dyDescent="0.35">
      <c r="A1271" s="945"/>
      <c r="B1271" s="1129" t="s">
        <v>224</v>
      </c>
      <c r="C1271" s="1130"/>
      <c r="D1271" s="938"/>
      <c r="E1271" s="326"/>
      <c r="F1271" s="327"/>
      <c r="G1271" s="326"/>
      <c r="H1271" s="587"/>
      <c r="I1271" s="324">
        <f>SUM(I1270)</f>
        <v>0</v>
      </c>
      <c r="J1271" s="349"/>
    </row>
    <row r="1272" spans="1:10" ht="24.6" thickBot="1" x14ac:dyDescent="0.35">
      <c r="A1272" s="319"/>
      <c r="B1272" s="1131" t="s">
        <v>174</v>
      </c>
      <c r="C1272" s="1132"/>
      <c r="D1272" s="939"/>
      <c r="E1272" s="374">
        <f>+E1269+E1242+E1212+E1210</f>
        <v>0</v>
      </c>
      <c r="F1272" s="374">
        <f>+F1269+F1242+F1212+F1210</f>
        <v>965861</v>
      </c>
      <c r="G1272" s="374"/>
      <c r="H1272" s="374"/>
      <c r="I1272" s="374">
        <f>+I1269+I1242+I1212+I1271</f>
        <v>37640221.659999996</v>
      </c>
      <c r="J1272" s="375"/>
    </row>
    <row r="1273" spans="1:10" ht="23.4" x14ac:dyDescent="0.3">
      <c r="A1273" s="1057" t="s">
        <v>1</v>
      </c>
      <c r="B1273" s="1060" t="s">
        <v>2</v>
      </c>
      <c r="C1273" s="1138" t="s">
        <v>396</v>
      </c>
      <c r="D1273" s="1115" t="s">
        <v>397</v>
      </c>
      <c r="E1273" s="1142" t="s">
        <v>565</v>
      </c>
      <c r="F1273" s="1067"/>
      <c r="G1273" s="1067"/>
      <c r="H1273" s="1067"/>
      <c r="I1273" s="1067"/>
      <c r="J1273" s="1068"/>
    </row>
    <row r="1274" spans="1:10" ht="23.4" x14ac:dyDescent="0.3">
      <c r="A1274" s="1136"/>
      <c r="B1274" s="1137"/>
      <c r="C1274" s="1139"/>
      <c r="D1274" s="1116"/>
      <c r="E1274" s="1143" t="s">
        <v>412</v>
      </c>
      <c r="F1274" s="1144"/>
      <c r="G1274" s="1143" t="s">
        <v>411</v>
      </c>
      <c r="H1274" s="1145"/>
      <c r="I1274" s="1145"/>
      <c r="J1274" s="1144"/>
    </row>
    <row r="1275" spans="1:10" x14ac:dyDescent="0.3">
      <c r="A1275" s="1058"/>
      <c r="B1275" s="1061"/>
      <c r="C1275" s="1140"/>
      <c r="D1275" s="1116"/>
      <c r="E1275" s="1069" t="s">
        <v>413</v>
      </c>
      <c r="F1275" s="1071" t="s">
        <v>414</v>
      </c>
      <c r="G1275" s="1147" t="s">
        <v>90</v>
      </c>
      <c r="H1275" s="1149" t="s">
        <v>91</v>
      </c>
      <c r="I1275" s="1149" t="s">
        <v>91</v>
      </c>
      <c r="J1275" s="1151" t="s">
        <v>12</v>
      </c>
    </row>
    <row r="1276" spans="1:10" ht="14.4" thickBot="1" x14ac:dyDescent="0.35">
      <c r="A1276" s="1059"/>
      <c r="B1276" s="1062"/>
      <c r="C1276" s="1141"/>
      <c r="D1276" s="1117"/>
      <c r="E1276" s="1070"/>
      <c r="F1276" s="1146"/>
      <c r="G1276" s="1148"/>
      <c r="H1276" s="1150"/>
      <c r="I1276" s="1150"/>
      <c r="J1276" s="1152"/>
    </row>
    <row r="1277" spans="1:10" ht="23.4" x14ac:dyDescent="0.3">
      <c r="A1277" s="1133" t="s">
        <v>103</v>
      </c>
      <c r="B1277" s="439"/>
      <c r="C1277" s="577" t="s">
        <v>538</v>
      </c>
      <c r="D1277" s="665" t="s">
        <v>539</v>
      </c>
      <c r="E1277" s="699">
        <v>1024</v>
      </c>
      <c r="F1277" s="674">
        <f>+E1277+F1183</f>
        <v>2048</v>
      </c>
      <c r="G1277" s="732">
        <v>109.77</v>
      </c>
      <c r="H1277" s="591">
        <f t="shared" ref="H1277:H1291" si="255">E1277*G1277</f>
        <v>112404.48</v>
      </c>
      <c r="I1277" s="594">
        <f>+G1277*F1277</f>
        <v>224808.95999999999</v>
      </c>
      <c r="J1277" s="351"/>
    </row>
    <row r="1278" spans="1:10" ht="23.4" x14ac:dyDescent="0.3">
      <c r="A1278" s="1134"/>
      <c r="B1278" s="438"/>
      <c r="C1278" s="441" t="s">
        <v>264</v>
      </c>
      <c r="D1278" s="666" t="s">
        <v>265</v>
      </c>
      <c r="E1278" s="700"/>
      <c r="F1278" s="701">
        <f t="shared" ref="F1278:F1291" si="256">+E1278+F1184</f>
        <v>0</v>
      </c>
      <c r="G1278" s="697">
        <v>11</v>
      </c>
      <c r="H1278" s="592">
        <f t="shared" si="255"/>
        <v>0</v>
      </c>
      <c r="I1278" s="595">
        <f>+G1278*F1278</f>
        <v>0</v>
      </c>
      <c r="J1278" s="352"/>
    </row>
    <row r="1279" spans="1:10" ht="23.4" x14ac:dyDescent="0.3">
      <c r="A1279" s="1134"/>
      <c r="B1279" s="438"/>
      <c r="C1279" s="441" t="s">
        <v>295</v>
      </c>
      <c r="D1279" s="666" t="s">
        <v>453</v>
      </c>
      <c r="E1279" s="700"/>
      <c r="F1279" s="701">
        <f t="shared" si="256"/>
        <v>640</v>
      </c>
      <c r="G1279" s="697">
        <v>139.04</v>
      </c>
      <c r="H1279" s="592">
        <f t="shared" si="255"/>
        <v>0</v>
      </c>
      <c r="I1279" s="595">
        <f t="shared" ref="I1279:I1291" si="257">+G1279*F1279</f>
        <v>88985.599999999991</v>
      </c>
      <c r="J1279" s="352"/>
    </row>
    <row r="1280" spans="1:10" ht="23.4" x14ac:dyDescent="0.3">
      <c r="A1280" s="1134"/>
      <c r="B1280" s="438"/>
      <c r="C1280" s="441" t="s">
        <v>531</v>
      </c>
      <c r="D1280" s="666" t="s">
        <v>529</v>
      </c>
      <c r="E1280" s="700"/>
      <c r="F1280" s="701">
        <f t="shared" si="256"/>
        <v>12240</v>
      </c>
      <c r="G1280" s="715">
        <v>20.66</v>
      </c>
      <c r="H1280" s="592">
        <f t="shared" si="255"/>
        <v>0</v>
      </c>
      <c r="I1280" s="595">
        <f t="shared" si="257"/>
        <v>252878.4</v>
      </c>
      <c r="J1280" s="352"/>
    </row>
    <row r="1281" spans="1:10" ht="23.4" x14ac:dyDescent="0.3">
      <c r="A1281" s="1134"/>
      <c r="B1281" s="438"/>
      <c r="C1281" s="441" t="s">
        <v>288</v>
      </c>
      <c r="D1281" s="666" t="s">
        <v>177</v>
      </c>
      <c r="E1281" s="700"/>
      <c r="F1281" s="701">
        <f t="shared" si="256"/>
        <v>0</v>
      </c>
      <c r="G1281" s="697">
        <v>14.79</v>
      </c>
      <c r="H1281" s="592">
        <f t="shared" si="255"/>
        <v>0</v>
      </c>
      <c r="I1281" s="595">
        <f t="shared" si="257"/>
        <v>0</v>
      </c>
      <c r="J1281" s="352"/>
    </row>
    <row r="1282" spans="1:10" ht="23.4" x14ac:dyDescent="0.3">
      <c r="A1282" s="1134"/>
      <c r="B1282" s="438"/>
      <c r="C1282" s="441" t="s">
        <v>295</v>
      </c>
      <c r="D1282" s="666" t="s">
        <v>265</v>
      </c>
      <c r="E1282" s="700">
        <v>0</v>
      </c>
      <c r="F1282" s="701">
        <f t="shared" si="256"/>
        <v>5120</v>
      </c>
      <c r="G1282" s="697">
        <v>139.04</v>
      </c>
      <c r="H1282" s="592">
        <f t="shared" si="255"/>
        <v>0</v>
      </c>
      <c r="I1282" s="595">
        <f t="shared" si="257"/>
        <v>711884.79999999993</v>
      </c>
      <c r="J1282" s="352"/>
    </row>
    <row r="1283" spans="1:10" ht="23.4" x14ac:dyDescent="0.3">
      <c r="A1283" s="1134"/>
      <c r="B1283" s="438"/>
      <c r="C1283" s="441" t="s">
        <v>537</v>
      </c>
      <c r="D1283" s="666" t="s">
        <v>265</v>
      </c>
      <c r="E1283" s="700">
        <v>0</v>
      </c>
      <c r="F1283" s="701">
        <f t="shared" si="256"/>
        <v>4160</v>
      </c>
      <c r="G1283" s="697">
        <v>135.96</v>
      </c>
      <c r="H1283" s="592">
        <f t="shared" si="255"/>
        <v>0</v>
      </c>
      <c r="I1283" s="595">
        <f t="shared" si="257"/>
        <v>565593.59999999998</v>
      </c>
      <c r="J1283" s="352"/>
    </row>
    <row r="1284" spans="1:10" ht="23.4" x14ac:dyDescent="0.3">
      <c r="A1284" s="1134"/>
      <c r="B1284" s="438"/>
      <c r="C1284" s="441" t="s">
        <v>313</v>
      </c>
      <c r="D1284" s="667" t="s">
        <v>265</v>
      </c>
      <c r="E1284" s="700">
        <v>0</v>
      </c>
      <c r="F1284" s="701">
        <f t="shared" si="256"/>
        <v>58892</v>
      </c>
      <c r="G1284" s="697">
        <v>18.84</v>
      </c>
      <c r="H1284" s="592">
        <f t="shared" si="255"/>
        <v>0</v>
      </c>
      <c r="I1284" s="595">
        <f t="shared" si="257"/>
        <v>1109525.28</v>
      </c>
      <c r="J1284" s="352"/>
    </row>
    <row r="1285" spans="1:10" ht="23.4" x14ac:dyDescent="0.3">
      <c r="A1285" s="1134"/>
      <c r="B1285" s="438"/>
      <c r="C1285" s="441" t="s">
        <v>322</v>
      </c>
      <c r="D1285" s="667" t="s">
        <v>232</v>
      </c>
      <c r="E1285" s="700"/>
      <c r="F1285" s="701">
        <f t="shared" si="256"/>
        <v>0</v>
      </c>
      <c r="G1285" s="697">
        <v>21.18</v>
      </c>
      <c r="H1285" s="592">
        <f t="shared" si="255"/>
        <v>0</v>
      </c>
      <c r="I1285" s="595">
        <f t="shared" si="257"/>
        <v>0</v>
      </c>
      <c r="J1285" s="352"/>
    </row>
    <row r="1286" spans="1:10" ht="23.4" x14ac:dyDescent="0.3">
      <c r="A1286" s="1134"/>
      <c r="B1286" s="438"/>
      <c r="C1286" s="441" t="s">
        <v>324</v>
      </c>
      <c r="D1286" s="667" t="s">
        <v>325</v>
      </c>
      <c r="E1286" s="700"/>
      <c r="F1286" s="701">
        <f t="shared" si="256"/>
        <v>0</v>
      </c>
      <c r="G1286" s="697">
        <v>21.28</v>
      </c>
      <c r="H1286" s="592">
        <f t="shared" si="255"/>
        <v>0</v>
      </c>
      <c r="I1286" s="595">
        <f t="shared" si="257"/>
        <v>0</v>
      </c>
      <c r="J1286" s="352"/>
    </row>
    <row r="1287" spans="1:10" ht="23.4" x14ac:dyDescent="0.3">
      <c r="A1287" s="1134"/>
      <c r="B1287" s="438"/>
      <c r="C1287" s="441" t="s">
        <v>378</v>
      </c>
      <c r="D1287" s="667" t="s">
        <v>374</v>
      </c>
      <c r="E1287" s="700">
        <v>0</v>
      </c>
      <c r="F1287" s="701">
        <f t="shared" si="256"/>
        <v>9920</v>
      </c>
      <c r="G1287" s="697">
        <v>143.28</v>
      </c>
      <c r="H1287" s="592">
        <f t="shared" si="255"/>
        <v>0</v>
      </c>
      <c r="I1287" s="595">
        <f t="shared" si="257"/>
        <v>1421337.6000000001</v>
      </c>
      <c r="J1287" s="352"/>
    </row>
    <row r="1288" spans="1:10" ht="23.4" x14ac:dyDescent="0.3">
      <c r="A1288" s="1134"/>
      <c r="B1288" s="438"/>
      <c r="C1288" s="441" t="s">
        <v>472</v>
      </c>
      <c r="D1288" s="666" t="s">
        <v>177</v>
      </c>
      <c r="E1288" s="700">
        <v>261888</v>
      </c>
      <c r="F1288" s="701">
        <f t="shared" si="256"/>
        <v>261888</v>
      </c>
      <c r="G1288" s="697">
        <v>14.79</v>
      </c>
      <c r="H1288" s="592">
        <f t="shared" si="255"/>
        <v>3873323.5199999996</v>
      </c>
      <c r="I1288" s="595">
        <f t="shared" si="257"/>
        <v>3873323.5199999996</v>
      </c>
      <c r="J1288" s="352"/>
    </row>
    <row r="1289" spans="1:10" ht="23.4" x14ac:dyDescent="0.3">
      <c r="A1289" s="1134"/>
      <c r="B1289" s="438"/>
      <c r="C1289" s="441" t="s">
        <v>451</v>
      </c>
      <c r="D1289" s="666" t="s">
        <v>177</v>
      </c>
      <c r="E1289" s="700">
        <v>0</v>
      </c>
      <c r="F1289" s="701">
        <f t="shared" si="256"/>
        <v>498432</v>
      </c>
      <c r="G1289" s="697">
        <v>14.55</v>
      </c>
      <c r="H1289" s="592">
        <f t="shared" si="255"/>
        <v>0</v>
      </c>
      <c r="I1289" s="595">
        <f t="shared" si="257"/>
        <v>7252185.6000000006</v>
      </c>
      <c r="J1289" s="352"/>
    </row>
    <row r="1290" spans="1:10" ht="23.4" x14ac:dyDescent="0.3">
      <c r="A1290" s="1134"/>
      <c r="B1290" s="438"/>
      <c r="C1290" s="441" t="s">
        <v>327</v>
      </c>
      <c r="D1290" s="667" t="s">
        <v>188</v>
      </c>
      <c r="E1290" s="700"/>
      <c r="F1290" s="701">
        <f t="shared" si="256"/>
        <v>0</v>
      </c>
      <c r="G1290" s="697">
        <v>21.28</v>
      </c>
      <c r="H1290" s="592">
        <f t="shared" si="255"/>
        <v>0</v>
      </c>
      <c r="I1290" s="595">
        <f t="shared" si="257"/>
        <v>0</v>
      </c>
      <c r="J1290" s="352"/>
    </row>
    <row r="1291" spans="1:10" ht="24" thickBot="1" x14ac:dyDescent="0.35">
      <c r="A1291" s="1134"/>
      <c r="B1291" s="438"/>
      <c r="C1291" s="441" t="s">
        <v>336</v>
      </c>
      <c r="D1291" s="668" t="s">
        <v>178</v>
      </c>
      <c r="E1291" s="700"/>
      <c r="F1291" s="676">
        <f t="shared" si="256"/>
        <v>0</v>
      </c>
      <c r="G1291" s="697">
        <v>36.44</v>
      </c>
      <c r="H1291" s="592">
        <f t="shared" si="255"/>
        <v>0</v>
      </c>
      <c r="I1291" s="595">
        <f t="shared" si="257"/>
        <v>0</v>
      </c>
      <c r="J1291" s="352"/>
    </row>
    <row r="1292" spans="1:10" ht="24" thickBot="1" x14ac:dyDescent="0.35">
      <c r="A1292" s="1134"/>
      <c r="B1292" s="1129" t="s">
        <v>266</v>
      </c>
      <c r="C1292" s="1130"/>
      <c r="D1292" s="950"/>
      <c r="E1292" s="326">
        <f>SUM(E1277:E1291)</f>
        <v>262912</v>
      </c>
      <c r="F1292" s="698">
        <f>SUM(F1277:F1291)</f>
        <v>853340</v>
      </c>
      <c r="G1292" s="326"/>
      <c r="H1292" s="587">
        <f>SUM(H1277:H1291)</f>
        <v>3985727.9999999995</v>
      </c>
      <c r="I1292" s="580">
        <f>SUM(I1277:I1291)</f>
        <v>15500523.359999999</v>
      </c>
      <c r="J1292" s="349"/>
    </row>
    <row r="1293" spans="1:10" ht="23.4" x14ac:dyDescent="0.3">
      <c r="A1293" s="1134"/>
      <c r="B1293" s="948"/>
      <c r="C1293" s="279" t="s">
        <v>271</v>
      </c>
      <c r="D1293" s="434" t="s">
        <v>238</v>
      </c>
      <c r="E1293" s="280">
        <f>7000+4736</f>
        <v>11736</v>
      </c>
      <c r="F1293" s="435">
        <f>+E1293+F1199</f>
        <v>11736</v>
      </c>
      <c r="G1293" s="578">
        <v>160.44999999999999</v>
      </c>
      <c r="H1293" s="593">
        <f t="shared" ref="H1293:H1298" si="258">E1293*G1293</f>
        <v>1883041.2</v>
      </c>
      <c r="I1293" s="596">
        <f t="shared" ref="I1293:I1298" si="259">+G1293*F1293</f>
        <v>1883041.2</v>
      </c>
      <c r="J1293" s="373"/>
    </row>
    <row r="1294" spans="1:10" ht="23.4" x14ac:dyDescent="0.3">
      <c r="A1294" s="1134"/>
      <c r="B1294" s="948"/>
      <c r="C1294" s="279" t="s">
        <v>287</v>
      </c>
      <c r="D1294" s="434" t="s">
        <v>93</v>
      </c>
      <c r="E1294" s="280">
        <v>0</v>
      </c>
      <c r="F1294" s="435">
        <f t="shared" ref="F1294:F1298" si="260">+E1294+F1200</f>
        <v>91380</v>
      </c>
      <c r="G1294" s="578">
        <v>27</v>
      </c>
      <c r="H1294" s="593">
        <f t="shared" si="258"/>
        <v>0</v>
      </c>
      <c r="I1294" s="596">
        <f t="shared" si="259"/>
        <v>2467260</v>
      </c>
      <c r="J1294" s="373"/>
    </row>
    <row r="1295" spans="1:10" ht="23.4" x14ac:dyDescent="0.3">
      <c r="A1295" s="1134"/>
      <c r="B1295" s="948"/>
      <c r="C1295" s="279" t="s">
        <v>287</v>
      </c>
      <c r="D1295" s="434" t="s">
        <v>292</v>
      </c>
      <c r="E1295" s="280"/>
      <c r="F1295" s="435">
        <f t="shared" si="260"/>
        <v>0</v>
      </c>
      <c r="G1295" s="578">
        <v>27.5</v>
      </c>
      <c r="H1295" s="593">
        <f t="shared" si="258"/>
        <v>0</v>
      </c>
      <c r="I1295" s="596">
        <f t="shared" si="259"/>
        <v>0</v>
      </c>
      <c r="J1295" s="373"/>
    </row>
    <row r="1296" spans="1:10" ht="23.4" x14ac:dyDescent="0.3">
      <c r="A1296" s="1134"/>
      <c r="B1296" s="948"/>
      <c r="C1296" s="279" t="s">
        <v>276</v>
      </c>
      <c r="D1296" s="434" t="s">
        <v>292</v>
      </c>
      <c r="E1296" s="280"/>
      <c r="F1296" s="435">
        <f t="shared" si="260"/>
        <v>0</v>
      </c>
      <c r="G1296" s="578">
        <v>34.5</v>
      </c>
      <c r="H1296" s="593">
        <f t="shared" si="258"/>
        <v>0</v>
      </c>
      <c r="I1296" s="596">
        <f t="shared" si="259"/>
        <v>0</v>
      </c>
      <c r="J1296" s="373"/>
    </row>
    <row r="1297" spans="1:10" ht="23.4" x14ac:dyDescent="0.3">
      <c r="A1297" s="1134"/>
      <c r="B1297" s="948"/>
      <c r="C1297" s="279" t="s">
        <v>473</v>
      </c>
      <c r="D1297" s="434" t="s">
        <v>440</v>
      </c>
      <c r="E1297" s="280"/>
      <c r="F1297" s="435">
        <f t="shared" si="260"/>
        <v>31200</v>
      </c>
      <c r="G1297" s="578">
        <v>10.57</v>
      </c>
      <c r="H1297" s="593">
        <f t="shared" si="258"/>
        <v>0</v>
      </c>
      <c r="I1297" s="596">
        <f t="shared" si="259"/>
        <v>329784</v>
      </c>
      <c r="J1297" s="373"/>
    </row>
    <row r="1298" spans="1:10" ht="24" thickBot="1" x14ac:dyDescent="0.35">
      <c r="A1298" s="1134"/>
      <c r="B1298" s="948"/>
      <c r="C1298" s="279" t="s">
        <v>276</v>
      </c>
      <c r="D1298" s="434" t="s">
        <v>440</v>
      </c>
      <c r="E1298" s="280"/>
      <c r="F1298" s="435">
        <f t="shared" si="260"/>
        <v>26</v>
      </c>
      <c r="G1298" s="578">
        <v>55.76</v>
      </c>
      <c r="H1298" s="593">
        <f t="shared" si="258"/>
        <v>0</v>
      </c>
      <c r="I1298" s="596">
        <f t="shared" si="259"/>
        <v>1449.76</v>
      </c>
      <c r="J1298" s="373"/>
    </row>
    <row r="1299" spans="1:10" ht="24" thickBot="1" x14ac:dyDescent="0.35">
      <c r="A1299" s="1134"/>
      <c r="B1299" s="1129" t="s">
        <v>267</v>
      </c>
      <c r="C1299" s="1130"/>
      <c r="D1299" s="950"/>
      <c r="E1299" s="326">
        <f>SUM(E1293:E1298)</f>
        <v>11736</v>
      </c>
      <c r="F1299" s="326">
        <f>SUM(F1293:F1298)</f>
        <v>134342</v>
      </c>
      <c r="G1299" s="326"/>
      <c r="H1299" s="587">
        <f>SUM(H1293:H1298)</f>
        <v>1883041.2</v>
      </c>
      <c r="I1299" s="580">
        <f>SUM(I1293:I1298)</f>
        <v>4681534.96</v>
      </c>
      <c r="J1299" s="349"/>
    </row>
    <row r="1300" spans="1:10" ht="23.4" x14ac:dyDescent="0.3">
      <c r="A1300" s="1134"/>
      <c r="B1300" s="948"/>
      <c r="C1300" s="279" t="s">
        <v>277</v>
      </c>
      <c r="D1300" s="434" t="s">
        <v>278</v>
      </c>
      <c r="E1300" s="280"/>
      <c r="F1300" s="435">
        <f>+E1300+F1206</f>
        <v>5</v>
      </c>
      <c r="G1300" s="578">
        <v>2500</v>
      </c>
      <c r="H1300" s="593">
        <f t="shared" ref="H1300:H1303" si="261">E1300*G1300</f>
        <v>0</v>
      </c>
      <c r="I1300" s="596">
        <f>+G1300*F1300</f>
        <v>12500</v>
      </c>
      <c r="J1300" s="373"/>
    </row>
    <row r="1301" spans="1:10" ht="23.4" x14ac:dyDescent="0.3">
      <c r="A1301" s="1134"/>
      <c r="B1301" s="948"/>
      <c r="C1301" s="279" t="s">
        <v>454</v>
      </c>
      <c r="D1301" s="434"/>
      <c r="E1301" s="280"/>
      <c r="F1301" s="435">
        <f t="shared" ref="F1301:F1303" si="262">+E1301+F1207</f>
        <v>0</v>
      </c>
      <c r="G1301" s="578">
        <v>30000</v>
      </c>
      <c r="H1301" s="593">
        <f t="shared" si="261"/>
        <v>0</v>
      </c>
      <c r="I1301" s="596">
        <f>+G1301*F1301</f>
        <v>0</v>
      </c>
      <c r="J1301" s="373"/>
    </row>
    <row r="1302" spans="1:10" ht="23.4" x14ac:dyDescent="0.3">
      <c r="A1302" s="1134"/>
      <c r="B1302" s="948"/>
      <c r="C1302" s="279" t="s">
        <v>379</v>
      </c>
      <c r="D1302" s="434" t="s">
        <v>304</v>
      </c>
      <c r="E1302" s="280"/>
      <c r="F1302" s="435">
        <f t="shared" si="262"/>
        <v>0</v>
      </c>
      <c r="G1302" s="578">
        <v>360</v>
      </c>
      <c r="H1302" s="593">
        <f t="shared" si="261"/>
        <v>0</v>
      </c>
      <c r="I1302" s="596">
        <f>+G1302*F1302</f>
        <v>0</v>
      </c>
      <c r="J1302" s="373"/>
    </row>
    <row r="1303" spans="1:10" ht="24" thickBot="1" x14ac:dyDescent="0.35">
      <c r="A1303" s="1134"/>
      <c r="B1303" s="948"/>
      <c r="C1303" s="279" t="s">
        <v>427</v>
      </c>
      <c r="D1303" s="434" t="s">
        <v>304</v>
      </c>
      <c r="E1303" s="280"/>
      <c r="F1303" s="435">
        <f t="shared" si="262"/>
        <v>0</v>
      </c>
      <c r="G1303" s="579">
        <v>10</v>
      </c>
      <c r="H1303" s="593">
        <f t="shared" si="261"/>
        <v>0</v>
      </c>
      <c r="I1303" s="596">
        <f t="shared" ref="I1303" si="263">+G1303*F1303</f>
        <v>0</v>
      </c>
      <c r="J1303" s="373"/>
    </row>
    <row r="1304" spans="1:10" ht="24" thickBot="1" x14ac:dyDescent="0.35">
      <c r="A1304" s="1134"/>
      <c r="B1304" s="1129" t="s">
        <v>272</v>
      </c>
      <c r="C1304" s="1130"/>
      <c r="D1304" s="950"/>
      <c r="E1304" s="326">
        <f>SUM(E1300:E1303)</f>
        <v>0</v>
      </c>
      <c r="F1304" s="326">
        <f>SUM(F1300:F1303)</f>
        <v>5</v>
      </c>
      <c r="G1304" s="326"/>
      <c r="H1304" s="587">
        <f>SUM(H1300:H1303)</f>
        <v>0</v>
      </c>
      <c r="I1304" s="580">
        <f>SUM(I1300:I1303)</f>
        <v>12500</v>
      </c>
      <c r="J1304" s="373"/>
    </row>
    <row r="1305" spans="1:10" ht="24" thickBot="1" x14ac:dyDescent="0.35">
      <c r="A1305" s="1134"/>
      <c r="B1305" s="948"/>
      <c r="C1305" s="279"/>
      <c r="D1305" s="434"/>
      <c r="E1305" s="280"/>
      <c r="F1305" s="317"/>
      <c r="G1305" s="579"/>
      <c r="H1305" s="588"/>
      <c r="I1305" s="282"/>
      <c r="J1305" s="373"/>
    </row>
    <row r="1306" spans="1:10" ht="24" thickBot="1" x14ac:dyDescent="0.35">
      <c r="A1306" s="1135"/>
      <c r="B1306" s="1129" t="s">
        <v>269</v>
      </c>
      <c r="C1306" s="1130"/>
      <c r="D1306" s="946"/>
      <c r="E1306" s="326">
        <f>+E1304+E1299+E1292</f>
        <v>274648</v>
      </c>
      <c r="F1306" s="326">
        <f>+F1304+F1299+F1292</f>
        <v>987687</v>
      </c>
      <c r="G1306" s="326"/>
      <c r="H1306" s="580">
        <f>+H1299+H1292+H1304</f>
        <v>5868769.1999999993</v>
      </c>
      <c r="I1306" s="580">
        <f>+I1299+I1292+I1304</f>
        <v>20194558.32</v>
      </c>
      <c r="J1306" s="373"/>
    </row>
    <row r="1307" spans="1:10" ht="23.4" x14ac:dyDescent="0.3">
      <c r="A1307" s="1133" t="s">
        <v>101</v>
      </c>
      <c r="B1307" s="948"/>
      <c r="C1307" s="279" t="s">
        <v>281</v>
      </c>
      <c r="D1307" s="434" t="s">
        <v>178</v>
      </c>
      <c r="E1307" s="280"/>
      <c r="F1307" s="435">
        <f>+E1307+F1213</f>
        <v>0</v>
      </c>
      <c r="G1307" s="602">
        <v>13.25</v>
      </c>
      <c r="H1307" s="597">
        <f t="shared" ref="H1307:H1335" si="264">E1307*G1307</f>
        <v>0</v>
      </c>
      <c r="I1307" s="596">
        <f t="shared" ref="I1307:I1335" si="265">+G1307*F1307</f>
        <v>0</v>
      </c>
      <c r="J1307" s="373"/>
    </row>
    <row r="1308" spans="1:10" ht="23.4" x14ac:dyDescent="0.3">
      <c r="A1308" s="1134"/>
      <c r="B1308" s="948"/>
      <c r="C1308" s="279" t="s">
        <v>282</v>
      </c>
      <c r="D1308" s="434"/>
      <c r="E1308" s="280"/>
      <c r="F1308" s="435">
        <f t="shared" ref="F1308:F1362" si="266">+E1308+F1214</f>
        <v>0</v>
      </c>
      <c r="G1308" s="603">
        <v>5000</v>
      </c>
      <c r="H1308" s="597">
        <f t="shared" si="264"/>
        <v>0</v>
      </c>
      <c r="I1308" s="596">
        <f t="shared" si="265"/>
        <v>0</v>
      </c>
      <c r="J1308" s="373"/>
    </row>
    <row r="1309" spans="1:10" ht="23.4" x14ac:dyDescent="0.3">
      <c r="A1309" s="1134"/>
      <c r="B1309" s="948"/>
      <c r="C1309" s="279" t="s">
        <v>282</v>
      </c>
      <c r="D1309" s="434"/>
      <c r="E1309" s="280"/>
      <c r="F1309" s="435">
        <f t="shared" si="266"/>
        <v>0</v>
      </c>
      <c r="G1309" s="603">
        <v>18000</v>
      </c>
      <c r="H1309" s="597">
        <f t="shared" si="264"/>
        <v>0</v>
      </c>
      <c r="I1309" s="596">
        <f t="shared" si="265"/>
        <v>0</v>
      </c>
      <c r="J1309" s="373"/>
    </row>
    <row r="1310" spans="1:10" ht="23.4" x14ac:dyDescent="0.3">
      <c r="A1310" s="1134"/>
      <c r="B1310" s="948"/>
      <c r="C1310" s="279" t="s">
        <v>465</v>
      </c>
      <c r="D1310" s="434" t="s">
        <v>338</v>
      </c>
      <c r="E1310" s="280"/>
      <c r="F1310" s="435">
        <f t="shared" si="266"/>
        <v>0</v>
      </c>
      <c r="G1310" s="602">
        <v>24.93</v>
      </c>
      <c r="H1310" s="597">
        <f t="shared" si="264"/>
        <v>0</v>
      </c>
      <c r="I1310" s="596">
        <f t="shared" si="265"/>
        <v>0</v>
      </c>
      <c r="J1310" s="373"/>
    </row>
    <row r="1311" spans="1:10" ht="23.4" x14ac:dyDescent="0.3">
      <c r="A1311" s="1134"/>
      <c r="B1311" s="948"/>
      <c r="C1311" s="746" t="s">
        <v>466</v>
      </c>
      <c r="D1311" s="747" t="s">
        <v>92</v>
      </c>
      <c r="E1311" s="280"/>
      <c r="F1311" s="435">
        <f t="shared" si="266"/>
        <v>0</v>
      </c>
      <c r="G1311" s="602">
        <v>20.8</v>
      </c>
      <c r="H1311" s="597">
        <f t="shared" si="264"/>
        <v>0</v>
      </c>
      <c r="I1311" s="596">
        <f t="shared" si="265"/>
        <v>0</v>
      </c>
      <c r="J1311" s="373"/>
    </row>
    <row r="1312" spans="1:10" ht="23.4" x14ac:dyDescent="0.3">
      <c r="A1312" s="1134"/>
      <c r="B1312" s="948"/>
      <c r="C1312" s="746" t="s">
        <v>467</v>
      </c>
      <c r="D1312" s="747" t="s">
        <v>567</v>
      </c>
      <c r="E1312" s="280">
        <v>123318</v>
      </c>
      <c r="F1312" s="435">
        <f t="shared" si="266"/>
        <v>123318</v>
      </c>
      <c r="G1312" s="602">
        <v>26.75</v>
      </c>
      <c r="H1312" s="597">
        <f t="shared" si="264"/>
        <v>3298756.5</v>
      </c>
      <c r="I1312" s="596">
        <f t="shared" si="265"/>
        <v>3298756.5</v>
      </c>
      <c r="J1312" s="373"/>
    </row>
    <row r="1313" spans="1:10" ht="23.4" x14ac:dyDescent="0.3">
      <c r="A1313" s="1134"/>
      <c r="B1313" s="948"/>
      <c r="C1313" s="746" t="s">
        <v>467</v>
      </c>
      <c r="D1313" s="747" t="s">
        <v>540</v>
      </c>
      <c r="E1313" s="280">
        <v>123318</v>
      </c>
      <c r="F1313" s="435">
        <f t="shared" si="266"/>
        <v>123318</v>
      </c>
      <c r="G1313" s="602">
        <v>25</v>
      </c>
      <c r="H1313" s="597">
        <f t="shared" si="264"/>
        <v>3082950</v>
      </c>
      <c r="I1313" s="596">
        <f t="shared" si="265"/>
        <v>3082950</v>
      </c>
      <c r="J1313" s="373"/>
    </row>
    <row r="1314" spans="1:10" ht="23.4" x14ac:dyDescent="0.3">
      <c r="A1314" s="1134"/>
      <c r="B1314" s="748"/>
      <c r="C1314" s="749" t="s">
        <v>469</v>
      </c>
      <c r="D1314" s="750" t="s">
        <v>309</v>
      </c>
      <c r="E1314" s="751"/>
      <c r="F1314" s="752">
        <f t="shared" si="266"/>
        <v>0</v>
      </c>
      <c r="G1314" s="753">
        <v>24.41</v>
      </c>
      <c r="H1314" s="754">
        <f t="shared" si="264"/>
        <v>0</v>
      </c>
      <c r="I1314" s="755">
        <f t="shared" si="265"/>
        <v>0</v>
      </c>
      <c r="J1314" s="756"/>
    </row>
    <row r="1315" spans="1:10" ht="23.4" x14ac:dyDescent="0.3">
      <c r="A1315" s="1134"/>
      <c r="B1315" s="948"/>
      <c r="C1315" s="279" t="s">
        <v>444</v>
      </c>
      <c r="D1315" s="434" t="s">
        <v>423</v>
      </c>
      <c r="E1315" s="280"/>
      <c r="F1315" s="435">
        <f t="shared" si="266"/>
        <v>0</v>
      </c>
      <c r="G1315" s="602">
        <v>20.76</v>
      </c>
      <c r="H1315" s="597">
        <f t="shared" si="264"/>
        <v>0</v>
      </c>
      <c r="I1315" s="596">
        <f t="shared" si="265"/>
        <v>0</v>
      </c>
      <c r="J1315" s="373"/>
    </row>
    <row r="1316" spans="1:10" ht="23.4" x14ac:dyDescent="0.3">
      <c r="A1316" s="1134"/>
      <c r="B1316" s="948"/>
      <c r="C1316" s="279" t="s">
        <v>298</v>
      </c>
      <c r="D1316" s="434" t="s">
        <v>107</v>
      </c>
      <c r="E1316" s="280"/>
      <c r="F1316" s="435">
        <f t="shared" si="266"/>
        <v>0</v>
      </c>
      <c r="G1316" s="602">
        <v>24.93</v>
      </c>
      <c r="H1316" s="597">
        <f t="shared" si="264"/>
        <v>0</v>
      </c>
      <c r="I1316" s="596">
        <f t="shared" si="265"/>
        <v>0</v>
      </c>
      <c r="J1316" s="373"/>
    </row>
    <row r="1317" spans="1:10" ht="23.4" x14ac:dyDescent="0.3">
      <c r="A1317" s="1134"/>
      <c r="B1317" s="948"/>
      <c r="C1317" s="279" t="s">
        <v>299</v>
      </c>
      <c r="D1317" s="434" t="s">
        <v>280</v>
      </c>
      <c r="E1317" s="280"/>
      <c r="F1317" s="435">
        <f t="shared" si="266"/>
        <v>0</v>
      </c>
      <c r="G1317" s="602">
        <v>24.93</v>
      </c>
      <c r="H1317" s="597">
        <f t="shared" si="264"/>
        <v>0</v>
      </c>
      <c r="I1317" s="596">
        <f t="shared" si="265"/>
        <v>0</v>
      </c>
      <c r="J1317" s="373"/>
    </row>
    <row r="1318" spans="1:10" ht="23.4" x14ac:dyDescent="0.3">
      <c r="A1318" s="1134"/>
      <c r="B1318" s="948"/>
      <c r="C1318" s="279" t="s">
        <v>425</v>
      </c>
      <c r="D1318" s="434" t="s">
        <v>309</v>
      </c>
      <c r="E1318" s="280"/>
      <c r="F1318" s="435">
        <f t="shared" si="266"/>
        <v>0</v>
      </c>
      <c r="G1318" s="602">
        <v>23.78</v>
      </c>
      <c r="H1318" s="597">
        <f t="shared" si="264"/>
        <v>0</v>
      </c>
      <c r="I1318" s="596">
        <f t="shared" si="265"/>
        <v>0</v>
      </c>
      <c r="J1318" s="373"/>
    </row>
    <row r="1319" spans="1:10" ht="23.4" x14ac:dyDescent="0.3">
      <c r="A1319" s="1134"/>
      <c r="B1319" s="948"/>
      <c r="C1319" s="279" t="s">
        <v>354</v>
      </c>
      <c r="D1319" s="434" t="s">
        <v>309</v>
      </c>
      <c r="E1319" s="280"/>
      <c r="F1319" s="435">
        <f t="shared" si="266"/>
        <v>0</v>
      </c>
      <c r="G1319" s="602">
        <v>37.4566666666</v>
      </c>
      <c r="H1319" s="597">
        <f t="shared" si="264"/>
        <v>0</v>
      </c>
      <c r="I1319" s="596">
        <f t="shared" si="265"/>
        <v>0</v>
      </c>
      <c r="J1319" s="373"/>
    </row>
    <row r="1320" spans="1:10" ht="23.4" x14ac:dyDescent="0.3">
      <c r="A1320" s="1134"/>
      <c r="B1320" s="948"/>
      <c r="C1320" s="279" t="s">
        <v>355</v>
      </c>
      <c r="D1320" s="434" t="s">
        <v>309</v>
      </c>
      <c r="E1320" s="280"/>
      <c r="F1320" s="435">
        <f t="shared" si="266"/>
        <v>0</v>
      </c>
      <c r="G1320" s="602">
        <v>37.89</v>
      </c>
      <c r="H1320" s="597">
        <f t="shared" si="264"/>
        <v>0</v>
      </c>
      <c r="I1320" s="596">
        <f t="shared" si="265"/>
        <v>0</v>
      </c>
      <c r="J1320" s="373"/>
    </row>
    <row r="1321" spans="1:10" ht="23.4" x14ac:dyDescent="0.3">
      <c r="A1321" s="1134"/>
      <c r="B1321" s="948"/>
      <c r="C1321" s="279" t="s">
        <v>461</v>
      </c>
      <c r="D1321" s="434" t="s">
        <v>92</v>
      </c>
      <c r="E1321" s="280"/>
      <c r="F1321" s="435">
        <f t="shared" si="266"/>
        <v>0</v>
      </c>
      <c r="G1321" s="602">
        <v>28.31</v>
      </c>
      <c r="H1321" s="597">
        <f t="shared" si="264"/>
        <v>0</v>
      </c>
      <c r="I1321" s="596">
        <f t="shared" si="265"/>
        <v>0</v>
      </c>
      <c r="J1321" s="373"/>
    </row>
    <row r="1322" spans="1:10" ht="23.4" x14ac:dyDescent="0.3">
      <c r="A1322" s="1134"/>
      <c r="B1322" s="948"/>
      <c r="C1322" s="279" t="s">
        <v>461</v>
      </c>
      <c r="D1322" s="434" t="s">
        <v>423</v>
      </c>
      <c r="E1322" s="280"/>
      <c r="F1322" s="435">
        <f t="shared" si="266"/>
        <v>0</v>
      </c>
      <c r="G1322" s="602">
        <v>28.88</v>
      </c>
      <c r="H1322" s="597">
        <f t="shared" si="264"/>
        <v>0</v>
      </c>
      <c r="I1322" s="596">
        <f t="shared" si="265"/>
        <v>0</v>
      </c>
      <c r="J1322" s="373"/>
    </row>
    <row r="1323" spans="1:10" ht="23.4" x14ac:dyDescent="0.3">
      <c r="A1323" s="1134"/>
      <c r="B1323" s="948"/>
      <c r="C1323" s="279" t="s">
        <v>462</v>
      </c>
      <c r="D1323" s="434" t="s">
        <v>423</v>
      </c>
      <c r="E1323" s="280"/>
      <c r="F1323" s="435">
        <f t="shared" si="266"/>
        <v>0</v>
      </c>
      <c r="G1323" s="602">
        <v>28.21</v>
      </c>
      <c r="H1323" s="597">
        <f t="shared" si="264"/>
        <v>0</v>
      </c>
      <c r="I1323" s="596">
        <f t="shared" si="265"/>
        <v>0</v>
      </c>
      <c r="J1323" s="373"/>
    </row>
    <row r="1324" spans="1:10" ht="23.4" x14ac:dyDescent="0.3">
      <c r="A1324" s="1134"/>
      <c r="B1324" s="948"/>
      <c r="C1324" s="279" t="s">
        <v>463</v>
      </c>
      <c r="D1324" s="434" t="s">
        <v>338</v>
      </c>
      <c r="E1324" s="280"/>
      <c r="F1324" s="435">
        <f t="shared" si="266"/>
        <v>0</v>
      </c>
      <c r="G1324" s="602">
        <v>39</v>
      </c>
      <c r="H1324" s="597">
        <f t="shared" si="264"/>
        <v>0</v>
      </c>
      <c r="I1324" s="596">
        <f t="shared" si="265"/>
        <v>0</v>
      </c>
      <c r="J1324" s="373"/>
    </row>
    <row r="1325" spans="1:10" ht="23.4" x14ac:dyDescent="0.3">
      <c r="A1325" s="1134"/>
      <c r="B1325" s="948"/>
      <c r="C1325" s="279" t="s">
        <v>463</v>
      </c>
      <c r="D1325" s="434" t="s">
        <v>92</v>
      </c>
      <c r="E1325" s="280"/>
      <c r="F1325" s="435">
        <f t="shared" si="266"/>
        <v>0</v>
      </c>
      <c r="G1325" s="602">
        <v>32.65</v>
      </c>
      <c r="H1325" s="597">
        <f t="shared" si="264"/>
        <v>0</v>
      </c>
      <c r="I1325" s="596">
        <f t="shared" si="265"/>
        <v>0</v>
      </c>
      <c r="J1325" s="373"/>
    </row>
    <row r="1326" spans="1:10" ht="23.4" x14ac:dyDescent="0.3">
      <c r="A1326" s="1134"/>
      <c r="B1326" s="948"/>
      <c r="C1326" s="279" t="s">
        <v>463</v>
      </c>
      <c r="D1326" s="434" t="s">
        <v>423</v>
      </c>
      <c r="E1326" s="280"/>
      <c r="F1326" s="435">
        <f t="shared" si="266"/>
        <v>0</v>
      </c>
      <c r="G1326" s="602">
        <v>33.299999999999997</v>
      </c>
      <c r="H1326" s="597">
        <f t="shared" si="264"/>
        <v>0</v>
      </c>
      <c r="I1326" s="596">
        <f t="shared" si="265"/>
        <v>0</v>
      </c>
      <c r="J1326" s="373"/>
    </row>
    <row r="1327" spans="1:10" ht="23.4" x14ac:dyDescent="0.3">
      <c r="A1327" s="1134"/>
      <c r="B1327" s="948"/>
      <c r="C1327" s="279" t="s">
        <v>299</v>
      </c>
      <c r="D1327" s="434" t="s">
        <v>279</v>
      </c>
      <c r="E1327" s="280"/>
      <c r="F1327" s="435">
        <f t="shared" si="266"/>
        <v>0</v>
      </c>
      <c r="G1327" s="602">
        <v>24.93</v>
      </c>
      <c r="H1327" s="597">
        <f t="shared" si="264"/>
        <v>0</v>
      </c>
      <c r="I1327" s="596">
        <f t="shared" si="265"/>
        <v>0</v>
      </c>
      <c r="J1327" s="373"/>
    </row>
    <row r="1328" spans="1:10" ht="23.4" x14ac:dyDescent="0.3">
      <c r="A1328" s="1134"/>
      <c r="B1328" s="948"/>
      <c r="C1328" s="279" t="s">
        <v>299</v>
      </c>
      <c r="D1328" s="434"/>
      <c r="E1328" s="280"/>
      <c r="F1328" s="435">
        <f t="shared" si="266"/>
        <v>0</v>
      </c>
      <c r="G1328" s="602">
        <v>24.93</v>
      </c>
      <c r="H1328" s="597">
        <f t="shared" si="264"/>
        <v>0</v>
      </c>
      <c r="I1328" s="596">
        <f t="shared" si="265"/>
        <v>0</v>
      </c>
      <c r="J1328" s="373"/>
    </row>
    <row r="1329" spans="1:10" ht="23.4" x14ac:dyDescent="0.3">
      <c r="A1329" s="1134"/>
      <c r="B1329" s="948"/>
      <c r="C1329" s="279" t="s">
        <v>316</v>
      </c>
      <c r="D1329" s="434" t="s">
        <v>289</v>
      </c>
      <c r="E1329" s="280"/>
      <c r="F1329" s="435">
        <f t="shared" si="266"/>
        <v>0</v>
      </c>
      <c r="G1329" s="602">
        <v>34.26</v>
      </c>
      <c r="H1329" s="597">
        <f t="shared" si="264"/>
        <v>0</v>
      </c>
      <c r="I1329" s="596">
        <f t="shared" si="265"/>
        <v>0</v>
      </c>
      <c r="J1329" s="373"/>
    </row>
    <row r="1330" spans="1:10" ht="23.4" x14ac:dyDescent="0.3">
      <c r="A1330" s="1134"/>
      <c r="B1330" s="948"/>
      <c r="C1330" s="279" t="s">
        <v>328</v>
      </c>
      <c r="D1330" s="434" t="s">
        <v>360</v>
      </c>
      <c r="E1330" s="280"/>
      <c r="F1330" s="435">
        <f t="shared" si="266"/>
        <v>0</v>
      </c>
      <c r="G1330" s="602">
        <v>37.89</v>
      </c>
      <c r="H1330" s="597">
        <f t="shared" si="264"/>
        <v>0</v>
      </c>
      <c r="I1330" s="596">
        <f t="shared" si="265"/>
        <v>0</v>
      </c>
      <c r="J1330" s="373"/>
    </row>
    <row r="1331" spans="1:10" ht="23.4" x14ac:dyDescent="0.3">
      <c r="A1331" s="1134"/>
      <c r="B1331" s="948"/>
      <c r="C1331" s="279" t="s">
        <v>363</v>
      </c>
      <c r="D1331" s="434" t="s">
        <v>338</v>
      </c>
      <c r="E1331" s="280"/>
      <c r="F1331" s="435">
        <f t="shared" si="266"/>
        <v>0</v>
      </c>
      <c r="G1331" s="602">
        <v>39</v>
      </c>
      <c r="H1331" s="597">
        <f t="shared" si="264"/>
        <v>0</v>
      </c>
      <c r="I1331" s="596">
        <f t="shared" si="265"/>
        <v>0</v>
      </c>
      <c r="J1331" s="373"/>
    </row>
    <row r="1332" spans="1:10" ht="23.4" x14ac:dyDescent="0.3">
      <c r="A1332" s="1134"/>
      <c r="B1332" s="948"/>
      <c r="C1332" s="279" t="s">
        <v>299</v>
      </c>
      <c r="D1332" s="434" t="s">
        <v>177</v>
      </c>
      <c r="E1332" s="280"/>
      <c r="F1332" s="435">
        <f t="shared" si="266"/>
        <v>0</v>
      </c>
      <c r="G1332" s="602">
        <v>21.22</v>
      </c>
      <c r="H1332" s="597">
        <f t="shared" si="264"/>
        <v>0</v>
      </c>
      <c r="I1332" s="596">
        <f t="shared" si="265"/>
        <v>0</v>
      </c>
      <c r="J1332" s="373"/>
    </row>
    <row r="1333" spans="1:10" ht="23.4" x14ac:dyDescent="0.3">
      <c r="A1333" s="1134"/>
      <c r="B1333" s="948"/>
      <c r="C1333" s="279" t="s">
        <v>298</v>
      </c>
      <c r="D1333" s="434" t="s">
        <v>177</v>
      </c>
      <c r="E1333" s="280"/>
      <c r="F1333" s="435">
        <f t="shared" si="266"/>
        <v>0</v>
      </c>
      <c r="G1333" s="602">
        <v>21.22</v>
      </c>
      <c r="H1333" s="597">
        <f t="shared" si="264"/>
        <v>0</v>
      </c>
      <c r="I1333" s="596">
        <f t="shared" si="265"/>
        <v>0</v>
      </c>
      <c r="J1333" s="373"/>
    </row>
    <row r="1334" spans="1:10" ht="23.4" x14ac:dyDescent="0.3">
      <c r="A1334" s="1134"/>
      <c r="B1334" s="948"/>
      <c r="C1334" s="279" t="s">
        <v>339</v>
      </c>
      <c r="D1334" s="434" t="s">
        <v>304</v>
      </c>
      <c r="E1334" s="280"/>
      <c r="F1334" s="435">
        <f t="shared" si="266"/>
        <v>0</v>
      </c>
      <c r="G1334" s="602">
        <v>10000</v>
      </c>
      <c r="H1334" s="597">
        <f t="shared" si="264"/>
        <v>0</v>
      </c>
      <c r="I1334" s="596">
        <f t="shared" si="265"/>
        <v>0</v>
      </c>
      <c r="J1334" s="373"/>
    </row>
    <row r="1335" spans="1:10" ht="24" thickBot="1" x14ac:dyDescent="0.35">
      <c r="A1335" s="1134"/>
      <c r="B1335" s="948"/>
      <c r="C1335" s="279" t="s">
        <v>303</v>
      </c>
      <c r="D1335" s="434" t="s">
        <v>304</v>
      </c>
      <c r="E1335" s="280"/>
      <c r="F1335" s="435">
        <f t="shared" si="266"/>
        <v>0</v>
      </c>
      <c r="G1335" s="602">
        <v>360</v>
      </c>
      <c r="H1335" s="597">
        <f t="shared" si="264"/>
        <v>0</v>
      </c>
      <c r="I1335" s="596">
        <f t="shared" si="265"/>
        <v>0</v>
      </c>
      <c r="J1335" s="373"/>
    </row>
    <row r="1336" spans="1:10" ht="24" thickBot="1" x14ac:dyDescent="0.35">
      <c r="A1336" s="1135"/>
      <c r="B1336" s="1129" t="s">
        <v>268</v>
      </c>
      <c r="C1336" s="1130"/>
      <c r="D1336" s="950"/>
      <c r="E1336" s="326">
        <f>SUM(E1307:E1335)</f>
        <v>246636</v>
      </c>
      <c r="F1336" s="326">
        <f t="shared" si="266"/>
        <v>246636</v>
      </c>
      <c r="G1336" s="326"/>
      <c r="H1336" s="587">
        <f>SUM(H1307:H1335)</f>
        <v>6381706.5</v>
      </c>
      <c r="I1336" s="580">
        <f>SUM(I1307:I1335)</f>
        <v>6381706.5</v>
      </c>
      <c r="J1336" s="373"/>
    </row>
    <row r="1337" spans="1:10" ht="23.4" x14ac:dyDescent="0.3">
      <c r="A1337" s="1133" t="s">
        <v>102</v>
      </c>
      <c r="B1337" s="948"/>
      <c r="C1337" s="279" t="s">
        <v>509</v>
      </c>
      <c r="D1337" s="434" t="s">
        <v>238</v>
      </c>
      <c r="E1337" s="280">
        <v>800</v>
      </c>
      <c r="F1337" s="435">
        <f t="shared" si="266"/>
        <v>7000</v>
      </c>
      <c r="G1337" s="803">
        <v>624.26</v>
      </c>
      <c r="H1337" s="593">
        <f>E1337*G1337</f>
        <v>499408</v>
      </c>
      <c r="I1337" s="596">
        <f t="shared" ref="I1337:I1339" si="267">+G1337*F1337</f>
        <v>4369820</v>
      </c>
      <c r="J1337" s="373"/>
    </row>
    <row r="1338" spans="1:10" ht="23.4" x14ac:dyDescent="0.3">
      <c r="A1338" s="1134"/>
      <c r="B1338" s="948"/>
      <c r="C1338" s="279" t="s">
        <v>273</v>
      </c>
      <c r="D1338" s="434" t="s">
        <v>238</v>
      </c>
      <c r="E1338" s="280">
        <f>10060+4414</f>
        <v>14474</v>
      </c>
      <c r="F1338" s="435">
        <f t="shared" si="266"/>
        <v>17237</v>
      </c>
      <c r="G1338" s="602">
        <v>430.02</v>
      </c>
      <c r="H1338" s="593">
        <f t="shared" ref="H1338:H1359" si="268">E1338*G1338</f>
        <v>6224109.4799999995</v>
      </c>
      <c r="I1338" s="596">
        <f t="shared" si="267"/>
        <v>7412254.7399999993</v>
      </c>
      <c r="J1338" s="373"/>
    </row>
    <row r="1339" spans="1:10" ht="23.4" x14ac:dyDescent="0.3">
      <c r="A1339" s="1134"/>
      <c r="B1339" s="948"/>
      <c r="C1339" s="279" t="s">
        <v>390</v>
      </c>
      <c r="D1339" s="434" t="s">
        <v>238</v>
      </c>
      <c r="E1339" s="280"/>
      <c r="F1339" s="435">
        <f t="shared" si="266"/>
        <v>0</v>
      </c>
      <c r="G1339" s="602">
        <v>445.38</v>
      </c>
      <c r="H1339" s="593">
        <f t="shared" si="268"/>
        <v>0</v>
      </c>
      <c r="I1339" s="596">
        <f t="shared" si="267"/>
        <v>0</v>
      </c>
      <c r="J1339" s="373"/>
    </row>
    <row r="1340" spans="1:10" ht="23.4" x14ac:dyDescent="0.3">
      <c r="A1340" s="1134"/>
      <c r="B1340" s="948"/>
      <c r="C1340" s="279" t="s">
        <v>301</v>
      </c>
      <c r="D1340" s="434" t="s">
        <v>238</v>
      </c>
      <c r="E1340" s="280"/>
      <c r="F1340" s="435">
        <f t="shared" si="266"/>
        <v>8640</v>
      </c>
      <c r="G1340" s="602">
        <v>63.55</v>
      </c>
      <c r="H1340" s="593">
        <f t="shared" si="268"/>
        <v>0</v>
      </c>
      <c r="I1340" s="596">
        <f>+G1340*F1340</f>
        <v>549072</v>
      </c>
      <c r="J1340" s="373"/>
    </row>
    <row r="1341" spans="1:10" ht="23.4" x14ac:dyDescent="0.3">
      <c r="A1341" s="1134"/>
      <c r="B1341" s="948"/>
      <c r="C1341" s="279" t="s">
        <v>514</v>
      </c>
      <c r="D1341" s="434" t="s">
        <v>238</v>
      </c>
      <c r="E1341" s="280"/>
      <c r="F1341" s="435">
        <f t="shared" si="266"/>
        <v>48300</v>
      </c>
      <c r="G1341" s="602">
        <v>71.44</v>
      </c>
      <c r="H1341" s="593">
        <f t="shared" si="268"/>
        <v>0</v>
      </c>
      <c r="I1341" s="596">
        <f>+G1341*F1341</f>
        <v>3450552</v>
      </c>
      <c r="J1341" s="373"/>
    </row>
    <row r="1342" spans="1:10" ht="23.4" x14ac:dyDescent="0.3">
      <c r="A1342" s="1134"/>
      <c r="B1342" s="948"/>
      <c r="C1342" s="279" t="s">
        <v>275</v>
      </c>
      <c r="D1342" s="434" t="s">
        <v>238</v>
      </c>
      <c r="E1342" s="280">
        <f>38412+13440</f>
        <v>51852</v>
      </c>
      <c r="F1342" s="435">
        <f t="shared" si="266"/>
        <v>203964</v>
      </c>
      <c r="G1342" s="602">
        <v>71.44</v>
      </c>
      <c r="H1342" s="593">
        <f t="shared" si="268"/>
        <v>3704306.88</v>
      </c>
      <c r="I1342" s="596">
        <f t="shared" ref="I1342:I1359" si="269">+G1342*F1342</f>
        <v>14571188.16</v>
      </c>
      <c r="J1342" s="373"/>
    </row>
    <row r="1343" spans="1:10" ht="23.4" x14ac:dyDescent="0.3">
      <c r="A1343" s="1134"/>
      <c r="B1343" s="948"/>
      <c r="C1343" s="279" t="s">
        <v>276</v>
      </c>
      <c r="D1343" s="434" t="s">
        <v>238</v>
      </c>
      <c r="E1343" s="280"/>
      <c r="F1343" s="435">
        <f t="shared" si="266"/>
        <v>0</v>
      </c>
      <c r="G1343" s="602">
        <v>36.5</v>
      </c>
      <c r="H1343" s="593">
        <f t="shared" si="268"/>
        <v>0</v>
      </c>
      <c r="I1343" s="596">
        <f t="shared" si="269"/>
        <v>0</v>
      </c>
      <c r="J1343" s="373"/>
    </row>
    <row r="1344" spans="1:10" ht="23.4" x14ac:dyDescent="0.3">
      <c r="A1344" s="1134"/>
      <c r="B1344" s="948"/>
      <c r="C1344" s="279" t="s">
        <v>527</v>
      </c>
      <c r="D1344" s="434" t="s">
        <v>238</v>
      </c>
      <c r="E1344" s="280">
        <v>3200</v>
      </c>
      <c r="F1344" s="435">
        <f t="shared" si="266"/>
        <v>8000</v>
      </c>
      <c r="G1344" s="602">
        <v>320.35000000000002</v>
      </c>
      <c r="H1344" s="593">
        <f t="shared" si="268"/>
        <v>1025120.0000000001</v>
      </c>
      <c r="I1344" s="596">
        <f t="shared" si="269"/>
        <v>2562800</v>
      </c>
      <c r="J1344" s="373"/>
    </row>
    <row r="1345" spans="1:10" ht="23.4" x14ac:dyDescent="0.3">
      <c r="A1345" s="1134"/>
      <c r="B1345" s="948"/>
      <c r="C1345" s="279" t="s">
        <v>285</v>
      </c>
      <c r="D1345" s="434" t="s">
        <v>238</v>
      </c>
      <c r="E1345" s="280"/>
      <c r="F1345" s="435">
        <f t="shared" si="266"/>
        <v>0</v>
      </c>
      <c r="G1345" s="602">
        <v>320.35000000000002</v>
      </c>
      <c r="H1345" s="593">
        <f t="shared" si="268"/>
        <v>0</v>
      </c>
      <c r="I1345" s="596">
        <f t="shared" si="269"/>
        <v>0</v>
      </c>
      <c r="J1345" s="373"/>
    </row>
    <row r="1346" spans="1:10" ht="23.4" x14ac:dyDescent="0.3">
      <c r="A1346" s="1134"/>
      <c r="B1346" s="948"/>
      <c r="C1346" s="279" t="s">
        <v>296</v>
      </c>
      <c r="D1346" s="434" t="s">
        <v>238</v>
      </c>
      <c r="E1346" s="280"/>
      <c r="F1346" s="435">
        <f t="shared" si="266"/>
        <v>0</v>
      </c>
      <c r="G1346" s="602">
        <v>434.41</v>
      </c>
      <c r="H1346" s="593">
        <f t="shared" si="268"/>
        <v>0</v>
      </c>
      <c r="I1346" s="596">
        <f t="shared" si="269"/>
        <v>0</v>
      </c>
      <c r="J1346" s="373"/>
    </row>
    <row r="1347" spans="1:10" ht="23.4" x14ac:dyDescent="0.3">
      <c r="A1347" s="1134"/>
      <c r="B1347" s="948"/>
      <c r="C1347" s="279" t="s">
        <v>282</v>
      </c>
      <c r="D1347" s="434" t="s">
        <v>238</v>
      </c>
      <c r="E1347" s="280"/>
      <c r="F1347" s="435">
        <f t="shared" si="266"/>
        <v>0</v>
      </c>
      <c r="G1347" s="602">
        <v>29690</v>
      </c>
      <c r="H1347" s="593">
        <f t="shared" si="268"/>
        <v>0</v>
      </c>
      <c r="I1347" s="596">
        <f t="shared" si="269"/>
        <v>0</v>
      </c>
      <c r="J1347" s="373"/>
    </row>
    <row r="1348" spans="1:10" ht="23.4" x14ac:dyDescent="0.3">
      <c r="A1348" s="1134"/>
      <c r="B1348" s="948"/>
      <c r="C1348" s="279" t="s">
        <v>282</v>
      </c>
      <c r="D1348" s="434" t="s">
        <v>238</v>
      </c>
      <c r="E1348" s="280"/>
      <c r="F1348" s="435">
        <f t="shared" si="266"/>
        <v>2</v>
      </c>
      <c r="G1348" s="602">
        <v>26445</v>
      </c>
      <c r="H1348" s="593">
        <f t="shared" si="268"/>
        <v>0</v>
      </c>
      <c r="I1348" s="596">
        <f t="shared" si="269"/>
        <v>52890</v>
      </c>
      <c r="J1348" s="373"/>
    </row>
    <row r="1349" spans="1:10" ht="23.4" x14ac:dyDescent="0.3">
      <c r="A1349" s="1134"/>
      <c r="B1349" s="948"/>
      <c r="C1349" s="279" t="s">
        <v>282</v>
      </c>
      <c r="D1349" s="434"/>
      <c r="E1349" s="280"/>
      <c r="F1349" s="435">
        <f t="shared" si="266"/>
        <v>0</v>
      </c>
      <c r="G1349" s="602">
        <v>33947.884599999998</v>
      </c>
      <c r="H1349" s="593">
        <f t="shared" si="268"/>
        <v>0</v>
      </c>
      <c r="I1349" s="596">
        <f t="shared" si="269"/>
        <v>0</v>
      </c>
      <c r="J1349" s="373"/>
    </row>
    <row r="1350" spans="1:10" ht="23.4" x14ac:dyDescent="0.3">
      <c r="A1350" s="1134"/>
      <c r="B1350" s="948"/>
      <c r="C1350" s="279" t="s">
        <v>311</v>
      </c>
      <c r="D1350" s="434" t="s">
        <v>337</v>
      </c>
      <c r="E1350" s="280"/>
      <c r="F1350" s="435">
        <f t="shared" si="266"/>
        <v>0</v>
      </c>
      <c r="G1350" s="602">
        <v>50</v>
      </c>
      <c r="H1350" s="593">
        <f t="shared" si="268"/>
        <v>0</v>
      </c>
      <c r="I1350" s="596">
        <f t="shared" si="269"/>
        <v>0</v>
      </c>
      <c r="J1350" s="373"/>
    </row>
    <row r="1351" spans="1:10" ht="23.4" x14ac:dyDescent="0.3">
      <c r="A1351" s="1134"/>
      <c r="B1351" s="948"/>
      <c r="C1351" s="279" t="s">
        <v>311</v>
      </c>
      <c r="D1351" s="434"/>
      <c r="E1351" s="280"/>
      <c r="F1351" s="435">
        <f t="shared" si="266"/>
        <v>0</v>
      </c>
      <c r="G1351" s="602">
        <v>10</v>
      </c>
      <c r="H1351" s="593">
        <f t="shared" si="268"/>
        <v>0</v>
      </c>
      <c r="I1351" s="596">
        <f t="shared" si="269"/>
        <v>0</v>
      </c>
      <c r="J1351" s="373"/>
    </row>
    <row r="1352" spans="1:10" ht="23.4" x14ac:dyDescent="0.3">
      <c r="A1352" s="1134"/>
      <c r="B1352" s="948"/>
      <c r="C1352" s="279" t="s">
        <v>329</v>
      </c>
      <c r="D1352" s="434" t="s">
        <v>370</v>
      </c>
      <c r="E1352" s="280"/>
      <c r="F1352" s="435">
        <f t="shared" si="266"/>
        <v>0</v>
      </c>
      <c r="G1352" s="602">
        <v>57.64</v>
      </c>
      <c r="H1352" s="593">
        <f t="shared" si="268"/>
        <v>0</v>
      </c>
      <c r="I1352" s="596">
        <f t="shared" si="269"/>
        <v>0</v>
      </c>
      <c r="J1352" s="373"/>
    </row>
    <row r="1353" spans="1:10" ht="23.4" x14ac:dyDescent="0.3">
      <c r="A1353" s="1134"/>
      <c r="B1353" s="948"/>
      <c r="C1353" s="279" t="s">
        <v>329</v>
      </c>
      <c r="D1353" s="434" t="s">
        <v>364</v>
      </c>
      <c r="E1353" s="280"/>
      <c r="F1353" s="435">
        <f t="shared" si="266"/>
        <v>0</v>
      </c>
      <c r="G1353" s="602">
        <v>57.64</v>
      </c>
      <c r="H1353" s="593">
        <f t="shared" si="268"/>
        <v>0</v>
      </c>
      <c r="I1353" s="596">
        <f t="shared" si="269"/>
        <v>0</v>
      </c>
      <c r="J1353" s="373"/>
    </row>
    <row r="1354" spans="1:10" ht="23.4" x14ac:dyDescent="0.3">
      <c r="A1354" s="1134"/>
      <c r="B1354" s="948"/>
      <c r="C1354" s="279" t="s">
        <v>330</v>
      </c>
      <c r="D1354" s="434" t="s">
        <v>331</v>
      </c>
      <c r="E1354" s="280"/>
      <c r="F1354" s="435">
        <f t="shared" si="266"/>
        <v>0</v>
      </c>
      <c r="G1354" s="602">
        <v>434.41</v>
      </c>
      <c r="H1354" s="593">
        <f t="shared" si="268"/>
        <v>0</v>
      </c>
      <c r="I1354" s="596">
        <f t="shared" si="269"/>
        <v>0</v>
      </c>
      <c r="J1354" s="373"/>
    </row>
    <row r="1355" spans="1:10" ht="23.4" x14ac:dyDescent="0.3">
      <c r="A1355" s="1134"/>
      <c r="B1355" s="948"/>
      <c r="C1355" s="279" t="s">
        <v>343</v>
      </c>
      <c r="D1355" s="434" t="s">
        <v>238</v>
      </c>
      <c r="E1355" s="280"/>
      <c r="F1355" s="435">
        <f t="shared" si="266"/>
        <v>0</v>
      </c>
      <c r="G1355" s="602">
        <v>624.26</v>
      </c>
      <c r="H1355" s="593">
        <f t="shared" si="268"/>
        <v>0</v>
      </c>
      <c r="I1355" s="596">
        <f t="shared" si="269"/>
        <v>0</v>
      </c>
      <c r="J1355" s="373"/>
    </row>
    <row r="1356" spans="1:10" ht="23.4" x14ac:dyDescent="0.3">
      <c r="A1356" s="1134"/>
      <c r="B1356" s="948"/>
      <c r="C1356" s="279" t="s">
        <v>332</v>
      </c>
      <c r="D1356" s="434" t="s">
        <v>331</v>
      </c>
      <c r="E1356" s="280"/>
      <c r="F1356" s="435">
        <f t="shared" si="266"/>
        <v>0</v>
      </c>
      <c r="G1356" s="602">
        <v>63.55</v>
      </c>
      <c r="H1356" s="593">
        <f t="shared" si="268"/>
        <v>0</v>
      </c>
      <c r="I1356" s="596">
        <f t="shared" si="269"/>
        <v>0</v>
      </c>
      <c r="J1356" s="373"/>
    </row>
    <row r="1357" spans="1:10" ht="23.4" x14ac:dyDescent="0.3">
      <c r="A1357" s="1134"/>
      <c r="B1357" s="948"/>
      <c r="C1357" s="279" t="s">
        <v>559</v>
      </c>
      <c r="D1357" s="434" t="s">
        <v>238</v>
      </c>
      <c r="E1357" s="280">
        <v>0</v>
      </c>
      <c r="F1357" s="435">
        <f t="shared" si="266"/>
        <v>30000</v>
      </c>
      <c r="G1357" s="602">
        <v>59.96</v>
      </c>
      <c r="H1357" s="593">
        <f t="shared" si="268"/>
        <v>0</v>
      </c>
      <c r="I1357" s="596">
        <f t="shared" si="269"/>
        <v>1798800</v>
      </c>
      <c r="J1357" s="373"/>
    </row>
    <row r="1358" spans="1:10" ht="23.4" x14ac:dyDescent="0.3">
      <c r="A1358" s="1134"/>
      <c r="B1358" s="948"/>
      <c r="C1358" s="279" t="s">
        <v>419</v>
      </c>
      <c r="D1358" s="434" t="s">
        <v>331</v>
      </c>
      <c r="E1358" s="280"/>
      <c r="F1358" s="435">
        <f t="shared" si="266"/>
        <v>0</v>
      </c>
      <c r="G1358" s="602">
        <v>53.86</v>
      </c>
      <c r="H1358" s="593">
        <f t="shared" si="268"/>
        <v>0</v>
      </c>
      <c r="I1358" s="596">
        <f t="shared" si="269"/>
        <v>0</v>
      </c>
      <c r="J1358" s="373"/>
    </row>
    <row r="1359" spans="1:10" ht="23.4" x14ac:dyDescent="0.3">
      <c r="A1359" s="1134"/>
      <c r="B1359" s="948"/>
      <c r="C1359" s="279" t="s">
        <v>379</v>
      </c>
      <c r="D1359" s="434"/>
      <c r="E1359" s="280"/>
      <c r="F1359" s="435">
        <f t="shared" si="266"/>
        <v>0</v>
      </c>
      <c r="G1359" s="602">
        <v>360</v>
      </c>
      <c r="H1359" s="593">
        <f t="shared" si="268"/>
        <v>0</v>
      </c>
      <c r="I1359" s="596">
        <f t="shared" si="269"/>
        <v>0</v>
      </c>
      <c r="J1359" s="373"/>
    </row>
    <row r="1360" spans="1:10" ht="23.4" x14ac:dyDescent="0.3">
      <c r="A1360" s="1134"/>
      <c r="B1360" s="948"/>
      <c r="C1360" s="279" t="s">
        <v>471</v>
      </c>
      <c r="D1360" s="434"/>
      <c r="E1360" s="280"/>
      <c r="F1360" s="435">
        <f t="shared" si="266"/>
        <v>0</v>
      </c>
      <c r="G1360" s="602"/>
      <c r="H1360" s="593">
        <f>+E1360</f>
        <v>0</v>
      </c>
      <c r="I1360" s="596">
        <f>+H1360</f>
        <v>0</v>
      </c>
      <c r="J1360" s="373"/>
    </row>
    <row r="1361" spans="1:10" ht="23.4" x14ac:dyDescent="0.3">
      <c r="A1361" s="1134"/>
      <c r="B1361" s="948"/>
      <c r="C1361" s="279" t="s">
        <v>282</v>
      </c>
      <c r="D1361" s="434"/>
      <c r="E1361" s="280"/>
      <c r="F1361" s="435">
        <f t="shared" si="266"/>
        <v>0</v>
      </c>
      <c r="G1361" s="602">
        <v>39450</v>
      </c>
      <c r="H1361" s="593">
        <f t="shared" ref="H1361:H1362" si="270">E1361*G1361</f>
        <v>0</v>
      </c>
      <c r="I1361" s="596">
        <f t="shared" ref="I1361:I1362" si="271">+G1361*F1361</f>
        <v>0</v>
      </c>
      <c r="J1361" s="373"/>
    </row>
    <row r="1362" spans="1:10" ht="24" thickBot="1" x14ac:dyDescent="0.35">
      <c r="A1362" s="1134"/>
      <c r="B1362" s="948"/>
      <c r="C1362" s="279" t="s">
        <v>329</v>
      </c>
      <c r="D1362" s="434" t="s">
        <v>443</v>
      </c>
      <c r="E1362" s="280"/>
      <c r="F1362" s="435">
        <f t="shared" si="266"/>
        <v>0</v>
      </c>
      <c r="G1362" s="602">
        <v>57.64</v>
      </c>
      <c r="H1362" s="593">
        <f t="shared" si="270"/>
        <v>0</v>
      </c>
      <c r="I1362" s="596">
        <f t="shared" si="271"/>
        <v>0</v>
      </c>
      <c r="J1362" s="373"/>
    </row>
    <row r="1363" spans="1:10" ht="24" thickBot="1" x14ac:dyDescent="0.35">
      <c r="A1363" s="1135"/>
      <c r="B1363" s="1129" t="s">
        <v>270</v>
      </c>
      <c r="C1363" s="1130"/>
      <c r="D1363" s="950"/>
      <c r="E1363" s="326">
        <f>SUM(E1337:E1362)</f>
        <v>70326</v>
      </c>
      <c r="F1363" s="326">
        <f>SUM(F1337:F1362)</f>
        <v>323143</v>
      </c>
      <c r="G1363" s="326"/>
      <c r="H1363" s="590">
        <f>SUM(H1337:H1362)</f>
        <v>11452944.359999999</v>
      </c>
      <c r="I1363" s="580">
        <f>SUM(I1337:I1362)</f>
        <v>34767376.899999999</v>
      </c>
      <c r="J1363" s="372"/>
    </row>
    <row r="1364" spans="1:10" ht="24" thickBot="1" x14ac:dyDescent="0.35">
      <c r="A1364" s="953"/>
      <c r="B1364" s="437"/>
      <c r="C1364" s="279" t="s">
        <v>379</v>
      </c>
      <c r="D1364" s="434"/>
      <c r="E1364" s="280"/>
      <c r="F1364" s="281">
        <f>+E1364</f>
        <v>0</v>
      </c>
      <c r="G1364" s="334"/>
      <c r="H1364" s="589">
        <f t="shared" ref="H1364" si="272">E1364*G1364</f>
        <v>0</v>
      </c>
      <c r="I1364" s="282">
        <f t="shared" ref="I1364" si="273">+G1364*F1364</f>
        <v>0</v>
      </c>
      <c r="J1364" s="373"/>
    </row>
    <row r="1365" spans="1:10" ht="24" thickBot="1" x14ac:dyDescent="0.35">
      <c r="A1365" s="953"/>
      <c r="B1365" s="1129" t="s">
        <v>224</v>
      </c>
      <c r="C1365" s="1130"/>
      <c r="D1365" s="946"/>
      <c r="E1365" s="326"/>
      <c r="F1365" s="327"/>
      <c r="G1365" s="326"/>
      <c r="H1365" s="587"/>
      <c r="I1365" s="324">
        <f>SUM(I1364)</f>
        <v>0</v>
      </c>
      <c r="J1365" s="349"/>
    </row>
    <row r="1366" spans="1:10" ht="24.6" thickBot="1" x14ac:dyDescent="0.35">
      <c r="A1366" s="319"/>
      <c r="B1366" s="1131" t="s">
        <v>174</v>
      </c>
      <c r="C1366" s="1132"/>
      <c r="D1366" s="947"/>
      <c r="E1366" s="374">
        <f>+E1363+E1336+E1306+E1304</f>
        <v>591610</v>
      </c>
      <c r="F1366" s="374">
        <f>+F1363+F1336+F1306+F1304</f>
        <v>1557471</v>
      </c>
      <c r="G1366" s="374"/>
      <c r="H1366" s="374"/>
      <c r="I1366" s="374">
        <f>+I1363+I1336+I1306+I1365</f>
        <v>61343641.719999999</v>
      </c>
      <c r="J1366" s="375"/>
    </row>
    <row r="1367" spans="1:10" ht="23.4" x14ac:dyDescent="0.3">
      <c r="A1367" s="1057" t="s">
        <v>1</v>
      </c>
      <c r="B1367" s="1060" t="s">
        <v>2</v>
      </c>
      <c r="C1367" s="1138" t="s">
        <v>396</v>
      </c>
      <c r="D1367" s="1115" t="s">
        <v>397</v>
      </c>
      <c r="E1367" s="1142" t="s">
        <v>568</v>
      </c>
      <c r="F1367" s="1067"/>
      <c r="G1367" s="1067"/>
      <c r="H1367" s="1067"/>
      <c r="I1367" s="1067"/>
      <c r="J1367" s="1068"/>
    </row>
    <row r="1368" spans="1:10" ht="23.4" x14ac:dyDescent="0.3">
      <c r="A1368" s="1136"/>
      <c r="B1368" s="1137"/>
      <c r="C1368" s="1139"/>
      <c r="D1368" s="1116"/>
      <c r="E1368" s="1143" t="s">
        <v>412</v>
      </c>
      <c r="F1368" s="1144"/>
      <c r="G1368" s="1143" t="s">
        <v>411</v>
      </c>
      <c r="H1368" s="1145"/>
      <c r="I1368" s="1145"/>
      <c r="J1368" s="1144"/>
    </row>
    <row r="1369" spans="1:10" x14ac:dyDescent="0.3">
      <c r="A1369" s="1058"/>
      <c r="B1369" s="1061"/>
      <c r="C1369" s="1140"/>
      <c r="D1369" s="1116"/>
      <c r="E1369" s="1069" t="s">
        <v>413</v>
      </c>
      <c r="F1369" s="1071" t="s">
        <v>414</v>
      </c>
      <c r="G1369" s="1147" t="s">
        <v>90</v>
      </c>
      <c r="H1369" s="1149" t="s">
        <v>91</v>
      </c>
      <c r="I1369" s="1149" t="s">
        <v>91</v>
      </c>
      <c r="J1369" s="1151" t="s">
        <v>12</v>
      </c>
    </row>
    <row r="1370" spans="1:10" ht="14.4" thickBot="1" x14ac:dyDescent="0.35">
      <c r="A1370" s="1059"/>
      <c r="B1370" s="1062"/>
      <c r="C1370" s="1141"/>
      <c r="D1370" s="1117"/>
      <c r="E1370" s="1070"/>
      <c r="F1370" s="1146"/>
      <c r="G1370" s="1148"/>
      <c r="H1370" s="1150"/>
      <c r="I1370" s="1150"/>
      <c r="J1370" s="1152"/>
    </row>
    <row r="1371" spans="1:10" ht="23.4" x14ac:dyDescent="0.3">
      <c r="A1371" s="1133" t="s">
        <v>103</v>
      </c>
      <c r="B1371" s="439"/>
      <c r="C1371" s="577" t="s">
        <v>538</v>
      </c>
      <c r="D1371" s="665" t="s">
        <v>539</v>
      </c>
      <c r="E1371" s="699">
        <v>0</v>
      </c>
      <c r="F1371" s="674">
        <f>+E1371+F1277</f>
        <v>2048</v>
      </c>
      <c r="G1371" s="732">
        <v>109.77</v>
      </c>
      <c r="H1371" s="591">
        <f t="shared" ref="H1371:H1385" si="274">E1371*G1371</f>
        <v>0</v>
      </c>
      <c r="I1371" s="594">
        <f>+G1371*F1371</f>
        <v>224808.95999999999</v>
      </c>
      <c r="J1371" s="351"/>
    </row>
    <row r="1372" spans="1:10" ht="23.4" x14ac:dyDescent="0.3">
      <c r="A1372" s="1134"/>
      <c r="B1372" s="438"/>
      <c r="C1372" s="441" t="s">
        <v>264</v>
      </c>
      <c r="D1372" s="666" t="s">
        <v>265</v>
      </c>
      <c r="E1372" s="700"/>
      <c r="F1372" s="701">
        <f t="shared" ref="F1372:F1385" si="275">+E1372+F1278</f>
        <v>0</v>
      </c>
      <c r="G1372" s="697">
        <v>11</v>
      </c>
      <c r="H1372" s="592">
        <f t="shared" si="274"/>
        <v>0</v>
      </c>
      <c r="I1372" s="595">
        <f>+G1372*F1372</f>
        <v>0</v>
      </c>
      <c r="J1372" s="352"/>
    </row>
    <row r="1373" spans="1:10" ht="23.4" x14ac:dyDescent="0.3">
      <c r="A1373" s="1134"/>
      <c r="B1373" s="438"/>
      <c r="C1373" s="441" t="s">
        <v>295</v>
      </c>
      <c r="D1373" s="666" t="s">
        <v>453</v>
      </c>
      <c r="E1373" s="700"/>
      <c r="F1373" s="701">
        <f t="shared" si="275"/>
        <v>640</v>
      </c>
      <c r="G1373" s="697">
        <v>139.04</v>
      </c>
      <c r="H1373" s="592">
        <f t="shared" si="274"/>
        <v>0</v>
      </c>
      <c r="I1373" s="595">
        <f t="shared" ref="I1373:I1385" si="276">+G1373*F1373</f>
        <v>88985.599999999991</v>
      </c>
      <c r="J1373" s="352"/>
    </row>
    <row r="1374" spans="1:10" ht="23.4" x14ac:dyDescent="0.3">
      <c r="A1374" s="1134"/>
      <c r="B1374" s="438"/>
      <c r="C1374" s="441" t="s">
        <v>531</v>
      </c>
      <c r="D1374" s="666" t="s">
        <v>529</v>
      </c>
      <c r="E1374" s="700"/>
      <c r="F1374" s="701">
        <f t="shared" si="275"/>
        <v>12240</v>
      </c>
      <c r="G1374" s="715">
        <v>20.66</v>
      </c>
      <c r="H1374" s="592">
        <f t="shared" si="274"/>
        <v>0</v>
      </c>
      <c r="I1374" s="595">
        <f t="shared" si="276"/>
        <v>252878.4</v>
      </c>
      <c r="J1374" s="352"/>
    </row>
    <row r="1375" spans="1:10" ht="23.4" x14ac:dyDescent="0.3">
      <c r="A1375" s="1134"/>
      <c r="B1375" s="438"/>
      <c r="C1375" s="441" t="s">
        <v>288</v>
      </c>
      <c r="D1375" s="666" t="s">
        <v>177</v>
      </c>
      <c r="E1375" s="700"/>
      <c r="F1375" s="701">
        <f t="shared" si="275"/>
        <v>0</v>
      </c>
      <c r="G1375" s="697">
        <v>14.79</v>
      </c>
      <c r="H1375" s="592">
        <f t="shared" si="274"/>
        <v>0</v>
      </c>
      <c r="I1375" s="595">
        <f t="shared" si="276"/>
        <v>0</v>
      </c>
      <c r="J1375" s="352"/>
    </row>
    <row r="1376" spans="1:10" ht="23.4" x14ac:dyDescent="0.3">
      <c r="A1376" s="1134"/>
      <c r="B1376" s="438"/>
      <c r="C1376" s="441" t="s">
        <v>295</v>
      </c>
      <c r="D1376" s="666" t="s">
        <v>265</v>
      </c>
      <c r="E1376" s="700">
        <v>0</v>
      </c>
      <c r="F1376" s="701">
        <f t="shared" si="275"/>
        <v>5120</v>
      </c>
      <c r="G1376" s="697">
        <v>139.04</v>
      </c>
      <c r="H1376" s="592">
        <f t="shared" si="274"/>
        <v>0</v>
      </c>
      <c r="I1376" s="595">
        <f t="shared" si="276"/>
        <v>711884.79999999993</v>
      </c>
      <c r="J1376" s="352"/>
    </row>
    <row r="1377" spans="1:10" ht="23.4" x14ac:dyDescent="0.3">
      <c r="A1377" s="1134"/>
      <c r="B1377" s="438"/>
      <c r="C1377" s="441" t="s">
        <v>537</v>
      </c>
      <c r="D1377" s="666" t="s">
        <v>265</v>
      </c>
      <c r="E1377" s="700">
        <v>0</v>
      </c>
      <c r="F1377" s="701">
        <f t="shared" si="275"/>
        <v>4160</v>
      </c>
      <c r="G1377" s="697">
        <v>135.96</v>
      </c>
      <c r="H1377" s="592">
        <f t="shared" si="274"/>
        <v>0</v>
      </c>
      <c r="I1377" s="595">
        <f t="shared" si="276"/>
        <v>565593.59999999998</v>
      </c>
      <c r="J1377" s="352"/>
    </row>
    <row r="1378" spans="1:10" ht="23.4" x14ac:dyDescent="0.3">
      <c r="A1378" s="1134"/>
      <c r="B1378" s="438"/>
      <c r="C1378" s="441" t="s">
        <v>313</v>
      </c>
      <c r="D1378" s="667" t="s">
        <v>265</v>
      </c>
      <c r="E1378" s="700">
        <v>0</v>
      </c>
      <c r="F1378" s="701">
        <f t="shared" si="275"/>
        <v>58892</v>
      </c>
      <c r="G1378" s="697">
        <v>18.84</v>
      </c>
      <c r="H1378" s="592">
        <f t="shared" si="274"/>
        <v>0</v>
      </c>
      <c r="I1378" s="595">
        <f t="shared" si="276"/>
        <v>1109525.28</v>
      </c>
      <c r="J1378" s="352"/>
    </row>
    <row r="1379" spans="1:10" ht="23.4" x14ac:dyDescent="0.3">
      <c r="A1379" s="1134"/>
      <c r="B1379" s="438"/>
      <c r="C1379" s="441" t="s">
        <v>322</v>
      </c>
      <c r="D1379" s="667" t="s">
        <v>232</v>
      </c>
      <c r="E1379" s="700"/>
      <c r="F1379" s="701">
        <f t="shared" si="275"/>
        <v>0</v>
      </c>
      <c r="G1379" s="697">
        <v>21.18</v>
      </c>
      <c r="H1379" s="592">
        <f t="shared" si="274"/>
        <v>0</v>
      </c>
      <c r="I1379" s="595">
        <f t="shared" si="276"/>
        <v>0</v>
      </c>
      <c r="J1379" s="352"/>
    </row>
    <row r="1380" spans="1:10" ht="23.4" x14ac:dyDescent="0.3">
      <c r="A1380" s="1134"/>
      <c r="B1380" s="438"/>
      <c r="C1380" s="441" t="s">
        <v>324</v>
      </c>
      <c r="D1380" s="667" t="s">
        <v>325</v>
      </c>
      <c r="E1380" s="700"/>
      <c r="F1380" s="701">
        <f t="shared" si="275"/>
        <v>0</v>
      </c>
      <c r="G1380" s="697">
        <v>21.28</v>
      </c>
      <c r="H1380" s="592">
        <f t="shared" si="274"/>
        <v>0</v>
      </c>
      <c r="I1380" s="595">
        <f t="shared" si="276"/>
        <v>0</v>
      </c>
      <c r="J1380" s="352"/>
    </row>
    <row r="1381" spans="1:10" ht="23.4" x14ac:dyDescent="0.3">
      <c r="A1381" s="1134"/>
      <c r="B1381" s="438"/>
      <c r="C1381" s="441" t="s">
        <v>378</v>
      </c>
      <c r="D1381" s="667" t="s">
        <v>374</v>
      </c>
      <c r="E1381" s="700">
        <v>0</v>
      </c>
      <c r="F1381" s="701">
        <f t="shared" si="275"/>
        <v>9920</v>
      </c>
      <c r="G1381" s="697">
        <v>143.28</v>
      </c>
      <c r="H1381" s="592">
        <f t="shared" si="274"/>
        <v>0</v>
      </c>
      <c r="I1381" s="595">
        <f t="shared" si="276"/>
        <v>1421337.6000000001</v>
      </c>
      <c r="J1381" s="352"/>
    </row>
    <row r="1382" spans="1:10" ht="23.4" x14ac:dyDescent="0.3">
      <c r="A1382" s="1134"/>
      <c r="B1382" s="438"/>
      <c r="C1382" s="441" t="s">
        <v>472</v>
      </c>
      <c r="D1382" s="666" t="s">
        <v>177</v>
      </c>
      <c r="E1382" s="700">
        <v>0</v>
      </c>
      <c r="F1382" s="701">
        <f t="shared" si="275"/>
        <v>261888</v>
      </c>
      <c r="G1382" s="697">
        <v>14.79</v>
      </c>
      <c r="H1382" s="592">
        <f t="shared" si="274"/>
        <v>0</v>
      </c>
      <c r="I1382" s="595">
        <f t="shared" si="276"/>
        <v>3873323.5199999996</v>
      </c>
      <c r="J1382" s="352"/>
    </row>
    <row r="1383" spans="1:10" ht="23.4" x14ac:dyDescent="0.3">
      <c r="A1383" s="1134"/>
      <c r="B1383" s="438"/>
      <c r="C1383" s="441" t="s">
        <v>451</v>
      </c>
      <c r="D1383" s="666" t="s">
        <v>177</v>
      </c>
      <c r="E1383" s="700">
        <v>0</v>
      </c>
      <c r="F1383" s="701">
        <f t="shared" si="275"/>
        <v>498432</v>
      </c>
      <c r="G1383" s="697">
        <v>14.55</v>
      </c>
      <c r="H1383" s="592">
        <f t="shared" si="274"/>
        <v>0</v>
      </c>
      <c r="I1383" s="595">
        <f t="shared" si="276"/>
        <v>7252185.6000000006</v>
      </c>
      <c r="J1383" s="352"/>
    </row>
    <row r="1384" spans="1:10" ht="23.4" x14ac:dyDescent="0.3">
      <c r="A1384" s="1134"/>
      <c r="B1384" s="438"/>
      <c r="C1384" s="441" t="s">
        <v>327</v>
      </c>
      <c r="D1384" s="667" t="s">
        <v>188</v>
      </c>
      <c r="E1384" s="700"/>
      <c r="F1384" s="701">
        <f t="shared" si="275"/>
        <v>0</v>
      </c>
      <c r="G1384" s="697">
        <v>21.28</v>
      </c>
      <c r="H1384" s="592">
        <f t="shared" si="274"/>
        <v>0</v>
      </c>
      <c r="I1384" s="595">
        <f t="shared" si="276"/>
        <v>0</v>
      </c>
      <c r="J1384" s="352"/>
    </row>
    <row r="1385" spans="1:10" ht="24" thickBot="1" x14ac:dyDescent="0.35">
      <c r="A1385" s="1134"/>
      <c r="B1385" s="438"/>
      <c r="C1385" s="441" t="s">
        <v>295</v>
      </c>
      <c r="D1385" s="668" t="s">
        <v>539</v>
      </c>
      <c r="E1385" s="700">
        <v>1920</v>
      </c>
      <c r="F1385" s="676">
        <f t="shared" si="275"/>
        <v>1920</v>
      </c>
      <c r="G1385" s="697">
        <v>135.96</v>
      </c>
      <c r="H1385" s="592">
        <f t="shared" si="274"/>
        <v>261043.20000000001</v>
      </c>
      <c r="I1385" s="595">
        <f t="shared" si="276"/>
        <v>261043.20000000001</v>
      </c>
      <c r="J1385" s="352"/>
    </row>
    <row r="1386" spans="1:10" ht="24" thickBot="1" x14ac:dyDescent="0.35">
      <c r="A1386" s="1134"/>
      <c r="B1386" s="1129" t="s">
        <v>266</v>
      </c>
      <c r="C1386" s="1130"/>
      <c r="D1386" s="958"/>
      <c r="E1386" s="326">
        <f>SUM(E1371:E1385)</f>
        <v>1920</v>
      </c>
      <c r="F1386" s="698">
        <f>SUM(F1371:F1385)</f>
        <v>855260</v>
      </c>
      <c r="G1386" s="326"/>
      <c r="H1386" s="587">
        <f>SUM(H1371:H1385)</f>
        <v>261043.20000000001</v>
      </c>
      <c r="I1386" s="580">
        <f>SUM(I1371:I1385)</f>
        <v>15761566.559999999</v>
      </c>
      <c r="J1386" s="349"/>
    </row>
    <row r="1387" spans="1:10" ht="23.4" x14ac:dyDescent="0.3">
      <c r="A1387" s="1134"/>
      <c r="B1387" s="956"/>
      <c r="C1387" s="279" t="s">
        <v>271</v>
      </c>
      <c r="D1387" s="434" t="s">
        <v>238</v>
      </c>
      <c r="E1387" s="280">
        <v>0</v>
      </c>
      <c r="F1387" s="435">
        <f>+E1387+F1293</f>
        <v>11736</v>
      </c>
      <c r="G1387" s="578">
        <v>160.44999999999999</v>
      </c>
      <c r="H1387" s="593">
        <f t="shared" ref="H1387:H1392" si="277">E1387*G1387</f>
        <v>0</v>
      </c>
      <c r="I1387" s="596">
        <f t="shared" ref="I1387:I1392" si="278">+G1387*F1387</f>
        <v>1883041.2</v>
      </c>
      <c r="J1387" s="373"/>
    </row>
    <row r="1388" spans="1:10" ht="23.4" x14ac:dyDescent="0.3">
      <c r="A1388" s="1134"/>
      <c r="B1388" s="956"/>
      <c r="C1388" s="279" t="s">
        <v>287</v>
      </c>
      <c r="D1388" s="434" t="s">
        <v>93</v>
      </c>
      <c r="E1388" s="280">
        <v>0</v>
      </c>
      <c r="F1388" s="435">
        <f t="shared" ref="F1388:F1392" si="279">+E1388+F1294</f>
        <v>91380</v>
      </c>
      <c r="G1388" s="578">
        <v>27</v>
      </c>
      <c r="H1388" s="593">
        <f t="shared" si="277"/>
        <v>0</v>
      </c>
      <c r="I1388" s="596">
        <f t="shared" si="278"/>
        <v>2467260</v>
      </c>
      <c r="J1388" s="373"/>
    </row>
    <row r="1389" spans="1:10" ht="23.4" x14ac:dyDescent="0.3">
      <c r="A1389" s="1134"/>
      <c r="B1389" s="956"/>
      <c r="C1389" s="279" t="s">
        <v>287</v>
      </c>
      <c r="D1389" s="434" t="s">
        <v>292</v>
      </c>
      <c r="E1389" s="280"/>
      <c r="F1389" s="435">
        <f t="shared" si="279"/>
        <v>0</v>
      </c>
      <c r="G1389" s="578">
        <v>27.5</v>
      </c>
      <c r="H1389" s="593">
        <f t="shared" si="277"/>
        <v>0</v>
      </c>
      <c r="I1389" s="596">
        <f t="shared" si="278"/>
        <v>0</v>
      </c>
      <c r="J1389" s="373"/>
    </row>
    <row r="1390" spans="1:10" ht="23.4" x14ac:dyDescent="0.3">
      <c r="A1390" s="1134"/>
      <c r="B1390" s="956"/>
      <c r="C1390" s="279" t="s">
        <v>276</v>
      </c>
      <c r="D1390" s="434" t="s">
        <v>292</v>
      </c>
      <c r="E1390" s="280"/>
      <c r="F1390" s="435">
        <f t="shared" si="279"/>
        <v>0</v>
      </c>
      <c r="G1390" s="578">
        <v>34.5</v>
      </c>
      <c r="H1390" s="593">
        <f t="shared" si="277"/>
        <v>0</v>
      </c>
      <c r="I1390" s="596">
        <f t="shared" si="278"/>
        <v>0</v>
      </c>
      <c r="J1390" s="373"/>
    </row>
    <row r="1391" spans="1:10" ht="23.4" x14ac:dyDescent="0.3">
      <c r="A1391" s="1134"/>
      <c r="B1391" s="956"/>
      <c r="C1391" s="279" t="s">
        <v>473</v>
      </c>
      <c r="D1391" s="434" t="s">
        <v>440</v>
      </c>
      <c r="E1391" s="280"/>
      <c r="F1391" s="435">
        <f t="shared" si="279"/>
        <v>31200</v>
      </c>
      <c r="G1391" s="578">
        <v>10.57</v>
      </c>
      <c r="H1391" s="593">
        <f t="shared" si="277"/>
        <v>0</v>
      </c>
      <c r="I1391" s="596">
        <f t="shared" si="278"/>
        <v>329784</v>
      </c>
      <c r="J1391" s="373"/>
    </row>
    <row r="1392" spans="1:10" ht="24" thickBot="1" x14ac:dyDescent="0.35">
      <c r="A1392" s="1134"/>
      <c r="B1392" s="956"/>
      <c r="C1392" s="279" t="s">
        <v>276</v>
      </c>
      <c r="D1392" s="434" t="s">
        <v>440</v>
      </c>
      <c r="E1392" s="280"/>
      <c r="F1392" s="435">
        <f t="shared" si="279"/>
        <v>26</v>
      </c>
      <c r="G1392" s="578">
        <v>55.76</v>
      </c>
      <c r="H1392" s="593">
        <f t="shared" si="277"/>
        <v>0</v>
      </c>
      <c r="I1392" s="596">
        <f t="shared" si="278"/>
        <v>1449.76</v>
      </c>
      <c r="J1392" s="373"/>
    </row>
    <row r="1393" spans="1:10" ht="24" thickBot="1" x14ac:dyDescent="0.35">
      <c r="A1393" s="1134"/>
      <c r="B1393" s="1129" t="s">
        <v>267</v>
      </c>
      <c r="C1393" s="1130"/>
      <c r="D1393" s="958"/>
      <c r="E1393" s="326">
        <f>SUM(E1387:E1392)</f>
        <v>0</v>
      </c>
      <c r="F1393" s="326">
        <f>SUM(F1387:F1392)</f>
        <v>134342</v>
      </c>
      <c r="G1393" s="326"/>
      <c r="H1393" s="587">
        <f>SUM(H1387:H1392)</f>
        <v>0</v>
      </c>
      <c r="I1393" s="580">
        <f>SUM(I1387:I1392)</f>
        <v>4681534.96</v>
      </c>
      <c r="J1393" s="349"/>
    </row>
    <row r="1394" spans="1:10" ht="23.4" x14ac:dyDescent="0.3">
      <c r="A1394" s="1134"/>
      <c r="B1394" s="956"/>
      <c r="C1394" s="279" t="s">
        <v>277</v>
      </c>
      <c r="D1394" s="434" t="s">
        <v>278</v>
      </c>
      <c r="E1394" s="280"/>
      <c r="F1394" s="435">
        <f>+E1394+F1300</f>
        <v>5</v>
      </c>
      <c r="G1394" s="578">
        <v>2500</v>
      </c>
      <c r="H1394" s="593">
        <f t="shared" ref="H1394:H1397" si="280">E1394*G1394</f>
        <v>0</v>
      </c>
      <c r="I1394" s="596">
        <f>+G1394*F1394</f>
        <v>12500</v>
      </c>
      <c r="J1394" s="373"/>
    </row>
    <row r="1395" spans="1:10" ht="23.4" x14ac:dyDescent="0.3">
      <c r="A1395" s="1134"/>
      <c r="B1395" s="956"/>
      <c r="C1395" s="279" t="s">
        <v>454</v>
      </c>
      <c r="D1395" s="434"/>
      <c r="E1395" s="280"/>
      <c r="F1395" s="435">
        <f t="shared" ref="F1395:F1397" si="281">+E1395+F1301</f>
        <v>0</v>
      </c>
      <c r="G1395" s="578">
        <v>30000</v>
      </c>
      <c r="H1395" s="593">
        <f t="shared" si="280"/>
        <v>0</v>
      </c>
      <c r="I1395" s="596">
        <f>+G1395*F1395</f>
        <v>0</v>
      </c>
      <c r="J1395" s="373"/>
    </row>
    <row r="1396" spans="1:10" ht="23.4" x14ac:dyDescent="0.3">
      <c r="A1396" s="1134"/>
      <c r="B1396" s="956"/>
      <c r="C1396" s="279" t="s">
        <v>379</v>
      </c>
      <c r="D1396" s="434" t="s">
        <v>304</v>
      </c>
      <c r="E1396" s="280"/>
      <c r="F1396" s="435">
        <f t="shared" si="281"/>
        <v>0</v>
      </c>
      <c r="G1396" s="578">
        <v>360</v>
      </c>
      <c r="H1396" s="593">
        <f t="shared" si="280"/>
        <v>0</v>
      </c>
      <c r="I1396" s="596">
        <f>+G1396*F1396</f>
        <v>0</v>
      </c>
      <c r="J1396" s="373"/>
    </row>
    <row r="1397" spans="1:10" ht="24" thickBot="1" x14ac:dyDescent="0.35">
      <c r="A1397" s="1134"/>
      <c r="B1397" s="956"/>
      <c r="C1397" s="279" t="s">
        <v>427</v>
      </c>
      <c r="D1397" s="434" t="s">
        <v>304</v>
      </c>
      <c r="E1397" s="280"/>
      <c r="F1397" s="435">
        <f t="shared" si="281"/>
        <v>0</v>
      </c>
      <c r="G1397" s="579">
        <v>10</v>
      </c>
      <c r="H1397" s="593">
        <f t="shared" si="280"/>
        <v>0</v>
      </c>
      <c r="I1397" s="596">
        <f t="shared" ref="I1397" si="282">+G1397*F1397</f>
        <v>0</v>
      </c>
      <c r="J1397" s="373"/>
    </row>
    <row r="1398" spans="1:10" ht="24" thickBot="1" x14ac:dyDescent="0.35">
      <c r="A1398" s="1134"/>
      <c r="B1398" s="1129" t="s">
        <v>272</v>
      </c>
      <c r="C1398" s="1130"/>
      <c r="D1398" s="958"/>
      <c r="E1398" s="326">
        <f>SUM(E1394:E1397)</f>
        <v>0</v>
      </c>
      <c r="F1398" s="326">
        <f>SUM(F1394:F1397)</f>
        <v>5</v>
      </c>
      <c r="G1398" s="326"/>
      <c r="H1398" s="587">
        <f>SUM(H1394:H1397)</f>
        <v>0</v>
      </c>
      <c r="I1398" s="580">
        <f>SUM(I1394:I1397)</f>
        <v>12500</v>
      </c>
      <c r="J1398" s="373"/>
    </row>
    <row r="1399" spans="1:10" ht="24" thickBot="1" x14ac:dyDescent="0.35">
      <c r="A1399" s="1134"/>
      <c r="B1399" s="956"/>
      <c r="C1399" s="279"/>
      <c r="D1399" s="434"/>
      <c r="E1399" s="280"/>
      <c r="F1399" s="317"/>
      <c r="G1399" s="579"/>
      <c r="H1399" s="588"/>
      <c r="I1399" s="282"/>
      <c r="J1399" s="373"/>
    </row>
    <row r="1400" spans="1:10" ht="24" thickBot="1" x14ac:dyDescent="0.35">
      <c r="A1400" s="1135"/>
      <c r="B1400" s="1129" t="s">
        <v>269</v>
      </c>
      <c r="C1400" s="1130"/>
      <c r="D1400" s="954"/>
      <c r="E1400" s="326">
        <f>+E1398+E1393+E1386</f>
        <v>1920</v>
      </c>
      <c r="F1400" s="326">
        <f>+F1398+F1393+F1386</f>
        <v>989607</v>
      </c>
      <c r="G1400" s="326"/>
      <c r="H1400" s="580">
        <f>+H1393+H1386+H1398</f>
        <v>261043.20000000001</v>
      </c>
      <c r="I1400" s="580">
        <f>+I1393+I1386+I1398</f>
        <v>20455601.52</v>
      </c>
      <c r="J1400" s="373"/>
    </row>
    <row r="1401" spans="1:10" ht="23.4" x14ac:dyDescent="0.3">
      <c r="A1401" s="1133" t="s">
        <v>101</v>
      </c>
      <c r="B1401" s="956"/>
      <c r="C1401" s="279" t="s">
        <v>281</v>
      </c>
      <c r="D1401" s="434" t="s">
        <v>178</v>
      </c>
      <c r="E1401" s="280"/>
      <c r="F1401" s="435">
        <f>+E1401+F1307</f>
        <v>0</v>
      </c>
      <c r="G1401" s="602">
        <v>13.25</v>
      </c>
      <c r="H1401" s="597">
        <f t="shared" ref="H1401:H1429" si="283">E1401*G1401</f>
        <v>0</v>
      </c>
      <c r="I1401" s="596">
        <f t="shared" ref="I1401:I1429" si="284">+G1401*F1401</f>
        <v>0</v>
      </c>
      <c r="J1401" s="373"/>
    </row>
    <row r="1402" spans="1:10" ht="23.4" x14ac:dyDescent="0.3">
      <c r="A1402" s="1134"/>
      <c r="B1402" s="956"/>
      <c r="C1402" s="279" t="s">
        <v>282</v>
      </c>
      <c r="D1402" s="434"/>
      <c r="E1402" s="280"/>
      <c r="F1402" s="435">
        <f t="shared" ref="F1402:F1456" si="285">+E1402+F1308</f>
        <v>0</v>
      </c>
      <c r="G1402" s="603">
        <v>5000</v>
      </c>
      <c r="H1402" s="597">
        <f t="shared" si="283"/>
        <v>0</v>
      </c>
      <c r="I1402" s="596">
        <f t="shared" si="284"/>
        <v>0</v>
      </c>
      <c r="J1402" s="373"/>
    </row>
    <row r="1403" spans="1:10" ht="23.4" x14ac:dyDescent="0.3">
      <c r="A1403" s="1134"/>
      <c r="B1403" s="956"/>
      <c r="C1403" s="279" t="s">
        <v>282</v>
      </c>
      <c r="D1403" s="434"/>
      <c r="E1403" s="280"/>
      <c r="F1403" s="435">
        <f t="shared" si="285"/>
        <v>0</v>
      </c>
      <c r="G1403" s="603">
        <v>18000</v>
      </c>
      <c r="H1403" s="597">
        <f t="shared" si="283"/>
        <v>0</v>
      </c>
      <c r="I1403" s="596">
        <f t="shared" si="284"/>
        <v>0</v>
      </c>
      <c r="J1403" s="373"/>
    </row>
    <row r="1404" spans="1:10" ht="23.4" x14ac:dyDescent="0.3">
      <c r="A1404" s="1134"/>
      <c r="B1404" s="956"/>
      <c r="C1404" s="279" t="s">
        <v>465</v>
      </c>
      <c r="D1404" s="434" t="s">
        <v>338</v>
      </c>
      <c r="E1404" s="280"/>
      <c r="F1404" s="435">
        <f t="shared" si="285"/>
        <v>0</v>
      </c>
      <c r="G1404" s="602">
        <v>24.93</v>
      </c>
      <c r="H1404" s="597">
        <f t="shared" si="283"/>
        <v>0</v>
      </c>
      <c r="I1404" s="596">
        <f t="shared" si="284"/>
        <v>0</v>
      </c>
      <c r="J1404" s="373"/>
    </row>
    <row r="1405" spans="1:10" ht="23.4" x14ac:dyDescent="0.3">
      <c r="A1405" s="1134"/>
      <c r="B1405" s="956"/>
      <c r="C1405" s="746" t="s">
        <v>466</v>
      </c>
      <c r="D1405" s="747" t="s">
        <v>92</v>
      </c>
      <c r="E1405" s="280"/>
      <c r="F1405" s="435">
        <f t="shared" si="285"/>
        <v>0</v>
      </c>
      <c r="G1405" s="602">
        <v>20.8</v>
      </c>
      <c r="H1405" s="597">
        <f t="shared" si="283"/>
        <v>0</v>
      </c>
      <c r="I1405" s="596">
        <f t="shared" si="284"/>
        <v>0</v>
      </c>
      <c r="J1405" s="373"/>
    </row>
    <row r="1406" spans="1:10" ht="23.4" x14ac:dyDescent="0.3">
      <c r="A1406" s="1134"/>
      <c r="B1406" s="956"/>
      <c r="C1406" s="746" t="s">
        <v>467</v>
      </c>
      <c r="D1406" s="747" t="s">
        <v>567</v>
      </c>
      <c r="E1406" s="280">
        <v>0</v>
      </c>
      <c r="F1406" s="435">
        <f t="shared" si="285"/>
        <v>123318</v>
      </c>
      <c r="G1406" s="602">
        <v>26.75</v>
      </c>
      <c r="H1406" s="597">
        <f t="shared" si="283"/>
        <v>0</v>
      </c>
      <c r="I1406" s="596">
        <f t="shared" si="284"/>
        <v>3298756.5</v>
      </c>
      <c r="J1406" s="373"/>
    </row>
    <row r="1407" spans="1:10" ht="23.4" x14ac:dyDescent="0.3">
      <c r="A1407" s="1134"/>
      <c r="B1407" s="956"/>
      <c r="C1407" s="746" t="s">
        <v>467</v>
      </c>
      <c r="D1407" s="747" t="s">
        <v>540</v>
      </c>
      <c r="E1407" s="280">
        <v>0</v>
      </c>
      <c r="F1407" s="435">
        <f t="shared" si="285"/>
        <v>123318</v>
      </c>
      <c r="G1407" s="602">
        <v>25</v>
      </c>
      <c r="H1407" s="597">
        <f t="shared" si="283"/>
        <v>0</v>
      </c>
      <c r="I1407" s="596">
        <f t="shared" si="284"/>
        <v>3082950</v>
      </c>
      <c r="J1407" s="373"/>
    </row>
    <row r="1408" spans="1:10" ht="23.4" x14ac:dyDescent="0.3">
      <c r="A1408" s="1134"/>
      <c r="B1408" s="748"/>
      <c r="C1408" s="749" t="s">
        <v>469</v>
      </c>
      <c r="D1408" s="750" t="s">
        <v>309</v>
      </c>
      <c r="E1408" s="751"/>
      <c r="F1408" s="752">
        <f t="shared" si="285"/>
        <v>0</v>
      </c>
      <c r="G1408" s="753">
        <v>24.41</v>
      </c>
      <c r="H1408" s="754">
        <f t="shared" si="283"/>
        <v>0</v>
      </c>
      <c r="I1408" s="755">
        <f t="shared" si="284"/>
        <v>0</v>
      </c>
      <c r="J1408" s="756"/>
    </row>
    <row r="1409" spans="1:10" ht="23.4" x14ac:dyDescent="0.3">
      <c r="A1409" s="1134"/>
      <c r="B1409" s="956"/>
      <c r="C1409" s="279" t="s">
        <v>444</v>
      </c>
      <c r="D1409" s="434" t="s">
        <v>423</v>
      </c>
      <c r="E1409" s="280"/>
      <c r="F1409" s="435">
        <f t="shared" si="285"/>
        <v>0</v>
      </c>
      <c r="G1409" s="602">
        <v>20.76</v>
      </c>
      <c r="H1409" s="597">
        <f t="shared" si="283"/>
        <v>0</v>
      </c>
      <c r="I1409" s="596">
        <f t="shared" si="284"/>
        <v>0</v>
      </c>
      <c r="J1409" s="373"/>
    </row>
    <row r="1410" spans="1:10" ht="23.4" x14ac:dyDescent="0.3">
      <c r="A1410" s="1134"/>
      <c r="B1410" s="956"/>
      <c r="C1410" s="279" t="s">
        <v>298</v>
      </c>
      <c r="D1410" s="434" t="s">
        <v>107</v>
      </c>
      <c r="E1410" s="280"/>
      <c r="F1410" s="435">
        <f t="shared" si="285"/>
        <v>0</v>
      </c>
      <c r="G1410" s="602">
        <v>24.93</v>
      </c>
      <c r="H1410" s="597">
        <f t="shared" si="283"/>
        <v>0</v>
      </c>
      <c r="I1410" s="596">
        <f t="shared" si="284"/>
        <v>0</v>
      </c>
      <c r="J1410" s="373"/>
    </row>
    <row r="1411" spans="1:10" ht="23.4" x14ac:dyDescent="0.3">
      <c r="A1411" s="1134"/>
      <c r="B1411" s="956"/>
      <c r="C1411" s="279" t="s">
        <v>299</v>
      </c>
      <c r="D1411" s="434" t="s">
        <v>280</v>
      </c>
      <c r="E1411" s="280"/>
      <c r="F1411" s="435">
        <f t="shared" si="285"/>
        <v>0</v>
      </c>
      <c r="G1411" s="602">
        <v>24.93</v>
      </c>
      <c r="H1411" s="597">
        <f t="shared" si="283"/>
        <v>0</v>
      </c>
      <c r="I1411" s="596">
        <f t="shared" si="284"/>
        <v>0</v>
      </c>
      <c r="J1411" s="373"/>
    </row>
    <row r="1412" spans="1:10" ht="23.4" x14ac:dyDescent="0.3">
      <c r="A1412" s="1134"/>
      <c r="B1412" s="956"/>
      <c r="C1412" s="279" t="s">
        <v>425</v>
      </c>
      <c r="D1412" s="434" t="s">
        <v>309</v>
      </c>
      <c r="E1412" s="280"/>
      <c r="F1412" s="435">
        <f t="shared" si="285"/>
        <v>0</v>
      </c>
      <c r="G1412" s="602">
        <v>23.78</v>
      </c>
      <c r="H1412" s="597">
        <f t="shared" si="283"/>
        <v>0</v>
      </c>
      <c r="I1412" s="596">
        <f t="shared" si="284"/>
        <v>0</v>
      </c>
      <c r="J1412" s="373"/>
    </row>
    <row r="1413" spans="1:10" ht="23.4" x14ac:dyDescent="0.3">
      <c r="A1413" s="1134"/>
      <c r="B1413" s="956"/>
      <c r="C1413" s="279" t="s">
        <v>354</v>
      </c>
      <c r="D1413" s="434" t="s">
        <v>309</v>
      </c>
      <c r="E1413" s="280"/>
      <c r="F1413" s="435">
        <f t="shared" si="285"/>
        <v>0</v>
      </c>
      <c r="G1413" s="602">
        <v>37.4566666666</v>
      </c>
      <c r="H1413" s="597">
        <f t="shared" si="283"/>
        <v>0</v>
      </c>
      <c r="I1413" s="596">
        <f t="shared" si="284"/>
        <v>0</v>
      </c>
      <c r="J1413" s="373"/>
    </row>
    <row r="1414" spans="1:10" ht="23.4" x14ac:dyDescent="0.3">
      <c r="A1414" s="1134"/>
      <c r="B1414" s="956"/>
      <c r="C1414" s="279" t="s">
        <v>355</v>
      </c>
      <c r="D1414" s="434" t="s">
        <v>309</v>
      </c>
      <c r="E1414" s="280"/>
      <c r="F1414" s="435">
        <f t="shared" si="285"/>
        <v>0</v>
      </c>
      <c r="G1414" s="602">
        <v>37.89</v>
      </c>
      <c r="H1414" s="597">
        <f t="shared" si="283"/>
        <v>0</v>
      </c>
      <c r="I1414" s="596">
        <f t="shared" si="284"/>
        <v>0</v>
      </c>
      <c r="J1414" s="373"/>
    </row>
    <row r="1415" spans="1:10" ht="23.4" x14ac:dyDescent="0.3">
      <c r="A1415" s="1134"/>
      <c r="B1415" s="956"/>
      <c r="C1415" s="279" t="s">
        <v>461</v>
      </c>
      <c r="D1415" s="434" t="s">
        <v>92</v>
      </c>
      <c r="E1415" s="280"/>
      <c r="F1415" s="435">
        <f t="shared" si="285"/>
        <v>0</v>
      </c>
      <c r="G1415" s="602">
        <v>28.31</v>
      </c>
      <c r="H1415" s="597">
        <f t="shared" si="283"/>
        <v>0</v>
      </c>
      <c r="I1415" s="596">
        <f t="shared" si="284"/>
        <v>0</v>
      </c>
      <c r="J1415" s="373"/>
    </row>
    <row r="1416" spans="1:10" ht="23.4" x14ac:dyDescent="0.3">
      <c r="A1416" s="1134"/>
      <c r="B1416" s="956"/>
      <c r="C1416" s="279" t="s">
        <v>461</v>
      </c>
      <c r="D1416" s="434" t="s">
        <v>423</v>
      </c>
      <c r="E1416" s="280"/>
      <c r="F1416" s="435">
        <f t="shared" si="285"/>
        <v>0</v>
      </c>
      <c r="G1416" s="602">
        <v>28.88</v>
      </c>
      <c r="H1416" s="597">
        <f t="shared" si="283"/>
        <v>0</v>
      </c>
      <c r="I1416" s="596">
        <f t="shared" si="284"/>
        <v>0</v>
      </c>
      <c r="J1416" s="373"/>
    </row>
    <row r="1417" spans="1:10" ht="23.4" x14ac:dyDescent="0.3">
      <c r="A1417" s="1134"/>
      <c r="B1417" s="956"/>
      <c r="C1417" s="279" t="s">
        <v>462</v>
      </c>
      <c r="D1417" s="434" t="s">
        <v>423</v>
      </c>
      <c r="E1417" s="280"/>
      <c r="F1417" s="435">
        <f t="shared" si="285"/>
        <v>0</v>
      </c>
      <c r="G1417" s="602">
        <v>28.21</v>
      </c>
      <c r="H1417" s="597">
        <f t="shared" si="283"/>
        <v>0</v>
      </c>
      <c r="I1417" s="596">
        <f t="shared" si="284"/>
        <v>0</v>
      </c>
      <c r="J1417" s="373"/>
    </row>
    <row r="1418" spans="1:10" ht="23.4" x14ac:dyDescent="0.3">
      <c r="A1418" s="1134"/>
      <c r="B1418" s="956"/>
      <c r="C1418" s="279" t="s">
        <v>463</v>
      </c>
      <c r="D1418" s="434" t="s">
        <v>338</v>
      </c>
      <c r="E1418" s="280"/>
      <c r="F1418" s="435">
        <f t="shared" si="285"/>
        <v>0</v>
      </c>
      <c r="G1418" s="602">
        <v>39</v>
      </c>
      <c r="H1418" s="597">
        <f t="shared" si="283"/>
        <v>0</v>
      </c>
      <c r="I1418" s="596">
        <f t="shared" si="284"/>
        <v>0</v>
      </c>
      <c r="J1418" s="373"/>
    </row>
    <row r="1419" spans="1:10" ht="23.4" x14ac:dyDescent="0.3">
      <c r="A1419" s="1134"/>
      <c r="B1419" s="956"/>
      <c r="C1419" s="279" t="s">
        <v>463</v>
      </c>
      <c r="D1419" s="434" t="s">
        <v>92</v>
      </c>
      <c r="E1419" s="280"/>
      <c r="F1419" s="435">
        <f t="shared" si="285"/>
        <v>0</v>
      </c>
      <c r="G1419" s="602">
        <v>32.65</v>
      </c>
      <c r="H1419" s="597">
        <f t="shared" si="283"/>
        <v>0</v>
      </c>
      <c r="I1419" s="596">
        <f t="shared" si="284"/>
        <v>0</v>
      </c>
      <c r="J1419" s="373"/>
    </row>
    <row r="1420" spans="1:10" ht="23.4" x14ac:dyDescent="0.3">
      <c r="A1420" s="1134"/>
      <c r="B1420" s="956"/>
      <c r="C1420" s="279" t="s">
        <v>463</v>
      </c>
      <c r="D1420" s="434" t="s">
        <v>423</v>
      </c>
      <c r="E1420" s="280"/>
      <c r="F1420" s="435">
        <f t="shared" si="285"/>
        <v>0</v>
      </c>
      <c r="G1420" s="602">
        <v>33.299999999999997</v>
      </c>
      <c r="H1420" s="597">
        <f t="shared" si="283"/>
        <v>0</v>
      </c>
      <c r="I1420" s="596">
        <f t="shared" si="284"/>
        <v>0</v>
      </c>
      <c r="J1420" s="373"/>
    </row>
    <row r="1421" spans="1:10" ht="23.4" x14ac:dyDescent="0.3">
      <c r="A1421" s="1134"/>
      <c r="B1421" s="956"/>
      <c r="C1421" s="279" t="s">
        <v>299</v>
      </c>
      <c r="D1421" s="434" t="s">
        <v>279</v>
      </c>
      <c r="E1421" s="280"/>
      <c r="F1421" s="435">
        <f t="shared" si="285"/>
        <v>0</v>
      </c>
      <c r="G1421" s="602">
        <v>24.93</v>
      </c>
      <c r="H1421" s="597">
        <f t="shared" si="283"/>
        <v>0</v>
      </c>
      <c r="I1421" s="596">
        <f t="shared" si="284"/>
        <v>0</v>
      </c>
      <c r="J1421" s="373"/>
    </row>
    <row r="1422" spans="1:10" ht="23.4" x14ac:dyDescent="0.3">
      <c r="A1422" s="1134"/>
      <c r="B1422" s="956"/>
      <c r="C1422" s="279" t="s">
        <v>299</v>
      </c>
      <c r="D1422" s="434"/>
      <c r="E1422" s="280"/>
      <c r="F1422" s="435">
        <f t="shared" si="285"/>
        <v>0</v>
      </c>
      <c r="G1422" s="602">
        <v>24.93</v>
      </c>
      <c r="H1422" s="597">
        <f t="shared" si="283"/>
        <v>0</v>
      </c>
      <c r="I1422" s="596">
        <f t="shared" si="284"/>
        <v>0</v>
      </c>
      <c r="J1422" s="373"/>
    </row>
    <row r="1423" spans="1:10" ht="23.4" x14ac:dyDescent="0.3">
      <c r="A1423" s="1134"/>
      <c r="B1423" s="956"/>
      <c r="C1423" s="279" t="s">
        <v>316</v>
      </c>
      <c r="D1423" s="434" t="s">
        <v>289</v>
      </c>
      <c r="E1423" s="280"/>
      <c r="F1423" s="435">
        <f t="shared" si="285"/>
        <v>0</v>
      </c>
      <c r="G1423" s="602">
        <v>34.26</v>
      </c>
      <c r="H1423" s="597">
        <f t="shared" si="283"/>
        <v>0</v>
      </c>
      <c r="I1423" s="596">
        <f t="shared" si="284"/>
        <v>0</v>
      </c>
      <c r="J1423" s="373"/>
    </row>
    <row r="1424" spans="1:10" ht="23.4" x14ac:dyDescent="0.3">
      <c r="A1424" s="1134"/>
      <c r="B1424" s="956"/>
      <c r="C1424" s="279" t="s">
        <v>328</v>
      </c>
      <c r="D1424" s="434" t="s">
        <v>360</v>
      </c>
      <c r="E1424" s="280"/>
      <c r="F1424" s="435">
        <f t="shared" si="285"/>
        <v>0</v>
      </c>
      <c r="G1424" s="602">
        <v>37.89</v>
      </c>
      <c r="H1424" s="597">
        <f t="shared" si="283"/>
        <v>0</v>
      </c>
      <c r="I1424" s="596">
        <f t="shared" si="284"/>
        <v>0</v>
      </c>
      <c r="J1424" s="373"/>
    </row>
    <row r="1425" spans="1:10" ht="23.4" x14ac:dyDescent="0.3">
      <c r="A1425" s="1134"/>
      <c r="B1425" s="956"/>
      <c r="C1425" s="279" t="s">
        <v>363</v>
      </c>
      <c r="D1425" s="434" t="s">
        <v>338</v>
      </c>
      <c r="E1425" s="280"/>
      <c r="F1425" s="435">
        <f t="shared" si="285"/>
        <v>0</v>
      </c>
      <c r="G1425" s="602">
        <v>39</v>
      </c>
      <c r="H1425" s="597">
        <f t="shared" si="283"/>
        <v>0</v>
      </c>
      <c r="I1425" s="596">
        <f t="shared" si="284"/>
        <v>0</v>
      </c>
      <c r="J1425" s="373"/>
    </row>
    <row r="1426" spans="1:10" ht="23.4" x14ac:dyDescent="0.3">
      <c r="A1426" s="1134"/>
      <c r="B1426" s="956"/>
      <c r="C1426" s="279" t="s">
        <v>299</v>
      </c>
      <c r="D1426" s="434" t="s">
        <v>177</v>
      </c>
      <c r="E1426" s="280"/>
      <c r="F1426" s="435">
        <f t="shared" si="285"/>
        <v>0</v>
      </c>
      <c r="G1426" s="602">
        <v>21.22</v>
      </c>
      <c r="H1426" s="597">
        <f t="shared" si="283"/>
        <v>0</v>
      </c>
      <c r="I1426" s="596">
        <f t="shared" si="284"/>
        <v>0</v>
      </c>
      <c r="J1426" s="373"/>
    </row>
    <row r="1427" spans="1:10" ht="23.4" x14ac:dyDescent="0.3">
      <c r="A1427" s="1134"/>
      <c r="B1427" s="956"/>
      <c r="C1427" s="279" t="s">
        <v>298</v>
      </c>
      <c r="D1427" s="434" t="s">
        <v>177</v>
      </c>
      <c r="E1427" s="280"/>
      <c r="F1427" s="435">
        <f t="shared" si="285"/>
        <v>0</v>
      </c>
      <c r="G1427" s="602">
        <v>21.22</v>
      </c>
      <c r="H1427" s="597">
        <f t="shared" si="283"/>
        <v>0</v>
      </c>
      <c r="I1427" s="596">
        <f t="shared" si="284"/>
        <v>0</v>
      </c>
      <c r="J1427" s="373"/>
    </row>
    <row r="1428" spans="1:10" ht="23.4" x14ac:dyDescent="0.3">
      <c r="A1428" s="1134"/>
      <c r="B1428" s="956"/>
      <c r="C1428" s="279" t="s">
        <v>339</v>
      </c>
      <c r="D1428" s="434" t="s">
        <v>304</v>
      </c>
      <c r="E1428" s="280"/>
      <c r="F1428" s="435">
        <f t="shared" si="285"/>
        <v>0</v>
      </c>
      <c r="G1428" s="602">
        <v>10000</v>
      </c>
      <c r="H1428" s="597">
        <f t="shared" si="283"/>
        <v>0</v>
      </c>
      <c r="I1428" s="596">
        <f t="shared" si="284"/>
        <v>0</v>
      </c>
      <c r="J1428" s="373"/>
    </row>
    <row r="1429" spans="1:10" ht="24" thickBot="1" x14ac:dyDescent="0.35">
      <c r="A1429" s="1134"/>
      <c r="B1429" s="956"/>
      <c r="C1429" s="279" t="s">
        <v>303</v>
      </c>
      <c r="D1429" s="434" t="s">
        <v>304</v>
      </c>
      <c r="E1429" s="280"/>
      <c r="F1429" s="435">
        <f t="shared" si="285"/>
        <v>0</v>
      </c>
      <c r="G1429" s="602">
        <v>360</v>
      </c>
      <c r="H1429" s="597">
        <f t="shared" si="283"/>
        <v>0</v>
      </c>
      <c r="I1429" s="596">
        <f t="shared" si="284"/>
        <v>0</v>
      </c>
      <c r="J1429" s="373"/>
    </row>
    <row r="1430" spans="1:10" ht="24" thickBot="1" x14ac:dyDescent="0.35">
      <c r="A1430" s="1135"/>
      <c r="B1430" s="1129" t="s">
        <v>268</v>
      </c>
      <c r="C1430" s="1130"/>
      <c r="D1430" s="958"/>
      <c r="E1430" s="326">
        <f>SUM(E1401:E1429)</f>
        <v>0</v>
      </c>
      <c r="F1430" s="326">
        <f t="shared" si="285"/>
        <v>246636</v>
      </c>
      <c r="G1430" s="326"/>
      <c r="H1430" s="587">
        <f>SUM(H1401:H1429)</f>
        <v>0</v>
      </c>
      <c r="I1430" s="580">
        <f>SUM(I1401:I1429)</f>
        <v>6381706.5</v>
      </c>
      <c r="J1430" s="373"/>
    </row>
    <row r="1431" spans="1:10" ht="23.4" x14ac:dyDescent="0.3">
      <c r="A1431" s="1133" t="s">
        <v>102</v>
      </c>
      <c r="B1431" s="956"/>
      <c r="C1431" s="279" t="s">
        <v>509</v>
      </c>
      <c r="D1431" s="434" t="s">
        <v>238</v>
      </c>
      <c r="E1431" s="280">
        <v>400</v>
      </c>
      <c r="F1431" s="435">
        <f t="shared" si="285"/>
        <v>7400</v>
      </c>
      <c r="G1431" s="803">
        <v>624.26</v>
      </c>
      <c r="H1431" s="593">
        <f>E1431*G1431</f>
        <v>249704</v>
      </c>
      <c r="I1431" s="596">
        <f t="shared" ref="I1431:I1433" si="286">+G1431*F1431</f>
        <v>4619524</v>
      </c>
      <c r="J1431" s="373"/>
    </row>
    <row r="1432" spans="1:10" ht="23.4" x14ac:dyDescent="0.3">
      <c r="A1432" s="1134"/>
      <c r="B1432" s="956"/>
      <c r="C1432" s="279" t="s">
        <v>273</v>
      </c>
      <c r="D1432" s="434" t="s">
        <v>238</v>
      </c>
      <c r="E1432" s="280">
        <v>4103</v>
      </c>
      <c r="F1432" s="435">
        <f t="shared" si="285"/>
        <v>21340</v>
      </c>
      <c r="G1432" s="602">
        <v>430.02</v>
      </c>
      <c r="H1432" s="593">
        <f t="shared" ref="H1432:H1453" si="287">E1432*G1432</f>
        <v>1764372.0599999998</v>
      </c>
      <c r="I1432" s="596">
        <f t="shared" si="286"/>
        <v>9176626.7999999989</v>
      </c>
      <c r="J1432" s="373"/>
    </row>
    <row r="1433" spans="1:10" ht="23.4" x14ac:dyDescent="0.3">
      <c r="A1433" s="1134"/>
      <c r="B1433" s="956"/>
      <c r="C1433" s="279" t="s">
        <v>390</v>
      </c>
      <c r="D1433" s="434" t="s">
        <v>238</v>
      </c>
      <c r="E1433" s="280"/>
      <c r="F1433" s="435">
        <f t="shared" si="285"/>
        <v>0</v>
      </c>
      <c r="G1433" s="602">
        <v>445.38</v>
      </c>
      <c r="H1433" s="593">
        <f t="shared" si="287"/>
        <v>0</v>
      </c>
      <c r="I1433" s="596">
        <f t="shared" si="286"/>
        <v>0</v>
      </c>
      <c r="J1433" s="373"/>
    </row>
    <row r="1434" spans="1:10" ht="23.4" x14ac:dyDescent="0.3">
      <c r="A1434" s="1134"/>
      <c r="B1434" s="956"/>
      <c r="C1434" s="279" t="s">
        <v>301</v>
      </c>
      <c r="D1434" s="434" t="s">
        <v>238</v>
      </c>
      <c r="E1434" s="280"/>
      <c r="F1434" s="435">
        <f t="shared" si="285"/>
        <v>8640</v>
      </c>
      <c r="G1434" s="602">
        <v>63.55</v>
      </c>
      <c r="H1434" s="593">
        <f t="shared" si="287"/>
        <v>0</v>
      </c>
      <c r="I1434" s="596">
        <f>+G1434*F1434</f>
        <v>549072</v>
      </c>
      <c r="J1434" s="373"/>
    </row>
    <row r="1435" spans="1:10" ht="23.4" x14ac:dyDescent="0.3">
      <c r="A1435" s="1134"/>
      <c r="B1435" s="956"/>
      <c r="C1435" s="279" t="s">
        <v>514</v>
      </c>
      <c r="D1435" s="434" t="s">
        <v>238</v>
      </c>
      <c r="E1435" s="280"/>
      <c r="F1435" s="435">
        <f t="shared" si="285"/>
        <v>48300</v>
      </c>
      <c r="G1435" s="602">
        <v>71.44</v>
      </c>
      <c r="H1435" s="593">
        <f t="shared" si="287"/>
        <v>0</v>
      </c>
      <c r="I1435" s="596">
        <f>+G1435*F1435</f>
        <v>3450552</v>
      </c>
      <c r="J1435" s="373"/>
    </row>
    <row r="1436" spans="1:10" ht="23.4" x14ac:dyDescent="0.3">
      <c r="A1436" s="1134"/>
      <c r="B1436" s="956"/>
      <c r="C1436" s="279" t="s">
        <v>275</v>
      </c>
      <c r="D1436" s="434" t="s">
        <v>238</v>
      </c>
      <c r="E1436" s="280">
        <v>21840</v>
      </c>
      <c r="F1436" s="435">
        <f t="shared" si="285"/>
        <v>225804</v>
      </c>
      <c r="G1436" s="602">
        <v>71.44</v>
      </c>
      <c r="H1436" s="593">
        <f t="shared" si="287"/>
        <v>1560249.5999999999</v>
      </c>
      <c r="I1436" s="596">
        <f t="shared" ref="I1436:I1453" si="288">+G1436*F1436</f>
        <v>16131437.76</v>
      </c>
      <c r="J1436" s="373"/>
    </row>
    <row r="1437" spans="1:10" ht="23.4" x14ac:dyDescent="0.3">
      <c r="A1437" s="1134"/>
      <c r="B1437" s="956"/>
      <c r="C1437" s="279" t="s">
        <v>276</v>
      </c>
      <c r="D1437" s="434" t="s">
        <v>238</v>
      </c>
      <c r="E1437" s="280"/>
      <c r="F1437" s="435">
        <f t="shared" si="285"/>
        <v>0</v>
      </c>
      <c r="G1437" s="602">
        <v>36.5</v>
      </c>
      <c r="H1437" s="593">
        <f t="shared" si="287"/>
        <v>0</v>
      </c>
      <c r="I1437" s="596">
        <f t="shared" si="288"/>
        <v>0</v>
      </c>
      <c r="J1437" s="373"/>
    </row>
    <row r="1438" spans="1:10" ht="23.4" x14ac:dyDescent="0.3">
      <c r="A1438" s="1134"/>
      <c r="B1438" s="956"/>
      <c r="C1438" s="279" t="s">
        <v>527</v>
      </c>
      <c r="D1438" s="434" t="s">
        <v>238</v>
      </c>
      <c r="E1438" s="280">
        <v>0</v>
      </c>
      <c r="F1438" s="435">
        <f t="shared" si="285"/>
        <v>8000</v>
      </c>
      <c r="G1438" s="602">
        <v>320.35000000000002</v>
      </c>
      <c r="H1438" s="593">
        <f t="shared" si="287"/>
        <v>0</v>
      </c>
      <c r="I1438" s="596">
        <f t="shared" si="288"/>
        <v>2562800</v>
      </c>
      <c r="J1438" s="373"/>
    </row>
    <row r="1439" spans="1:10" ht="23.4" x14ac:dyDescent="0.3">
      <c r="A1439" s="1134"/>
      <c r="B1439" s="956"/>
      <c r="C1439" s="279" t="s">
        <v>285</v>
      </c>
      <c r="D1439" s="434" t="s">
        <v>238</v>
      </c>
      <c r="E1439" s="280"/>
      <c r="F1439" s="435">
        <f t="shared" si="285"/>
        <v>0</v>
      </c>
      <c r="G1439" s="602">
        <v>320.35000000000002</v>
      </c>
      <c r="H1439" s="593">
        <f t="shared" si="287"/>
        <v>0</v>
      </c>
      <c r="I1439" s="596">
        <f t="shared" si="288"/>
        <v>0</v>
      </c>
      <c r="J1439" s="373"/>
    </row>
    <row r="1440" spans="1:10" ht="23.4" x14ac:dyDescent="0.3">
      <c r="A1440" s="1134"/>
      <c r="B1440" s="956"/>
      <c r="C1440" s="279" t="s">
        <v>296</v>
      </c>
      <c r="D1440" s="434" t="s">
        <v>238</v>
      </c>
      <c r="E1440" s="280"/>
      <c r="F1440" s="435">
        <f t="shared" si="285"/>
        <v>0</v>
      </c>
      <c r="G1440" s="602">
        <v>434.41</v>
      </c>
      <c r="H1440" s="593">
        <f t="shared" si="287"/>
        <v>0</v>
      </c>
      <c r="I1440" s="596">
        <f t="shared" si="288"/>
        <v>0</v>
      </c>
      <c r="J1440" s="373"/>
    </row>
    <row r="1441" spans="1:10" ht="23.4" x14ac:dyDescent="0.3">
      <c r="A1441" s="1134"/>
      <c r="B1441" s="956"/>
      <c r="C1441" s="279" t="s">
        <v>282</v>
      </c>
      <c r="D1441" s="434" t="s">
        <v>238</v>
      </c>
      <c r="E1441" s="280"/>
      <c r="F1441" s="435">
        <f t="shared" si="285"/>
        <v>0</v>
      </c>
      <c r="G1441" s="602">
        <v>29690</v>
      </c>
      <c r="H1441" s="593">
        <f t="shared" si="287"/>
        <v>0</v>
      </c>
      <c r="I1441" s="596">
        <f t="shared" si="288"/>
        <v>0</v>
      </c>
      <c r="J1441" s="373"/>
    </row>
    <row r="1442" spans="1:10" ht="23.4" x14ac:dyDescent="0.3">
      <c r="A1442" s="1134"/>
      <c r="B1442" s="956"/>
      <c r="C1442" s="279" t="s">
        <v>282</v>
      </c>
      <c r="D1442" s="434" t="s">
        <v>238</v>
      </c>
      <c r="E1442" s="280"/>
      <c r="F1442" s="435">
        <f t="shared" si="285"/>
        <v>2</v>
      </c>
      <c r="G1442" s="602">
        <v>26445</v>
      </c>
      <c r="H1442" s="593">
        <f t="shared" si="287"/>
        <v>0</v>
      </c>
      <c r="I1442" s="596">
        <f t="shared" si="288"/>
        <v>52890</v>
      </c>
      <c r="J1442" s="373"/>
    </row>
    <row r="1443" spans="1:10" ht="23.4" x14ac:dyDescent="0.3">
      <c r="A1443" s="1134"/>
      <c r="B1443" s="956"/>
      <c r="C1443" s="279" t="s">
        <v>282</v>
      </c>
      <c r="D1443" s="434"/>
      <c r="E1443" s="280"/>
      <c r="F1443" s="435">
        <f t="shared" si="285"/>
        <v>0</v>
      </c>
      <c r="G1443" s="602">
        <v>33947.884599999998</v>
      </c>
      <c r="H1443" s="593">
        <f t="shared" si="287"/>
        <v>0</v>
      </c>
      <c r="I1443" s="596">
        <f t="shared" si="288"/>
        <v>0</v>
      </c>
      <c r="J1443" s="373"/>
    </row>
    <row r="1444" spans="1:10" ht="23.4" x14ac:dyDescent="0.3">
      <c r="A1444" s="1134"/>
      <c r="B1444" s="956"/>
      <c r="C1444" s="279" t="s">
        <v>311</v>
      </c>
      <c r="D1444" s="434" t="s">
        <v>337</v>
      </c>
      <c r="E1444" s="280"/>
      <c r="F1444" s="435">
        <f t="shared" si="285"/>
        <v>0</v>
      </c>
      <c r="G1444" s="602">
        <v>50</v>
      </c>
      <c r="H1444" s="593">
        <f t="shared" si="287"/>
        <v>0</v>
      </c>
      <c r="I1444" s="596">
        <f t="shared" si="288"/>
        <v>0</v>
      </c>
      <c r="J1444" s="373"/>
    </row>
    <row r="1445" spans="1:10" ht="23.4" x14ac:dyDescent="0.3">
      <c r="A1445" s="1134"/>
      <c r="B1445" s="956"/>
      <c r="C1445" s="279" t="s">
        <v>311</v>
      </c>
      <c r="D1445" s="434"/>
      <c r="E1445" s="280"/>
      <c r="F1445" s="435">
        <f t="shared" si="285"/>
        <v>0</v>
      </c>
      <c r="G1445" s="602">
        <v>10</v>
      </c>
      <c r="H1445" s="593">
        <f t="shared" si="287"/>
        <v>0</v>
      </c>
      <c r="I1445" s="596">
        <f t="shared" si="288"/>
        <v>0</v>
      </c>
      <c r="J1445" s="373"/>
    </row>
    <row r="1446" spans="1:10" ht="23.4" x14ac:dyDescent="0.3">
      <c r="A1446" s="1134"/>
      <c r="B1446" s="956"/>
      <c r="C1446" s="279" t="s">
        <v>329</v>
      </c>
      <c r="D1446" s="434" t="s">
        <v>370</v>
      </c>
      <c r="E1446" s="280"/>
      <c r="F1446" s="435">
        <f t="shared" si="285"/>
        <v>0</v>
      </c>
      <c r="G1446" s="602">
        <v>57.64</v>
      </c>
      <c r="H1446" s="593">
        <f t="shared" si="287"/>
        <v>0</v>
      </c>
      <c r="I1446" s="596">
        <f t="shared" si="288"/>
        <v>0</v>
      </c>
      <c r="J1446" s="373"/>
    </row>
    <row r="1447" spans="1:10" ht="23.4" x14ac:dyDescent="0.3">
      <c r="A1447" s="1134"/>
      <c r="B1447" s="956"/>
      <c r="C1447" s="279" t="s">
        <v>329</v>
      </c>
      <c r="D1447" s="434" t="s">
        <v>364</v>
      </c>
      <c r="E1447" s="280"/>
      <c r="F1447" s="435">
        <f t="shared" si="285"/>
        <v>0</v>
      </c>
      <c r="G1447" s="602">
        <v>57.64</v>
      </c>
      <c r="H1447" s="593">
        <f t="shared" si="287"/>
        <v>0</v>
      </c>
      <c r="I1447" s="596">
        <f t="shared" si="288"/>
        <v>0</v>
      </c>
      <c r="J1447" s="373"/>
    </row>
    <row r="1448" spans="1:10" ht="23.4" x14ac:dyDescent="0.3">
      <c r="A1448" s="1134"/>
      <c r="B1448" s="956"/>
      <c r="C1448" s="279" t="s">
        <v>330</v>
      </c>
      <c r="D1448" s="434" t="s">
        <v>331</v>
      </c>
      <c r="E1448" s="280"/>
      <c r="F1448" s="435">
        <f t="shared" si="285"/>
        <v>0</v>
      </c>
      <c r="G1448" s="602">
        <v>434.41</v>
      </c>
      <c r="H1448" s="593">
        <f t="shared" si="287"/>
        <v>0</v>
      </c>
      <c r="I1448" s="596">
        <f t="shared" si="288"/>
        <v>0</v>
      </c>
      <c r="J1448" s="373"/>
    </row>
    <row r="1449" spans="1:10" ht="23.4" x14ac:dyDescent="0.3">
      <c r="A1449" s="1134"/>
      <c r="B1449" s="956"/>
      <c r="C1449" s="279" t="s">
        <v>343</v>
      </c>
      <c r="D1449" s="434" t="s">
        <v>238</v>
      </c>
      <c r="E1449" s="280"/>
      <c r="F1449" s="435">
        <f t="shared" si="285"/>
        <v>0</v>
      </c>
      <c r="G1449" s="602">
        <v>624.26</v>
      </c>
      <c r="H1449" s="593">
        <f t="shared" si="287"/>
        <v>0</v>
      </c>
      <c r="I1449" s="596">
        <f t="shared" si="288"/>
        <v>0</v>
      </c>
      <c r="J1449" s="373"/>
    </row>
    <row r="1450" spans="1:10" ht="23.4" x14ac:dyDescent="0.3">
      <c r="A1450" s="1134"/>
      <c r="B1450" s="956"/>
      <c r="C1450" s="279" t="s">
        <v>332</v>
      </c>
      <c r="D1450" s="434" t="s">
        <v>331</v>
      </c>
      <c r="E1450" s="280"/>
      <c r="F1450" s="435">
        <f t="shared" si="285"/>
        <v>0</v>
      </c>
      <c r="G1450" s="602">
        <v>63.55</v>
      </c>
      <c r="H1450" s="593">
        <f t="shared" si="287"/>
        <v>0</v>
      </c>
      <c r="I1450" s="596">
        <f t="shared" si="288"/>
        <v>0</v>
      </c>
      <c r="J1450" s="373"/>
    </row>
    <row r="1451" spans="1:10" ht="23.4" x14ac:dyDescent="0.3">
      <c r="A1451" s="1134"/>
      <c r="B1451" s="956"/>
      <c r="C1451" s="279" t="s">
        <v>559</v>
      </c>
      <c r="D1451" s="434" t="s">
        <v>238</v>
      </c>
      <c r="E1451" s="280">
        <v>0</v>
      </c>
      <c r="F1451" s="435">
        <f t="shared" si="285"/>
        <v>30000</v>
      </c>
      <c r="G1451" s="602">
        <v>59.96</v>
      </c>
      <c r="H1451" s="593">
        <f t="shared" si="287"/>
        <v>0</v>
      </c>
      <c r="I1451" s="596">
        <f t="shared" si="288"/>
        <v>1798800</v>
      </c>
      <c r="J1451" s="373"/>
    </row>
    <row r="1452" spans="1:10" ht="23.4" x14ac:dyDescent="0.3">
      <c r="A1452" s="1134"/>
      <c r="B1452" s="956"/>
      <c r="C1452" s="279" t="s">
        <v>419</v>
      </c>
      <c r="D1452" s="434" t="s">
        <v>331</v>
      </c>
      <c r="E1452" s="280"/>
      <c r="F1452" s="435">
        <f t="shared" si="285"/>
        <v>0</v>
      </c>
      <c r="G1452" s="602">
        <v>53.86</v>
      </c>
      <c r="H1452" s="593">
        <f t="shared" si="287"/>
        <v>0</v>
      </c>
      <c r="I1452" s="596">
        <f t="shared" si="288"/>
        <v>0</v>
      </c>
      <c r="J1452" s="373"/>
    </row>
    <row r="1453" spans="1:10" ht="23.4" x14ac:dyDescent="0.3">
      <c r="A1453" s="1134"/>
      <c r="B1453" s="956"/>
      <c r="C1453" s="279" t="s">
        <v>379</v>
      </c>
      <c r="D1453" s="434"/>
      <c r="E1453" s="280"/>
      <c r="F1453" s="435">
        <f t="shared" si="285"/>
        <v>0</v>
      </c>
      <c r="G1453" s="602">
        <v>360</v>
      </c>
      <c r="H1453" s="593">
        <f t="shared" si="287"/>
        <v>0</v>
      </c>
      <c r="I1453" s="596">
        <f t="shared" si="288"/>
        <v>0</v>
      </c>
      <c r="J1453" s="373"/>
    </row>
    <row r="1454" spans="1:10" ht="23.4" x14ac:dyDescent="0.3">
      <c r="A1454" s="1134"/>
      <c r="B1454" s="956"/>
      <c r="C1454" s="279" t="s">
        <v>471</v>
      </c>
      <c r="D1454" s="434"/>
      <c r="E1454" s="280"/>
      <c r="F1454" s="435">
        <f t="shared" si="285"/>
        <v>0</v>
      </c>
      <c r="G1454" s="602"/>
      <c r="H1454" s="593">
        <f>+E1454</f>
        <v>0</v>
      </c>
      <c r="I1454" s="596">
        <f>+H1454</f>
        <v>0</v>
      </c>
      <c r="J1454" s="373"/>
    </row>
    <row r="1455" spans="1:10" ht="23.4" x14ac:dyDescent="0.3">
      <c r="A1455" s="1134"/>
      <c r="B1455" s="956"/>
      <c r="C1455" s="279" t="s">
        <v>282</v>
      </c>
      <c r="D1455" s="434"/>
      <c r="E1455" s="280"/>
      <c r="F1455" s="435">
        <f t="shared" si="285"/>
        <v>0</v>
      </c>
      <c r="G1455" s="602">
        <v>39450</v>
      </c>
      <c r="H1455" s="593">
        <f t="shared" ref="H1455:H1456" si="289">E1455*G1455</f>
        <v>0</v>
      </c>
      <c r="I1455" s="596">
        <f t="shared" ref="I1455:I1456" si="290">+G1455*F1455</f>
        <v>0</v>
      </c>
      <c r="J1455" s="373"/>
    </row>
    <row r="1456" spans="1:10" ht="24" thickBot="1" x14ac:dyDescent="0.35">
      <c r="A1456" s="1134"/>
      <c r="B1456" s="956"/>
      <c r="C1456" s="279" t="s">
        <v>329</v>
      </c>
      <c r="D1456" s="434" t="s">
        <v>443</v>
      </c>
      <c r="E1456" s="280"/>
      <c r="F1456" s="435">
        <f t="shared" si="285"/>
        <v>0</v>
      </c>
      <c r="G1456" s="602">
        <v>57.64</v>
      </c>
      <c r="H1456" s="593">
        <f t="shared" si="289"/>
        <v>0</v>
      </c>
      <c r="I1456" s="596">
        <f t="shared" si="290"/>
        <v>0</v>
      </c>
      <c r="J1456" s="373"/>
    </row>
    <row r="1457" spans="1:10" ht="24" thickBot="1" x14ac:dyDescent="0.35">
      <c r="A1457" s="1135"/>
      <c r="B1457" s="1129" t="s">
        <v>270</v>
      </c>
      <c r="C1457" s="1130"/>
      <c r="D1457" s="958"/>
      <c r="E1457" s="326">
        <f>SUM(E1431:E1456)</f>
        <v>26343</v>
      </c>
      <c r="F1457" s="326">
        <f>SUM(F1431:F1456)</f>
        <v>349486</v>
      </c>
      <c r="G1457" s="326"/>
      <c r="H1457" s="590">
        <f>SUM(H1431:H1456)</f>
        <v>3574325.6599999997</v>
      </c>
      <c r="I1457" s="580">
        <f>SUM(I1431:I1456)</f>
        <v>38341702.559999995</v>
      </c>
      <c r="J1457" s="372"/>
    </row>
    <row r="1458" spans="1:10" ht="24" thickBot="1" x14ac:dyDescent="0.35">
      <c r="A1458" s="961"/>
      <c r="B1458" s="437"/>
      <c r="C1458" s="279" t="s">
        <v>379</v>
      </c>
      <c r="D1458" s="434"/>
      <c r="E1458" s="280"/>
      <c r="F1458" s="281">
        <f>+E1458</f>
        <v>0</v>
      </c>
      <c r="G1458" s="334"/>
      <c r="H1458" s="589">
        <f t="shared" ref="H1458" si="291">E1458*G1458</f>
        <v>0</v>
      </c>
      <c r="I1458" s="282">
        <f t="shared" ref="I1458" si="292">+G1458*F1458</f>
        <v>0</v>
      </c>
      <c r="J1458" s="373"/>
    </row>
    <row r="1459" spans="1:10" ht="24" thickBot="1" x14ac:dyDescent="0.35">
      <c r="A1459" s="961"/>
      <c r="B1459" s="1129" t="s">
        <v>224</v>
      </c>
      <c r="C1459" s="1130"/>
      <c r="D1459" s="954"/>
      <c r="E1459" s="326"/>
      <c r="F1459" s="327"/>
      <c r="G1459" s="326"/>
      <c r="H1459" s="587"/>
      <c r="I1459" s="324">
        <f>SUM(I1458)</f>
        <v>0</v>
      </c>
      <c r="J1459" s="349"/>
    </row>
    <row r="1460" spans="1:10" ht="24.6" thickBot="1" x14ac:dyDescent="0.35">
      <c r="A1460" s="319"/>
      <c r="B1460" s="1131" t="s">
        <v>174</v>
      </c>
      <c r="C1460" s="1132"/>
      <c r="D1460" s="955"/>
      <c r="E1460" s="374">
        <f>+E1457+E1430+E1400+E1398</f>
        <v>28263</v>
      </c>
      <c r="F1460" s="374">
        <f>+F1457+F1430+F1400+F1398</f>
        <v>1585734</v>
      </c>
      <c r="G1460" s="374"/>
      <c r="H1460" s="374"/>
      <c r="I1460" s="374">
        <f>+I1457+I1430+I1400+I1459</f>
        <v>65179010.579999998</v>
      </c>
      <c r="J1460" s="375"/>
    </row>
    <row r="1461" spans="1:10" ht="23.4" x14ac:dyDescent="0.3">
      <c r="A1461" s="1057" t="s">
        <v>1</v>
      </c>
      <c r="B1461" s="1060" t="s">
        <v>2</v>
      </c>
      <c r="C1461" s="1138" t="s">
        <v>396</v>
      </c>
      <c r="D1461" s="1115" t="s">
        <v>397</v>
      </c>
      <c r="E1461" s="1142" t="s">
        <v>572</v>
      </c>
      <c r="F1461" s="1067"/>
      <c r="G1461" s="1067"/>
      <c r="H1461" s="1067"/>
      <c r="I1461" s="1067"/>
      <c r="J1461" s="1068"/>
    </row>
    <row r="1462" spans="1:10" ht="23.4" x14ac:dyDescent="0.3">
      <c r="A1462" s="1136"/>
      <c r="B1462" s="1137"/>
      <c r="C1462" s="1139"/>
      <c r="D1462" s="1116"/>
      <c r="E1462" s="1143" t="s">
        <v>412</v>
      </c>
      <c r="F1462" s="1144"/>
      <c r="G1462" s="1143" t="s">
        <v>411</v>
      </c>
      <c r="H1462" s="1145"/>
      <c r="I1462" s="1145"/>
      <c r="J1462" s="1144"/>
    </row>
    <row r="1463" spans="1:10" x14ac:dyDescent="0.3">
      <c r="A1463" s="1058"/>
      <c r="B1463" s="1061"/>
      <c r="C1463" s="1140"/>
      <c r="D1463" s="1116"/>
      <c r="E1463" s="1069" t="s">
        <v>413</v>
      </c>
      <c r="F1463" s="1071" t="s">
        <v>414</v>
      </c>
      <c r="G1463" s="1147" t="s">
        <v>90</v>
      </c>
      <c r="H1463" s="1149" t="s">
        <v>91</v>
      </c>
      <c r="I1463" s="1149" t="s">
        <v>91</v>
      </c>
      <c r="J1463" s="1151" t="s">
        <v>12</v>
      </c>
    </row>
    <row r="1464" spans="1:10" ht="14.4" thickBot="1" x14ac:dyDescent="0.35">
      <c r="A1464" s="1059"/>
      <c r="B1464" s="1062"/>
      <c r="C1464" s="1141"/>
      <c r="D1464" s="1117"/>
      <c r="E1464" s="1070"/>
      <c r="F1464" s="1146"/>
      <c r="G1464" s="1148"/>
      <c r="H1464" s="1150"/>
      <c r="I1464" s="1150"/>
      <c r="J1464" s="1152"/>
    </row>
    <row r="1465" spans="1:10" ht="23.4" x14ac:dyDescent="0.3">
      <c r="A1465" s="1133" t="s">
        <v>103</v>
      </c>
      <c r="B1465" s="439"/>
      <c r="C1465" s="577" t="s">
        <v>538</v>
      </c>
      <c r="D1465" s="665" t="s">
        <v>539</v>
      </c>
      <c r="E1465" s="699">
        <v>0</v>
      </c>
      <c r="F1465" s="674">
        <f>+E1465+F1371</f>
        <v>2048</v>
      </c>
      <c r="G1465" s="732">
        <v>109.77</v>
      </c>
      <c r="H1465" s="591">
        <f t="shared" ref="H1465:H1479" si="293">E1465*G1465</f>
        <v>0</v>
      </c>
      <c r="I1465" s="594">
        <f>+G1465*F1465</f>
        <v>224808.95999999999</v>
      </c>
      <c r="J1465" s="351"/>
    </row>
    <row r="1466" spans="1:10" ht="23.4" x14ac:dyDescent="0.3">
      <c r="A1466" s="1134"/>
      <c r="B1466" s="438"/>
      <c r="C1466" s="441" t="s">
        <v>264</v>
      </c>
      <c r="D1466" s="666" t="s">
        <v>265</v>
      </c>
      <c r="E1466" s="700"/>
      <c r="F1466" s="701">
        <f t="shared" ref="F1466:F1479" si="294">+E1466+F1372</f>
        <v>0</v>
      </c>
      <c r="G1466" s="697">
        <v>11</v>
      </c>
      <c r="H1466" s="592">
        <f t="shared" si="293"/>
        <v>0</v>
      </c>
      <c r="I1466" s="595">
        <f>+G1466*F1466</f>
        <v>0</v>
      </c>
      <c r="J1466" s="352"/>
    </row>
    <row r="1467" spans="1:10" ht="23.4" x14ac:dyDescent="0.3">
      <c r="A1467" s="1134"/>
      <c r="B1467" s="438"/>
      <c r="C1467" s="441" t="s">
        <v>295</v>
      </c>
      <c r="D1467" s="666" t="s">
        <v>453</v>
      </c>
      <c r="E1467" s="700"/>
      <c r="F1467" s="701">
        <f t="shared" si="294"/>
        <v>640</v>
      </c>
      <c r="G1467" s="697">
        <v>139.04</v>
      </c>
      <c r="H1467" s="592">
        <f t="shared" si="293"/>
        <v>0</v>
      </c>
      <c r="I1467" s="595">
        <f t="shared" ref="I1467:I1479" si="295">+G1467*F1467</f>
        <v>88985.599999999991</v>
      </c>
      <c r="J1467" s="352"/>
    </row>
    <row r="1468" spans="1:10" ht="23.4" x14ac:dyDescent="0.3">
      <c r="A1468" s="1134"/>
      <c r="B1468" s="438"/>
      <c r="C1468" s="441" t="s">
        <v>531</v>
      </c>
      <c r="D1468" s="666" t="s">
        <v>529</v>
      </c>
      <c r="E1468" s="700"/>
      <c r="F1468" s="701">
        <f t="shared" si="294"/>
        <v>12240</v>
      </c>
      <c r="G1468" s="715">
        <v>20.66</v>
      </c>
      <c r="H1468" s="592">
        <f t="shared" si="293"/>
        <v>0</v>
      </c>
      <c r="I1468" s="595">
        <f t="shared" si="295"/>
        <v>252878.4</v>
      </c>
      <c r="J1468" s="352"/>
    </row>
    <row r="1469" spans="1:10" ht="23.4" x14ac:dyDescent="0.3">
      <c r="A1469" s="1134"/>
      <c r="B1469" s="438"/>
      <c r="C1469" s="441" t="s">
        <v>288</v>
      </c>
      <c r="D1469" s="666" t="s">
        <v>177</v>
      </c>
      <c r="E1469" s="700"/>
      <c r="F1469" s="701">
        <f t="shared" si="294"/>
        <v>0</v>
      </c>
      <c r="G1469" s="697">
        <v>14.79</v>
      </c>
      <c r="H1469" s="592">
        <f t="shared" si="293"/>
        <v>0</v>
      </c>
      <c r="I1469" s="595">
        <f t="shared" si="295"/>
        <v>0</v>
      </c>
      <c r="J1469" s="352"/>
    </row>
    <row r="1470" spans="1:10" ht="23.4" x14ac:dyDescent="0.3">
      <c r="A1470" s="1134"/>
      <c r="B1470" s="438"/>
      <c r="C1470" s="441" t="s">
        <v>295</v>
      </c>
      <c r="D1470" s="666" t="s">
        <v>265</v>
      </c>
      <c r="E1470" s="700">
        <v>0</v>
      </c>
      <c r="F1470" s="701">
        <f t="shared" si="294"/>
        <v>5120</v>
      </c>
      <c r="G1470" s="697">
        <v>139.04</v>
      </c>
      <c r="H1470" s="592">
        <f t="shared" si="293"/>
        <v>0</v>
      </c>
      <c r="I1470" s="595">
        <f t="shared" si="295"/>
        <v>711884.79999999993</v>
      </c>
      <c r="J1470" s="352"/>
    </row>
    <row r="1471" spans="1:10" ht="23.4" x14ac:dyDescent="0.3">
      <c r="A1471" s="1134"/>
      <c r="B1471" s="438"/>
      <c r="C1471" s="441" t="s">
        <v>537</v>
      </c>
      <c r="D1471" s="666" t="s">
        <v>265</v>
      </c>
      <c r="E1471" s="700">
        <v>0</v>
      </c>
      <c r="F1471" s="701">
        <f t="shared" si="294"/>
        <v>4160</v>
      </c>
      <c r="G1471" s="697">
        <v>135.96</v>
      </c>
      <c r="H1471" s="592">
        <f t="shared" si="293"/>
        <v>0</v>
      </c>
      <c r="I1471" s="595">
        <f t="shared" si="295"/>
        <v>565593.59999999998</v>
      </c>
      <c r="J1471" s="352"/>
    </row>
    <row r="1472" spans="1:10" ht="23.4" x14ac:dyDescent="0.3">
      <c r="A1472" s="1134"/>
      <c r="B1472" s="438"/>
      <c r="C1472" s="441" t="s">
        <v>313</v>
      </c>
      <c r="D1472" s="667" t="s">
        <v>265</v>
      </c>
      <c r="E1472" s="700">
        <v>0</v>
      </c>
      <c r="F1472" s="701">
        <f t="shared" si="294"/>
        <v>58892</v>
      </c>
      <c r="G1472" s="697">
        <v>18.84</v>
      </c>
      <c r="H1472" s="592">
        <f t="shared" si="293"/>
        <v>0</v>
      </c>
      <c r="I1472" s="595">
        <f t="shared" si="295"/>
        <v>1109525.28</v>
      </c>
      <c r="J1472" s="352"/>
    </row>
    <row r="1473" spans="1:10" ht="23.4" x14ac:dyDescent="0.3">
      <c r="A1473" s="1134"/>
      <c r="B1473" s="438"/>
      <c r="C1473" s="441" t="s">
        <v>322</v>
      </c>
      <c r="D1473" s="667" t="s">
        <v>232</v>
      </c>
      <c r="E1473" s="700"/>
      <c r="F1473" s="701">
        <f t="shared" si="294"/>
        <v>0</v>
      </c>
      <c r="G1473" s="697">
        <v>21.18</v>
      </c>
      <c r="H1473" s="592">
        <f t="shared" si="293"/>
        <v>0</v>
      </c>
      <c r="I1473" s="595">
        <f t="shared" si="295"/>
        <v>0</v>
      </c>
      <c r="J1473" s="352"/>
    </row>
    <row r="1474" spans="1:10" ht="23.4" x14ac:dyDescent="0.3">
      <c r="A1474" s="1134"/>
      <c r="B1474" s="438"/>
      <c r="C1474" s="441" t="s">
        <v>324</v>
      </c>
      <c r="D1474" s="667" t="s">
        <v>325</v>
      </c>
      <c r="E1474" s="700"/>
      <c r="F1474" s="701">
        <f t="shared" si="294"/>
        <v>0</v>
      </c>
      <c r="G1474" s="697">
        <v>21.28</v>
      </c>
      <c r="H1474" s="592">
        <f t="shared" si="293"/>
        <v>0</v>
      </c>
      <c r="I1474" s="595">
        <f t="shared" si="295"/>
        <v>0</v>
      </c>
      <c r="J1474" s="352"/>
    </row>
    <row r="1475" spans="1:10" ht="23.4" x14ac:dyDescent="0.3">
      <c r="A1475" s="1134"/>
      <c r="B1475" s="438"/>
      <c r="C1475" s="441" t="s">
        <v>378</v>
      </c>
      <c r="D1475" s="667" t="s">
        <v>374</v>
      </c>
      <c r="E1475" s="700">
        <v>0</v>
      </c>
      <c r="F1475" s="701">
        <f t="shared" si="294"/>
        <v>9920</v>
      </c>
      <c r="G1475" s="697">
        <v>143.28</v>
      </c>
      <c r="H1475" s="592">
        <f t="shared" si="293"/>
        <v>0</v>
      </c>
      <c r="I1475" s="595">
        <f t="shared" si="295"/>
        <v>1421337.6000000001</v>
      </c>
      <c r="J1475" s="352"/>
    </row>
    <row r="1476" spans="1:10" ht="23.4" x14ac:dyDescent="0.3">
      <c r="A1476" s="1134"/>
      <c r="B1476" s="438"/>
      <c r="C1476" s="441" t="s">
        <v>472</v>
      </c>
      <c r="D1476" s="666" t="s">
        <v>177</v>
      </c>
      <c r="E1476" s="700">
        <v>0</v>
      </c>
      <c r="F1476" s="701">
        <f t="shared" si="294"/>
        <v>261888</v>
      </c>
      <c r="G1476" s="697">
        <v>14.79</v>
      </c>
      <c r="H1476" s="592">
        <f t="shared" si="293"/>
        <v>0</v>
      </c>
      <c r="I1476" s="595">
        <f t="shared" si="295"/>
        <v>3873323.5199999996</v>
      </c>
      <c r="J1476" s="352"/>
    </row>
    <row r="1477" spans="1:10" ht="23.4" x14ac:dyDescent="0.3">
      <c r="A1477" s="1134"/>
      <c r="B1477" s="438"/>
      <c r="C1477" s="441" t="s">
        <v>451</v>
      </c>
      <c r="D1477" s="666" t="s">
        <v>177</v>
      </c>
      <c r="E1477" s="700">
        <v>0</v>
      </c>
      <c r="F1477" s="701">
        <f t="shared" si="294"/>
        <v>498432</v>
      </c>
      <c r="G1477" s="697">
        <v>14.55</v>
      </c>
      <c r="H1477" s="592">
        <f t="shared" si="293"/>
        <v>0</v>
      </c>
      <c r="I1477" s="595">
        <f t="shared" si="295"/>
        <v>7252185.6000000006</v>
      </c>
      <c r="J1477" s="352"/>
    </row>
    <row r="1478" spans="1:10" ht="23.4" x14ac:dyDescent="0.3">
      <c r="A1478" s="1134"/>
      <c r="B1478" s="438"/>
      <c r="C1478" s="441" t="s">
        <v>327</v>
      </c>
      <c r="D1478" s="667" t="s">
        <v>188</v>
      </c>
      <c r="E1478" s="700"/>
      <c r="F1478" s="701">
        <f t="shared" si="294"/>
        <v>0</v>
      </c>
      <c r="G1478" s="697">
        <v>21.28</v>
      </c>
      <c r="H1478" s="592">
        <f t="shared" si="293"/>
        <v>0</v>
      </c>
      <c r="I1478" s="595">
        <f t="shared" si="295"/>
        <v>0</v>
      </c>
      <c r="J1478" s="352"/>
    </row>
    <row r="1479" spans="1:10" ht="24" thickBot="1" x14ac:dyDescent="0.35">
      <c r="A1479" s="1134"/>
      <c r="B1479" s="438"/>
      <c r="C1479" s="441" t="s">
        <v>295</v>
      </c>
      <c r="D1479" s="668" t="s">
        <v>539</v>
      </c>
      <c r="E1479" s="700">
        <v>0</v>
      </c>
      <c r="F1479" s="676">
        <f t="shared" si="294"/>
        <v>1920</v>
      </c>
      <c r="G1479" s="697">
        <v>135.96</v>
      </c>
      <c r="H1479" s="592">
        <f t="shared" si="293"/>
        <v>0</v>
      </c>
      <c r="I1479" s="595">
        <f t="shared" si="295"/>
        <v>261043.20000000001</v>
      </c>
      <c r="J1479" s="352"/>
    </row>
    <row r="1480" spans="1:10" ht="24" thickBot="1" x14ac:dyDescent="0.35">
      <c r="A1480" s="1134"/>
      <c r="B1480" s="1129" t="s">
        <v>266</v>
      </c>
      <c r="C1480" s="1130"/>
      <c r="D1480" s="966"/>
      <c r="E1480" s="326">
        <f>SUM(E1465:E1479)</f>
        <v>0</v>
      </c>
      <c r="F1480" s="698">
        <f>SUM(F1465:F1479)</f>
        <v>855260</v>
      </c>
      <c r="G1480" s="326"/>
      <c r="H1480" s="587">
        <f>SUM(H1465:H1479)</f>
        <v>0</v>
      </c>
      <c r="I1480" s="580">
        <f>SUM(I1465:I1479)</f>
        <v>15761566.559999999</v>
      </c>
      <c r="J1480" s="349"/>
    </row>
    <row r="1481" spans="1:10" ht="23.4" x14ac:dyDescent="0.3">
      <c r="A1481" s="1134"/>
      <c r="B1481" s="964"/>
      <c r="C1481" s="279" t="s">
        <v>271</v>
      </c>
      <c r="D1481" s="434" t="s">
        <v>238</v>
      </c>
      <c r="E1481" s="280">
        <v>0</v>
      </c>
      <c r="F1481" s="435">
        <f>+E1481+F1387</f>
        <v>11736</v>
      </c>
      <c r="G1481" s="578">
        <v>160.44999999999999</v>
      </c>
      <c r="H1481" s="593">
        <f t="shared" ref="H1481:H1486" si="296">E1481*G1481</f>
        <v>0</v>
      </c>
      <c r="I1481" s="596">
        <f t="shared" ref="I1481:I1486" si="297">+G1481*F1481</f>
        <v>1883041.2</v>
      </c>
      <c r="J1481" s="373"/>
    </row>
    <row r="1482" spans="1:10" ht="23.4" x14ac:dyDescent="0.3">
      <c r="A1482" s="1134"/>
      <c r="B1482" s="964"/>
      <c r="C1482" s="279" t="s">
        <v>287</v>
      </c>
      <c r="D1482" s="434" t="s">
        <v>93</v>
      </c>
      <c r="E1482" s="280">
        <v>0</v>
      </c>
      <c r="F1482" s="435">
        <f t="shared" ref="F1482:F1486" si="298">+E1482+F1388</f>
        <v>91380</v>
      </c>
      <c r="G1482" s="578">
        <v>27</v>
      </c>
      <c r="H1482" s="593">
        <f t="shared" si="296"/>
        <v>0</v>
      </c>
      <c r="I1482" s="596">
        <f t="shared" si="297"/>
        <v>2467260</v>
      </c>
      <c r="J1482" s="373"/>
    </row>
    <row r="1483" spans="1:10" ht="23.4" x14ac:dyDescent="0.3">
      <c r="A1483" s="1134"/>
      <c r="B1483" s="964"/>
      <c r="C1483" s="279" t="s">
        <v>287</v>
      </c>
      <c r="D1483" s="434" t="s">
        <v>292</v>
      </c>
      <c r="E1483" s="280"/>
      <c r="F1483" s="435">
        <f t="shared" si="298"/>
        <v>0</v>
      </c>
      <c r="G1483" s="578">
        <v>27.5</v>
      </c>
      <c r="H1483" s="593">
        <f t="shared" si="296"/>
        <v>0</v>
      </c>
      <c r="I1483" s="596">
        <f t="shared" si="297"/>
        <v>0</v>
      </c>
      <c r="J1483" s="373"/>
    </row>
    <row r="1484" spans="1:10" ht="23.4" x14ac:dyDescent="0.3">
      <c r="A1484" s="1134"/>
      <c r="B1484" s="964"/>
      <c r="C1484" s="279" t="s">
        <v>276</v>
      </c>
      <c r="D1484" s="434" t="s">
        <v>292</v>
      </c>
      <c r="E1484" s="280"/>
      <c r="F1484" s="435">
        <f t="shared" si="298"/>
        <v>0</v>
      </c>
      <c r="G1484" s="578">
        <v>34.5</v>
      </c>
      <c r="H1484" s="593">
        <f t="shared" si="296"/>
        <v>0</v>
      </c>
      <c r="I1484" s="596">
        <f t="shared" si="297"/>
        <v>0</v>
      </c>
      <c r="J1484" s="373"/>
    </row>
    <row r="1485" spans="1:10" ht="23.4" x14ac:dyDescent="0.3">
      <c r="A1485" s="1134"/>
      <c r="B1485" s="964"/>
      <c r="C1485" s="279" t="s">
        <v>473</v>
      </c>
      <c r="D1485" s="434" t="s">
        <v>440</v>
      </c>
      <c r="E1485" s="280"/>
      <c r="F1485" s="435">
        <f t="shared" si="298"/>
        <v>31200</v>
      </c>
      <c r="G1485" s="578">
        <v>10.57</v>
      </c>
      <c r="H1485" s="593">
        <f t="shared" si="296"/>
        <v>0</v>
      </c>
      <c r="I1485" s="596">
        <f t="shared" si="297"/>
        <v>329784</v>
      </c>
      <c r="J1485" s="373"/>
    </row>
    <row r="1486" spans="1:10" ht="24" thickBot="1" x14ac:dyDescent="0.35">
      <c r="A1486" s="1134"/>
      <c r="B1486" s="964"/>
      <c r="C1486" s="279" t="s">
        <v>276</v>
      </c>
      <c r="D1486" s="434" t="s">
        <v>440</v>
      </c>
      <c r="E1486" s="280"/>
      <c r="F1486" s="435">
        <f t="shared" si="298"/>
        <v>26</v>
      </c>
      <c r="G1486" s="578">
        <v>55.76</v>
      </c>
      <c r="H1486" s="593">
        <f t="shared" si="296"/>
        <v>0</v>
      </c>
      <c r="I1486" s="596">
        <f t="shared" si="297"/>
        <v>1449.76</v>
      </c>
      <c r="J1486" s="373"/>
    </row>
    <row r="1487" spans="1:10" ht="24" thickBot="1" x14ac:dyDescent="0.35">
      <c r="A1487" s="1134"/>
      <c r="B1487" s="1129" t="s">
        <v>267</v>
      </c>
      <c r="C1487" s="1130"/>
      <c r="D1487" s="966"/>
      <c r="E1487" s="326">
        <f>SUM(E1481:E1486)</f>
        <v>0</v>
      </c>
      <c r="F1487" s="326">
        <f>SUM(F1481:F1486)</f>
        <v>134342</v>
      </c>
      <c r="G1487" s="326"/>
      <c r="H1487" s="587">
        <f>SUM(H1481:H1486)</f>
        <v>0</v>
      </c>
      <c r="I1487" s="580">
        <f>SUM(I1481:I1486)</f>
        <v>4681534.96</v>
      </c>
      <c r="J1487" s="349"/>
    </row>
    <row r="1488" spans="1:10" ht="23.4" x14ac:dyDescent="0.3">
      <c r="A1488" s="1134"/>
      <c r="B1488" s="964"/>
      <c r="C1488" s="279" t="s">
        <v>277</v>
      </c>
      <c r="D1488" s="434" t="s">
        <v>278</v>
      </c>
      <c r="E1488" s="280"/>
      <c r="F1488" s="435">
        <f>+E1488+F1394</f>
        <v>5</v>
      </c>
      <c r="G1488" s="578">
        <v>2500</v>
      </c>
      <c r="H1488" s="593">
        <f t="shared" ref="H1488:H1491" si="299">E1488*G1488</f>
        <v>0</v>
      </c>
      <c r="I1488" s="596">
        <f>+G1488*F1488</f>
        <v>12500</v>
      </c>
      <c r="J1488" s="373"/>
    </row>
    <row r="1489" spans="1:10" ht="23.4" x14ac:dyDescent="0.3">
      <c r="A1489" s="1134"/>
      <c r="B1489" s="964"/>
      <c r="C1489" s="279" t="s">
        <v>454</v>
      </c>
      <c r="D1489" s="434"/>
      <c r="E1489" s="280"/>
      <c r="F1489" s="435">
        <f t="shared" ref="F1489:F1491" si="300">+E1489+F1395</f>
        <v>0</v>
      </c>
      <c r="G1489" s="578">
        <v>30000</v>
      </c>
      <c r="H1489" s="593">
        <f t="shared" si="299"/>
        <v>0</v>
      </c>
      <c r="I1489" s="596">
        <f>+G1489*F1489</f>
        <v>0</v>
      </c>
      <c r="J1489" s="373"/>
    </row>
    <row r="1490" spans="1:10" ht="23.4" x14ac:dyDescent="0.3">
      <c r="A1490" s="1134"/>
      <c r="B1490" s="964"/>
      <c r="C1490" s="279" t="s">
        <v>379</v>
      </c>
      <c r="D1490" s="434" t="s">
        <v>304</v>
      </c>
      <c r="E1490" s="280"/>
      <c r="F1490" s="435">
        <f t="shared" si="300"/>
        <v>0</v>
      </c>
      <c r="G1490" s="578">
        <v>360</v>
      </c>
      <c r="H1490" s="593">
        <f t="shared" si="299"/>
        <v>0</v>
      </c>
      <c r="I1490" s="596">
        <f>+G1490*F1490</f>
        <v>0</v>
      </c>
      <c r="J1490" s="373"/>
    </row>
    <row r="1491" spans="1:10" ht="24" thickBot="1" x14ac:dyDescent="0.35">
      <c r="A1491" s="1134"/>
      <c r="B1491" s="964"/>
      <c r="C1491" s="279" t="s">
        <v>427</v>
      </c>
      <c r="D1491" s="434" t="s">
        <v>304</v>
      </c>
      <c r="E1491" s="280"/>
      <c r="F1491" s="435">
        <f t="shared" si="300"/>
        <v>0</v>
      </c>
      <c r="G1491" s="579">
        <v>10</v>
      </c>
      <c r="H1491" s="593">
        <f t="shared" si="299"/>
        <v>0</v>
      </c>
      <c r="I1491" s="596">
        <f t="shared" ref="I1491" si="301">+G1491*F1491</f>
        <v>0</v>
      </c>
      <c r="J1491" s="373"/>
    </row>
    <row r="1492" spans="1:10" ht="24" thickBot="1" x14ac:dyDescent="0.35">
      <c r="A1492" s="1134"/>
      <c r="B1492" s="1129" t="s">
        <v>272</v>
      </c>
      <c r="C1492" s="1130"/>
      <c r="D1492" s="966"/>
      <c r="E1492" s="326">
        <f>SUM(E1488:E1491)</f>
        <v>0</v>
      </c>
      <c r="F1492" s="326">
        <f>SUM(F1488:F1491)</f>
        <v>5</v>
      </c>
      <c r="G1492" s="326"/>
      <c r="H1492" s="587">
        <f>SUM(H1488:H1491)</f>
        <v>0</v>
      </c>
      <c r="I1492" s="580">
        <f>SUM(I1488:I1491)</f>
        <v>12500</v>
      </c>
      <c r="J1492" s="373"/>
    </row>
    <row r="1493" spans="1:10" ht="24" thickBot="1" x14ac:dyDescent="0.35">
      <c r="A1493" s="1134"/>
      <c r="B1493" s="964"/>
      <c r="C1493" s="279"/>
      <c r="D1493" s="434"/>
      <c r="E1493" s="280"/>
      <c r="F1493" s="317"/>
      <c r="G1493" s="579"/>
      <c r="H1493" s="588"/>
      <c r="I1493" s="282"/>
      <c r="J1493" s="373"/>
    </row>
    <row r="1494" spans="1:10" ht="24" thickBot="1" x14ac:dyDescent="0.35">
      <c r="A1494" s="1135"/>
      <c r="B1494" s="1129" t="s">
        <v>269</v>
      </c>
      <c r="C1494" s="1130"/>
      <c r="D1494" s="962"/>
      <c r="E1494" s="326">
        <f>+E1492+E1487+E1480</f>
        <v>0</v>
      </c>
      <c r="F1494" s="326">
        <f>+F1492+F1487+F1480</f>
        <v>989607</v>
      </c>
      <c r="G1494" s="326"/>
      <c r="H1494" s="580">
        <f>+H1487+H1480+H1492</f>
        <v>0</v>
      </c>
      <c r="I1494" s="580">
        <f>+I1487+I1480+I1492</f>
        <v>20455601.52</v>
      </c>
      <c r="J1494" s="373"/>
    </row>
    <row r="1495" spans="1:10" ht="23.4" x14ac:dyDescent="0.3">
      <c r="A1495" s="1133" t="s">
        <v>101</v>
      </c>
      <c r="B1495" s="964"/>
      <c r="C1495" s="279" t="s">
        <v>281</v>
      </c>
      <c r="D1495" s="434" t="s">
        <v>178</v>
      </c>
      <c r="E1495" s="280"/>
      <c r="F1495" s="435">
        <f>+E1495+F1401</f>
        <v>0</v>
      </c>
      <c r="G1495" s="602">
        <v>13.25</v>
      </c>
      <c r="H1495" s="597">
        <f t="shared" ref="H1495:H1523" si="302">E1495*G1495</f>
        <v>0</v>
      </c>
      <c r="I1495" s="596">
        <f t="shared" ref="I1495:I1523" si="303">+G1495*F1495</f>
        <v>0</v>
      </c>
      <c r="J1495" s="373"/>
    </row>
    <row r="1496" spans="1:10" ht="23.4" x14ac:dyDescent="0.3">
      <c r="A1496" s="1134"/>
      <c r="B1496" s="964"/>
      <c r="C1496" s="279" t="s">
        <v>282</v>
      </c>
      <c r="D1496" s="434"/>
      <c r="E1496" s="280"/>
      <c r="F1496" s="435">
        <f t="shared" ref="F1496:F1550" si="304">+E1496+F1402</f>
        <v>0</v>
      </c>
      <c r="G1496" s="603">
        <v>5000</v>
      </c>
      <c r="H1496" s="597">
        <f t="shared" si="302"/>
        <v>0</v>
      </c>
      <c r="I1496" s="596">
        <f t="shared" si="303"/>
        <v>0</v>
      </c>
      <c r="J1496" s="373"/>
    </row>
    <row r="1497" spans="1:10" ht="23.4" x14ac:dyDescent="0.3">
      <c r="A1497" s="1134"/>
      <c r="B1497" s="964"/>
      <c r="C1497" s="279" t="s">
        <v>282</v>
      </c>
      <c r="D1497" s="434"/>
      <c r="E1497" s="280"/>
      <c r="F1497" s="435">
        <f t="shared" si="304"/>
        <v>0</v>
      </c>
      <c r="G1497" s="603">
        <v>18000</v>
      </c>
      <c r="H1497" s="597">
        <f t="shared" si="302"/>
        <v>0</v>
      </c>
      <c r="I1497" s="596">
        <f t="shared" si="303"/>
        <v>0</v>
      </c>
      <c r="J1497" s="373"/>
    </row>
    <row r="1498" spans="1:10" ht="23.4" x14ac:dyDescent="0.3">
      <c r="A1498" s="1134"/>
      <c r="B1498" s="964"/>
      <c r="C1498" s="279" t="s">
        <v>465</v>
      </c>
      <c r="D1498" s="434" t="s">
        <v>338</v>
      </c>
      <c r="E1498" s="280"/>
      <c r="F1498" s="435">
        <f t="shared" si="304"/>
        <v>0</v>
      </c>
      <c r="G1498" s="602">
        <v>24.93</v>
      </c>
      <c r="H1498" s="597">
        <f t="shared" si="302"/>
        <v>0</v>
      </c>
      <c r="I1498" s="596">
        <f t="shared" si="303"/>
        <v>0</v>
      </c>
      <c r="J1498" s="373"/>
    </row>
    <row r="1499" spans="1:10" ht="23.4" x14ac:dyDescent="0.3">
      <c r="A1499" s="1134"/>
      <c r="B1499" s="964"/>
      <c r="C1499" s="746" t="s">
        <v>466</v>
      </c>
      <c r="D1499" s="747" t="s">
        <v>92</v>
      </c>
      <c r="E1499" s="280"/>
      <c r="F1499" s="435">
        <f t="shared" si="304"/>
        <v>0</v>
      </c>
      <c r="G1499" s="602">
        <v>20.8</v>
      </c>
      <c r="H1499" s="597">
        <f t="shared" si="302"/>
        <v>0</v>
      </c>
      <c r="I1499" s="596">
        <f t="shared" si="303"/>
        <v>0</v>
      </c>
      <c r="J1499" s="373"/>
    </row>
    <row r="1500" spans="1:10" ht="23.4" x14ac:dyDescent="0.3">
      <c r="A1500" s="1134"/>
      <c r="B1500" s="964"/>
      <c r="C1500" s="746" t="s">
        <v>467</v>
      </c>
      <c r="D1500" s="747" t="s">
        <v>567</v>
      </c>
      <c r="E1500" s="280">
        <v>0</v>
      </c>
      <c r="F1500" s="435">
        <f t="shared" si="304"/>
        <v>123318</v>
      </c>
      <c r="G1500" s="602">
        <v>26.75</v>
      </c>
      <c r="H1500" s="597">
        <f t="shared" si="302"/>
        <v>0</v>
      </c>
      <c r="I1500" s="596">
        <f t="shared" si="303"/>
        <v>3298756.5</v>
      </c>
      <c r="J1500" s="373"/>
    </row>
    <row r="1501" spans="1:10" ht="23.4" x14ac:dyDescent="0.3">
      <c r="A1501" s="1134"/>
      <c r="B1501" s="964"/>
      <c r="C1501" s="746" t="s">
        <v>467</v>
      </c>
      <c r="D1501" s="747" t="s">
        <v>540</v>
      </c>
      <c r="E1501" s="280">
        <v>0</v>
      </c>
      <c r="F1501" s="435">
        <f t="shared" si="304"/>
        <v>123318</v>
      </c>
      <c r="G1501" s="602">
        <v>25</v>
      </c>
      <c r="H1501" s="597">
        <f t="shared" si="302"/>
        <v>0</v>
      </c>
      <c r="I1501" s="596">
        <f t="shared" si="303"/>
        <v>3082950</v>
      </c>
      <c r="J1501" s="373"/>
    </row>
    <row r="1502" spans="1:10" ht="23.4" x14ac:dyDescent="0.3">
      <c r="A1502" s="1134"/>
      <c r="B1502" s="748"/>
      <c r="C1502" s="749" t="s">
        <v>469</v>
      </c>
      <c r="D1502" s="750" t="s">
        <v>309</v>
      </c>
      <c r="E1502" s="751"/>
      <c r="F1502" s="752">
        <f t="shared" si="304"/>
        <v>0</v>
      </c>
      <c r="G1502" s="753">
        <v>24.41</v>
      </c>
      <c r="H1502" s="754">
        <f t="shared" si="302"/>
        <v>0</v>
      </c>
      <c r="I1502" s="755">
        <f t="shared" si="303"/>
        <v>0</v>
      </c>
      <c r="J1502" s="756"/>
    </row>
    <row r="1503" spans="1:10" ht="23.4" x14ac:dyDescent="0.3">
      <c r="A1503" s="1134"/>
      <c r="B1503" s="964"/>
      <c r="C1503" s="279" t="s">
        <v>444</v>
      </c>
      <c r="D1503" s="434" t="s">
        <v>423</v>
      </c>
      <c r="E1503" s="280"/>
      <c r="F1503" s="435">
        <f t="shared" si="304"/>
        <v>0</v>
      </c>
      <c r="G1503" s="602">
        <v>20.76</v>
      </c>
      <c r="H1503" s="597">
        <f t="shared" si="302"/>
        <v>0</v>
      </c>
      <c r="I1503" s="596">
        <f t="shared" si="303"/>
        <v>0</v>
      </c>
      <c r="J1503" s="373"/>
    </row>
    <row r="1504" spans="1:10" ht="23.4" x14ac:dyDescent="0.3">
      <c r="A1504" s="1134"/>
      <c r="B1504" s="964"/>
      <c r="C1504" s="279" t="s">
        <v>298</v>
      </c>
      <c r="D1504" s="434" t="s">
        <v>107</v>
      </c>
      <c r="E1504" s="280"/>
      <c r="F1504" s="435">
        <f t="shared" si="304"/>
        <v>0</v>
      </c>
      <c r="G1504" s="602">
        <v>24.93</v>
      </c>
      <c r="H1504" s="597">
        <f t="shared" si="302"/>
        <v>0</v>
      </c>
      <c r="I1504" s="596">
        <f t="shared" si="303"/>
        <v>0</v>
      </c>
      <c r="J1504" s="373"/>
    </row>
    <row r="1505" spans="1:10" ht="23.4" x14ac:dyDescent="0.3">
      <c r="A1505" s="1134"/>
      <c r="B1505" s="964"/>
      <c r="C1505" s="279" t="s">
        <v>299</v>
      </c>
      <c r="D1505" s="434" t="s">
        <v>280</v>
      </c>
      <c r="E1505" s="280"/>
      <c r="F1505" s="435">
        <f t="shared" si="304"/>
        <v>0</v>
      </c>
      <c r="G1505" s="602">
        <v>24.93</v>
      </c>
      <c r="H1505" s="597">
        <f t="shared" si="302"/>
        <v>0</v>
      </c>
      <c r="I1505" s="596">
        <f t="shared" si="303"/>
        <v>0</v>
      </c>
      <c r="J1505" s="373"/>
    </row>
    <row r="1506" spans="1:10" ht="23.4" x14ac:dyDescent="0.3">
      <c r="A1506" s="1134"/>
      <c r="B1506" s="964"/>
      <c r="C1506" s="279" t="s">
        <v>425</v>
      </c>
      <c r="D1506" s="434" t="s">
        <v>309</v>
      </c>
      <c r="E1506" s="280"/>
      <c r="F1506" s="435">
        <f t="shared" si="304"/>
        <v>0</v>
      </c>
      <c r="G1506" s="602">
        <v>23.78</v>
      </c>
      <c r="H1506" s="597">
        <f t="shared" si="302"/>
        <v>0</v>
      </c>
      <c r="I1506" s="596">
        <f t="shared" si="303"/>
        <v>0</v>
      </c>
      <c r="J1506" s="373"/>
    </row>
    <row r="1507" spans="1:10" ht="23.4" x14ac:dyDescent="0.3">
      <c r="A1507" s="1134"/>
      <c r="B1507" s="964"/>
      <c r="C1507" s="279" t="s">
        <v>354</v>
      </c>
      <c r="D1507" s="434" t="s">
        <v>309</v>
      </c>
      <c r="E1507" s="280"/>
      <c r="F1507" s="435">
        <f t="shared" si="304"/>
        <v>0</v>
      </c>
      <c r="G1507" s="602">
        <v>37.4566666666</v>
      </c>
      <c r="H1507" s="597">
        <f t="shared" si="302"/>
        <v>0</v>
      </c>
      <c r="I1507" s="596">
        <f t="shared" si="303"/>
        <v>0</v>
      </c>
      <c r="J1507" s="373"/>
    </row>
    <row r="1508" spans="1:10" ht="23.4" x14ac:dyDescent="0.3">
      <c r="A1508" s="1134"/>
      <c r="B1508" s="964"/>
      <c r="C1508" s="279" t="s">
        <v>355</v>
      </c>
      <c r="D1508" s="434" t="s">
        <v>309</v>
      </c>
      <c r="E1508" s="280">
        <v>5616</v>
      </c>
      <c r="F1508" s="435">
        <f t="shared" si="304"/>
        <v>5616</v>
      </c>
      <c r="G1508" s="602">
        <v>37.89</v>
      </c>
      <c r="H1508" s="597">
        <f t="shared" si="302"/>
        <v>212790.24</v>
      </c>
      <c r="I1508" s="596">
        <f t="shared" si="303"/>
        <v>212790.24</v>
      </c>
      <c r="J1508" s="373"/>
    </row>
    <row r="1509" spans="1:10" ht="23.4" x14ac:dyDescent="0.3">
      <c r="A1509" s="1134"/>
      <c r="B1509" s="964"/>
      <c r="C1509" s="279" t="s">
        <v>461</v>
      </c>
      <c r="D1509" s="434" t="s">
        <v>92</v>
      </c>
      <c r="E1509" s="280"/>
      <c r="F1509" s="435">
        <f t="shared" si="304"/>
        <v>0</v>
      </c>
      <c r="G1509" s="602">
        <v>28.31</v>
      </c>
      <c r="H1509" s="597">
        <f t="shared" si="302"/>
        <v>0</v>
      </c>
      <c r="I1509" s="596">
        <f t="shared" si="303"/>
        <v>0</v>
      </c>
      <c r="J1509" s="373"/>
    </row>
    <row r="1510" spans="1:10" ht="23.4" x14ac:dyDescent="0.3">
      <c r="A1510" s="1134"/>
      <c r="B1510" s="964"/>
      <c r="C1510" s="279" t="s">
        <v>461</v>
      </c>
      <c r="D1510" s="434" t="s">
        <v>423</v>
      </c>
      <c r="E1510" s="280"/>
      <c r="F1510" s="435">
        <f t="shared" si="304"/>
        <v>0</v>
      </c>
      <c r="G1510" s="602">
        <v>28.88</v>
      </c>
      <c r="H1510" s="597">
        <f t="shared" si="302"/>
        <v>0</v>
      </c>
      <c r="I1510" s="596">
        <f t="shared" si="303"/>
        <v>0</v>
      </c>
      <c r="J1510" s="373"/>
    </row>
    <row r="1511" spans="1:10" ht="23.4" x14ac:dyDescent="0.3">
      <c r="A1511" s="1134"/>
      <c r="B1511" s="964"/>
      <c r="C1511" s="279" t="s">
        <v>462</v>
      </c>
      <c r="D1511" s="434" t="s">
        <v>423</v>
      </c>
      <c r="E1511" s="280"/>
      <c r="F1511" s="435">
        <f t="shared" si="304"/>
        <v>0</v>
      </c>
      <c r="G1511" s="602">
        <v>28.21</v>
      </c>
      <c r="H1511" s="597">
        <f t="shared" si="302"/>
        <v>0</v>
      </c>
      <c r="I1511" s="596">
        <f t="shared" si="303"/>
        <v>0</v>
      </c>
      <c r="J1511" s="373"/>
    </row>
    <row r="1512" spans="1:10" ht="23.4" x14ac:dyDescent="0.3">
      <c r="A1512" s="1134"/>
      <c r="B1512" s="964"/>
      <c r="C1512" s="279" t="s">
        <v>463</v>
      </c>
      <c r="D1512" s="434" t="s">
        <v>338</v>
      </c>
      <c r="E1512" s="280"/>
      <c r="F1512" s="435">
        <f t="shared" si="304"/>
        <v>0</v>
      </c>
      <c r="G1512" s="602">
        <v>39</v>
      </c>
      <c r="H1512" s="597">
        <f t="shared" si="302"/>
        <v>0</v>
      </c>
      <c r="I1512" s="596">
        <f t="shared" si="303"/>
        <v>0</v>
      </c>
      <c r="J1512" s="373"/>
    </row>
    <row r="1513" spans="1:10" ht="23.4" x14ac:dyDescent="0.3">
      <c r="A1513" s="1134"/>
      <c r="B1513" s="964"/>
      <c r="C1513" s="279" t="s">
        <v>463</v>
      </c>
      <c r="D1513" s="434" t="s">
        <v>92</v>
      </c>
      <c r="E1513" s="280"/>
      <c r="F1513" s="435">
        <f t="shared" si="304"/>
        <v>0</v>
      </c>
      <c r="G1513" s="602">
        <v>32.65</v>
      </c>
      <c r="H1513" s="597">
        <f t="shared" si="302"/>
        <v>0</v>
      </c>
      <c r="I1513" s="596">
        <f t="shared" si="303"/>
        <v>0</v>
      </c>
      <c r="J1513" s="373"/>
    </row>
    <row r="1514" spans="1:10" ht="23.4" x14ac:dyDescent="0.3">
      <c r="A1514" s="1134"/>
      <c r="B1514" s="964"/>
      <c r="C1514" s="279" t="s">
        <v>463</v>
      </c>
      <c r="D1514" s="434" t="s">
        <v>423</v>
      </c>
      <c r="E1514" s="280"/>
      <c r="F1514" s="435">
        <f t="shared" si="304"/>
        <v>0</v>
      </c>
      <c r="G1514" s="602">
        <v>33.299999999999997</v>
      </c>
      <c r="H1514" s="597">
        <f t="shared" si="302"/>
        <v>0</v>
      </c>
      <c r="I1514" s="596">
        <f t="shared" si="303"/>
        <v>0</v>
      </c>
      <c r="J1514" s="373"/>
    </row>
    <row r="1515" spans="1:10" ht="23.4" x14ac:dyDescent="0.3">
      <c r="A1515" s="1134"/>
      <c r="B1515" s="964"/>
      <c r="C1515" s="279" t="s">
        <v>299</v>
      </c>
      <c r="D1515" s="434" t="s">
        <v>279</v>
      </c>
      <c r="E1515" s="280"/>
      <c r="F1515" s="435">
        <f t="shared" si="304"/>
        <v>0</v>
      </c>
      <c r="G1515" s="602">
        <v>24.93</v>
      </c>
      <c r="H1515" s="597">
        <f t="shared" si="302"/>
        <v>0</v>
      </c>
      <c r="I1515" s="596">
        <f t="shared" si="303"/>
        <v>0</v>
      </c>
      <c r="J1515" s="373"/>
    </row>
    <row r="1516" spans="1:10" ht="23.4" x14ac:dyDescent="0.3">
      <c r="A1516" s="1134"/>
      <c r="B1516" s="964"/>
      <c r="C1516" s="279" t="s">
        <v>299</v>
      </c>
      <c r="D1516" s="434"/>
      <c r="E1516" s="280"/>
      <c r="F1516" s="435">
        <f t="shared" si="304"/>
        <v>0</v>
      </c>
      <c r="G1516" s="602">
        <v>24.93</v>
      </c>
      <c r="H1516" s="597">
        <f t="shared" si="302"/>
        <v>0</v>
      </c>
      <c r="I1516" s="596">
        <f t="shared" si="303"/>
        <v>0</v>
      </c>
      <c r="J1516" s="373"/>
    </row>
    <row r="1517" spans="1:10" ht="23.4" x14ac:dyDescent="0.3">
      <c r="A1517" s="1134"/>
      <c r="B1517" s="964"/>
      <c r="C1517" s="279" t="s">
        <v>316</v>
      </c>
      <c r="D1517" s="434" t="s">
        <v>289</v>
      </c>
      <c r="E1517" s="280"/>
      <c r="F1517" s="435">
        <f t="shared" si="304"/>
        <v>0</v>
      </c>
      <c r="G1517" s="602">
        <v>34.26</v>
      </c>
      <c r="H1517" s="597">
        <f t="shared" si="302"/>
        <v>0</v>
      </c>
      <c r="I1517" s="596">
        <f t="shared" si="303"/>
        <v>0</v>
      </c>
      <c r="J1517" s="373"/>
    </row>
    <row r="1518" spans="1:10" ht="23.4" x14ac:dyDescent="0.3">
      <c r="A1518" s="1134"/>
      <c r="B1518" s="964"/>
      <c r="C1518" s="279" t="s">
        <v>328</v>
      </c>
      <c r="D1518" s="434" t="s">
        <v>360</v>
      </c>
      <c r="E1518" s="280"/>
      <c r="F1518" s="435">
        <f t="shared" si="304"/>
        <v>0</v>
      </c>
      <c r="G1518" s="602">
        <v>37.89</v>
      </c>
      <c r="H1518" s="597">
        <f t="shared" si="302"/>
        <v>0</v>
      </c>
      <c r="I1518" s="596">
        <f t="shared" si="303"/>
        <v>0</v>
      </c>
      <c r="J1518" s="373"/>
    </row>
    <row r="1519" spans="1:10" ht="23.4" x14ac:dyDescent="0.3">
      <c r="A1519" s="1134"/>
      <c r="B1519" s="964"/>
      <c r="C1519" s="279" t="s">
        <v>363</v>
      </c>
      <c r="D1519" s="434" t="s">
        <v>338</v>
      </c>
      <c r="E1519" s="280"/>
      <c r="F1519" s="435">
        <f t="shared" si="304"/>
        <v>0</v>
      </c>
      <c r="G1519" s="602">
        <v>39</v>
      </c>
      <c r="H1519" s="597">
        <f t="shared" si="302"/>
        <v>0</v>
      </c>
      <c r="I1519" s="596">
        <f t="shared" si="303"/>
        <v>0</v>
      </c>
      <c r="J1519" s="373"/>
    </row>
    <row r="1520" spans="1:10" ht="23.4" x14ac:dyDescent="0.3">
      <c r="A1520" s="1134"/>
      <c r="B1520" s="964"/>
      <c r="C1520" s="279" t="s">
        <v>299</v>
      </c>
      <c r="D1520" s="434" t="s">
        <v>177</v>
      </c>
      <c r="E1520" s="280"/>
      <c r="F1520" s="435">
        <f t="shared" si="304"/>
        <v>0</v>
      </c>
      <c r="G1520" s="602">
        <v>21.22</v>
      </c>
      <c r="H1520" s="597">
        <f t="shared" si="302"/>
        <v>0</v>
      </c>
      <c r="I1520" s="596">
        <f t="shared" si="303"/>
        <v>0</v>
      </c>
      <c r="J1520" s="373"/>
    </row>
    <row r="1521" spans="1:10" ht="23.4" x14ac:dyDescent="0.3">
      <c r="A1521" s="1134"/>
      <c r="B1521" s="964"/>
      <c r="C1521" s="279" t="s">
        <v>298</v>
      </c>
      <c r="D1521" s="434" t="s">
        <v>177</v>
      </c>
      <c r="E1521" s="280"/>
      <c r="F1521" s="435">
        <f t="shared" si="304"/>
        <v>0</v>
      </c>
      <c r="G1521" s="602">
        <v>21.22</v>
      </c>
      <c r="H1521" s="597">
        <f t="shared" si="302"/>
        <v>0</v>
      </c>
      <c r="I1521" s="596">
        <f t="shared" si="303"/>
        <v>0</v>
      </c>
      <c r="J1521" s="373"/>
    </row>
    <row r="1522" spans="1:10" ht="23.4" x14ac:dyDescent="0.3">
      <c r="A1522" s="1134"/>
      <c r="B1522" s="964"/>
      <c r="C1522" s="279" t="s">
        <v>339</v>
      </c>
      <c r="D1522" s="434" t="s">
        <v>304</v>
      </c>
      <c r="E1522" s="280"/>
      <c r="F1522" s="435">
        <f t="shared" si="304"/>
        <v>0</v>
      </c>
      <c r="G1522" s="602">
        <v>10000</v>
      </c>
      <c r="H1522" s="597">
        <f t="shared" si="302"/>
        <v>0</v>
      </c>
      <c r="I1522" s="596">
        <f t="shared" si="303"/>
        <v>0</v>
      </c>
      <c r="J1522" s="373"/>
    </row>
    <row r="1523" spans="1:10" ht="24" thickBot="1" x14ac:dyDescent="0.35">
      <c r="A1523" s="1134"/>
      <c r="B1523" s="964"/>
      <c r="C1523" s="279" t="s">
        <v>303</v>
      </c>
      <c r="D1523" s="434" t="s">
        <v>304</v>
      </c>
      <c r="E1523" s="280"/>
      <c r="F1523" s="435">
        <f t="shared" si="304"/>
        <v>0</v>
      </c>
      <c r="G1523" s="602">
        <v>360</v>
      </c>
      <c r="H1523" s="597">
        <f t="shared" si="302"/>
        <v>0</v>
      </c>
      <c r="I1523" s="596">
        <f t="shared" si="303"/>
        <v>0</v>
      </c>
      <c r="J1523" s="373"/>
    </row>
    <row r="1524" spans="1:10" ht="24" thickBot="1" x14ac:dyDescent="0.35">
      <c r="A1524" s="1135"/>
      <c r="B1524" s="1129" t="s">
        <v>268</v>
      </c>
      <c r="C1524" s="1130"/>
      <c r="D1524" s="966"/>
      <c r="E1524" s="326">
        <f>SUM(E1495:E1523)</f>
        <v>5616</v>
      </c>
      <c r="F1524" s="326">
        <f t="shared" si="304"/>
        <v>252252</v>
      </c>
      <c r="G1524" s="326"/>
      <c r="H1524" s="587">
        <f>SUM(H1495:H1523)</f>
        <v>212790.24</v>
      </c>
      <c r="I1524" s="580">
        <f>SUM(I1495:I1523)</f>
        <v>6594496.7400000002</v>
      </c>
      <c r="J1524" s="373"/>
    </row>
    <row r="1525" spans="1:10" ht="23.4" x14ac:dyDescent="0.3">
      <c r="A1525" s="1133" t="s">
        <v>102</v>
      </c>
      <c r="B1525" s="964"/>
      <c r="C1525" s="279" t="s">
        <v>509</v>
      </c>
      <c r="D1525" s="434" t="s">
        <v>238</v>
      </c>
      <c r="E1525" s="280">
        <v>600</v>
      </c>
      <c r="F1525" s="435">
        <f t="shared" si="304"/>
        <v>8000</v>
      </c>
      <c r="G1525" s="803">
        <v>624.26</v>
      </c>
      <c r="H1525" s="593">
        <f>E1525*G1525</f>
        <v>374556</v>
      </c>
      <c r="I1525" s="596">
        <f t="shared" ref="I1525:I1527" si="305">+G1525*F1525</f>
        <v>4994080</v>
      </c>
      <c r="J1525" s="373"/>
    </row>
    <row r="1526" spans="1:10" ht="23.4" x14ac:dyDescent="0.3">
      <c r="A1526" s="1134"/>
      <c r="B1526" s="964"/>
      <c r="C1526" s="279" t="s">
        <v>273</v>
      </c>
      <c r="D1526" s="434" t="s">
        <v>238</v>
      </c>
      <c r="E1526" s="280">
        <f>129+4480</f>
        <v>4609</v>
      </c>
      <c r="F1526" s="435">
        <f t="shared" si="304"/>
        <v>25949</v>
      </c>
      <c r="G1526" s="602">
        <v>430.02</v>
      </c>
      <c r="H1526" s="593">
        <f t="shared" ref="H1526:H1547" si="306">E1526*G1526</f>
        <v>1981962.18</v>
      </c>
      <c r="I1526" s="596">
        <f t="shared" si="305"/>
        <v>11158588.98</v>
      </c>
      <c r="J1526" s="373"/>
    </row>
    <row r="1527" spans="1:10" ht="23.4" x14ac:dyDescent="0.3">
      <c r="A1527" s="1134"/>
      <c r="B1527" s="964"/>
      <c r="C1527" s="279" t="s">
        <v>390</v>
      </c>
      <c r="D1527" s="434" t="s">
        <v>238</v>
      </c>
      <c r="E1527" s="280"/>
      <c r="F1527" s="435">
        <f t="shared" si="304"/>
        <v>0</v>
      </c>
      <c r="G1527" s="602">
        <v>445.38</v>
      </c>
      <c r="H1527" s="593">
        <f t="shared" si="306"/>
        <v>0</v>
      </c>
      <c r="I1527" s="596">
        <f t="shared" si="305"/>
        <v>0</v>
      </c>
      <c r="J1527" s="373"/>
    </row>
    <row r="1528" spans="1:10" ht="23.4" x14ac:dyDescent="0.3">
      <c r="A1528" s="1134"/>
      <c r="B1528" s="964"/>
      <c r="C1528" s="279" t="s">
        <v>301</v>
      </c>
      <c r="D1528" s="434" t="s">
        <v>238</v>
      </c>
      <c r="E1528" s="280">
        <v>0</v>
      </c>
      <c r="F1528" s="435">
        <f t="shared" si="304"/>
        <v>8640</v>
      </c>
      <c r="G1528" s="602">
        <v>63.55</v>
      </c>
      <c r="H1528" s="593">
        <f t="shared" si="306"/>
        <v>0</v>
      </c>
      <c r="I1528" s="596">
        <f>+G1528*F1528</f>
        <v>549072</v>
      </c>
      <c r="J1528" s="373"/>
    </row>
    <row r="1529" spans="1:10" ht="23.4" x14ac:dyDescent="0.3">
      <c r="A1529" s="1134"/>
      <c r="B1529" s="964"/>
      <c r="C1529" s="279" t="s">
        <v>514</v>
      </c>
      <c r="D1529" s="434" t="s">
        <v>238</v>
      </c>
      <c r="E1529" s="280">
        <v>3240</v>
      </c>
      <c r="F1529" s="435">
        <f t="shared" si="304"/>
        <v>51540</v>
      </c>
      <c r="G1529" s="602">
        <v>71.44</v>
      </c>
      <c r="H1529" s="593">
        <f t="shared" si="306"/>
        <v>231465.60000000001</v>
      </c>
      <c r="I1529" s="596">
        <f>+G1529*F1529</f>
        <v>3682017.6</v>
      </c>
      <c r="J1529" s="373"/>
    </row>
    <row r="1530" spans="1:10" ht="23.4" x14ac:dyDescent="0.3">
      <c r="A1530" s="1134"/>
      <c r="B1530" s="964"/>
      <c r="C1530" s="279" t="s">
        <v>275</v>
      </c>
      <c r="D1530" s="434" t="s">
        <v>238</v>
      </c>
      <c r="E1530" s="280">
        <f>5040+26880</f>
        <v>31920</v>
      </c>
      <c r="F1530" s="435">
        <f t="shared" si="304"/>
        <v>257724</v>
      </c>
      <c r="G1530" s="602">
        <v>71.44</v>
      </c>
      <c r="H1530" s="593">
        <f t="shared" si="306"/>
        <v>2280364.7999999998</v>
      </c>
      <c r="I1530" s="596">
        <f t="shared" ref="I1530:I1547" si="307">+G1530*F1530</f>
        <v>18411802.559999999</v>
      </c>
      <c r="J1530" s="373"/>
    </row>
    <row r="1531" spans="1:10" ht="23.4" x14ac:dyDescent="0.3">
      <c r="A1531" s="1134"/>
      <c r="B1531" s="964"/>
      <c r="C1531" s="279" t="s">
        <v>276</v>
      </c>
      <c r="D1531" s="434" t="s">
        <v>238</v>
      </c>
      <c r="E1531" s="280"/>
      <c r="F1531" s="435">
        <f t="shared" si="304"/>
        <v>0</v>
      </c>
      <c r="G1531" s="602">
        <v>36.5</v>
      </c>
      <c r="H1531" s="593">
        <f t="shared" si="306"/>
        <v>0</v>
      </c>
      <c r="I1531" s="596">
        <f t="shared" si="307"/>
        <v>0</v>
      </c>
      <c r="J1531" s="373"/>
    </row>
    <row r="1532" spans="1:10" ht="23.4" x14ac:dyDescent="0.3">
      <c r="A1532" s="1134"/>
      <c r="B1532" s="964"/>
      <c r="C1532" s="279" t="s">
        <v>527</v>
      </c>
      <c r="D1532" s="434" t="s">
        <v>238</v>
      </c>
      <c r="E1532" s="280">
        <v>2000</v>
      </c>
      <c r="F1532" s="435">
        <f t="shared" si="304"/>
        <v>10000</v>
      </c>
      <c r="G1532" s="602">
        <v>320.35000000000002</v>
      </c>
      <c r="H1532" s="593">
        <f t="shared" si="306"/>
        <v>640700</v>
      </c>
      <c r="I1532" s="596">
        <f t="shared" si="307"/>
        <v>3203500</v>
      </c>
      <c r="J1532" s="373"/>
    </row>
    <row r="1533" spans="1:10" ht="23.4" x14ac:dyDescent="0.3">
      <c r="A1533" s="1134"/>
      <c r="B1533" s="964"/>
      <c r="C1533" s="279" t="s">
        <v>285</v>
      </c>
      <c r="D1533" s="434" t="s">
        <v>238</v>
      </c>
      <c r="E1533" s="280"/>
      <c r="F1533" s="435">
        <f t="shared" si="304"/>
        <v>0</v>
      </c>
      <c r="G1533" s="602">
        <v>320.35000000000002</v>
      </c>
      <c r="H1533" s="593">
        <f t="shared" si="306"/>
        <v>0</v>
      </c>
      <c r="I1533" s="596">
        <f t="shared" si="307"/>
        <v>0</v>
      </c>
      <c r="J1533" s="373"/>
    </row>
    <row r="1534" spans="1:10" ht="23.4" x14ac:dyDescent="0.3">
      <c r="A1534" s="1134"/>
      <c r="B1534" s="964"/>
      <c r="C1534" s="279" t="s">
        <v>296</v>
      </c>
      <c r="D1534" s="434" t="s">
        <v>238</v>
      </c>
      <c r="E1534" s="280"/>
      <c r="F1534" s="435">
        <f t="shared" si="304"/>
        <v>0</v>
      </c>
      <c r="G1534" s="602">
        <v>434.41</v>
      </c>
      <c r="H1534" s="593">
        <f t="shared" si="306"/>
        <v>0</v>
      </c>
      <c r="I1534" s="596">
        <f t="shared" si="307"/>
        <v>0</v>
      </c>
      <c r="J1534" s="373"/>
    </row>
    <row r="1535" spans="1:10" ht="23.4" x14ac:dyDescent="0.3">
      <c r="A1535" s="1134"/>
      <c r="B1535" s="964"/>
      <c r="C1535" s="279" t="s">
        <v>282</v>
      </c>
      <c r="D1535" s="434" t="s">
        <v>238</v>
      </c>
      <c r="E1535" s="280">
        <v>1</v>
      </c>
      <c r="F1535" s="435">
        <f t="shared" si="304"/>
        <v>1</v>
      </c>
      <c r="G1535" s="602">
        <v>29690</v>
      </c>
      <c r="H1535" s="593">
        <f t="shared" si="306"/>
        <v>29690</v>
      </c>
      <c r="I1535" s="596">
        <f t="shared" si="307"/>
        <v>29690</v>
      </c>
      <c r="J1535" s="373"/>
    </row>
    <row r="1536" spans="1:10" ht="23.4" x14ac:dyDescent="0.3">
      <c r="A1536" s="1134"/>
      <c r="B1536" s="964"/>
      <c r="C1536" s="279" t="s">
        <v>282</v>
      </c>
      <c r="D1536" s="434" t="s">
        <v>238</v>
      </c>
      <c r="E1536" s="280"/>
      <c r="F1536" s="435">
        <f t="shared" si="304"/>
        <v>2</v>
      </c>
      <c r="G1536" s="602">
        <v>26445</v>
      </c>
      <c r="H1536" s="593">
        <f t="shared" si="306"/>
        <v>0</v>
      </c>
      <c r="I1536" s="596">
        <f t="shared" si="307"/>
        <v>52890</v>
      </c>
      <c r="J1536" s="373"/>
    </row>
    <row r="1537" spans="1:10" ht="23.4" x14ac:dyDescent="0.3">
      <c r="A1537" s="1134"/>
      <c r="B1537" s="964"/>
      <c r="C1537" s="279" t="s">
        <v>282</v>
      </c>
      <c r="D1537" s="434"/>
      <c r="E1537" s="280"/>
      <c r="F1537" s="435">
        <f t="shared" si="304"/>
        <v>0</v>
      </c>
      <c r="G1537" s="602">
        <v>33947.884599999998</v>
      </c>
      <c r="H1537" s="593">
        <f t="shared" si="306"/>
        <v>0</v>
      </c>
      <c r="I1537" s="596">
        <f t="shared" si="307"/>
        <v>0</v>
      </c>
      <c r="J1537" s="373"/>
    </row>
    <row r="1538" spans="1:10" ht="23.4" x14ac:dyDescent="0.3">
      <c r="A1538" s="1134"/>
      <c r="B1538" s="964"/>
      <c r="C1538" s="279" t="s">
        <v>311</v>
      </c>
      <c r="D1538" s="434" t="s">
        <v>337</v>
      </c>
      <c r="E1538" s="280"/>
      <c r="F1538" s="435">
        <f t="shared" si="304"/>
        <v>0</v>
      </c>
      <c r="G1538" s="602">
        <v>50</v>
      </c>
      <c r="H1538" s="593">
        <f t="shared" si="306"/>
        <v>0</v>
      </c>
      <c r="I1538" s="596">
        <f t="shared" si="307"/>
        <v>0</v>
      </c>
      <c r="J1538" s="373"/>
    </row>
    <row r="1539" spans="1:10" ht="23.4" x14ac:dyDescent="0.3">
      <c r="A1539" s="1134"/>
      <c r="B1539" s="964"/>
      <c r="C1539" s="279" t="s">
        <v>311</v>
      </c>
      <c r="D1539" s="434"/>
      <c r="E1539" s="280"/>
      <c r="F1539" s="435">
        <f t="shared" si="304"/>
        <v>0</v>
      </c>
      <c r="G1539" s="602">
        <v>10</v>
      </c>
      <c r="H1539" s="593">
        <f t="shared" si="306"/>
        <v>0</v>
      </c>
      <c r="I1539" s="596">
        <f t="shared" si="307"/>
        <v>0</v>
      </c>
      <c r="J1539" s="373"/>
    </row>
    <row r="1540" spans="1:10" ht="23.4" x14ac:dyDescent="0.3">
      <c r="A1540" s="1134"/>
      <c r="B1540" s="964"/>
      <c r="C1540" s="279" t="s">
        <v>329</v>
      </c>
      <c r="D1540" s="434" t="s">
        <v>238</v>
      </c>
      <c r="E1540" s="280">
        <v>6400</v>
      </c>
      <c r="F1540" s="435">
        <f t="shared" si="304"/>
        <v>6400</v>
      </c>
      <c r="G1540" s="602">
        <v>65.459999999999994</v>
      </c>
      <c r="H1540" s="593">
        <f t="shared" si="306"/>
        <v>418943.99999999994</v>
      </c>
      <c r="I1540" s="596">
        <f t="shared" si="307"/>
        <v>418943.99999999994</v>
      </c>
      <c r="J1540" s="373"/>
    </row>
    <row r="1541" spans="1:10" ht="23.4" x14ac:dyDescent="0.3">
      <c r="A1541" s="1134"/>
      <c r="B1541" s="964"/>
      <c r="C1541" s="279" t="s">
        <v>329</v>
      </c>
      <c r="D1541" s="434" t="s">
        <v>364</v>
      </c>
      <c r="E1541" s="280"/>
      <c r="F1541" s="435">
        <f t="shared" si="304"/>
        <v>0</v>
      </c>
      <c r="G1541" s="602">
        <v>57.64</v>
      </c>
      <c r="H1541" s="593">
        <f t="shared" si="306"/>
        <v>0</v>
      </c>
      <c r="I1541" s="596">
        <f t="shared" si="307"/>
        <v>0</v>
      </c>
      <c r="J1541" s="373"/>
    </row>
    <row r="1542" spans="1:10" ht="23.4" x14ac:dyDescent="0.3">
      <c r="A1542" s="1134"/>
      <c r="B1542" s="964"/>
      <c r="C1542" s="279" t="s">
        <v>330</v>
      </c>
      <c r="D1542" s="434" t="s">
        <v>331</v>
      </c>
      <c r="E1542" s="280"/>
      <c r="F1542" s="435">
        <f t="shared" si="304"/>
        <v>0</v>
      </c>
      <c r="G1542" s="602">
        <v>434.41</v>
      </c>
      <c r="H1542" s="593">
        <f t="shared" si="306"/>
        <v>0</v>
      </c>
      <c r="I1542" s="596">
        <f t="shared" si="307"/>
        <v>0</v>
      </c>
      <c r="J1542" s="373"/>
    </row>
    <row r="1543" spans="1:10" ht="23.4" x14ac:dyDescent="0.3">
      <c r="A1543" s="1134"/>
      <c r="B1543" s="964"/>
      <c r="C1543" s="279" t="s">
        <v>343</v>
      </c>
      <c r="D1543" s="434" t="s">
        <v>238</v>
      </c>
      <c r="E1543" s="280"/>
      <c r="F1543" s="435">
        <f t="shared" si="304"/>
        <v>0</v>
      </c>
      <c r="G1543" s="602">
        <v>624.26</v>
      </c>
      <c r="H1543" s="593">
        <f t="shared" si="306"/>
        <v>0</v>
      </c>
      <c r="I1543" s="596">
        <f t="shared" si="307"/>
        <v>0</v>
      </c>
      <c r="J1543" s="373"/>
    </row>
    <row r="1544" spans="1:10" ht="23.4" x14ac:dyDescent="0.3">
      <c r="A1544" s="1134"/>
      <c r="B1544" s="964"/>
      <c r="C1544" s="279" t="s">
        <v>332</v>
      </c>
      <c r="D1544" s="434" t="s">
        <v>331</v>
      </c>
      <c r="E1544" s="280"/>
      <c r="F1544" s="435">
        <f t="shared" si="304"/>
        <v>0</v>
      </c>
      <c r="G1544" s="602">
        <v>63.55</v>
      </c>
      <c r="H1544" s="593">
        <f t="shared" si="306"/>
        <v>0</v>
      </c>
      <c r="I1544" s="596">
        <f t="shared" si="307"/>
        <v>0</v>
      </c>
      <c r="J1544" s="373"/>
    </row>
    <row r="1545" spans="1:10" ht="23.4" x14ac:dyDescent="0.3">
      <c r="A1545" s="1134"/>
      <c r="B1545" s="964"/>
      <c r="C1545" s="279" t="s">
        <v>559</v>
      </c>
      <c r="D1545" s="434" t="s">
        <v>238</v>
      </c>
      <c r="E1545" s="280">
        <v>18696</v>
      </c>
      <c r="F1545" s="435">
        <f t="shared" si="304"/>
        <v>48696</v>
      </c>
      <c r="G1545" s="602">
        <v>59.96</v>
      </c>
      <c r="H1545" s="593">
        <f t="shared" si="306"/>
        <v>1121012.1599999999</v>
      </c>
      <c r="I1545" s="596">
        <f t="shared" si="307"/>
        <v>2919812.16</v>
      </c>
      <c r="J1545" s="373"/>
    </row>
    <row r="1546" spans="1:10" ht="23.4" x14ac:dyDescent="0.3">
      <c r="A1546" s="1134"/>
      <c r="B1546" s="964"/>
      <c r="C1546" s="279" t="s">
        <v>419</v>
      </c>
      <c r="D1546" s="434" t="s">
        <v>331</v>
      </c>
      <c r="E1546" s="280"/>
      <c r="F1546" s="435">
        <f t="shared" si="304"/>
        <v>0</v>
      </c>
      <c r="G1546" s="602">
        <v>53.86</v>
      </c>
      <c r="H1546" s="593">
        <f t="shared" si="306"/>
        <v>0</v>
      </c>
      <c r="I1546" s="596">
        <f t="shared" si="307"/>
        <v>0</v>
      </c>
      <c r="J1546" s="373"/>
    </row>
    <row r="1547" spans="1:10" ht="23.4" x14ac:dyDescent="0.3">
      <c r="A1547" s="1134"/>
      <c r="B1547" s="964"/>
      <c r="C1547" s="279" t="s">
        <v>379</v>
      </c>
      <c r="D1547" s="434"/>
      <c r="E1547" s="280"/>
      <c r="F1547" s="435">
        <f t="shared" si="304"/>
        <v>0</v>
      </c>
      <c r="G1547" s="602">
        <v>360</v>
      </c>
      <c r="H1547" s="593">
        <f t="shared" si="306"/>
        <v>0</v>
      </c>
      <c r="I1547" s="596">
        <f t="shared" si="307"/>
        <v>0</v>
      </c>
      <c r="J1547" s="373"/>
    </row>
    <row r="1548" spans="1:10" ht="23.4" x14ac:dyDescent="0.3">
      <c r="A1548" s="1134"/>
      <c r="B1548" s="964"/>
      <c r="C1548" s="279" t="s">
        <v>471</v>
      </c>
      <c r="D1548" s="434"/>
      <c r="E1548" s="280"/>
      <c r="F1548" s="435">
        <f t="shared" si="304"/>
        <v>0</v>
      </c>
      <c r="G1548" s="602"/>
      <c r="H1548" s="593">
        <f>+E1548</f>
        <v>0</v>
      </c>
      <c r="I1548" s="596">
        <f>+H1548</f>
        <v>0</v>
      </c>
      <c r="J1548" s="373"/>
    </row>
    <row r="1549" spans="1:10" ht="23.4" x14ac:dyDescent="0.3">
      <c r="A1549" s="1134"/>
      <c r="B1549" s="964"/>
      <c r="C1549" s="279" t="s">
        <v>282</v>
      </c>
      <c r="D1549" s="434"/>
      <c r="E1549" s="280"/>
      <c r="F1549" s="435">
        <f t="shared" si="304"/>
        <v>0</v>
      </c>
      <c r="G1549" s="602">
        <v>39450</v>
      </c>
      <c r="H1549" s="593">
        <f t="shared" ref="H1549:H1550" si="308">E1549*G1549</f>
        <v>0</v>
      </c>
      <c r="I1549" s="596">
        <f t="shared" ref="I1549:I1550" si="309">+G1549*F1549</f>
        <v>0</v>
      </c>
      <c r="J1549" s="373"/>
    </row>
    <row r="1550" spans="1:10" ht="24" thickBot="1" x14ac:dyDescent="0.35">
      <c r="A1550" s="1134"/>
      <c r="B1550" s="964"/>
      <c r="C1550" s="279" t="s">
        <v>329</v>
      </c>
      <c r="D1550" s="434" t="s">
        <v>443</v>
      </c>
      <c r="E1550" s="280"/>
      <c r="F1550" s="435">
        <f t="shared" si="304"/>
        <v>0</v>
      </c>
      <c r="G1550" s="602">
        <v>57.64</v>
      </c>
      <c r="H1550" s="593">
        <f t="shared" si="308"/>
        <v>0</v>
      </c>
      <c r="I1550" s="596">
        <f t="shared" si="309"/>
        <v>0</v>
      </c>
      <c r="J1550" s="373"/>
    </row>
    <row r="1551" spans="1:10" ht="24" thickBot="1" x14ac:dyDescent="0.35">
      <c r="A1551" s="1135"/>
      <c r="B1551" s="1129" t="s">
        <v>270</v>
      </c>
      <c r="C1551" s="1130"/>
      <c r="D1551" s="966"/>
      <c r="E1551" s="326">
        <f>SUM(E1525:E1550)</f>
        <v>67466</v>
      </c>
      <c r="F1551" s="326">
        <f>SUM(F1525:F1550)</f>
        <v>416952</v>
      </c>
      <c r="G1551" s="326"/>
      <c r="H1551" s="590">
        <f>SUM(H1525:H1550)</f>
        <v>7078694.7400000002</v>
      </c>
      <c r="I1551" s="580">
        <f>SUM(I1525:I1550)</f>
        <v>45420397.299999997</v>
      </c>
      <c r="J1551" s="372"/>
    </row>
    <row r="1552" spans="1:10" ht="24" thickBot="1" x14ac:dyDescent="0.35">
      <c r="A1552" s="969"/>
      <c r="B1552" s="437"/>
      <c r="C1552" s="279" t="s">
        <v>379</v>
      </c>
      <c r="D1552" s="434"/>
      <c r="E1552" s="280"/>
      <c r="F1552" s="281">
        <f>+E1552</f>
        <v>0</v>
      </c>
      <c r="G1552" s="334"/>
      <c r="H1552" s="589">
        <f t="shared" ref="H1552" si="310">E1552*G1552</f>
        <v>0</v>
      </c>
      <c r="I1552" s="282">
        <f t="shared" ref="I1552" si="311">+G1552*F1552</f>
        <v>0</v>
      </c>
      <c r="J1552" s="373"/>
    </row>
    <row r="1553" spans="1:10" ht="24" thickBot="1" x14ac:dyDescent="0.35">
      <c r="A1553" s="969"/>
      <c r="B1553" s="1129" t="s">
        <v>224</v>
      </c>
      <c r="C1553" s="1130"/>
      <c r="D1553" s="962"/>
      <c r="E1553" s="326"/>
      <c r="F1553" s="327"/>
      <c r="G1553" s="326"/>
      <c r="H1553" s="587"/>
      <c r="I1553" s="324">
        <f>SUM(I1552)</f>
        <v>0</v>
      </c>
      <c r="J1553" s="349"/>
    </row>
    <row r="1554" spans="1:10" ht="24.6" thickBot="1" x14ac:dyDescent="0.35">
      <c r="A1554" s="319"/>
      <c r="B1554" s="1131" t="s">
        <v>174</v>
      </c>
      <c r="C1554" s="1132"/>
      <c r="D1554" s="963"/>
      <c r="E1554" s="374">
        <f>+E1551+E1524+E1494+E1492</f>
        <v>73082</v>
      </c>
      <c r="F1554" s="374">
        <f>+F1551+F1524+F1494+F1492</f>
        <v>1658816</v>
      </c>
      <c r="G1554" s="374"/>
      <c r="H1554" s="374"/>
      <c r="I1554" s="374">
        <f>+I1551+I1524+I1494+I1553</f>
        <v>72470495.560000002</v>
      </c>
      <c r="J1554" s="375"/>
    </row>
    <row r="1555" spans="1:10" ht="23.4" x14ac:dyDescent="0.3">
      <c r="A1555" s="1057" t="s">
        <v>1</v>
      </c>
      <c r="B1555" s="1060" t="s">
        <v>2</v>
      </c>
      <c r="C1555" s="1138" t="s">
        <v>396</v>
      </c>
      <c r="D1555" s="1115" t="s">
        <v>397</v>
      </c>
      <c r="E1555" s="1142" t="s">
        <v>576</v>
      </c>
      <c r="F1555" s="1067"/>
      <c r="G1555" s="1067"/>
      <c r="H1555" s="1067"/>
      <c r="I1555" s="1067"/>
      <c r="J1555" s="1068"/>
    </row>
    <row r="1556" spans="1:10" ht="23.4" x14ac:dyDescent="0.3">
      <c r="A1556" s="1136"/>
      <c r="B1556" s="1137"/>
      <c r="C1556" s="1139"/>
      <c r="D1556" s="1116"/>
      <c r="E1556" s="1143" t="s">
        <v>412</v>
      </c>
      <c r="F1556" s="1144"/>
      <c r="G1556" s="1143" t="s">
        <v>411</v>
      </c>
      <c r="H1556" s="1145"/>
      <c r="I1556" s="1145"/>
      <c r="J1556" s="1144"/>
    </row>
    <row r="1557" spans="1:10" x14ac:dyDescent="0.3">
      <c r="A1557" s="1058"/>
      <c r="B1557" s="1061"/>
      <c r="C1557" s="1140"/>
      <c r="D1557" s="1116"/>
      <c r="E1557" s="1069" t="s">
        <v>413</v>
      </c>
      <c r="F1557" s="1071" t="s">
        <v>414</v>
      </c>
      <c r="G1557" s="1147" t="s">
        <v>90</v>
      </c>
      <c r="H1557" s="1149" t="s">
        <v>91</v>
      </c>
      <c r="I1557" s="1149" t="s">
        <v>91</v>
      </c>
      <c r="J1557" s="1151" t="s">
        <v>12</v>
      </c>
    </row>
    <row r="1558" spans="1:10" ht="14.4" thickBot="1" x14ac:dyDescent="0.35">
      <c r="A1558" s="1059"/>
      <c r="B1558" s="1062"/>
      <c r="C1558" s="1141"/>
      <c r="D1558" s="1117"/>
      <c r="E1558" s="1070"/>
      <c r="F1558" s="1146"/>
      <c r="G1558" s="1148"/>
      <c r="H1558" s="1150"/>
      <c r="I1558" s="1150"/>
      <c r="J1558" s="1152"/>
    </row>
    <row r="1559" spans="1:10" ht="23.4" x14ac:dyDescent="0.3">
      <c r="A1559" s="1133" t="s">
        <v>103</v>
      </c>
      <c r="B1559" s="439"/>
      <c r="C1559" s="577" t="s">
        <v>538</v>
      </c>
      <c r="D1559" s="665" t="s">
        <v>539</v>
      </c>
      <c r="E1559" s="699">
        <v>0</v>
      </c>
      <c r="F1559" s="674">
        <f>+E1559+F1465</f>
        <v>2048</v>
      </c>
      <c r="G1559" s="732">
        <v>109.77</v>
      </c>
      <c r="H1559" s="591">
        <f t="shared" ref="H1559:H1573" si="312">E1559*G1559</f>
        <v>0</v>
      </c>
      <c r="I1559" s="594">
        <f>+G1559*F1559</f>
        <v>224808.95999999999</v>
      </c>
      <c r="J1559" s="351"/>
    </row>
    <row r="1560" spans="1:10" ht="23.4" x14ac:dyDescent="0.3">
      <c r="A1560" s="1134"/>
      <c r="B1560" s="438"/>
      <c r="C1560" s="441" t="s">
        <v>264</v>
      </c>
      <c r="D1560" s="666" t="s">
        <v>265</v>
      </c>
      <c r="E1560" s="700"/>
      <c r="F1560" s="701">
        <f t="shared" ref="F1560:F1573" si="313">+E1560+F1466</f>
        <v>0</v>
      </c>
      <c r="G1560" s="697">
        <v>11</v>
      </c>
      <c r="H1560" s="592">
        <f t="shared" si="312"/>
        <v>0</v>
      </c>
      <c r="I1560" s="595">
        <f>+G1560*F1560</f>
        <v>0</v>
      </c>
      <c r="J1560" s="352"/>
    </row>
    <row r="1561" spans="1:10" ht="23.4" x14ac:dyDescent="0.3">
      <c r="A1561" s="1134"/>
      <c r="B1561" s="438"/>
      <c r="C1561" s="441" t="s">
        <v>295</v>
      </c>
      <c r="D1561" s="666" t="s">
        <v>453</v>
      </c>
      <c r="E1561" s="700"/>
      <c r="F1561" s="701">
        <f t="shared" si="313"/>
        <v>640</v>
      </c>
      <c r="G1561" s="697">
        <v>139.04</v>
      </c>
      <c r="H1561" s="592">
        <f t="shared" si="312"/>
        <v>0</v>
      </c>
      <c r="I1561" s="595">
        <f t="shared" ref="I1561:I1573" si="314">+G1561*F1561</f>
        <v>88985.599999999991</v>
      </c>
      <c r="J1561" s="352"/>
    </row>
    <row r="1562" spans="1:10" ht="23.4" x14ac:dyDescent="0.3">
      <c r="A1562" s="1134"/>
      <c r="B1562" s="438"/>
      <c r="C1562" s="441" t="s">
        <v>531</v>
      </c>
      <c r="D1562" s="666" t="s">
        <v>529</v>
      </c>
      <c r="E1562" s="700"/>
      <c r="F1562" s="701">
        <f t="shared" si="313"/>
        <v>12240</v>
      </c>
      <c r="G1562" s="715">
        <v>20.66</v>
      </c>
      <c r="H1562" s="592">
        <f t="shared" si="312"/>
        <v>0</v>
      </c>
      <c r="I1562" s="595">
        <f t="shared" si="314"/>
        <v>252878.4</v>
      </c>
      <c r="J1562" s="352"/>
    </row>
    <row r="1563" spans="1:10" ht="23.4" x14ac:dyDescent="0.3">
      <c r="A1563" s="1134"/>
      <c r="B1563" s="438"/>
      <c r="C1563" s="441" t="s">
        <v>288</v>
      </c>
      <c r="D1563" s="666" t="s">
        <v>177</v>
      </c>
      <c r="E1563" s="700"/>
      <c r="F1563" s="701">
        <f t="shared" si="313"/>
        <v>0</v>
      </c>
      <c r="G1563" s="697">
        <v>14.79</v>
      </c>
      <c r="H1563" s="592">
        <f t="shared" si="312"/>
        <v>0</v>
      </c>
      <c r="I1563" s="595">
        <f t="shared" si="314"/>
        <v>0</v>
      </c>
      <c r="J1563" s="352"/>
    </row>
    <row r="1564" spans="1:10" ht="23.4" x14ac:dyDescent="0.3">
      <c r="A1564" s="1134"/>
      <c r="B1564" s="438"/>
      <c r="C1564" s="441" t="s">
        <v>295</v>
      </c>
      <c r="D1564" s="666" t="s">
        <v>265</v>
      </c>
      <c r="E1564" s="700">
        <v>0</v>
      </c>
      <c r="F1564" s="701">
        <f t="shared" si="313"/>
        <v>5120</v>
      </c>
      <c r="G1564" s="697">
        <v>139.04</v>
      </c>
      <c r="H1564" s="592">
        <f t="shared" si="312"/>
        <v>0</v>
      </c>
      <c r="I1564" s="595">
        <f t="shared" si="314"/>
        <v>711884.79999999993</v>
      </c>
      <c r="J1564" s="352"/>
    </row>
    <row r="1565" spans="1:10" ht="23.4" x14ac:dyDescent="0.3">
      <c r="A1565" s="1134"/>
      <c r="B1565" s="438"/>
      <c r="C1565" s="441" t="s">
        <v>537</v>
      </c>
      <c r="D1565" s="666" t="s">
        <v>265</v>
      </c>
      <c r="E1565" s="700">
        <v>0</v>
      </c>
      <c r="F1565" s="701">
        <f t="shared" si="313"/>
        <v>4160</v>
      </c>
      <c r="G1565" s="697">
        <v>135.96</v>
      </c>
      <c r="H1565" s="592">
        <f t="shared" si="312"/>
        <v>0</v>
      </c>
      <c r="I1565" s="595">
        <f t="shared" si="314"/>
        <v>565593.59999999998</v>
      </c>
      <c r="J1565" s="352"/>
    </row>
    <row r="1566" spans="1:10" ht="23.4" x14ac:dyDescent="0.3">
      <c r="A1566" s="1134"/>
      <c r="B1566" s="438"/>
      <c r="C1566" s="441" t="s">
        <v>313</v>
      </c>
      <c r="D1566" s="667" t="s">
        <v>265</v>
      </c>
      <c r="E1566" s="700">
        <v>0</v>
      </c>
      <c r="F1566" s="701">
        <f t="shared" si="313"/>
        <v>58892</v>
      </c>
      <c r="G1566" s="697">
        <v>18.84</v>
      </c>
      <c r="H1566" s="592">
        <f t="shared" si="312"/>
        <v>0</v>
      </c>
      <c r="I1566" s="595">
        <f t="shared" si="314"/>
        <v>1109525.28</v>
      </c>
      <c r="J1566" s="352"/>
    </row>
    <row r="1567" spans="1:10" ht="23.4" x14ac:dyDescent="0.3">
      <c r="A1567" s="1134"/>
      <c r="B1567" s="438"/>
      <c r="C1567" s="441" t="s">
        <v>322</v>
      </c>
      <c r="D1567" s="667" t="s">
        <v>232</v>
      </c>
      <c r="E1567" s="700"/>
      <c r="F1567" s="701">
        <f t="shared" si="313"/>
        <v>0</v>
      </c>
      <c r="G1567" s="697">
        <v>21.18</v>
      </c>
      <c r="H1567" s="592">
        <f t="shared" si="312"/>
        <v>0</v>
      </c>
      <c r="I1567" s="595">
        <f t="shared" si="314"/>
        <v>0</v>
      </c>
      <c r="J1567" s="352"/>
    </row>
    <row r="1568" spans="1:10" ht="23.4" x14ac:dyDescent="0.3">
      <c r="A1568" s="1134"/>
      <c r="B1568" s="438"/>
      <c r="C1568" s="441" t="s">
        <v>324</v>
      </c>
      <c r="D1568" s="667" t="s">
        <v>325</v>
      </c>
      <c r="E1568" s="700"/>
      <c r="F1568" s="701">
        <f t="shared" si="313"/>
        <v>0</v>
      </c>
      <c r="G1568" s="697">
        <v>21.28</v>
      </c>
      <c r="H1568" s="592">
        <f t="shared" si="312"/>
        <v>0</v>
      </c>
      <c r="I1568" s="595">
        <f t="shared" si="314"/>
        <v>0</v>
      </c>
      <c r="J1568" s="352"/>
    </row>
    <row r="1569" spans="1:10" ht="23.4" x14ac:dyDescent="0.3">
      <c r="A1569" s="1134"/>
      <c r="B1569" s="438"/>
      <c r="C1569" s="441" t="s">
        <v>378</v>
      </c>
      <c r="D1569" s="667" t="s">
        <v>374</v>
      </c>
      <c r="E1569" s="700">
        <v>0</v>
      </c>
      <c r="F1569" s="701">
        <f t="shared" si="313"/>
        <v>9920</v>
      </c>
      <c r="G1569" s="697">
        <v>143.28</v>
      </c>
      <c r="H1569" s="592">
        <f t="shared" si="312"/>
        <v>0</v>
      </c>
      <c r="I1569" s="595">
        <f t="shared" si="314"/>
        <v>1421337.6000000001</v>
      </c>
      <c r="J1569" s="352"/>
    </row>
    <row r="1570" spans="1:10" ht="23.4" x14ac:dyDescent="0.3">
      <c r="A1570" s="1134"/>
      <c r="B1570" s="438"/>
      <c r="C1570" s="441" t="s">
        <v>472</v>
      </c>
      <c r="D1570" s="666" t="s">
        <v>177</v>
      </c>
      <c r="E1570" s="700">
        <v>0</v>
      </c>
      <c r="F1570" s="701">
        <f t="shared" si="313"/>
        <v>261888</v>
      </c>
      <c r="G1570" s="697">
        <v>14.79</v>
      </c>
      <c r="H1570" s="592">
        <f t="shared" si="312"/>
        <v>0</v>
      </c>
      <c r="I1570" s="595">
        <f t="shared" si="314"/>
        <v>3873323.5199999996</v>
      </c>
      <c r="J1570" s="352"/>
    </row>
    <row r="1571" spans="1:10" ht="23.4" x14ac:dyDescent="0.3">
      <c r="A1571" s="1134"/>
      <c r="B1571" s="438"/>
      <c r="C1571" s="441" t="s">
        <v>451</v>
      </c>
      <c r="D1571" s="666" t="s">
        <v>177</v>
      </c>
      <c r="E1571" s="700">
        <v>0</v>
      </c>
      <c r="F1571" s="701">
        <f t="shared" si="313"/>
        <v>498432</v>
      </c>
      <c r="G1571" s="697">
        <v>14.55</v>
      </c>
      <c r="H1571" s="592">
        <f t="shared" si="312"/>
        <v>0</v>
      </c>
      <c r="I1571" s="595">
        <f t="shared" si="314"/>
        <v>7252185.6000000006</v>
      </c>
      <c r="J1571" s="352"/>
    </row>
    <row r="1572" spans="1:10" ht="23.4" x14ac:dyDescent="0.3">
      <c r="A1572" s="1134"/>
      <c r="B1572" s="438"/>
      <c r="C1572" s="441" t="s">
        <v>327</v>
      </c>
      <c r="D1572" s="667" t="s">
        <v>188</v>
      </c>
      <c r="E1572" s="700"/>
      <c r="F1572" s="701">
        <f t="shared" si="313"/>
        <v>0</v>
      </c>
      <c r="G1572" s="697">
        <v>21.28</v>
      </c>
      <c r="H1572" s="592">
        <f t="shared" si="312"/>
        <v>0</v>
      </c>
      <c r="I1572" s="595">
        <f t="shared" si="314"/>
        <v>0</v>
      </c>
      <c r="J1572" s="352"/>
    </row>
    <row r="1573" spans="1:10" ht="24" thickBot="1" x14ac:dyDescent="0.35">
      <c r="A1573" s="1134"/>
      <c r="B1573" s="438"/>
      <c r="C1573" s="441" t="s">
        <v>295</v>
      </c>
      <c r="D1573" s="668" t="s">
        <v>539</v>
      </c>
      <c r="E1573" s="700">
        <v>0</v>
      </c>
      <c r="F1573" s="676">
        <f t="shared" si="313"/>
        <v>1920</v>
      </c>
      <c r="G1573" s="697">
        <v>135.96</v>
      </c>
      <c r="H1573" s="592">
        <f t="shared" si="312"/>
        <v>0</v>
      </c>
      <c r="I1573" s="595">
        <f t="shared" si="314"/>
        <v>261043.20000000001</v>
      </c>
      <c r="J1573" s="352"/>
    </row>
    <row r="1574" spans="1:10" ht="24" thickBot="1" x14ac:dyDescent="0.35">
      <c r="A1574" s="1134"/>
      <c r="B1574" s="1129" t="s">
        <v>266</v>
      </c>
      <c r="C1574" s="1130"/>
      <c r="D1574" s="974"/>
      <c r="E1574" s="326">
        <f>SUM(E1559:E1573)</f>
        <v>0</v>
      </c>
      <c r="F1574" s="698">
        <f>SUM(F1559:F1573)</f>
        <v>855260</v>
      </c>
      <c r="G1574" s="326"/>
      <c r="H1574" s="587">
        <f>SUM(H1559:H1573)</f>
        <v>0</v>
      </c>
      <c r="I1574" s="580">
        <f>SUM(I1559:I1573)</f>
        <v>15761566.559999999</v>
      </c>
      <c r="J1574" s="349"/>
    </row>
    <row r="1575" spans="1:10" ht="23.4" x14ac:dyDescent="0.3">
      <c r="A1575" s="1134"/>
      <c r="B1575" s="972"/>
      <c r="C1575" s="279" t="s">
        <v>271</v>
      </c>
      <c r="D1575" s="434" t="s">
        <v>238</v>
      </c>
      <c r="E1575" s="280">
        <v>0</v>
      </c>
      <c r="F1575" s="435">
        <f>+E1575+F1481</f>
        <v>11736</v>
      </c>
      <c r="G1575" s="578">
        <v>160.44999999999999</v>
      </c>
      <c r="H1575" s="593">
        <f t="shared" ref="H1575:H1580" si="315">E1575*G1575</f>
        <v>0</v>
      </c>
      <c r="I1575" s="596">
        <f t="shared" ref="I1575:I1580" si="316">+G1575*F1575</f>
        <v>1883041.2</v>
      </c>
      <c r="J1575" s="373"/>
    </row>
    <row r="1576" spans="1:10" ht="23.4" x14ac:dyDescent="0.3">
      <c r="A1576" s="1134"/>
      <c r="B1576" s="972"/>
      <c r="C1576" s="279" t="s">
        <v>287</v>
      </c>
      <c r="D1576" s="434" t="s">
        <v>93</v>
      </c>
      <c r="E1576" s="280">
        <v>0</v>
      </c>
      <c r="F1576" s="435">
        <f t="shared" ref="F1576:F1580" si="317">+E1576+F1482</f>
        <v>91380</v>
      </c>
      <c r="G1576" s="578">
        <v>27</v>
      </c>
      <c r="H1576" s="593">
        <f t="shared" si="315"/>
        <v>0</v>
      </c>
      <c r="I1576" s="596">
        <f t="shared" si="316"/>
        <v>2467260</v>
      </c>
      <c r="J1576" s="373"/>
    </row>
    <row r="1577" spans="1:10" ht="23.4" x14ac:dyDescent="0.3">
      <c r="A1577" s="1134"/>
      <c r="B1577" s="972"/>
      <c r="C1577" s="279" t="s">
        <v>287</v>
      </c>
      <c r="D1577" s="434" t="s">
        <v>292</v>
      </c>
      <c r="E1577" s="280"/>
      <c r="F1577" s="435">
        <f t="shared" si="317"/>
        <v>0</v>
      </c>
      <c r="G1577" s="578">
        <v>27.5</v>
      </c>
      <c r="H1577" s="593">
        <f t="shared" si="315"/>
        <v>0</v>
      </c>
      <c r="I1577" s="596">
        <f t="shared" si="316"/>
        <v>0</v>
      </c>
      <c r="J1577" s="373"/>
    </row>
    <row r="1578" spans="1:10" ht="23.4" x14ac:dyDescent="0.3">
      <c r="A1578" s="1134"/>
      <c r="B1578" s="972"/>
      <c r="C1578" s="279" t="s">
        <v>276</v>
      </c>
      <c r="D1578" s="434" t="s">
        <v>292</v>
      </c>
      <c r="E1578" s="280"/>
      <c r="F1578" s="435">
        <f t="shared" si="317"/>
        <v>0</v>
      </c>
      <c r="G1578" s="578">
        <v>34.5</v>
      </c>
      <c r="H1578" s="593">
        <f t="shared" si="315"/>
        <v>0</v>
      </c>
      <c r="I1578" s="596">
        <f t="shared" si="316"/>
        <v>0</v>
      </c>
      <c r="J1578" s="373"/>
    </row>
    <row r="1579" spans="1:10" ht="23.4" x14ac:dyDescent="0.3">
      <c r="A1579" s="1134"/>
      <c r="B1579" s="972"/>
      <c r="C1579" s="279" t="s">
        <v>473</v>
      </c>
      <c r="D1579" s="434" t="s">
        <v>440</v>
      </c>
      <c r="E1579" s="280"/>
      <c r="F1579" s="435">
        <f t="shared" si="317"/>
        <v>31200</v>
      </c>
      <c r="G1579" s="578">
        <v>10.57</v>
      </c>
      <c r="H1579" s="593">
        <f t="shared" si="315"/>
        <v>0</v>
      </c>
      <c r="I1579" s="596">
        <f t="shared" si="316"/>
        <v>329784</v>
      </c>
      <c r="J1579" s="373"/>
    </row>
    <row r="1580" spans="1:10" ht="24" thickBot="1" x14ac:dyDescent="0.35">
      <c r="A1580" s="1134"/>
      <c r="B1580" s="972"/>
      <c r="C1580" s="279" t="s">
        <v>276</v>
      </c>
      <c r="D1580" s="434" t="s">
        <v>440</v>
      </c>
      <c r="E1580" s="280"/>
      <c r="F1580" s="435">
        <f t="shared" si="317"/>
        <v>26</v>
      </c>
      <c r="G1580" s="578">
        <v>55.76</v>
      </c>
      <c r="H1580" s="593">
        <f t="shared" si="315"/>
        <v>0</v>
      </c>
      <c r="I1580" s="596">
        <f t="shared" si="316"/>
        <v>1449.76</v>
      </c>
      <c r="J1580" s="373"/>
    </row>
    <row r="1581" spans="1:10" ht="24" thickBot="1" x14ac:dyDescent="0.35">
      <c r="A1581" s="1134"/>
      <c r="B1581" s="1129" t="s">
        <v>267</v>
      </c>
      <c r="C1581" s="1130"/>
      <c r="D1581" s="974"/>
      <c r="E1581" s="326">
        <f>SUM(E1575:E1580)</f>
        <v>0</v>
      </c>
      <c r="F1581" s="326">
        <f>SUM(F1575:F1580)</f>
        <v>134342</v>
      </c>
      <c r="G1581" s="326"/>
      <c r="H1581" s="587">
        <f>SUM(H1575:H1580)</f>
        <v>0</v>
      </c>
      <c r="I1581" s="580">
        <f>SUM(I1575:I1580)</f>
        <v>4681534.96</v>
      </c>
      <c r="J1581" s="349"/>
    </row>
    <row r="1582" spans="1:10" ht="23.4" x14ac:dyDescent="0.3">
      <c r="A1582" s="1134"/>
      <c r="B1582" s="972"/>
      <c r="C1582" s="279" t="s">
        <v>277</v>
      </c>
      <c r="D1582" s="434" t="s">
        <v>278</v>
      </c>
      <c r="E1582" s="280"/>
      <c r="F1582" s="435">
        <f>+E1582+F1488</f>
        <v>5</v>
      </c>
      <c r="G1582" s="578">
        <v>2500</v>
      </c>
      <c r="H1582" s="593">
        <f t="shared" ref="H1582:H1585" si="318">E1582*G1582</f>
        <v>0</v>
      </c>
      <c r="I1582" s="596">
        <f>+G1582*F1582</f>
        <v>12500</v>
      </c>
      <c r="J1582" s="373"/>
    </row>
    <row r="1583" spans="1:10" ht="23.4" x14ac:dyDescent="0.3">
      <c r="A1583" s="1134"/>
      <c r="B1583" s="972"/>
      <c r="C1583" s="279" t="s">
        <v>454</v>
      </c>
      <c r="D1583" s="434"/>
      <c r="E1583" s="280"/>
      <c r="F1583" s="435">
        <f t="shared" ref="F1583:F1585" si="319">+E1583+F1489</f>
        <v>0</v>
      </c>
      <c r="G1583" s="578">
        <v>30000</v>
      </c>
      <c r="H1583" s="593">
        <f t="shared" si="318"/>
        <v>0</v>
      </c>
      <c r="I1583" s="596">
        <f>+G1583*F1583</f>
        <v>0</v>
      </c>
      <c r="J1583" s="373"/>
    </row>
    <row r="1584" spans="1:10" ht="23.4" x14ac:dyDescent="0.3">
      <c r="A1584" s="1134"/>
      <c r="B1584" s="972"/>
      <c r="C1584" s="279" t="s">
        <v>379</v>
      </c>
      <c r="D1584" s="434" t="s">
        <v>304</v>
      </c>
      <c r="E1584" s="280"/>
      <c r="F1584" s="435">
        <f t="shared" si="319"/>
        <v>0</v>
      </c>
      <c r="G1584" s="578">
        <v>360</v>
      </c>
      <c r="H1584" s="593">
        <f t="shared" si="318"/>
        <v>0</v>
      </c>
      <c r="I1584" s="596">
        <f>+G1584*F1584</f>
        <v>0</v>
      </c>
      <c r="J1584" s="373"/>
    </row>
    <row r="1585" spans="1:10" ht="24" thickBot="1" x14ac:dyDescent="0.35">
      <c r="A1585" s="1134"/>
      <c r="B1585" s="972"/>
      <c r="C1585" s="279" t="s">
        <v>427</v>
      </c>
      <c r="D1585" s="434" t="s">
        <v>304</v>
      </c>
      <c r="E1585" s="280"/>
      <c r="F1585" s="435">
        <f t="shared" si="319"/>
        <v>0</v>
      </c>
      <c r="G1585" s="579">
        <v>10</v>
      </c>
      <c r="H1585" s="593">
        <f t="shared" si="318"/>
        <v>0</v>
      </c>
      <c r="I1585" s="596">
        <f t="shared" ref="I1585" si="320">+G1585*F1585</f>
        <v>0</v>
      </c>
      <c r="J1585" s="373"/>
    </row>
    <row r="1586" spans="1:10" ht="24" thickBot="1" x14ac:dyDescent="0.35">
      <c r="A1586" s="1134"/>
      <c r="B1586" s="1129" t="s">
        <v>272</v>
      </c>
      <c r="C1586" s="1130"/>
      <c r="D1586" s="974"/>
      <c r="E1586" s="326">
        <f>SUM(E1582:E1585)</f>
        <v>0</v>
      </c>
      <c r="F1586" s="326">
        <f>SUM(F1582:F1585)</f>
        <v>5</v>
      </c>
      <c r="G1586" s="326"/>
      <c r="H1586" s="587">
        <f>SUM(H1582:H1585)</f>
        <v>0</v>
      </c>
      <c r="I1586" s="580">
        <f>SUM(I1582:I1585)</f>
        <v>12500</v>
      </c>
      <c r="J1586" s="373"/>
    </row>
    <row r="1587" spans="1:10" ht="24" thickBot="1" x14ac:dyDescent="0.35">
      <c r="A1587" s="1134"/>
      <c r="B1587" s="972"/>
      <c r="C1587" s="279"/>
      <c r="D1587" s="434"/>
      <c r="E1587" s="280"/>
      <c r="F1587" s="317"/>
      <c r="G1587" s="579"/>
      <c r="H1587" s="588"/>
      <c r="I1587" s="282"/>
      <c r="J1587" s="373"/>
    </row>
    <row r="1588" spans="1:10" ht="24" thickBot="1" x14ac:dyDescent="0.35">
      <c r="A1588" s="1135"/>
      <c r="B1588" s="1129" t="s">
        <v>269</v>
      </c>
      <c r="C1588" s="1130"/>
      <c r="D1588" s="970"/>
      <c r="E1588" s="326">
        <f>+E1586+E1581+E1574</f>
        <v>0</v>
      </c>
      <c r="F1588" s="326">
        <f>+F1586+F1581+F1574</f>
        <v>989607</v>
      </c>
      <c r="G1588" s="326"/>
      <c r="H1588" s="580">
        <f>+H1581+H1574+H1586</f>
        <v>0</v>
      </c>
      <c r="I1588" s="580">
        <f>+I1581+I1574+I1586</f>
        <v>20455601.52</v>
      </c>
      <c r="J1588" s="373"/>
    </row>
    <row r="1589" spans="1:10" ht="23.4" x14ac:dyDescent="0.3">
      <c r="A1589" s="1133" t="s">
        <v>101</v>
      </c>
      <c r="B1589" s="972"/>
      <c r="C1589" s="279" t="s">
        <v>281</v>
      </c>
      <c r="D1589" s="434" t="s">
        <v>178</v>
      </c>
      <c r="E1589" s="280"/>
      <c r="F1589" s="435">
        <f>+E1589+F1495</f>
        <v>0</v>
      </c>
      <c r="G1589" s="602">
        <v>13.25</v>
      </c>
      <c r="H1589" s="597">
        <f t="shared" ref="H1589:H1617" si="321">E1589*G1589</f>
        <v>0</v>
      </c>
      <c r="I1589" s="596">
        <f t="shared" ref="I1589:I1617" si="322">+G1589*F1589</f>
        <v>0</v>
      </c>
      <c r="J1589" s="373"/>
    </row>
    <row r="1590" spans="1:10" ht="23.4" x14ac:dyDescent="0.3">
      <c r="A1590" s="1134"/>
      <c r="B1590" s="972"/>
      <c r="C1590" s="279" t="s">
        <v>282</v>
      </c>
      <c r="D1590" s="434"/>
      <c r="E1590" s="280"/>
      <c r="F1590" s="435">
        <f t="shared" ref="F1590:F1644" si="323">+E1590+F1496</f>
        <v>0</v>
      </c>
      <c r="G1590" s="603">
        <v>5000</v>
      </c>
      <c r="H1590" s="597">
        <f t="shared" si="321"/>
        <v>0</v>
      </c>
      <c r="I1590" s="596">
        <f t="shared" si="322"/>
        <v>0</v>
      </c>
      <c r="J1590" s="373"/>
    </row>
    <row r="1591" spans="1:10" ht="23.4" x14ac:dyDescent="0.3">
      <c r="A1591" s="1134"/>
      <c r="B1591" s="972"/>
      <c r="C1591" s="279" t="s">
        <v>282</v>
      </c>
      <c r="D1591" s="434"/>
      <c r="E1591" s="280"/>
      <c r="F1591" s="435">
        <f t="shared" si="323"/>
        <v>0</v>
      </c>
      <c r="G1591" s="603">
        <v>18000</v>
      </c>
      <c r="H1591" s="597">
        <f t="shared" si="321"/>
        <v>0</v>
      </c>
      <c r="I1591" s="596">
        <f t="shared" si="322"/>
        <v>0</v>
      </c>
      <c r="J1591" s="373"/>
    </row>
    <row r="1592" spans="1:10" ht="23.4" x14ac:dyDescent="0.3">
      <c r="A1592" s="1134"/>
      <c r="B1592" s="972"/>
      <c r="C1592" s="279" t="s">
        <v>465</v>
      </c>
      <c r="D1592" s="434" t="s">
        <v>338</v>
      </c>
      <c r="E1592" s="280"/>
      <c r="F1592" s="435">
        <f t="shared" si="323"/>
        <v>0</v>
      </c>
      <c r="G1592" s="602">
        <v>24.93</v>
      </c>
      <c r="H1592" s="597">
        <f t="shared" si="321"/>
        <v>0</v>
      </c>
      <c r="I1592" s="596">
        <f t="shared" si="322"/>
        <v>0</v>
      </c>
      <c r="J1592" s="373"/>
    </row>
    <row r="1593" spans="1:10" ht="23.4" x14ac:dyDescent="0.3">
      <c r="A1593" s="1134"/>
      <c r="B1593" s="972"/>
      <c r="C1593" s="746" t="s">
        <v>466</v>
      </c>
      <c r="D1593" s="747" t="s">
        <v>92</v>
      </c>
      <c r="E1593" s="280"/>
      <c r="F1593" s="435">
        <f t="shared" si="323"/>
        <v>0</v>
      </c>
      <c r="G1593" s="602">
        <v>20.8</v>
      </c>
      <c r="H1593" s="597">
        <f t="shared" si="321"/>
        <v>0</v>
      </c>
      <c r="I1593" s="596">
        <f t="shared" si="322"/>
        <v>0</v>
      </c>
      <c r="J1593" s="373"/>
    </row>
    <row r="1594" spans="1:10" ht="23.4" x14ac:dyDescent="0.3">
      <c r="A1594" s="1134"/>
      <c r="B1594" s="972"/>
      <c r="C1594" s="746" t="s">
        <v>467</v>
      </c>
      <c r="D1594" s="747" t="s">
        <v>567</v>
      </c>
      <c r="E1594" s="280">
        <v>0</v>
      </c>
      <c r="F1594" s="435">
        <f t="shared" si="323"/>
        <v>123318</v>
      </c>
      <c r="G1594" s="602">
        <v>26.75</v>
      </c>
      <c r="H1594" s="597">
        <f t="shared" si="321"/>
        <v>0</v>
      </c>
      <c r="I1594" s="596">
        <f t="shared" si="322"/>
        <v>3298756.5</v>
      </c>
      <c r="J1594" s="373"/>
    </row>
    <row r="1595" spans="1:10" ht="23.4" x14ac:dyDescent="0.3">
      <c r="A1595" s="1134"/>
      <c r="B1595" s="972"/>
      <c r="C1595" s="746" t="s">
        <v>467</v>
      </c>
      <c r="D1595" s="747" t="s">
        <v>540</v>
      </c>
      <c r="E1595" s="280">
        <v>0</v>
      </c>
      <c r="F1595" s="435">
        <f t="shared" si="323"/>
        <v>123318</v>
      </c>
      <c r="G1595" s="602">
        <v>25</v>
      </c>
      <c r="H1595" s="597">
        <f t="shared" si="321"/>
        <v>0</v>
      </c>
      <c r="I1595" s="596">
        <f t="shared" si="322"/>
        <v>3082950</v>
      </c>
      <c r="J1595" s="373"/>
    </row>
    <row r="1596" spans="1:10" ht="23.4" x14ac:dyDescent="0.3">
      <c r="A1596" s="1134"/>
      <c r="B1596" s="748"/>
      <c r="C1596" s="749" t="s">
        <v>469</v>
      </c>
      <c r="D1596" s="750" t="s">
        <v>309</v>
      </c>
      <c r="E1596" s="751"/>
      <c r="F1596" s="752">
        <f t="shared" si="323"/>
        <v>0</v>
      </c>
      <c r="G1596" s="753">
        <v>24.41</v>
      </c>
      <c r="H1596" s="754">
        <f t="shared" si="321"/>
        <v>0</v>
      </c>
      <c r="I1596" s="755">
        <f t="shared" si="322"/>
        <v>0</v>
      </c>
      <c r="J1596" s="756"/>
    </row>
    <row r="1597" spans="1:10" ht="23.4" x14ac:dyDescent="0.3">
      <c r="A1597" s="1134"/>
      <c r="B1597" s="972"/>
      <c r="C1597" s="279" t="s">
        <v>444</v>
      </c>
      <c r="D1597" s="434" t="s">
        <v>423</v>
      </c>
      <c r="E1597" s="280"/>
      <c r="F1597" s="435">
        <f t="shared" si="323"/>
        <v>0</v>
      </c>
      <c r="G1597" s="602">
        <v>20.76</v>
      </c>
      <c r="H1597" s="597">
        <f t="shared" si="321"/>
        <v>0</v>
      </c>
      <c r="I1597" s="596">
        <f t="shared" si="322"/>
        <v>0</v>
      </c>
      <c r="J1597" s="373"/>
    </row>
    <row r="1598" spans="1:10" ht="23.4" x14ac:dyDescent="0.3">
      <c r="A1598" s="1134"/>
      <c r="B1598" s="972"/>
      <c r="C1598" s="279" t="s">
        <v>298</v>
      </c>
      <c r="D1598" s="434" t="s">
        <v>107</v>
      </c>
      <c r="E1598" s="280"/>
      <c r="F1598" s="435">
        <f t="shared" si="323"/>
        <v>0</v>
      </c>
      <c r="G1598" s="602">
        <v>24.93</v>
      </c>
      <c r="H1598" s="597">
        <f t="shared" si="321"/>
        <v>0</v>
      </c>
      <c r="I1598" s="596">
        <f t="shared" si="322"/>
        <v>0</v>
      </c>
      <c r="J1598" s="373"/>
    </row>
    <row r="1599" spans="1:10" ht="23.4" x14ac:dyDescent="0.3">
      <c r="A1599" s="1134"/>
      <c r="B1599" s="972"/>
      <c r="C1599" s="279" t="s">
        <v>299</v>
      </c>
      <c r="D1599" s="434" t="s">
        <v>280</v>
      </c>
      <c r="E1599" s="280"/>
      <c r="F1599" s="435">
        <f t="shared" si="323"/>
        <v>0</v>
      </c>
      <c r="G1599" s="602">
        <v>24.93</v>
      </c>
      <c r="H1599" s="597">
        <f t="shared" si="321"/>
        <v>0</v>
      </c>
      <c r="I1599" s="596">
        <f t="shared" si="322"/>
        <v>0</v>
      </c>
      <c r="J1599" s="373"/>
    </row>
    <row r="1600" spans="1:10" ht="23.4" x14ac:dyDescent="0.3">
      <c r="A1600" s="1134"/>
      <c r="B1600" s="972"/>
      <c r="C1600" s="279" t="s">
        <v>425</v>
      </c>
      <c r="D1600" s="434" t="s">
        <v>309</v>
      </c>
      <c r="E1600" s="280"/>
      <c r="F1600" s="435">
        <f t="shared" si="323"/>
        <v>0</v>
      </c>
      <c r="G1600" s="602">
        <v>23.78</v>
      </c>
      <c r="H1600" s="597">
        <f t="shared" si="321"/>
        <v>0</v>
      </c>
      <c r="I1600" s="596">
        <f t="shared" si="322"/>
        <v>0</v>
      </c>
      <c r="J1600" s="373"/>
    </row>
    <row r="1601" spans="1:10" ht="23.4" x14ac:dyDescent="0.3">
      <c r="A1601" s="1134"/>
      <c r="B1601" s="972"/>
      <c r="C1601" s="279" t="s">
        <v>354</v>
      </c>
      <c r="D1601" s="434" t="s">
        <v>309</v>
      </c>
      <c r="E1601" s="280"/>
      <c r="F1601" s="435">
        <f t="shared" si="323"/>
        <v>0</v>
      </c>
      <c r="G1601" s="602">
        <v>37.4566666666</v>
      </c>
      <c r="H1601" s="597">
        <f t="shared" si="321"/>
        <v>0</v>
      </c>
      <c r="I1601" s="596">
        <f t="shared" si="322"/>
        <v>0</v>
      </c>
      <c r="J1601" s="373"/>
    </row>
    <row r="1602" spans="1:10" ht="23.4" x14ac:dyDescent="0.3">
      <c r="A1602" s="1134"/>
      <c r="B1602" s="972"/>
      <c r="C1602" s="279" t="s">
        <v>355</v>
      </c>
      <c r="D1602" s="434" t="s">
        <v>309</v>
      </c>
      <c r="E1602" s="280">
        <v>0</v>
      </c>
      <c r="F1602" s="435">
        <f t="shared" si="323"/>
        <v>5616</v>
      </c>
      <c r="G1602" s="602">
        <v>37.89</v>
      </c>
      <c r="H1602" s="597">
        <f t="shared" si="321"/>
        <v>0</v>
      </c>
      <c r="I1602" s="596">
        <f t="shared" si="322"/>
        <v>212790.24</v>
      </c>
      <c r="J1602" s="373"/>
    </row>
    <row r="1603" spans="1:10" ht="23.4" x14ac:dyDescent="0.3">
      <c r="A1603" s="1134"/>
      <c r="B1603" s="972"/>
      <c r="C1603" s="279" t="s">
        <v>461</v>
      </c>
      <c r="D1603" s="434" t="s">
        <v>92</v>
      </c>
      <c r="E1603" s="280"/>
      <c r="F1603" s="435">
        <f t="shared" si="323"/>
        <v>0</v>
      </c>
      <c r="G1603" s="602">
        <v>28.31</v>
      </c>
      <c r="H1603" s="597">
        <f t="shared" si="321"/>
        <v>0</v>
      </c>
      <c r="I1603" s="596">
        <f t="shared" si="322"/>
        <v>0</v>
      </c>
      <c r="J1603" s="373"/>
    </row>
    <row r="1604" spans="1:10" ht="23.4" x14ac:dyDescent="0.3">
      <c r="A1604" s="1134"/>
      <c r="B1604" s="972"/>
      <c r="C1604" s="279" t="s">
        <v>461</v>
      </c>
      <c r="D1604" s="434" t="s">
        <v>423</v>
      </c>
      <c r="E1604" s="280"/>
      <c r="F1604" s="435">
        <f t="shared" si="323"/>
        <v>0</v>
      </c>
      <c r="G1604" s="602">
        <v>28.88</v>
      </c>
      <c r="H1604" s="597">
        <f t="shared" si="321"/>
        <v>0</v>
      </c>
      <c r="I1604" s="596">
        <f t="shared" si="322"/>
        <v>0</v>
      </c>
      <c r="J1604" s="373"/>
    </row>
    <row r="1605" spans="1:10" ht="23.4" x14ac:dyDescent="0.3">
      <c r="A1605" s="1134"/>
      <c r="B1605" s="972"/>
      <c r="C1605" s="279" t="s">
        <v>462</v>
      </c>
      <c r="D1605" s="434" t="s">
        <v>423</v>
      </c>
      <c r="E1605" s="280"/>
      <c r="F1605" s="435">
        <f t="shared" si="323"/>
        <v>0</v>
      </c>
      <c r="G1605" s="602">
        <v>28.21</v>
      </c>
      <c r="H1605" s="597">
        <f t="shared" si="321"/>
        <v>0</v>
      </c>
      <c r="I1605" s="596">
        <f t="shared" si="322"/>
        <v>0</v>
      </c>
      <c r="J1605" s="373"/>
    </row>
    <row r="1606" spans="1:10" ht="23.4" x14ac:dyDescent="0.3">
      <c r="A1606" s="1134"/>
      <c r="B1606" s="972"/>
      <c r="C1606" s="279" t="s">
        <v>463</v>
      </c>
      <c r="D1606" s="434" t="s">
        <v>338</v>
      </c>
      <c r="E1606" s="280"/>
      <c r="F1606" s="435">
        <f t="shared" si="323"/>
        <v>0</v>
      </c>
      <c r="G1606" s="602">
        <v>39</v>
      </c>
      <c r="H1606" s="597">
        <f t="shared" si="321"/>
        <v>0</v>
      </c>
      <c r="I1606" s="596">
        <f t="shared" si="322"/>
        <v>0</v>
      </c>
      <c r="J1606" s="373"/>
    </row>
    <row r="1607" spans="1:10" ht="23.4" x14ac:dyDescent="0.3">
      <c r="A1607" s="1134"/>
      <c r="B1607" s="972"/>
      <c r="C1607" s="279" t="s">
        <v>463</v>
      </c>
      <c r="D1607" s="434" t="s">
        <v>92</v>
      </c>
      <c r="E1607" s="280"/>
      <c r="F1607" s="435">
        <f t="shared" si="323"/>
        <v>0</v>
      </c>
      <c r="G1607" s="602">
        <v>32.65</v>
      </c>
      <c r="H1607" s="597">
        <f t="shared" si="321"/>
        <v>0</v>
      </c>
      <c r="I1607" s="596">
        <f t="shared" si="322"/>
        <v>0</v>
      </c>
      <c r="J1607" s="373"/>
    </row>
    <row r="1608" spans="1:10" ht="23.4" x14ac:dyDescent="0.3">
      <c r="A1608" s="1134"/>
      <c r="B1608" s="972"/>
      <c r="C1608" s="279" t="s">
        <v>463</v>
      </c>
      <c r="D1608" s="434" t="s">
        <v>423</v>
      </c>
      <c r="E1608" s="280"/>
      <c r="F1608" s="435">
        <f t="shared" si="323"/>
        <v>0</v>
      </c>
      <c r="G1608" s="602">
        <v>33.299999999999997</v>
      </c>
      <c r="H1608" s="597">
        <f t="shared" si="321"/>
        <v>0</v>
      </c>
      <c r="I1608" s="596">
        <f t="shared" si="322"/>
        <v>0</v>
      </c>
      <c r="J1608" s="373"/>
    </row>
    <row r="1609" spans="1:10" ht="23.4" x14ac:dyDescent="0.3">
      <c r="A1609" s="1134"/>
      <c r="B1609" s="972"/>
      <c r="C1609" s="279" t="s">
        <v>299</v>
      </c>
      <c r="D1609" s="434" t="s">
        <v>279</v>
      </c>
      <c r="E1609" s="280"/>
      <c r="F1609" s="435">
        <f t="shared" si="323"/>
        <v>0</v>
      </c>
      <c r="G1609" s="602">
        <v>24.93</v>
      </c>
      <c r="H1609" s="597">
        <f t="shared" si="321"/>
        <v>0</v>
      </c>
      <c r="I1609" s="596">
        <f t="shared" si="322"/>
        <v>0</v>
      </c>
      <c r="J1609" s="373"/>
    </row>
    <row r="1610" spans="1:10" ht="23.4" x14ac:dyDescent="0.3">
      <c r="A1610" s="1134"/>
      <c r="B1610" s="972"/>
      <c r="C1610" s="279" t="s">
        <v>299</v>
      </c>
      <c r="D1610" s="434"/>
      <c r="E1610" s="280"/>
      <c r="F1610" s="435">
        <f t="shared" si="323"/>
        <v>0</v>
      </c>
      <c r="G1610" s="602">
        <v>24.93</v>
      </c>
      <c r="H1610" s="597">
        <f t="shared" si="321"/>
        <v>0</v>
      </c>
      <c r="I1610" s="596">
        <f t="shared" si="322"/>
        <v>0</v>
      </c>
      <c r="J1610" s="373"/>
    </row>
    <row r="1611" spans="1:10" ht="23.4" x14ac:dyDescent="0.3">
      <c r="A1611" s="1134"/>
      <c r="B1611" s="972"/>
      <c r="C1611" s="279" t="s">
        <v>316</v>
      </c>
      <c r="D1611" s="434" t="s">
        <v>289</v>
      </c>
      <c r="E1611" s="280"/>
      <c r="F1611" s="435">
        <f t="shared" si="323"/>
        <v>0</v>
      </c>
      <c r="G1611" s="602">
        <v>34.26</v>
      </c>
      <c r="H1611" s="597">
        <f t="shared" si="321"/>
        <v>0</v>
      </c>
      <c r="I1611" s="596">
        <f t="shared" si="322"/>
        <v>0</v>
      </c>
      <c r="J1611" s="373"/>
    </row>
    <row r="1612" spans="1:10" ht="23.4" x14ac:dyDescent="0.3">
      <c r="A1612" s="1134"/>
      <c r="B1612" s="972"/>
      <c r="C1612" s="279" t="s">
        <v>328</v>
      </c>
      <c r="D1612" s="434" t="s">
        <v>360</v>
      </c>
      <c r="E1612" s="280"/>
      <c r="F1612" s="435">
        <f t="shared" si="323"/>
        <v>0</v>
      </c>
      <c r="G1612" s="602">
        <v>37.89</v>
      </c>
      <c r="H1612" s="597">
        <f t="shared" si="321"/>
        <v>0</v>
      </c>
      <c r="I1612" s="596">
        <f t="shared" si="322"/>
        <v>0</v>
      </c>
      <c r="J1612" s="373"/>
    </row>
    <row r="1613" spans="1:10" ht="23.4" x14ac:dyDescent="0.3">
      <c r="A1613" s="1134"/>
      <c r="B1613" s="972"/>
      <c r="C1613" s="279" t="s">
        <v>363</v>
      </c>
      <c r="D1613" s="434" t="s">
        <v>338</v>
      </c>
      <c r="E1613" s="280"/>
      <c r="F1613" s="435">
        <f t="shared" si="323"/>
        <v>0</v>
      </c>
      <c r="G1613" s="602">
        <v>39</v>
      </c>
      <c r="H1613" s="597">
        <f t="shared" si="321"/>
        <v>0</v>
      </c>
      <c r="I1613" s="596">
        <f t="shared" si="322"/>
        <v>0</v>
      </c>
      <c r="J1613" s="373"/>
    </row>
    <row r="1614" spans="1:10" ht="23.4" x14ac:dyDescent="0.3">
      <c r="A1614" s="1134"/>
      <c r="B1614" s="972"/>
      <c r="C1614" s="279" t="s">
        <v>299</v>
      </c>
      <c r="D1614" s="434" t="s">
        <v>177</v>
      </c>
      <c r="E1614" s="280"/>
      <c r="F1614" s="435">
        <f t="shared" si="323"/>
        <v>0</v>
      </c>
      <c r="G1614" s="602">
        <v>21.22</v>
      </c>
      <c r="H1614" s="597">
        <f t="shared" si="321"/>
        <v>0</v>
      </c>
      <c r="I1614" s="596">
        <f t="shared" si="322"/>
        <v>0</v>
      </c>
      <c r="J1614" s="373"/>
    </row>
    <row r="1615" spans="1:10" ht="23.4" x14ac:dyDescent="0.3">
      <c r="A1615" s="1134"/>
      <c r="B1615" s="972"/>
      <c r="C1615" s="279" t="s">
        <v>298</v>
      </c>
      <c r="D1615" s="434" t="s">
        <v>177</v>
      </c>
      <c r="E1615" s="280"/>
      <c r="F1615" s="435">
        <f t="shared" si="323"/>
        <v>0</v>
      </c>
      <c r="G1615" s="602">
        <v>21.22</v>
      </c>
      <c r="H1615" s="597">
        <f t="shared" si="321"/>
        <v>0</v>
      </c>
      <c r="I1615" s="596">
        <f t="shared" si="322"/>
        <v>0</v>
      </c>
      <c r="J1615" s="373"/>
    </row>
    <row r="1616" spans="1:10" ht="23.4" x14ac:dyDescent="0.3">
      <c r="A1616" s="1134"/>
      <c r="B1616" s="972"/>
      <c r="C1616" s="279" t="s">
        <v>339</v>
      </c>
      <c r="D1616" s="434" t="s">
        <v>304</v>
      </c>
      <c r="E1616" s="280"/>
      <c r="F1616" s="435">
        <f t="shared" si="323"/>
        <v>0</v>
      </c>
      <c r="G1616" s="602">
        <v>10000</v>
      </c>
      <c r="H1616" s="597">
        <f t="shared" si="321"/>
        <v>0</v>
      </c>
      <c r="I1616" s="596">
        <f t="shared" si="322"/>
        <v>0</v>
      </c>
      <c r="J1616" s="373"/>
    </row>
    <row r="1617" spans="1:10" ht="24" thickBot="1" x14ac:dyDescent="0.35">
      <c r="A1617" s="1134"/>
      <c r="B1617" s="972"/>
      <c r="C1617" s="279" t="s">
        <v>303</v>
      </c>
      <c r="D1617" s="434" t="s">
        <v>304</v>
      </c>
      <c r="E1617" s="280"/>
      <c r="F1617" s="435">
        <f t="shared" si="323"/>
        <v>0</v>
      </c>
      <c r="G1617" s="602">
        <v>360</v>
      </c>
      <c r="H1617" s="597">
        <f t="shared" si="321"/>
        <v>0</v>
      </c>
      <c r="I1617" s="596">
        <f t="shared" si="322"/>
        <v>0</v>
      </c>
      <c r="J1617" s="373"/>
    </row>
    <row r="1618" spans="1:10" ht="24" thickBot="1" x14ac:dyDescent="0.35">
      <c r="A1618" s="1135"/>
      <c r="B1618" s="1129" t="s">
        <v>268</v>
      </c>
      <c r="C1618" s="1130"/>
      <c r="D1618" s="974"/>
      <c r="E1618" s="326">
        <f>SUM(E1589:E1617)</f>
        <v>0</v>
      </c>
      <c r="F1618" s="326">
        <f t="shared" si="323"/>
        <v>252252</v>
      </c>
      <c r="G1618" s="326"/>
      <c r="H1618" s="587">
        <f>SUM(H1589:H1617)</f>
        <v>0</v>
      </c>
      <c r="I1618" s="580">
        <f>SUM(I1589:I1617)</f>
        <v>6594496.7400000002</v>
      </c>
      <c r="J1618" s="373"/>
    </row>
    <row r="1619" spans="1:10" ht="23.4" x14ac:dyDescent="0.3">
      <c r="A1619" s="1133" t="s">
        <v>102</v>
      </c>
      <c r="B1619" s="972"/>
      <c r="C1619" s="279" t="s">
        <v>509</v>
      </c>
      <c r="D1619" s="434" t="s">
        <v>238</v>
      </c>
      <c r="E1619" s="280">
        <v>0</v>
      </c>
      <c r="F1619" s="435">
        <f>+E1619+F1525</f>
        <v>8000</v>
      </c>
      <c r="G1619" s="803">
        <v>624.26</v>
      </c>
      <c r="H1619" s="593">
        <f>E1619*G1619</f>
        <v>0</v>
      </c>
      <c r="I1619" s="596">
        <f t="shared" ref="I1619:I1621" si="324">+G1619*F1619</f>
        <v>4994080</v>
      </c>
      <c r="J1619" s="373"/>
    </row>
    <row r="1620" spans="1:10" ht="23.4" x14ac:dyDescent="0.3">
      <c r="A1620" s="1134"/>
      <c r="B1620" s="972"/>
      <c r="C1620" s="279" t="s">
        <v>273</v>
      </c>
      <c r="D1620" s="434" t="s">
        <v>238</v>
      </c>
      <c r="E1620" s="280">
        <v>2240</v>
      </c>
      <c r="F1620" s="435">
        <f t="shared" si="323"/>
        <v>28189</v>
      </c>
      <c r="G1620" s="602">
        <v>430.02</v>
      </c>
      <c r="H1620" s="593">
        <f t="shared" ref="H1620:H1641" si="325">E1620*G1620</f>
        <v>963244.79999999993</v>
      </c>
      <c r="I1620" s="596">
        <f t="shared" si="324"/>
        <v>12121833.779999999</v>
      </c>
      <c r="J1620" s="373"/>
    </row>
    <row r="1621" spans="1:10" ht="23.4" x14ac:dyDescent="0.3">
      <c r="A1621" s="1134"/>
      <c r="B1621" s="972"/>
      <c r="C1621" s="279" t="s">
        <v>390</v>
      </c>
      <c r="D1621" s="434" t="s">
        <v>238</v>
      </c>
      <c r="E1621" s="280"/>
      <c r="F1621" s="435">
        <f t="shared" si="323"/>
        <v>0</v>
      </c>
      <c r="G1621" s="602">
        <v>445.38</v>
      </c>
      <c r="H1621" s="593">
        <f t="shared" si="325"/>
        <v>0</v>
      </c>
      <c r="I1621" s="596">
        <f t="shared" si="324"/>
        <v>0</v>
      </c>
      <c r="J1621" s="373"/>
    </row>
    <row r="1622" spans="1:10" ht="23.4" x14ac:dyDescent="0.3">
      <c r="A1622" s="1134"/>
      <c r="B1622" s="972"/>
      <c r="C1622" s="279" t="s">
        <v>301</v>
      </c>
      <c r="D1622" s="434" t="s">
        <v>238</v>
      </c>
      <c r="E1622" s="280"/>
      <c r="F1622" s="435">
        <f t="shared" si="323"/>
        <v>8640</v>
      </c>
      <c r="G1622" s="602">
        <v>63.55</v>
      </c>
      <c r="H1622" s="593">
        <f t="shared" si="325"/>
        <v>0</v>
      </c>
      <c r="I1622" s="596">
        <f>+G1622*F1622</f>
        <v>549072</v>
      </c>
      <c r="J1622" s="373"/>
    </row>
    <row r="1623" spans="1:10" ht="23.4" x14ac:dyDescent="0.3">
      <c r="A1623" s="1134"/>
      <c r="B1623" s="972"/>
      <c r="C1623" s="279" t="s">
        <v>514</v>
      </c>
      <c r="D1623" s="434" t="s">
        <v>238</v>
      </c>
      <c r="E1623" s="280"/>
      <c r="F1623" s="435">
        <f t="shared" si="323"/>
        <v>51540</v>
      </c>
      <c r="G1623" s="602">
        <v>71.44</v>
      </c>
      <c r="H1623" s="593">
        <f t="shared" si="325"/>
        <v>0</v>
      </c>
      <c r="I1623" s="596">
        <f>+G1623*F1623</f>
        <v>3682017.6</v>
      </c>
      <c r="J1623" s="373"/>
    </row>
    <row r="1624" spans="1:10" ht="23.4" x14ac:dyDescent="0.3">
      <c r="A1624" s="1134"/>
      <c r="B1624" s="972"/>
      <c r="C1624" s="279" t="s">
        <v>275</v>
      </c>
      <c r="D1624" s="434" t="s">
        <v>238</v>
      </c>
      <c r="E1624" s="280">
        <f>11760+10080</f>
        <v>21840</v>
      </c>
      <c r="F1624" s="435">
        <f t="shared" si="323"/>
        <v>279564</v>
      </c>
      <c r="G1624" s="602">
        <v>71.44</v>
      </c>
      <c r="H1624" s="593">
        <f t="shared" si="325"/>
        <v>1560249.5999999999</v>
      </c>
      <c r="I1624" s="596">
        <f t="shared" ref="I1624:I1641" si="326">+G1624*F1624</f>
        <v>19972052.16</v>
      </c>
      <c r="J1624" s="373"/>
    </row>
    <row r="1625" spans="1:10" ht="23.4" x14ac:dyDescent="0.3">
      <c r="A1625" s="1134"/>
      <c r="B1625" s="972"/>
      <c r="C1625" s="279" t="s">
        <v>276</v>
      </c>
      <c r="D1625" s="434" t="s">
        <v>238</v>
      </c>
      <c r="E1625" s="280"/>
      <c r="F1625" s="435">
        <f t="shared" si="323"/>
        <v>0</v>
      </c>
      <c r="G1625" s="602">
        <v>36.5</v>
      </c>
      <c r="H1625" s="593">
        <f t="shared" si="325"/>
        <v>0</v>
      </c>
      <c r="I1625" s="596">
        <f t="shared" si="326"/>
        <v>0</v>
      </c>
      <c r="J1625" s="373"/>
    </row>
    <row r="1626" spans="1:10" ht="23.4" x14ac:dyDescent="0.3">
      <c r="A1626" s="1134"/>
      <c r="B1626" s="972"/>
      <c r="C1626" s="279" t="s">
        <v>527</v>
      </c>
      <c r="D1626" s="434" t="s">
        <v>238</v>
      </c>
      <c r="E1626" s="280">
        <v>4000</v>
      </c>
      <c r="F1626" s="435">
        <f t="shared" si="323"/>
        <v>14000</v>
      </c>
      <c r="G1626" s="602">
        <v>320.35000000000002</v>
      </c>
      <c r="H1626" s="593">
        <f t="shared" si="325"/>
        <v>1281400</v>
      </c>
      <c r="I1626" s="596">
        <f t="shared" si="326"/>
        <v>4484900</v>
      </c>
      <c r="J1626" s="373"/>
    </row>
    <row r="1627" spans="1:10" ht="23.4" x14ac:dyDescent="0.3">
      <c r="A1627" s="1134"/>
      <c r="B1627" s="972"/>
      <c r="C1627" s="279" t="s">
        <v>285</v>
      </c>
      <c r="D1627" s="434" t="s">
        <v>238</v>
      </c>
      <c r="E1627" s="280"/>
      <c r="F1627" s="435">
        <f t="shared" si="323"/>
        <v>0</v>
      </c>
      <c r="G1627" s="602">
        <v>320.35000000000002</v>
      </c>
      <c r="H1627" s="593">
        <f t="shared" si="325"/>
        <v>0</v>
      </c>
      <c r="I1627" s="596">
        <f t="shared" si="326"/>
        <v>0</v>
      </c>
      <c r="J1627" s="373"/>
    </row>
    <row r="1628" spans="1:10" ht="23.4" x14ac:dyDescent="0.3">
      <c r="A1628" s="1134"/>
      <c r="B1628" s="972"/>
      <c r="C1628" s="279" t="s">
        <v>296</v>
      </c>
      <c r="D1628" s="434" t="s">
        <v>238</v>
      </c>
      <c r="E1628" s="280"/>
      <c r="F1628" s="435">
        <f t="shared" si="323"/>
        <v>0</v>
      </c>
      <c r="G1628" s="602">
        <v>434.41</v>
      </c>
      <c r="H1628" s="593">
        <f t="shared" si="325"/>
        <v>0</v>
      </c>
      <c r="I1628" s="596">
        <f t="shared" si="326"/>
        <v>0</v>
      </c>
      <c r="J1628" s="373"/>
    </row>
    <row r="1629" spans="1:10" ht="23.4" x14ac:dyDescent="0.3">
      <c r="A1629" s="1134"/>
      <c r="B1629" s="972"/>
      <c r="C1629" s="279" t="s">
        <v>282</v>
      </c>
      <c r="D1629" s="434" t="s">
        <v>238</v>
      </c>
      <c r="E1629" s="280"/>
      <c r="F1629" s="435">
        <f t="shared" si="323"/>
        <v>1</v>
      </c>
      <c r="G1629" s="602">
        <v>29690</v>
      </c>
      <c r="H1629" s="593">
        <f t="shared" si="325"/>
        <v>0</v>
      </c>
      <c r="I1629" s="596">
        <f t="shared" si="326"/>
        <v>29690</v>
      </c>
      <c r="J1629" s="373"/>
    </row>
    <row r="1630" spans="1:10" ht="23.4" x14ac:dyDescent="0.3">
      <c r="A1630" s="1134"/>
      <c r="B1630" s="972"/>
      <c r="C1630" s="279" t="s">
        <v>282</v>
      </c>
      <c r="D1630" s="434" t="s">
        <v>238</v>
      </c>
      <c r="E1630" s="280"/>
      <c r="F1630" s="435">
        <f t="shared" si="323"/>
        <v>2</v>
      </c>
      <c r="G1630" s="602">
        <v>26445</v>
      </c>
      <c r="H1630" s="593">
        <f t="shared" si="325"/>
        <v>0</v>
      </c>
      <c r="I1630" s="596">
        <f t="shared" si="326"/>
        <v>52890</v>
      </c>
      <c r="J1630" s="373"/>
    </row>
    <row r="1631" spans="1:10" ht="23.4" x14ac:dyDescent="0.3">
      <c r="A1631" s="1134"/>
      <c r="B1631" s="972"/>
      <c r="C1631" s="279" t="s">
        <v>282</v>
      </c>
      <c r="D1631" s="434"/>
      <c r="E1631" s="280"/>
      <c r="F1631" s="435">
        <f t="shared" si="323"/>
        <v>0</v>
      </c>
      <c r="G1631" s="602">
        <v>33947.884599999998</v>
      </c>
      <c r="H1631" s="593">
        <f t="shared" si="325"/>
        <v>0</v>
      </c>
      <c r="I1631" s="596">
        <f t="shared" si="326"/>
        <v>0</v>
      </c>
      <c r="J1631" s="373"/>
    </row>
    <row r="1632" spans="1:10" ht="23.4" x14ac:dyDescent="0.3">
      <c r="A1632" s="1134"/>
      <c r="B1632" s="972"/>
      <c r="C1632" s="279" t="s">
        <v>311</v>
      </c>
      <c r="D1632" s="434" t="s">
        <v>337</v>
      </c>
      <c r="E1632" s="280"/>
      <c r="F1632" s="435">
        <f t="shared" si="323"/>
        <v>0</v>
      </c>
      <c r="G1632" s="602">
        <v>50</v>
      </c>
      <c r="H1632" s="593">
        <f t="shared" si="325"/>
        <v>0</v>
      </c>
      <c r="I1632" s="596">
        <f t="shared" si="326"/>
        <v>0</v>
      </c>
      <c r="J1632" s="373"/>
    </row>
    <row r="1633" spans="1:10" ht="23.4" x14ac:dyDescent="0.3">
      <c r="A1633" s="1134"/>
      <c r="B1633" s="972"/>
      <c r="C1633" s="279" t="s">
        <v>311</v>
      </c>
      <c r="D1633" s="434"/>
      <c r="E1633" s="280"/>
      <c r="F1633" s="435">
        <f t="shared" si="323"/>
        <v>0</v>
      </c>
      <c r="G1633" s="602">
        <v>10</v>
      </c>
      <c r="H1633" s="593">
        <f t="shared" si="325"/>
        <v>0</v>
      </c>
      <c r="I1633" s="596">
        <f t="shared" si="326"/>
        <v>0</v>
      </c>
      <c r="J1633" s="373"/>
    </row>
    <row r="1634" spans="1:10" ht="23.4" x14ac:dyDescent="0.3">
      <c r="A1634" s="1134"/>
      <c r="B1634" s="972"/>
      <c r="C1634" s="279" t="s">
        <v>329</v>
      </c>
      <c r="D1634" s="434" t="s">
        <v>370</v>
      </c>
      <c r="E1634" s="280"/>
      <c r="F1634" s="435">
        <f t="shared" si="323"/>
        <v>6400</v>
      </c>
      <c r="G1634" s="1000">
        <v>57.64</v>
      </c>
      <c r="H1634" s="593">
        <f t="shared" si="325"/>
        <v>0</v>
      </c>
      <c r="I1634" s="596">
        <f t="shared" si="326"/>
        <v>368896</v>
      </c>
      <c r="J1634" s="373"/>
    </row>
    <row r="1635" spans="1:10" ht="23.4" x14ac:dyDescent="0.3">
      <c r="A1635" s="1134"/>
      <c r="B1635" s="972"/>
      <c r="C1635" s="279" t="s">
        <v>329</v>
      </c>
      <c r="D1635" s="434" t="s">
        <v>364</v>
      </c>
      <c r="E1635" s="280"/>
      <c r="F1635" s="435">
        <f t="shared" si="323"/>
        <v>0</v>
      </c>
      <c r="G1635" s="602">
        <v>57.64</v>
      </c>
      <c r="H1635" s="593">
        <f t="shared" si="325"/>
        <v>0</v>
      </c>
      <c r="I1635" s="596">
        <f t="shared" si="326"/>
        <v>0</v>
      </c>
      <c r="J1635" s="373"/>
    </row>
    <row r="1636" spans="1:10" ht="23.4" x14ac:dyDescent="0.3">
      <c r="A1636" s="1134"/>
      <c r="B1636" s="972"/>
      <c r="C1636" s="279" t="s">
        <v>330</v>
      </c>
      <c r="D1636" s="434" t="s">
        <v>331</v>
      </c>
      <c r="E1636" s="280"/>
      <c r="F1636" s="435">
        <f t="shared" si="323"/>
        <v>0</v>
      </c>
      <c r="G1636" s="602">
        <v>434.41</v>
      </c>
      <c r="H1636" s="593">
        <f t="shared" si="325"/>
        <v>0</v>
      </c>
      <c r="I1636" s="596">
        <f t="shared" si="326"/>
        <v>0</v>
      </c>
      <c r="J1636" s="373"/>
    </row>
    <row r="1637" spans="1:10" ht="23.4" x14ac:dyDescent="0.3">
      <c r="A1637" s="1134"/>
      <c r="B1637" s="972"/>
      <c r="C1637" s="279" t="s">
        <v>343</v>
      </c>
      <c r="D1637" s="434" t="s">
        <v>238</v>
      </c>
      <c r="E1637" s="280"/>
      <c r="F1637" s="435">
        <f t="shared" si="323"/>
        <v>0</v>
      </c>
      <c r="G1637" s="602">
        <v>624.26</v>
      </c>
      <c r="H1637" s="593">
        <f t="shared" si="325"/>
        <v>0</v>
      </c>
      <c r="I1637" s="596">
        <f t="shared" si="326"/>
        <v>0</v>
      </c>
      <c r="J1637" s="373"/>
    </row>
    <row r="1638" spans="1:10" ht="23.4" x14ac:dyDescent="0.3">
      <c r="A1638" s="1134"/>
      <c r="B1638" s="972"/>
      <c r="C1638" s="279" t="s">
        <v>332</v>
      </c>
      <c r="D1638" s="434" t="s">
        <v>331</v>
      </c>
      <c r="E1638" s="280"/>
      <c r="F1638" s="435">
        <f t="shared" si="323"/>
        <v>0</v>
      </c>
      <c r="G1638" s="602">
        <v>63.55</v>
      </c>
      <c r="H1638" s="593">
        <f t="shared" si="325"/>
        <v>0</v>
      </c>
      <c r="I1638" s="596">
        <f t="shared" si="326"/>
        <v>0</v>
      </c>
      <c r="J1638" s="373"/>
    </row>
    <row r="1639" spans="1:10" ht="23.4" x14ac:dyDescent="0.3">
      <c r="A1639" s="1134"/>
      <c r="B1639" s="972"/>
      <c r="C1639" s="279" t="s">
        <v>559</v>
      </c>
      <c r="D1639" s="434" t="s">
        <v>238</v>
      </c>
      <c r="E1639" s="280">
        <v>0</v>
      </c>
      <c r="F1639" s="435">
        <f t="shared" si="323"/>
        <v>48696</v>
      </c>
      <c r="G1639" s="602">
        <v>59.96</v>
      </c>
      <c r="H1639" s="593">
        <f t="shared" si="325"/>
        <v>0</v>
      </c>
      <c r="I1639" s="596">
        <f t="shared" si="326"/>
        <v>2919812.16</v>
      </c>
      <c r="J1639" s="373"/>
    </row>
    <row r="1640" spans="1:10" ht="23.4" x14ac:dyDescent="0.3">
      <c r="A1640" s="1134"/>
      <c r="B1640" s="972"/>
      <c r="C1640" s="279" t="s">
        <v>419</v>
      </c>
      <c r="D1640" s="434" t="s">
        <v>331</v>
      </c>
      <c r="E1640" s="280"/>
      <c r="F1640" s="435">
        <f t="shared" si="323"/>
        <v>0</v>
      </c>
      <c r="G1640" s="602">
        <v>53.86</v>
      </c>
      <c r="H1640" s="593">
        <f t="shared" si="325"/>
        <v>0</v>
      </c>
      <c r="I1640" s="596">
        <f t="shared" si="326"/>
        <v>0</v>
      </c>
      <c r="J1640" s="373"/>
    </row>
    <row r="1641" spans="1:10" ht="23.4" x14ac:dyDescent="0.3">
      <c r="A1641" s="1134"/>
      <c r="B1641" s="972"/>
      <c r="C1641" s="279" t="s">
        <v>379</v>
      </c>
      <c r="D1641" s="434"/>
      <c r="E1641" s="280"/>
      <c r="F1641" s="435">
        <f t="shared" si="323"/>
        <v>0</v>
      </c>
      <c r="G1641" s="602">
        <v>360</v>
      </c>
      <c r="H1641" s="593">
        <f t="shared" si="325"/>
        <v>0</v>
      </c>
      <c r="I1641" s="596">
        <f t="shared" si="326"/>
        <v>0</v>
      </c>
      <c r="J1641" s="373"/>
    </row>
    <row r="1642" spans="1:10" ht="23.4" x14ac:dyDescent="0.3">
      <c r="A1642" s="1134"/>
      <c r="B1642" s="972"/>
      <c r="C1642" s="279" t="s">
        <v>471</v>
      </c>
      <c r="D1642" s="434"/>
      <c r="E1642" s="280"/>
      <c r="F1642" s="435">
        <f t="shared" si="323"/>
        <v>0</v>
      </c>
      <c r="G1642" s="602"/>
      <c r="H1642" s="593">
        <f>+E1642</f>
        <v>0</v>
      </c>
      <c r="I1642" s="596">
        <f>+H1642</f>
        <v>0</v>
      </c>
      <c r="J1642" s="373"/>
    </row>
    <row r="1643" spans="1:10" ht="23.4" x14ac:dyDescent="0.3">
      <c r="A1643" s="1134"/>
      <c r="B1643" s="972"/>
      <c r="C1643" s="279" t="s">
        <v>282</v>
      </c>
      <c r="D1643" s="434"/>
      <c r="E1643" s="280"/>
      <c r="F1643" s="435">
        <f t="shared" si="323"/>
        <v>0</v>
      </c>
      <c r="G1643" s="602">
        <v>39450</v>
      </c>
      <c r="H1643" s="593">
        <f t="shared" ref="H1643:H1644" si="327">E1643*G1643</f>
        <v>0</v>
      </c>
      <c r="I1643" s="596">
        <f t="shared" ref="I1643:I1644" si="328">+G1643*F1643</f>
        <v>0</v>
      </c>
      <c r="J1643" s="373"/>
    </row>
    <row r="1644" spans="1:10" ht="24" thickBot="1" x14ac:dyDescent="0.35">
      <c r="A1644" s="1134"/>
      <c r="B1644" s="972"/>
      <c r="C1644" s="279" t="s">
        <v>329</v>
      </c>
      <c r="D1644" s="434" t="s">
        <v>443</v>
      </c>
      <c r="E1644" s="280"/>
      <c r="F1644" s="435">
        <f t="shared" si="323"/>
        <v>0</v>
      </c>
      <c r="G1644" s="602">
        <v>57.64</v>
      </c>
      <c r="H1644" s="593">
        <f t="shared" si="327"/>
        <v>0</v>
      </c>
      <c r="I1644" s="596">
        <f t="shared" si="328"/>
        <v>0</v>
      </c>
      <c r="J1644" s="373"/>
    </row>
    <row r="1645" spans="1:10" ht="24" thickBot="1" x14ac:dyDescent="0.35">
      <c r="A1645" s="1135"/>
      <c r="B1645" s="1129" t="s">
        <v>270</v>
      </c>
      <c r="C1645" s="1130"/>
      <c r="D1645" s="974"/>
      <c r="E1645" s="326">
        <f>SUM(E1619:E1644)</f>
        <v>28080</v>
      </c>
      <c r="F1645" s="326">
        <f>SUM(F1619:F1644)</f>
        <v>445032</v>
      </c>
      <c r="G1645" s="326"/>
      <c r="H1645" s="590">
        <f>SUM(H1619:H1644)</f>
        <v>3804894.4</v>
      </c>
      <c r="I1645" s="580">
        <f>SUM(I1619:I1644)</f>
        <v>49175243.700000003</v>
      </c>
      <c r="J1645" s="372"/>
    </row>
    <row r="1646" spans="1:10" ht="24" thickBot="1" x14ac:dyDescent="0.35">
      <c r="A1646" s="977"/>
      <c r="B1646" s="437"/>
      <c r="C1646" s="279" t="s">
        <v>379</v>
      </c>
      <c r="D1646" s="434"/>
      <c r="E1646" s="280"/>
      <c r="F1646" s="281">
        <f>+E1646</f>
        <v>0</v>
      </c>
      <c r="G1646" s="334"/>
      <c r="H1646" s="589">
        <f t="shared" ref="H1646" si="329">E1646*G1646</f>
        <v>0</v>
      </c>
      <c r="I1646" s="282">
        <f t="shared" ref="I1646" si="330">+G1646*F1646</f>
        <v>0</v>
      </c>
      <c r="J1646" s="373"/>
    </row>
    <row r="1647" spans="1:10" ht="24" thickBot="1" x14ac:dyDescent="0.35">
      <c r="A1647" s="977"/>
      <c r="B1647" s="1129" t="s">
        <v>224</v>
      </c>
      <c r="C1647" s="1130"/>
      <c r="D1647" s="970"/>
      <c r="E1647" s="326"/>
      <c r="F1647" s="327"/>
      <c r="G1647" s="326"/>
      <c r="H1647" s="587"/>
      <c r="I1647" s="324">
        <f>SUM(I1646)</f>
        <v>0</v>
      </c>
      <c r="J1647" s="349"/>
    </row>
    <row r="1648" spans="1:10" ht="24.6" thickBot="1" x14ac:dyDescent="0.35">
      <c r="A1648" s="319"/>
      <c r="B1648" s="1131" t="s">
        <v>174</v>
      </c>
      <c r="C1648" s="1132"/>
      <c r="D1648" s="971"/>
      <c r="E1648" s="374">
        <f>+E1645+E1618+E1588+E1586</f>
        <v>28080</v>
      </c>
      <c r="F1648" s="374">
        <f>+F1645+F1618+F1588+F1586</f>
        <v>1686896</v>
      </c>
      <c r="G1648" s="374"/>
      <c r="H1648" s="374"/>
      <c r="I1648" s="374">
        <f>+I1645+I1618+I1588+I1647</f>
        <v>76225341.960000008</v>
      </c>
      <c r="J1648" s="375"/>
    </row>
    <row r="1649" spans="1:10" ht="23.4" x14ac:dyDescent="0.3">
      <c r="A1649" s="1057" t="s">
        <v>1</v>
      </c>
      <c r="B1649" s="1060" t="s">
        <v>2</v>
      </c>
      <c r="C1649" s="1138" t="s">
        <v>396</v>
      </c>
      <c r="D1649" s="1115" t="s">
        <v>397</v>
      </c>
      <c r="E1649" s="1142" t="s">
        <v>579</v>
      </c>
      <c r="F1649" s="1067"/>
      <c r="G1649" s="1067"/>
      <c r="H1649" s="1067"/>
      <c r="I1649" s="1067"/>
      <c r="J1649" s="1068"/>
    </row>
    <row r="1650" spans="1:10" ht="23.4" x14ac:dyDescent="0.3">
      <c r="A1650" s="1136"/>
      <c r="B1650" s="1137"/>
      <c r="C1650" s="1139"/>
      <c r="D1650" s="1116"/>
      <c r="E1650" s="1143" t="s">
        <v>412</v>
      </c>
      <c r="F1650" s="1144"/>
      <c r="G1650" s="1143" t="s">
        <v>411</v>
      </c>
      <c r="H1650" s="1145"/>
      <c r="I1650" s="1145"/>
      <c r="J1650" s="1144"/>
    </row>
    <row r="1651" spans="1:10" x14ac:dyDescent="0.3">
      <c r="A1651" s="1058"/>
      <c r="B1651" s="1061"/>
      <c r="C1651" s="1140"/>
      <c r="D1651" s="1116"/>
      <c r="E1651" s="1069" t="s">
        <v>413</v>
      </c>
      <c r="F1651" s="1071" t="s">
        <v>414</v>
      </c>
      <c r="G1651" s="1147" t="s">
        <v>90</v>
      </c>
      <c r="H1651" s="1149" t="s">
        <v>91</v>
      </c>
      <c r="I1651" s="1149" t="s">
        <v>91</v>
      </c>
      <c r="J1651" s="1151" t="s">
        <v>12</v>
      </c>
    </row>
    <row r="1652" spans="1:10" ht="14.4" thickBot="1" x14ac:dyDescent="0.35">
      <c r="A1652" s="1059"/>
      <c r="B1652" s="1062"/>
      <c r="C1652" s="1141"/>
      <c r="D1652" s="1117"/>
      <c r="E1652" s="1070"/>
      <c r="F1652" s="1146"/>
      <c r="G1652" s="1148"/>
      <c r="H1652" s="1150"/>
      <c r="I1652" s="1150"/>
      <c r="J1652" s="1152"/>
    </row>
    <row r="1653" spans="1:10" ht="23.4" x14ac:dyDescent="0.3">
      <c r="A1653" s="1133" t="s">
        <v>103</v>
      </c>
      <c r="B1653" s="439"/>
      <c r="C1653" s="577" t="s">
        <v>538</v>
      </c>
      <c r="D1653" s="665" t="s">
        <v>539</v>
      </c>
      <c r="E1653" s="699"/>
      <c r="F1653" s="674">
        <f>+E1653+F1559</f>
        <v>2048</v>
      </c>
      <c r="G1653" s="732">
        <v>109.77</v>
      </c>
      <c r="H1653" s="591">
        <f t="shared" ref="H1653:H1667" si="331">E1653*G1653</f>
        <v>0</v>
      </c>
      <c r="I1653" s="594">
        <f>+G1653*F1653</f>
        <v>224808.95999999999</v>
      </c>
      <c r="J1653" s="351"/>
    </row>
    <row r="1654" spans="1:10" ht="23.4" x14ac:dyDescent="0.3">
      <c r="A1654" s="1134"/>
      <c r="B1654" s="438"/>
      <c r="C1654" s="441" t="s">
        <v>264</v>
      </c>
      <c r="D1654" s="666" t="s">
        <v>265</v>
      </c>
      <c r="E1654" s="700"/>
      <c r="F1654" s="701">
        <f t="shared" ref="F1654:F1667" si="332">+E1654+F1560</f>
        <v>0</v>
      </c>
      <c r="G1654" s="697">
        <v>11</v>
      </c>
      <c r="H1654" s="592">
        <f t="shared" si="331"/>
        <v>0</v>
      </c>
      <c r="I1654" s="595">
        <f>+G1654*F1654</f>
        <v>0</v>
      </c>
      <c r="J1654" s="352"/>
    </row>
    <row r="1655" spans="1:10" ht="23.4" x14ac:dyDescent="0.3">
      <c r="A1655" s="1134"/>
      <c r="B1655" s="438"/>
      <c r="C1655" s="441" t="s">
        <v>295</v>
      </c>
      <c r="D1655" s="666" t="s">
        <v>453</v>
      </c>
      <c r="E1655" s="700"/>
      <c r="F1655" s="701">
        <f t="shared" si="332"/>
        <v>640</v>
      </c>
      <c r="G1655" s="697">
        <v>139.04</v>
      </c>
      <c r="H1655" s="592">
        <f t="shared" si="331"/>
        <v>0</v>
      </c>
      <c r="I1655" s="595">
        <f t="shared" ref="I1655:I1667" si="333">+G1655*F1655</f>
        <v>88985.599999999991</v>
      </c>
      <c r="J1655" s="352"/>
    </row>
    <row r="1656" spans="1:10" ht="23.4" x14ac:dyDescent="0.3">
      <c r="A1656" s="1134"/>
      <c r="B1656" s="438"/>
      <c r="C1656" s="441" t="s">
        <v>531</v>
      </c>
      <c r="D1656" s="666" t="s">
        <v>529</v>
      </c>
      <c r="E1656" s="700"/>
      <c r="F1656" s="701">
        <f t="shared" si="332"/>
        <v>12240</v>
      </c>
      <c r="G1656" s="715">
        <v>20.66</v>
      </c>
      <c r="H1656" s="592">
        <f t="shared" si="331"/>
        <v>0</v>
      </c>
      <c r="I1656" s="595">
        <f t="shared" si="333"/>
        <v>252878.4</v>
      </c>
      <c r="J1656" s="352"/>
    </row>
    <row r="1657" spans="1:10" ht="23.4" x14ac:dyDescent="0.3">
      <c r="A1657" s="1134"/>
      <c r="B1657" s="438"/>
      <c r="C1657" s="441" t="s">
        <v>288</v>
      </c>
      <c r="D1657" s="666" t="s">
        <v>177</v>
      </c>
      <c r="E1657" s="700"/>
      <c r="F1657" s="701">
        <f t="shared" si="332"/>
        <v>0</v>
      </c>
      <c r="G1657" s="697">
        <v>14.79</v>
      </c>
      <c r="H1657" s="592">
        <f t="shared" si="331"/>
        <v>0</v>
      </c>
      <c r="I1657" s="595">
        <f t="shared" si="333"/>
        <v>0</v>
      </c>
      <c r="J1657" s="352"/>
    </row>
    <row r="1658" spans="1:10" ht="23.4" x14ac:dyDescent="0.3">
      <c r="A1658" s="1134"/>
      <c r="B1658" s="438"/>
      <c r="C1658" s="441" t="s">
        <v>295</v>
      </c>
      <c r="D1658" s="666" t="s">
        <v>265</v>
      </c>
      <c r="E1658" s="700"/>
      <c r="F1658" s="701">
        <f t="shared" si="332"/>
        <v>5120</v>
      </c>
      <c r="G1658" s="697">
        <v>139.04</v>
      </c>
      <c r="H1658" s="592">
        <f t="shared" si="331"/>
        <v>0</v>
      </c>
      <c r="I1658" s="595">
        <f t="shared" si="333"/>
        <v>711884.79999999993</v>
      </c>
      <c r="J1658" s="352"/>
    </row>
    <row r="1659" spans="1:10" ht="23.4" x14ac:dyDescent="0.3">
      <c r="A1659" s="1134"/>
      <c r="B1659" s="438"/>
      <c r="C1659" s="441" t="s">
        <v>537</v>
      </c>
      <c r="D1659" s="666" t="s">
        <v>265</v>
      </c>
      <c r="E1659" s="700"/>
      <c r="F1659" s="701">
        <f t="shared" si="332"/>
        <v>4160</v>
      </c>
      <c r="G1659" s="697">
        <v>135.96</v>
      </c>
      <c r="H1659" s="592">
        <f t="shared" si="331"/>
        <v>0</v>
      </c>
      <c r="I1659" s="595">
        <f t="shared" si="333"/>
        <v>565593.59999999998</v>
      </c>
      <c r="J1659" s="352"/>
    </row>
    <row r="1660" spans="1:10" ht="23.4" x14ac:dyDescent="0.3">
      <c r="A1660" s="1134"/>
      <c r="B1660" s="438"/>
      <c r="C1660" s="441" t="s">
        <v>313</v>
      </c>
      <c r="D1660" s="667" t="s">
        <v>265</v>
      </c>
      <c r="E1660" s="700"/>
      <c r="F1660" s="701">
        <f t="shared" si="332"/>
        <v>58892</v>
      </c>
      <c r="G1660" s="697">
        <v>18.84</v>
      </c>
      <c r="H1660" s="592">
        <f t="shared" si="331"/>
        <v>0</v>
      </c>
      <c r="I1660" s="595">
        <f t="shared" si="333"/>
        <v>1109525.28</v>
      </c>
      <c r="J1660" s="352"/>
    </row>
    <row r="1661" spans="1:10" ht="23.4" x14ac:dyDescent="0.3">
      <c r="A1661" s="1134"/>
      <c r="B1661" s="438"/>
      <c r="C1661" s="441" t="s">
        <v>322</v>
      </c>
      <c r="D1661" s="667" t="s">
        <v>232</v>
      </c>
      <c r="E1661" s="700"/>
      <c r="F1661" s="701">
        <f t="shared" si="332"/>
        <v>0</v>
      </c>
      <c r="G1661" s="697">
        <v>21.18</v>
      </c>
      <c r="H1661" s="592">
        <f t="shared" si="331"/>
        <v>0</v>
      </c>
      <c r="I1661" s="595">
        <f t="shared" si="333"/>
        <v>0</v>
      </c>
      <c r="J1661" s="352"/>
    </row>
    <row r="1662" spans="1:10" ht="23.4" x14ac:dyDescent="0.3">
      <c r="A1662" s="1134"/>
      <c r="B1662" s="438"/>
      <c r="C1662" s="441" t="s">
        <v>324</v>
      </c>
      <c r="D1662" s="667" t="s">
        <v>325</v>
      </c>
      <c r="E1662" s="700"/>
      <c r="F1662" s="701">
        <f t="shared" si="332"/>
        <v>0</v>
      </c>
      <c r="G1662" s="697">
        <v>21.28</v>
      </c>
      <c r="H1662" s="592">
        <f t="shared" si="331"/>
        <v>0</v>
      </c>
      <c r="I1662" s="595">
        <f t="shared" si="333"/>
        <v>0</v>
      </c>
      <c r="J1662" s="352"/>
    </row>
    <row r="1663" spans="1:10" ht="23.4" x14ac:dyDescent="0.3">
      <c r="A1663" s="1134"/>
      <c r="B1663" s="438"/>
      <c r="C1663" s="441" t="s">
        <v>378</v>
      </c>
      <c r="D1663" s="667" t="s">
        <v>374</v>
      </c>
      <c r="E1663" s="700"/>
      <c r="F1663" s="701">
        <f t="shared" si="332"/>
        <v>9920</v>
      </c>
      <c r="G1663" s="697">
        <v>143.28</v>
      </c>
      <c r="H1663" s="592">
        <f t="shared" si="331"/>
        <v>0</v>
      </c>
      <c r="I1663" s="595">
        <f t="shared" si="333"/>
        <v>1421337.6000000001</v>
      </c>
      <c r="J1663" s="352"/>
    </row>
    <row r="1664" spans="1:10" ht="23.4" x14ac:dyDescent="0.3">
      <c r="A1664" s="1134"/>
      <c r="B1664" s="438"/>
      <c r="C1664" s="441" t="s">
        <v>472</v>
      </c>
      <c r="D1664" s="666" t="s">
        <v>177</v>
      </c>
      <c r="E1664" s="700">
        <v>261888</v>
      </c>
      <c r="F1664" s="701">
        <f t="shared" si="332"/>
        <v>523776</v>
      </c>
      <c r="G1664" s="697">
        <v>14.79</v>
      </c>
      <c r="H1664" s="592">
        <f t="shared" si="331"/>
        <v>3873323.5199999996</v>
      </c>
      <c r="I1664" s="595">
        <f t="shared" si="333"/>
        <v>7746647.0399999991</v>
      </c>
      <c r="J1664" s="352"/>
    </row>
    <row r="1665" spans="1:10" ht="23.4" x14ac:dyDescent="0.3">
      <c r="A1665" s="1134"/>
      <c r="B1665" s="438"/>
      <c r="C1665" s="441" t="s">
        <v>451</v>
      </c>
      <c r="D1665" s="666" t="s">
        <v>177</v>
      </c>
      <c r="E1665" s="700"/>
      <c r="F1665" s="701">
        <f t="shared" si="332"/>
        <v>498432</v>
      </c>
      <c r="G1665" s="697">
        <v>14.55</v>
      </c>
      <c r="H1665" s="592">
        <f t="shared" si="331"/>
        <v>0</v>
      </c>
      <c r="I1665" s="595">
        <f t="shared" si="333"/>
        <v>7252185.6000000006</v>
      </c>
      <c r="J1665" s="352"/>
    </row>
    <row r="1666" spans="1:10" ht="23.4" x14ac:dyDescent="0.3">
      <c r="A1666" s="1134"/>
      <c r="B1666" s="438"/>
      <c r="C1666" s="441" t="s">
        <v>327</v>
      </c>
      <c r="D1666" s="667" t="s">
        <v>188</v>
      </c>
      <c r="E1666" s="700"/>
      <c r="F1666" s="701">
        <f t="shared" si="332"/>
        <v>0</v>
      </c>
      <c r="G1666" s="697">
        <v>21.28</v>
      </c>
      <c r="H1666" s="592">
        <f t="shared" si="331"/>
        <v>0</v>
      </c>
      <c r="I1666" s="595">
        <f t="shared" si="333"/>
        <v>0</v>
      </c>
      <c r="J1666" s="352"/>
    </row>
    <row r="1667" spans="1:10" ht="24" thickBot="1" x14ac:dyDescent="0.35">
      <c r="A1667" s="1134"/>
      <c r="B1667" s="438"/>
      <c r="C1667" s="441" t="s">
        <v>295</v>
      </c>
      <c r="D1667" s="668" t="s">
        <v>539</v>
      </c>
      <c r="E1667" s="700"/>
      <c r="F1667" s="676">
        <f t="shared" si="332"/>
        <v>1920</v>
      </c>
      <c r="G1667" s="697">
        <v>135.96</v>
      </c>
      <c r="H1667" s="592">
        <f t="shared" si="331"/>
        <v>0</v>
      </c>
      <c r="I1667" s="595">
        <f t="shared" si="333"/>
        <v>261043.20000000001</v>
      </c>
      <c r="J1667" s="352"/>
    </row>
    <row r="1668" spans="1:10" ht="24" thickBot="1" x14ac:dyDescent="0.35">
      <c r="A1668" s="1134"/>
      <c r="B1668" s="1129" t="s">
        <v>266</v>
      </c>
      <c r="C1668" s="1130"/>
      <c r="D1668" s="982"/>
      <c r="E1668" s="326">
        <f>SUM(E1653:E1667)</f>
        <v>261888</v>
      </c>
      <c r="F1668" s="698">
        <f>SUM(F1653:F1667)</f>
        <v>1117148</v>
      </c>
      <c r="G1668" s="326"/>
      <c r="H1668" s="587">
        <f>SUM(H1653:H1667)</f>
        <v>3873323.5199999996</v>
      </c>
      <c r="I1668" s="580">
        <f>SUM(I1653:I1667)</f>
        <v>19634890.079999998</v>
      </c>
      <c r="J1668" s="349"/>
    </row>
    <row r="1669" spans="1:10" ht="23.4" x14ac:dyDescent="0.3">
      <c r="A1669" s="1134"/>
      <c r="B1669" s="980"/>
      <c r="C1669" s="279" t="s">
        <v>271</v>
      </c>
      <c r="D1669" s="434" t="s">
        <v>238</v>
      </c>
      <c r="E1669" s="280"/>
      <c r="F1669" s="435">
        <f>+E1669+F1575</f>
        <v>11736</v>
      </c>
      <c r="G1669" s="578">
        <v>160.44999999999999</v>
      </c>
      <c r="H1669" s="593">
        <f t="shared" ref="H1669:H1674" si="334">E1669*G1669</f>
        <v>0</v>
      </c>
      <c r="I1669" s="596">
        <f t="shared" ref="I1669:I1674" si="335">+G1669*F1669</f>
        <v>1883041.2</v>
      </c>
      <c r="J1669" s="373"/>
    </row>
    <row r="1670" spans="1:10" ht="23.4" x14ac:dyDescent="0.3">
      <c r="A1670" s="1134"/>
      <c r="B1670" s="980"/>
      <c r="C1670" s="279" t="s">
        <v>287</v>
      </c>
      <c r="D1670" s="434" t="s">
        <v>93</v>
      </c>
      <c r="E1670" s="280"/>
      <c r="F1670" s="435">
        <f t="shared" ref="F1670:F1674" si="336">+E1670+F1576</f>
        <v>91380</v>
      </c>
      <c r="G1670" s="578">
        <v>27</v>
      </c>
      <c r="H1670" s="593">
        <f t="shared" si="334"/>
        <v>0</v>
      </c>
      <c r="I1670" s="596">
        <f t="shared" si="335"/>
        <v>2467260</v>
      </c>
      <c r="J1670" s="373"/>
    </row>
    <row r="1671" spans="1:10" ht="23.4" x14ac:dyDescent="0.3">
      <c r="A1671" s="1134"/>
      <c r="B1671" s="980"/>
      <c r="C1671" s="279" t="s">
        <v>287</v>
      </c>
      <c r="D1671" s="434" t="s">
        <v>292</v>
      </c>
      <c r="E1671" s="280">
        <v>31070</v>
      </c>
      <c r="F1671" s="435">
        <f t="shared" si="336"/>
        <v>31070</v>
      </c>
      <c r="G1671" s="578">
        <v>27.5</v>
      </c>
      <c r="H1671" s="593">
        <f t="shared" si="334"/>
        <v>854425</v>
      </c>
      <c r="I1671" s="596">
        <f t="shared" si="335"/>
        <v>854425</v>
      </c>
      <c r="J1671" s="373"/>
    </row>
    <row r="1672" spans="1:10" ht="23.4" x14ac:dyDescent="0.3">
      <c r="A1672" s="1134"/>
      <c r="B1672" s="980"/>
      <c r="C1672" s="279" t="s">
        <v>276</v>
      </c>
      <c r="D1672" s="434" t="s">
        <v>292</v>
      </c>
      <c r="E1672" s="280">
        <v>1036</v>
      </c>
      <c r="F1672" s="435">
        <f t="shared" si="336"/>
        <v>1036</v>
      </c>
      <c r="G1672" s="578">
        <v>34.5</v>
      </c>
      <c r="H1672" s="593">
        <f t="shared" si="334"/>
        <v>35742</v>
      </c>
      <c r="I1672" s="596">
        <f t="shared" si="335"/>
        <v>35742</v>
      </c>
      <c r="J1672" s="373"/>
    </row>
    <row r="1673" spans="1:10" ht="23.4" x14ac:dyDescent="0.3">
      <c r="A1673" s="1134"/>
      <c r="B1673" s="980"/>
      <c r="C1673" s="279" t="s">
        <v>473</v>
      </c>
      <c r="D1673" s="434" t="s">
        <v>440</v>
      </c>
      <c r="E1673" s="280"/>
      <c r="F1673" s="435">
        <f t="shared" si="336"/>
        <v>31200</v>
      </c>
      <c r="G1673" s="578">
        <v>10.57</v>
      </c>
      <c r="H1673" s="593">
        <f t="shared" si="334"/>
        <v>0</v>
      </c>
      <c r="I1673" s="596">
        <f t="shared" si="335"/>
        <v>329784</v>
      </c>
      <c r="J1673" s="373"/>
    </row>
    <row r="1674" spans="1:10" ht="24" thickBot="1" x14ac:dyDescent="0.35">
      <c r="A1674" s="1134"/>
      <c r="B1674" s="980"/>
      <c r="C1674" s="279" t="s">
        <v>276</v>
      </c>
      <c r="D1674" s="434" t="s">
        <v>440</v>
      </c>
      <c r="E1674" s="280"/>
      <c r="F1674" s="435">
        <f t="shared" si="336"/>
        <v>26</v>
      </c>
      <c r="G1674" s="578">
        <v>55.76</v>
      </c>
      <c r="H1674" s="593">
        <f t="shared" si="334"/>
        <v>0</v>
      </c>
      <c r="I1674" s="596">
        <f t="shared" si="335"/>
        <v>1449.76</v>
      </c>
      <c r="J1674" s="373"/>
    </row>
    <row r="1675" spans="1:10" ht="24" thickBot="1" x14ac:dyDescent="0.35">
      <c r="A1675" s="1134"/>
      <c r="B1675" s="1129" t="s">
        <v>267</v>
      </c>
      <c r="C1675" s="1130"/>
      <c r="D1675" s="982"/>
      <c r="E1675" s="326">
        <f>SUM(E1669:E1674)</f>
        <v>32106</v>
      </c>
      <c r="F1675" s="326">
        <f>SUM(F1669:F1674)</f>
        <v>166448</v>
      </c>
      <c r="G1675" s="326"/>
      <c r="H1675" s="587">
        <f>SUM(H1669:H1674)</f>
        <v>890167</v>
      </c>
      <c r="I1675" s="580">
        <f>SUM(I1669:I1674)</f>
        <v>5571701.96</v>
      </c>
      <c r="J1675" s="349"/>
    </row>
    <row r="1676" spans="1:10" ht="23.4" x14ac:dyDescent="0.3">
      <c r="A1676" s="1134"/>
      <c r="B1676" s="980"/>
      <c r="C1676" s="279" t="s">
        <v>277</v>
      </c>
      <c r="D1676" s="434" t="s">
        <v>278</v>
      </c>
      <c r="E1676" s="280">
        <v>4</v>
      </c>
      <c r="F1676" s="435">
        <f>+E1676+F1582</f>
        <v>9</v>
      </c>
      <c r="G1676" s="578">
        <v>2500</v>
      </c>
      <c r="H1676" s="593">
        <f t="shared" ref="H1676:H1679" si="337">E1676*G1676</f>
        <v>10000</v>
      </c>
      <c r="I1676" s="596">
        <f>+G1676*F1676</f>
        <v>22500</v>
      </c>
      <c r="J1676" s="373"/>
    </row>
    <row r="1677" spans="1:10" ht="23.4" x14ac:dyDescent="0.3">
      <c r="A1677" s="1134"/>
      <c r="B1677" s="980"/>
      <c r="C1677" s="279" t="s">
        <v>454</v>
      </c>
      <c r="D1677" s="434"/>
      <c r="E1677" s="280"/>
      <c r="F1677" s="435">
        <f t="shared" ref="F1677:F1679" si="338">+E1677+F1583</f>
        <v>0</v>
      </c>
      <c r="G1677" s="578">
        <v>30000</v>
      </c>
      <c r="H1677" s="593">
        <f t="shared" si="337"/>
        <v>0</v>
      </c>
      <c r="I1677" s="596">
        <f>+G1677*F1677</f>
        <v>0</v>
      </c>
      <c r="J1677" s="373"/>
    </row>
    <row r="1678" spans="1:10" ht="23.4" x14ac:dyDescent="0.3">
      <c r="A1678" s="1134"/>
      <c r="B1678" s="980"/>
      <c r="C1678" s="279" t="s">
        <v>379</v>
      </c>
      <c r="D1678" s="434" t="s">
        <v>304</v>
      </c>
      <c r="E1678" s="280"/>
      <c r="F1678" s="435">
        <f t="shared" si="338"/>
        <v>0</v>
      </c>
      <c r="G1678" s="578">
        <v>360</v>
      </c>
      <c r="H1678" s="593">
        <f t="shared" si="337"/>
        <v>0</v>
      </c>
      <c r="I1678" s="596">
        <f>+G1678*F1678</f>
        <v>0</v>
      </c>
      <c r="J1678" s="373"/>
    </row>
    <row r="1679" spans="1:10" ht="24" thickBot="1" x14ac:dyDescent="0.35">
      <c r="A1679" s="1134"/>
      <c r="B1679" s="980"/>
      <c r="C1679" s="279" t="s">
        <v>427</v>
      </c>
      <c r="D1679" s="434" t="s">
        <v>304</v>
      </c>
      <c r="E1679" s="280"/>
      <c r="F1679" s="435">
        <f t="shared" si="338"/>
        <v>0</v>
      </c>
      <c r="G1679" s="579">
        <v>10</v>
      </c>
      <c r="H1679" s="593">
        <f t="shared" si="337"/>
        <v>0</v>
      </c>
      <c r="I1679" s="596">
        <f t="shared" ref="I1679" si="339">+G1679*F1679</f>
        <v>0</v>
      </c>
      <c r="J1679" s="373"/>
    </row>
    <row r="1680" spans="1:10" ht="24" thickBot="1" x14ac:dyDescent="0.35">
      <c r="A1680" s="1134"/>
      <c r="B1680" s="1129" t="s">
        <v>272</v>
      </c>
      <c r="C1680" s="1130"/>
      <c r="D1680" s="982"/>
      <c r="E1680" s="326">
        <f>SUM(E1676:E1679)</f>
        <v>4</v>
      </c>
      <c r="F1680" s="326">
        <f>SUM(F1676:F1679)</f>
        <v>9</v>
      </c>
      <c r="G1680" s="326"/>
      <c r="H1680" s="587">
        <f>SUM(H1676:H1679)</f>
        <v>10000</v>
      </c>
      <c r="I1680" s="580">
        <f>SUM(I1676:I1679)</f>
        <v>22500</v>
      </c>
      <c r="J1680" s="373"/>
    </row>
    <row r="1681" spans="1:10" ht="24" thickBot="1" x14ac:dyDescent="0.35">
      <c r="A1681" s="1134"/>
      <c r="B1681" s="980"/>
      <c r="C1681" s="279"/>
      <c r="D1681" s="434"/>
      <c r="E1681" s="280"/>
      <c r="F1681" s="317"/>
      <c r="G1681" s="579"/>
      <c r="H1681" s="588"/>
      <c r="I1681" s="282"/>
      <c r="J1681" s="373"/>
    </row>
    <row r="1682" spans="1:10" ht="24" thickBot="1" x14ac:dyDescent="0.35">
      <c r="A1682" s="1135"/>
      <c r="B1682" s="1129" t="s">
        <v>269</v>
      </c>
      <c r="C1682" s="1130"/>
      <c r="D1682" s="978"/>
      <c r="E1682" s="326">
        <f>+E1680+E1675+E1668</f>
        <v>293998</v>
      </c>
      <c r="F1682" s="326">
        <f>+F1680+F1675+F1668</f>
        <v>1283605</v>
      </c>
      <c r="G1682" s="326"/>
      <c r="H1682" s="580">
        <f>+H1675+H1668+H1680</f>
        <v>4773490.5199999996</v>
      </c>
      <c r="I1682" s="580">
        <f>+I1675+I1668+I1680</f>
        <v>25229092.039999999</v>
      </c>
      <c r="J1682" s="373"/>
    </row>
    <row r="1683" spans="1:10" ht="23.4" x14ac:dyDescent="0.3">
      <c r="A1683" s="1133" t="s">
        <v>101</v>
      </c>
      <c r="B1683" s="980"/>
      <c r="C1683" s="279" t="s">
        <v>281</v>
      </c>
      <c r="D1683" s="434" t="s">
        <v>178</v>
      </c>
      <c r="E1683" s="280"/>
      <c r="F1683" s="435">
        <f>+E1683+F1589</f>
        <v>0</v>
      </c>
      <c r="G1683" s="602">
        <v>13.25</v>
      </c>
      <c r="H1683" s="597">
        <f t="shared" ref="H1683:H1711" si="340">E1683*G1683</f>
        <v>0</v>
      </c>
      <c r="I1683" s="596">
        <f t="shared" ref="I1683:I1711" si="341">+G1683*F1683</f>
        <v>0</v>
      </c>
      <c r="J1683" s="373"/>
    </row>
    <row r="1684" spans="1:10" ht="23.4" x14ac:dyDescent="0.3">
      <c r="A1684" s="1134"/>
      <c r="B1684" s="980"/>
      <c r="C1684" s="279" t="s">
        <v>282</v>
      </c>
      <c r="D1684" s="434"/>
      <c r="E1684" s="280">
        <v>2</v>
      </c>
      <c r="F1684" s="435">
        <f t="shared" ref="F1684:F1712" si="342">+E1684+F1590</f>
        <v>2</v>
      </c>
      <c r="G1684" s="603">
        <v>34000</v>
      </c>
      <c r="H1684" s="597">
        <f t="shared" si="340"/>
        <v>68000</v>
      </c>
      <c r="I1684" s="596">
        <f t="shared" si="341"/>
        <v>68000</v>
      </c>
      <c r="J1684" s="373"/>
    </row>
    <row r="1685" spans="1:10" ht="23.4" x14ac:dyDescent="0.3">
      <c r="A1685" s="1134"/>
      <c r="B1685" s="980"/>
      <c r="C1685" s="279" t="s">
        <v>282</v>
      </c>
      <c r="D1685" s="434"/>
      <c r="E1685" s="280"/>
      <c r="F1685" s="435">
        <f t="shared" si="342"/>
        <v>0</v>
      </c>
      <c r="G1685" s="603">
        <v>18000</v>
      </c>
      <c r="H1685" s="597">
        <f t="shared" si="340"/>
        <v>0</v>
      </c>
      <c r="I1685" s="596">
        <f t="shared" si="341"/>
        <v>0</v>
      </c>
      <c r="J1685" s="373"/>
    </row>
    <row r="1686" spans="1:10" ht="23.4" x14ac:dyDescent="0.3">
      <c r="A1686" s="1134"/>
      <c r="B1686" s="980"/>
      <c r="C1686" s="279" t="s">
        <v>589</v>
      </c>
      <c r="D1686" s="434" t="s">
        <v>178</v>
      </c>
      <c r="E1686" s="280">
        <v>246636</v>
      </c>
      <c r="F1686" s="435">
        <f t="shared" si="342"/>
        <v>246636</v>
      </c>
      <c r="G1686" s="602">
        <v>26.36</v>
      </c>
      <c r="H1686" s="597">
        <f t="shared" si="340"/>
        <v>6501324.96</v>
      </c>
      <c r="I1686" s="596">
        <f t="shared" si="341"/>
        <v>6501324.96</v>
      </c>
      <c r="J1686" s="373"/>
    </row>
    <row r="1687" spans="1:10" ht="23.4" x14ac:dyDescent="0.3">
      <c r="A1687" s="1134"/>
      <c r="B1687" s="980"/>
      <c r="C1687" s="746" t="s">
        <v>466</v>
      </c>
      <c r="D1687" s="747" t="s">
        <v>92</v>
      </c>
      <c r="E1687" s="280"/>
      <c r="F1687" s="435">
        <f t="shared" si="342"/>
        <v>0</v>
      </c>
      <c r="G1687" s="602">
        <v>20.8</v>
      </c>
      <c r="H1687" s="597">
        <f t="shared" si="340"/>
        <v>0</v>
      </c>
      <c r="I1687" s="596">
        <f t="shared" si="341"/>
        <v>0</v>
      </c>
      <c r="J1687" s="373"/>
    </row>
    <row r="1688" spans="1:10" ht="23.4" x14ac:dyDescent="0.3">
      <c r="A1688" s="1134"/>
      <c r="B1688" s="980"/>
      <c r="C1688" s="746" t="s">
        <v>467</v>
      </c>
      <c r="D1688" s="747" t="s">
        <v>567</v>
      </c>
      <c r="E1688" s="280"/>
      <c r="F1688" s="435">
        <f t="shared" si="342"/>
        <v>123318</v>
      </c>
      <c r="G1688" s="602">
        <v>26.75</v>
      </c>
      <c r="H1688" s="597">
        <f t="shared" si="340"/>
        <v>0</v>
      </c>
      <c r="I1688" s="596">
        <f t="shared" si="341"/>
        <v>3298756.5</v>
      </c>
      <c r="J1688" s="373"/>
    </row>
    <row r="1689" spans="1:10" ht="23.4" x14ac:dyDescent="0.3">
      <c r="A1689" s="1134"/>
      <c r="B1689" s="980"/>
      <c r="C1689" s="746" t="s">
        <v>467</v>
      </c>
      <c r="D1689" s="747" t="s">
        <v>540</v>
      </c>
      <c r="E1689" s="280">
        <v>123318</v>
      </c>
      <c r="F1689" s="435">
        <f t="shared" si="342"/>
        <v>246636</v>
      </c>
      <c r="G1689" s="602">
        <v>25</v>
      </c>
      <c r="H1689" s="597">
        <f t="shared" si="340"/>
        <v>3082950</v>
      </c>
      <c r="I1689" s="596">
        <f t="shared" si="341"/>
        <v>6165900</v>
      </c>
      <c r="J1689" s="373"/>
    </row>
    <row r="1690" spans="1:10" ht="23.4" x14ac:dyDescent="0.3">
      <c r="A1690" s="1134"/>
      <c r="B1690" s="748"/>
      <c r="C1690" s="749" t="s">
        <v>469</v>
      </c>
      <c r="D1690" s="750" t="s">
        <v>309</v>
      </c>
      <c r="E1690" s="751"/>
      <c r="F1690" s="752">
        <f t="shared" si="342"/>
        <v>0</v>
      </c>
      <c r="G1690" s="753">
        <v>24.41</v>
      </c>
      <c r="H1690" s="754">
        <f t="shared" si="340"/>
        <v>0</v>
      </c>
      <c r="I1690" s="755">
        <f t="shared" si="341"/>
        <v>0</v>
      </c>
      <c r="J1690" s="756"/>
    </row>
    <row r="1691" spans="1:10" ht="23.4" x14ac:dyDescent="0.3">
      <c r="A1691" s="1134"/>
      <c r="B1691" s="980"/>
      <c r="C1691" s="279" t="s">
        <v>444</v>
      </c>
      <c r="D1691" s="434" t="s">
        <v>423</v>
      </c>
      <c r="E1691" s="280"/>
      <c r="F1691" s="435">
        <f t="shared" si="342"/>
        <v>0</v>
      </c>
      <c r="G1691" s="602">
        <v>20.76</v>
      </c>
      <c r="H1691" s="597">
        <f t="shared" si="340"/>
        <v>0</v>
      </c>
      <c r="I1691" s="596">
        <f t="shared" si="341"/>
        <v>0</v>
      </c>
      <c r="J1691" s="373"/>
    </row>
    <row r="1692" spans="1:10" ht="23.4" x14ac:dyDescent="0.3">
      <c r="A1692" s="1134"/>
      <c r="B1692" s="980"/>
      <c r="C1692" s="279" t="s">
        <v>298</v>
      </c>
      <c r="D1692" s="434" t="s">
        <v>107</v>
      </c>
      <c r="E1692" s="280"/>
      <c r="F1692" s="435">
        <f t="shared" si="342"/>
        <v>0</v>
      </c>
      <c r="G1692" s="602">
        <v>24.93</v>
      </c>
      <c r="H1692" s="597">
        <f t="shared" si="340"/>
        <v>0</v>
      </c>
      <c r="I1692" s="596">
        <f t="shared" si="341"/>
        <v>0</v>
      </c>
      <c r="J1692" s="373"/>
    </row>
    <row r="1693" spans="1:10" ht="23.4" x14ac:dyDescent="0.3">
      <c r="A1693" s="1134"/>
      <c r="B1693" s="980"/>
      <c r="C1693" s="279" t="s">
        <v>299</v>
      </c>
      <c r="D1693" s="434" t="s">
        <v>280</v>
      </c>
      <c r="E1693" s="280"/>
      <c r="F1693" s="435">
        <f t="shared" si="342"/>
        <v>0</v>
      </c>
      <c r="G1693" s="602">
        <v>24.93</v>
      </c>
      <c r="H1693" s="597">
        <f t="shared" si="340"/>
        <v>0</v>
      </c>
      <c r="I1693" s="596">
        <f t="shared" si="341"/>
        <v>0</v>
      </c>
      <c r="J1693" s="373"/>
    </row>
    <row r="1694" spans="1:10" ht="23.4" x14ac:dyDescent="0.3">
      <c r="A1694" s="1134"/>
      <c r="B1694" s="980"/>
      <c r="C1694" s="279" t="s">
        <v>425</v>
      </c>
      <c r="D1694" s="434" t="s">
        <v>309</v>
      </c>
      <c r="E1694" s="280"/>
      <c r="F1694" s="435">
        <f t="shared" si="342"/>
        <v>0</v>
      </c>
      <c r="G1694" s="602">
        <v>23.78</v>
      </c>
      <c r="H1694" s="597">
        <f t="shared" si="340"/>
        <v>0</v>
      </c>
      <c r="I1694" s="596">
        <f t="shared" si="341"/>
        <v>0</v>
      </c>
      <c r="J1694" s="373"/>
    </row>
    <row r="1695" spans="1:10" ht="23.4" x14ac:dyDescent="0.3">
      <c r="A1695" s="1134"/>
      <c r="B1695" s="980"/>
      <c r="C1695" s="279" t="s">
        <v>354</v>
      </c>
      <c r="D1695" s="434" t="s">
        <v>309</v>
      </c>
      <c r="E1695" s="280"/>
      <c r="F1695" s="435">
        <f t="shared" si="342"/>
        <v>0</v>
      </c>
      <c r="G1695" s="602">
        <v>37.4566666666</v>
      </c>
      <c r="H1695" s="597">
        <f t="shared" si="340"/>
        <v>0</v>
      </c>
      <c r="I1695" s="596">
        <f t="shared" si="341"/>
        <v>0</v>
      </c>
      <c r="J1695" s="373"/>
    </row>
    <row r="1696" spans="1:10" ht="23.4" x14ac:dyDescent="0.3">
      <c r="A1696" s="1134"/>
      <c r="B1696" s="980"/>
      <c r="C1696" s="279" t="s">
        <v>355</v>
      </c>
      <c r="D1696" s="434" t="s">
        <v>309</v>
      </c>
      <c r="E1696" s="280"/>
      <c r="F1696" s="435">
        <f t="shared" si="342"/>
        <v>5616</v>
      </c>
      <c r="G1696" s="602">
        <v>37.89</v>
      </c>
      <c r="H1696" s="597">
        <f t="shared" si="340"/>
        <v>0</v>
      </c>
      <c r="I1696" s="596">
        <f t="shared" si="341"/>
        <v>212790.24</v>
      </c>
      <c r="J1696" s="373"/>
    </row>
    <row r="1697" spans="1:10" ht="23.4" x14ac:dyDescent="0.3">
      <c r="A1697" s="1134"/>
      <c r="B1697" s="980"/>
      <c r="C1697" s="279" t="s">
        <v>461</v>
      </c>
      <c r="D1697" s="434" t="s">
        <v>92</v>
      </c>
      <c r="E1697" s="280"/>
      <c r="F1697" s="435">
        <f t="shared" si="342"/>
        <v>0</v>
      </c>
      <c r="G1697" s="602">
        <v>28.31</v>
      </c>
      <c r="H1697" s="597">
        <f t="shared" si="340"/>
        <v>0</v>
      </c>
      <c r="I1697" s="596">
        <f t="shared" si="341"/>
        <v>0</v>
      </c>
      <c r="J1697" s="373"/>
    </row>
    <row r="1698" spans="1:10" ht="23.4" x14ac:dyDescent="0.3">
      <c r="A1698" s="1134"/>
      <c r="B1698" s="980"/>
      <c r="C1698" s="279" t="s">
        <v>461</v>
      </c>
      <c r="D1698" s="434" t="s">
        <v>423</v>
      </c>
      <c r="E1698" s="280"/>
      <c r="F1698" s="435">
        <f t="shared" si="342"/>
        <v>0</v>
      </c>
      <c r="G1698" s="602">
        <v>28.88</v>
      </c>
      <c r="H1698" s="597">
        <f t="shared" si="340"/>
        <v>0</v>
      </c>
      <c r="I1698" s="596">
        <f t="shared" si="341"/>
        <v>0</v>
      </c>
      <c r="J1698" s="373"/>
    </row>
    <row r="1699" spans="1:10" ht="23.4" x14ac:dyDescent="0.3">
      <c r="A1699" s="1134"/>
      <c r="B1699" s="980"/>
      <c r="C1699" s="279" t="s">
        <v>462</v>
      </c>
      <c r="D1699" s="434" t="s">
        <v>423</v>
      </c>
      <c r="E1699" s="280"/>
      <c r="F1699" s="435">
        <f t="shared" si="342"/>
        <v>0</v>
      </c>
      <c r="G1699" s="602">
        <v>28.21</v>
      </c>
      <c r="H1699" s="597">
        <f t="shared" si="340"/>
        <v>0</v>
      </c>
      <c r="I1699" s="596">
        <f t="shared" si="341"/>
        <v>0</v>
      </c>
      <c r="J1699" s="373"/>
    </row>
    <row r="1700" spans="1:10" ht="23.4" x14ac:dyDescent="0.3">
      <c r="A1700" s="1134"/>
      <c r="B1700" s="980"/>
      <c r="C1700" s="279" t="s">
        <v>588</v>
      </c>
      <c r="D1700" s="434" t="s">
        <v>587</v>
      </c>
      <c r="E1700" s="280">
        <v>41184</v>
      </c>
      <c r="F1700" s="435">
        <f t="shared" si="342"/>
        <v>41184</v>
      </c>
      <c r="G1700" s="602">
        <v>42.28</v>
      </c>
      <c r="H1700" s="597">
        <f t="shared" si="340"/>
        <v>1741259.52</v>
      </c>
      <c r="I1700" s="596">
        <f t="shared" si="341"/>
        <v>1741259.52</v>
      </c>
      <c r="J1700" s="373"/>
    </row>
    <row r="1701" spans="1:10" ht="23.4" x14ac:dyDescent="0.3">
      <c r="A1701" s="1134"/>
      <c r="B1701" s="980"/>
      <c r="C1701" s="279" t="s">
        <v>463</v>
      </c>
      <c r="D1701" s="434" t="s">
        <v>92</v>
      </c>
      <c r="E1701" s="280"/>
      <c r="F1701" s="435">
        <f t="shared" si="342"/>
        <v>0</v>
      </c>
      <c r="G1701" s="602">
        <v>32.65</v>
      </c>
      <c r="H1701" s="597">
        <f t="shared" si="340"/>
        <v>0</v>
      </c>
      <c r="I1701" s="596">
        <f t="shared" si="341"/>
        <v>0</v>
      </c>
      <c r="J1701" s="373"/>
    </row>
    <row r="1702" spans="1:10" ht="23.4" x14ac:dyDescent="0.3">
      <c r="A1702" s="1134"/>
      <c r="B1702" s="980"/>
      <c r="C1702" s="279" t="s">
        <v>463</v>
      </c>
      <c r="D1702" s="434" t="s">
        <v>423</v>
      </c>
      <c r="E1702" s="280"/>
      <c r="F1702" s="435">
        <f t="shared" si="342"/>
        <v>0</v>
      </c>
      <c r="G1702" s="602">
        <v>33.299999999999997</v>
      </c>
      <c r="H1702" s="597">
        <f t="shared" si="340"/>
        <v>0</v>
      </c>
      <c r="I1702" s="596">
        <f t="shared" si="341"/>
        <v>0</v>
      </c>
      <c r="J1702" s="373"/>
    </row>
    <row r="1703" spans="1:10" ht="23.4" x14ac:dyDescent="0.3">
      <c r="A1703" s="1134"/>
      <c r="B1703" s="980"/>
      <c r="C1703" s="279" t="s">
        <v>299</v>
      </c>
      <c r="D1703" s="434" t="s">
        <v>279</v>
      </c>
      <c r="E1703" s="280"/>
      <c r="F1703" s="435">
        <f t="shared" si="342"/>
        <v>0</v>
      </c>
      <c r="G1703" s="602">
        <v>24.93</v>
      </c>
      <c r="H1703" s="597">
        <f t="shared" si="340"/>
        <v>0</v>
      </c>
      <c r="I1703" s="596">
        <f t="shared" si="341"/>
        <v>0</v>
      </c>
      <c r="J1703" s="373"/>
    </row>
    <row r="1704" spans="1:10" ht="23.4" x14ac:dyDescent="0.3">
      <c r="A1704" s="1134"/>
      <c r="B1704" s="980"/>
      <c r="C1704" s="279" t="s">
        <v>299</v>
      </c>
      <c r="D1704" s="434"/>
      <c r="E1704" s="280"/>
      <c r="F1704" s="435">
        <f t="shared" si="342"/>
        <v>0</v>
      </c>
      <c r="G1704" s="602">
        <v>24.93</v>
      </c>
      <c r="H1704" s="597">
        <f t="shared" si="340"/>
        <v>0</v>
      </c>
      <c r="I1704" s="596">
        <f t="shared" si="341"/>
        <v>0</v>
      </c>
      <c r="J1704" s="373"/>
    </row>
    <row r="1705" spans="1:10" ht="23.4" x14ac:dyDescent="0.3">
      <c r="A1705" s="1134"/>
      <c r="B1705" s="980"/>
      <c r="C1705" s="279" t="s">
        <v>316</v>
      </c>
      <c r="D1705" s="434" t="s">
        <v>289</v>
      </c>
      <c r="E1705" s="280"/>
      <c r="F1705" s="435">
        <f t="shared" si="342"/>
        <v>0</v>
      </c>
      <c r="G1705" s="602">
        <v>34.26</v>
      </c>
      <c r="H1705" s="597">
        <f t="shared" si="340"/>
        <v>0</v>
      </c>
      <c r="I1705" s="596">
        <f t="shared" si="341"/>
        <v>0</v>
      </c>
      <c r="J1705" s="373"/>
    </row>
    <row r="1706" spans="1:10" ht="23.4" x14ac:dyDescent="0.3">
      <c r="A1706" s="1134"/>
      <c r="B1706" s="980"/>
      <c r="C1706" s="279" t="s">
        <v>328</v>
      </c>
      <c r="D1706" s="434" t="s">
        <v>360</v>
      </c>
      <c r="E1706" s="280"/>
      <c r="F1706" s="435">
        <f t="shared" si="342"/>
        <v>0</v>
      </c>
      <c r="G1706" s="602">
        <v>37.89</v>
      </c>
      <c r="H1706" s="597">
        <f t="shared" si="340"/>
        <v>0</v>
      </c>
      <c r="I1706" s="596">
        <f t="shared" si="341"/>
        <v>0</v>
      </c>
      <c r="J1706" s="373"/>
    </row>
    <row r="1707" spans="1:10" ht="23.4" x14ac:dyDescent="0.3">
      <c r="A1707" s="1134"/>
      <c r="B1707" s="980"/>
      <c r="C1707" s="279" t="s">
        <v>363</v>
      </c>
      <c r="D1707" s="434" t="s">
        <v>338</v>
      </c>
      <c r="E1707" s="280"/>
      <c r="F1707" s="435">
        <f t="shared" si="342"/>
        <v>0</v>
      </c>
      <c r="G1707" s="602">
        <v>39</v>
      </c>
      <c r="H1707" s="597">
        <f t="shared" si="340"/>
        <v>0</v>
      </c>
      <c r="I1707" s="596">
        <f t="shared" si="341"/>
        <v>0</v>
      </c>
      <c r="J1707" s="373"/>
    </row>
    <row r="1708" spans="1:10" ht="23.4" x14ac:dyDescent="0.3">
      <c r="A1708" s="1134"/>
      <c r="B1708" s="980"/>
      <c r="C1708" s="279" t="s">
        <v>299</v>
      </c>
      <c r="D1708" s="434" t="s">
        <v>177</v>
      </c>
      <c r="E1708" s="280"/>
      <c r="F1708" s="435">
        <f t="shared" si="342"/>
        <v>0</v>
      </c>
      <c r="G1708" s="602">
        <v>21.22</v>
      </c>
      <c r="H1708" s="597">
        <f t="shared" si="340"/>
        <v>0</v>
      </c>
      <c r="I1708" s="596">
        <f t="shared" si="341"/>
        <v>0</v>
      </c>
      <c r="J1708" s="373"/>
    </row>
    <row r="1709" spans="1:10" ht="23.4" x14ac:dyDescent="0.3">
      <c r="A1709" s="1134"/>
      <c r="B1709" s="980"/>
      <c r="C1709" s="279" t="s">
        <v>298</v>
      </c>
      <c r="D1709" s="434" t="s">
        <v>177</v>
      </c>
      <c r="E1709" s="280"/>
      <c r="F1709" s="435">
        <f t="shared" si="342"/>
        <v>0</v>
      </c>
      <c r="G1709" s="602">
        <v>21.22</v>
      </c>
      <c r="H1709" s="597">
        <f t="shared" si="340"/>
        <v>0</v>
      </c>
      <c r="I1709" s="596">
        <f t="shared" si="341"/>
        <v>0</v>
      </c>
      <c r="J1709" s="373"/>
    </row>
    <row r="1710" spans="1:10" ht="23.4" x14ac:dyDescent="0.3">
      <c r="A1710" s="1134"/>
      <c r="B1710" s="980"/>
      <c r="C1710" s="279" t="s">
        <v>339</v>
      </c>
      <c r="D1710" s="434" t="s">
        <v>304</v>
      </c>
      <c r="E1710" s="280"/>
      <c r="F1710" s="435">
        <f t="shared" si="342"/>
        <v>0</v>
      </c>
      <c r="G1710" s="602">
        <v>10000</v>
      </c>
      <c r="H1710" s="597">
        <f t="shared" si="340"/>
        <v>0</v>
      </c>
      <c r="I1710" s="596">
        <f t="shared" si="341"/>
        <v>0</v>
      </c>
      <c r="J1710" s="373"/>
    </row>
    <row r="1711" spans="1:10" ht="24" thickBot="1" x14ac:dyDescent="0.35">
      <c r="A1711" s="1134"/>
      <c r="B1711" s="980"/>
      <c r="C1711" s="279" t="s">
        <v>303</v>
      </c>
      <c r="D1711" s="434" t="s">
        <v>304</v>
      </c>
      <c r="E1711" s="280"/>
      <c r="F1711" s="435">
        <f t="shared" si="342"/>
        <v>0</v>
      </c>
      <c r="G1711" s="602">
        <v>360</v>
      </c>
      <c r="H1711" s="597">
        <f t="shared" si="340"/>
        <v>0</v>
      </c>
      <c r="I1711" s="596">
        <f t="shared" si="341"/>
        <v>0</v>
      </c>
      <c r="J1711" s="373"/>
    </row>
    <row r="1712" spans="1:10" ht="24" thickBot="1" x14ac:dyDescent="0.35">
      <c r="A1712" s="1135"/>
      <c r="B1712" s="1129" t="s">
        <v>268</v>
      </c>
      <c r="C1712" s="1130"/>
      <c r="D1712" s="982"/>
      <c r="E1712" s="326">
        <f>SUM(E1683:E1711)</f>
        <v>411140</v>
      </c>
      <c r="F1712" s="326">
        <f t="shared" si="342"/>
        <v>663392</v>
      </c>
      <c r="G1712" s="326"/>
      <c r="H1712" s="587">
        <f>SUM(H1683:H1711)</f>
        <v>11393534.48</v>
      </c>
      <c r="I1712" s="580">
        <f>SUM(I1683:I1711)</f>
        <v>17988031.220000003</v>
      </c>
      <c r="J1712" s="373"/>
    </row>
    <row r="1713" spans="1:10" ht="23.4" x14ac:dyDescent="0.3">
      <c r="A1713" s="1133" t="s">
        <v>102</v>
      </c>
      <c r="B1713" s="980"/>
      <c r="C1713" s="279" t="s">
        <v>509</v>
      </c>
      <c r="D1713" s="434" t="s">
        <v>238</v>
      </c>
      <c r="E1713" s="280">
        <v>600</v>
      </c>
      <c r="F1713" s="435">
        <f>+E1713+F1619</f>
        <v>8600</v>
      </c>
      <c r="G1713" s="803">
        <v>624.26</v>
      </c>
      <c r="H1713" s="593">
        <f>E1713*G1713</f>
        <v>374556</v>
      </c>
      <c r="I1713" s="596">
        <f t="shared" ref="I1713:I1715" si="343">+G1713*F1713</f>
        <v>5368636</v>
      </c>
      <c r="J1713" s="373"/>
    </row>
    <row r="1714" spans="1:10" ht="23.4" x14ac:dyDescent="0.3">
      <c r="A1714" s="1134"/>
      <c r="B1714" s="980"/>
      <c r="C1714" s="279" t="s">
        <v>273</v>
      </c>
      <c r="D1714" s="434" t="s">
        <v>238</v>
      </c>
      <c r="E1714" s="280">
        <v>7680</v>
      </c>
      <c r="F1714" s="435">
        <f t="shared" ref="F1714:F1738" si="344">+E1714+F1620</f>
        <v>35869</v>
      </c>
      <c r="G1714" s="602">
        <v>430.02</v>
      </c>
      <c r="H1714" s="593">
        <f t="shared" ref="H1714:H1735" si="345">E1714*G1714</f>
        <v>3302553.5999999996</v>
      </c>
      <c r="I1714" s="596">
        <f t="shared" si="343"/>
        <v>15424387.379999999</v>
      </c>
      <c r="J1714" s="373"/>
    </row>
    <row r="1715" spans="1:10" ht="23.4" x14ac:dyDescent="0.3">
      <c r="A1715" s="1134"/>
      <c r="B1715" s="980"/>
      <c r="C1715" s="279" t="s">
        <v>390</v>
      </c>
      <c r="D1715" s="434" t="s">
        <v>238</v>
      </c>
      <c r="E1715" s="280"/>
      <c r="F1715" s="435">
        <f t="shared" si="344"/>
        <v>0</v>
      </c>
      <c r="G1715" s="602">
        <v>445.38</v>
      </c>
      <c r="H1715" s="593">
        <f t="shared" si="345"/>
        <v>0</v>
      </c>
      <c r="I1715" s="596">
        <f t="shared" si="343"/>
        <v>0</v>
      </c>
      <c r="J1715" s="373"/>
    </row>
    <row r="1716" spans="1:10" ht="23.4" x14ac:dyDescent="0.3">
      <c r="A1716" s="1134"/>
      <c r="B1716" s="980"/>
      <c r="C1716" s="279" t="s">
        <v>301</v>
      </c>
      <c r="D1716" s="434" t="s">
        <v>238</v>
      </c>
      <c r="E1716" s="280"/>
      <c r="F1716" s="435">
        <f t="shared" si="344"/>
        <v>8640</v>
      </c>
      <c r="G1716" s="602">
        <v>63.55</v>
      </c>
      <c r="H1716" s="593">
        <f t="shared" si="345"/>
        <v>0</v>
      </c>
      <c r="I1716" s="596">
        <f>+G1716*F1716</f>
        <v>549072</v>
      </c>
      <c r="J1716" s="373"/>
    </row>
    <row r="1717" spans="1:10" ht="23.4" x14ac:dyDescent="0.3">
      <c r="A1717" s="1134"/>
      <c r="B1717" s="980"/>
      <c r="C1717" s="279" t="s">
        <v>514</v>
      </c>
      <c r="D1717" s="434" t="s">
        <v>238</v>
      </c>
      <c r="E1717" s="280"/>
      <c r="F1717" s="435">
        <f t="shared" si="344"/>
        <v>51540</v>
      </c>
      <c r="G1717" s="602">
        <v>71.44</v>
      </c>
      <c r="H1717" s="593">
        <f t="shared" si="345"/>
        <v>0</v>
      </c>
      <c r="I1717" s="596">
        <f>+G1717*F1717</f>
        <v>3682017.6</v>
      </c>
      <c r="J1717" s="373"/>
    </row>
    <row r="1718" spans="1:10" ht="23.4" x14ac:dyDescent="0.3">
      <c r="A1718" s="1134"/>
      <c r="B1718" s="980"/>
      <c r="C1718" s="279" t="s">
        <v>275</v>
      </c>
      <c r="D1718" s="434" t="s">
        <v>238</v>
      </c>
      <c r="E1718" s="280">
        <v>40320</v>
      </c>
      <c r="F1718" s="435">
        <f t="shared" si="344"/>
        <v>319884</v>
      </c>
      <c r="G1718" s="602">
        <v>71.44</v>
      </c>
      <c r="H1718" s="593">
        <f t="shared" si="345"/>
        <v>2880460.7999999998</v>
      </c>
      <c r="I1718" s="596">
        <f t="shared" ref="I1718:I1735" si="346">+G1718*F1718</f>
        <v>22852512.960000001</v>
      </c>
      <c r="J1718" s="373"/>
    </row>
    <row r="1719" spans="1:10" ht="23.4" x14ac:dyDescent="0.3">
      <c r="A1719" s="1134"/>
      <c r="B1719" s="980"/>
      <c r="C1719" s="279" t="s">
        <v>276</v>
      </c>
      <c r="D1719" s="434" t="s">
        <v>238</v>
      </c>
      <c r="E1719" s="280"/>
      <c r="F1719" s="435">
        <f t="shared" si="344"/>
        <v>0</v>
      </c>
      <c r="G1719" s="602">
        <v>36.5</v>
      </c>
      <c r="H1719" s="593">
        <f t="shared" si="345"/>
        <v>0</v>
      </c>
      <c r="I1719" s="596">
        <f t="shared" si="346"/>
        <v>0</v>
      </c>
      <c r="J1719" s="373"/>
    </row>
    <row r="1720" spans="1:10" ht="23.4" x14ac:dyDescent="0.3">
      <c r="A1720" s="1134"/>
      <c r="B1720" s="980"/>
      <c r="C1720" s="279" t="s">
        <v>527</v>
      </c>
      <c r="D1720" s="434" t="s">
        <v>238</v>
      </c>
      <c r="E1720" s="280"/>
      <c r="F1720" s="435">
        <f t="shared" si="344"/>
        <v>14000</v>
      </c>
      <c r="G1720" s="602">
        <v>320.35000000000002</v>
      </c>
      <c r="H1720" s="593">
        <f t="shared" si="345"/>
        <v>0</v>
      </c>
      <c r="I1720" s="596">
        <f t="shared" si="346"/>
        <v>4484900</v>
      </c>
      <c r="J1720" s="373"/>
    </row>
    <row r="1721" spans="1:10" ht="23.4" x14ac:dyDescent="0.3">
      <c r="A1721" s="1134"/>
      <c r="B1721" s="980"/>
      <c r="C1721" s="279" t="s">
        <v>285</v>
      </c>
      <c r="D1721" s="434" t="s">
        <v>238</v>
      </c>
      <c r="E1721" s="280"/>
      <c r="F1721" s="435">
        <f t="shared" si="344"/>
        <v>0</v>
      </c>
      <c r="G1721" s="602">
        <v>320.35000000000002</v>
      </c>
      <c r="H1721" s="593">
        <f t="shared" si="345"/>
        <v>0</v>
      </c>
      <c r="I1721" s="596">
        <f t="shared" si="346"/>
        <v>0</v>
      </c>
      <c r="J1721" s="373"/>
    </row>
    <row r="1722" spans="1:10" ht="23.4" x14ac:dyDescent="0.3">
      <c r="A1722" s="1134"/>
      <c r="B1722" s="980"/>
      <c r="C1722" s="279" t="s">
        <v>296</v>
      </c>
      <c r="D1722" s="434" t="s">
        <v>238</v>
      </c>
      <c r="E1722" s="280"/>
      <c r="F1722" s="435">
        <f t="shared" si="344"/>
        <v>0</v>
      </c>
      <c r="G1722" s="602">
        <v>434.41</v>
      </c>
      <c r="H1722" s="593">
        <f t="shared" si="345"/>
        <v>0</v>
      </c>
      <c r="I1722" s="596">
        <f t="shared" si="346"/>
        <v>0</v>
      </c>
      <c r="J1722" s="373"/>
    </row>
    <row r="1723" spans="1:10" ht="23.4" x14ac:dyDescent="0.3">
      <c r="A1723" s="1134"/>
      <c r="B1723" s="980"/>
      <c r="C1723" s="279" t="s">
        <v>282</v>
      </c>
      <c r="D1723" s="434" t="s">
        <v>238</v>
      </c>
      <c r="E1723" s="280"/>
      <c r="F1723" s="435">
        <f t="shared" si="344"/>
        <v>1</v>
      </c>
      <c r="G1723" s="602">
        <v>29690</v>
      </c>
      <c r="H1723" s="593">
        <f t="shared" si="345"/>
        <v>0</v>
      </c>
      <c r="I1723" s="596">
        <f t="shared" si="346"/>
        <v>29690</v>
      </c>
      <c r="J1723" s="373"/>
    </row>
    <row r="1724" spans="1:10" ht="23.4" x14ac:dyDescent="0.3">
      <c r="A1724" s="1134"/>
      <c r="B1724" s="980"/>
      <c r="C1724" s="279" t="s">
        <v>282</v>
      </c>
      <c r="D1724" s="434" t="s">
        <v>238</v>
      </c>
      <c r="E1724" s="280">
        <v>1</v>
      </c>
      <c r="F1724" s="435">
        <f t="shared" si="344"/>
        <v>3</v>
      </c>
      <c r="G1724" s="602">
        <v>26445</v>
      </c>
      <c r="H1724" s="593">
        <f t="shared" si="345"/>
        <v>26445</v>
      </c>
      <c r="I1724" s="596">
        <f t="shared" si="346"/>
        <v>79335</v>
      </c>
      <c r="J1724" s="373"/>
    </row>
    <row r="1725" spans="1:10" ht="23.4" x14ac:dyDescent="0.3">
      <c r="A1725" s="1134"/>
      <c r="B1725" s="980"/>
      <c r="C1725" s="279" t="s">
        <v>282</v>
      </c>
      <c r="D1725" s="434"/>
      <c r="E1725" s="280"/>
      <c r="F1725" s="435">
        <f t="shared" si="344"/>
        <v>0</v>
      </c>
      <c r="G1725" s="602">
        <v>33947.884599999998</v>
      </c>
      <c r="H1725" s="593">
        <f t="shared" si="345"/>
        <v>0</v>
      </c>
      <c r="I1725" s="596">
        <f t="shared" si="346"/>
        <v>0</v>
      </c>
      <c r="J1725" s="373"/>
    </row>
    <row r="1726" spans="1:10" ht="23.4" x14ac:dyDescent="0.3">
      <c r="A1726" s="1134"/>
      <c r="B1726" s="980"/>
      <c r="C1726" s="279" t="s">
        <v>311</v>
      </c>
      <c r="D1726" s="434" t="s">
        <v>337</v>
      </c>
      <c r="E1726" s="280"/>
      <c r="F1726" s="435">
        <f t="shared" si="344"/>
        <v>0</v>
      </c>
      <c r="G1726" s="602">
        <v>50</v>
      </c>
      <c r="H1726" s="593">
        <f t="shared" si="345"/>
        <v>0</v>
      </c>
      <c r="I1726" s="596">
        <f t="shared" si="346"/>
        <v>0</v>
      </c>
      <c r="J1726" s="373"/>
    </row>
    <row r="1727" spans="1:10" ht="23.4" x14ac:dyDescent="0.3">
      <c r="A1727" s="1134"/>
      <c r="B1727" s="980"/>
      <c r="C1727" s="279" t="s">
        <v>311</v>
      </c>
      <c r="D1727" s="434"/>
      <c r="E1727" s="280"/>
      <c r="F1727" s="435">
        <f t="shared" si="344"/>
        <v>0</v>
      </c>
      <c r="G1727" s="602">
        <v>10</v>
      </c>
      <c r="H1727" s="593">
        <f t="shared" si="345"/>
        <v>0</v>
      </c>
      <c r="I1727" s="596">
        <f t="shared" si="346"/>
        <v>0</v>
      </c>
      <c r="J1727" s="373"/>
    </row>
    <row r="1728" spans="1:10" ht="23.4" x14ac:dyDescent="0.3">
      <c r="A1728" s="1134"/>
      <c r="B1728" s="980"/>
      <c r="C1728" s="279" t="s">
        <v>329</v>
      </c>
      <c r="D1728" s="434" t="s">
        <v>370</v>
      </c>
      <c r="E1728" s="280"/>
      <c r="F1728" s="435">
        <f t="shared" si="344"/>
        <v>6400</v>
      </c>
      <c r="G1728" s="803">
        <v>65.459999999999994</v>
      </c>
      <c r="H1728" s="593">
        <f t="shared" si="345"/>
        <v>0</v>
      </c>
      <c r="I1728" s="596">
        <f t="shared" si="346"/>
        <v>418943.99999999994</v>
      </c>
      <c r="J1728" s="373"/>
    </row>
    <row r="1729" spans="1:10" ht="23.4" x14ac:dyDescent="0.3">
      <c r="A1729" s="1134"/>
      <c r="B1729" s="980"/>
      <c r="C1729" s="279" t="s">
        <v>329</v>
      </c>
      <c r="D1729" s="434" t="s">
        <v>364</v>
      </c>
      <c r="E1729" s="280"/>
      <c r="F1729" s="435">
        <f t="shared" si="344"/>
        <v>0</v>
      </c>
      <c r="G1729" s="602">
        <v>57.64</v>
      </c>
      <c r="H1729" s="593">
        <f t="shared" si="345"/>
        <v>0</v>
      </c>
      <c r="I1729" s="596">
        <f t="shared" si="346"/>
        <v>0</v>
      </c>
      <c r="J1729" s="373"/>
    </row>
    <row r="1730" spans="1:10" ht="23.4" x14ac:dyDescent="0.3">
      <c r="A1730" s="1134"/>
      <c r="B1730" s="980"/>
      <c r="C1730" s="279" t="s">
        <v>330</v>
      </c>
      <c r="D1730" s="434" t="s">
        <v>331</v>
      </c>
      <c r="E1730" s="280"/>
      <c r="F1730" s="435">
        <f t="shared" si="344"/>
        <v>0</v>
      </c>
      <c r="G1730" s="602">
        <v>434.41</v>
      </c>
      <c r="H1730" s="593">
        <f t="shared" si="345"/>
        <v>0</v>
      </c>
      <c r="I1730" s="596">
        <f t="shared" si="346"/>
        <v>0</v>
      </c>
      <c r="J1730" s="373"/>
    </row>
    <row r="1731" spans="1:10" ht="23.4" x14ac:dyDescent="0.3">
      <c r="A1731" s="1134"/>
      <c r="B1731" s="980"/>
      <c r="C1731" s="279" t="s">
        <v>343</v>
      </c>
      <c r="D1731" s="434" t="s">
        <v>238</v>
      </c>
      <c r="E1731" s="280"/>
      <c r="F1731" s="435">
        <f t="shared" si="344"/>
        <v>0</v>
      </c>
      <c r="G1731" s="602">
        <v>624.26</v>
      </c>
      <c r="H1731" s="593">
        <f t="shared" si="345"/>
        <v>0</v>
      </c>
      <c r="I1731" s="596">
        <f t="shared" si="346"/>
        <v>0</v>
      </c>
      <c r="J1731" s="373"/>
    </row>
    <row r="1732" spans="1:10" ht="23.4" x14ac:dyDescent="0.3">
      <c r="A1732" s="1134"/>
      <c r="B1732" s="980"/>
      <c r="C1732" s="279" t="s">
        <v>332</v>
      </c>
      <c r="D1732" s="434" t="s">
        <v>331</v>
      </c>
      <c r="E1732" s="280"/>
      <c r="F1732" s="435">
        <f t="shared" si="344"/>
        <v>0</v>
      </c>
      <c r="G1732" s="602">
        <v>63.55</v>
      </c>
      <c r="H1732" s="593">
        <f t="shared" si="345"/>
        <v>0</v>
      </c>
      <c r="I1732" s="596">
        <f t="shared" si="346"/>
        <v>0</v>
      </c>
      <c r="J1732" s="373"/>
    </row>
    <row r="1733" spans="1:10" ht="23.4" x14ac:dyDescent="0.3">
      <c r="A1733" s="1134"/>
      <c r="B1733" s="980"/>
      <c r="C1733" s="279" t="s">
        <v>559</v>
      </c>
      <c r="D1733" s="434" t="s">
        <v>238</v>
      </c>
      <c r="E1733" s="280"/>
      <c r="F1733" s="435">
        <f t="shared" si="344"/>
        <v>48696</v>
      </c>
      <c r="G1733" s="602">
        <v>59.96</v>
      </c>
      <c r="H1733" s="593">
        <f t="shared" si="345"/>
        <v>0</v>
      </c>
      <c r="I1733" s="596">
        <f t="shared" si="346"/>
        <v>2919812.16</v>
      </c>
      <c r="J1733" s="373"/>
    </row>
    <row r="1734" spans="1:10" ht="23.4" x14ac:dyDescent="0.3">
      <c r="A1734" s="1134"/>
      <c r="B1734" s="980"/>
      <c r="C1734" s="279" t="s">
        <v>419</v>
      </c>
      <c r="D1734" s="434" t="s">
        <v>331</v>
      </c>
      <c r="E1734" s="280"/>
      <c r="F1734" s="435">
        <f t="shared" si="344"/>
        <v>0</v>
      </c>
      <c r="G1734" s="602">
        <v>53.86</v>
      </c>
      <c r="H1734" s="593">
        <f t="shared" si="345"/>
        <v>0</v>
      </c>
      <c r="I1734" s="596">
        <f t="shared" si="346"/>
        <v>0</v>
      </c>
      <c r="J1734" s="373"/>
    </row>
    <row r="1735" spans="1:10" ht="23.4" x14ac:dyDescent="0.3">
      <c r="A1735" s="1134"/>
      <c r="B1735" s="980"/>
      <c r="C1735" s="279" t="s">
        <v>379</v>
      </c>
      <c r="D1735" s="434"/>
      <c r="E1735" s="280"/>
      <c r="F1735" s="435">
        <f t="shared" si="344"/>
        <v>0</v>
      </c>
      <c r="G1735" s="602">
        <v>360</v>
      </c>
      <c r="H1735" s="593">
        <f t="shared" si="345"/>
        <v>0</v>
      </c>
      <c r="I1735" s="596">
        <f t="shared" si="346"/>
        <v>0</v>
      </c>
      <c r="J1735" s="373"/>
    </row>
    <row r="1736" spans="1:10" ht="23.4" x14ac:dyDescent="0.3">
      <c r="A1736" s="1134"/>
      <c r="B1736" s="980"/>
      <c r="C1736" s="279" t="s">
        <v>471</v>
      </c>
      <c r="D1736" s="434"/>
      <c r="E1736" s="280"/>
      <c r="F1736" s="435">
        <f t="shared" si="344"/>
        <v>0</v>
      </c>
      <c r="G1736" s="602"/>
      <c r="H1736" s="593">
        <f>+E1736</f>
        <v>0</v>
      </c>
      <c r="I1736" s="596">
        <f>+H1736</f>
        <v>0</v>
      </c>
      <c r="J1736" s="373"/>
    </row>
    <row r="1737" spans="1:10" ht="23.4" x14ac:dyDescent="0.3">
      <c r="A1737" s="1134"/>
      <c r="B1737" s="980"/>
      <c r="C1737" s="279" t="s">
        <v>282</v>
      </c>
      <c r="D1737" s="434"/>
      <c r="E1737" s="280"/>
      <c r="F1737" s="435">
        <f t="shared" si="344"/>
        <v>0</v>
      </c>
      <c r="G1737" s="602">
        <v>39450</v>
      </c>
      <c r="H1737" s="593">
        <f t="shared" ref="H1737:H1738" si="347">E1737*G1737</f>
        <v>0</v>
      </c>
      <c r="I1737" s="596">
        <f t="shared" ref="I1737:I1738" si="348">+G1737*F1737</f>
        <v>0</v>
      </c>
      <c r="J1737" s="373"/>
    </row>
    <row r="1738" spans="1:10" ht="24" thickBot="1" x14ac:dyDescent="0.35">
      <c r="A1738" s="1134"/>
      <c r="B1738" s="980"/>
      <c r="C1738" s="279" t="s">
        <v>329</v>
      </c>
      <c r="D1738" s="434" t="s">
        <v>443</v>
      </c>
      <c r="E1738" s="280"/>
      <c r="F1738" s="435">
        <f t="shared" si="344"/>
        <v>0</v>
      </c>
      <c r="G1738" s="602">
        <v>57.64</v>
      </c>
      <c r="H1738" s="593">
        <f t="shared" si="347"/>
        <v>0</v>
      </c>
      <c r="I1738" s="596">
        <f t="shared" si="348"/>
        <v>0</v>
      </c>
      <c r="J1738" s="373"/>
    </row>
    <row r="1739" spans="1:10" ht="24" thickBot="1" x14ac:dyDescent="0.35">
      <c r="A1739" s="1135"/>
      <c r="B1739" s="1129" t="s">
        <v>270</v>
      </c>
      <c r="C1739" s="1130"/>
      <c r="D1739" s="982"/>
      <c r="E1739" s="326">
        <f>SUM(E1713:E1738)</f>
        <v>48601</v>
      </c>
      <c r="F1739" s="326">
        <f>SUM(F1713:F1738)</f>
        <v>493633</v>
      </c>
      <c r="G1739" s="326"/>
      <c r="H1739" s="590">
        <f>SUM(H1713:H1738)</f>
        <v>6584015.3999999994</v>
      </c>
      <c r="I1739" s="580">
        <f>SUM(I1713:I1738)</f>
        <v>55809307.099999994</v>
      </c>
      <c r="J1739" s="372"/>
    </row>
    <row r="1740" spans="1:10" ht="24" thickBot="1" x14ac:dyDescent="0.35">
      <c r="A1740" s="985"/>
      <c r="B1740" s="437"/>
      <c r="C1740" s="279" t="s">
        <v>379</v>
      </c>
      <c r="D1740" s="434"/>
      <c r="E1740" s="280"/>
      <c r="F1740" s="281">
        <f>+E1740</f>
        <v>0</v>
      </c>
      <c r="G1740" s="334"/>
      <c r="H1740" s="589">
        <f t="shared" ref="H1740" si="349">E1740*G1740</f>
        <v>0</v>
      </c>
      <c r="I1740" s="282">
        <f t="shared" ref="I1740" si="350">+G1740*F1740</f>
        <v>0</v>
      </c>
      <c r="J1740" s="373"/>
    </row>
    <row r="1741" spans="1:10" ht="24" thickBot="1" x14ac:dyDescent="0.35">
      <c r="A1741" s="985"/>
      <c r="B1741" s="1129" t="s">
        <v>224</v>
      </c>
      <c r="C1741" s="1130"/>
      <c r="D1741" s="978"/>
      <c r="E1741" s="326"/>
      <c r="F1741" s="327"/>
      <c r="G1741" s="326"/>
      <c r="H1741" s="587"/>
      <c r="I1741" s="324">
        <f>SUM(I1740)</f>
        <v>0</v>
      </c>
      <c r="J1741" s="349"/>
    </row>
    <row r="1742" spans="1:10" ht="24.6" thickBot="1" x14ac:dyDescent="0.35">
      <c r="A1742" s="319"/>
      <c r="B1742" s="1131" t="s">
        <v>174</v>
      </c>
      <c r="C1742" s="1132"/>
      <c r="D1742" s="979"/>
      <c r="E1742" s="374">
        <f>+E1739+E1712+E1682+E1680</f>
        <v>753743</v>
      </c>
      <c r="F1742" s="374">
        <f>+F1739+F1712+F1682+F1680</f>
        <v>2440639</v>
      </c>
      <c r="G1742" s="374"/>
      <c r="H1742" s="374"/>
      <c r="I1742" s="374">
        <f>+I1739+I1712+I1682+I1741</f>
        <v>99026430.359999985</v>
      </c>
      <c r="J1742" s="375"/>
    </row>
    <row r="1743" spans="1:10" ht="23.4" x14ac:dyDescent="0.3">
      <c r="A1743" s="1057" t="s">
        <v>1</v>
      </c>
      <c r="B1743" s="1060" t="s">
        <v>2</v>
      </c>
      <c r="C1743" s="1138" t="s">
        <v>396</v>
      </c>
      <c r="D1743" s="1115" t="s">
        <v>397</v>
      </c>
      <c r="E1743" s="1142" t="s">
        <v>590</v>
      </c>
      <c r="F1743" s="1067"/>
      <c r="G1743" s="1067"/>
      <c r="H1743" s="1067"/>
      <c r="I1743" s="1067"/>
      <c r="J1743" s="1068"/>
    </row>
    <row r="1744" spans="1:10" ht="23.4" x14ac:dyDescent="0.3">
      <c r="A1744" s="1136"/>
      <c r="B1744" s="1137"/>
      <c r="C1744" s="1139"/>
      <c r="D1744" s="1116"/>
      <c r="E1744" s="1143" t="s">
        <v>412</v>
      </c>
      <c r="F1744" s="1144"/>
      <c r="G1744" s="1143" t="s">
        <v>411</v>
      </c>
      <c r="H1744" s="1145"/>
      <c r="I1744" s="1145"/>
      <c r="J1744" s="1144"/>
    </row>
    <row r="1745" spans="1:10" x14ac:dyDescent="0.3">
      <c r="A1745" s="1058"/>
      <c r="B1745" s="1061"/>
      <c r="C1745" s="1140"/>
      <c r="D1745" s="1116"/>
      <c r="E1745" s="1069" t="s">
        <v>413</v>
      </c>
      <c r="F1745" s="1071" t="s">
        <v>414</v>
      </c>
      <c r="G1745" s="1147" t="s">
        <v>90</v>
      </c>
      <c r="H1745" s="1149" t="s">
        <v>91</v>
      </c>
      <c r="I1745" s="1149" t="s">
        <v>91</v>
      </c>
      <c r="J1745" s="1151" t="s">
        <v>12</v>
      </c>
    </row>
    <row r="1746" spans="1:10" ht="14.4" thickBot="1" x14ac:dyDescent="0.35">
      <c r="A1746" s="1059"/>
      <c r="B1746" s="1062"/>
      <c r="C1746" s="1141"/>
      <c r="D1746" s="1117"/>
      <c r="E1746" s="1070"/>
      <c r="F1746" s="1146"/>
      <c r="G1746" s="1148"/>
      <c r="H1746" s="1150"/>
      <c r="I1746" s="1150"/>
      <c r="J1746" s="1152"/>
    </row>
    <row r="1747" spans="1:10" ht="23.4" x14ac:dyDescent="0.3">
      <c r="A1747" s="1133" t="s">
        <v>103</v>
      </c>
      <c r="B1747" s="439"/>
      <c r="C1747" s="577" t="s">
        <v>538</v>
      </c>
      <c r="D1747" s="665" t="s">
        <v>539</v>
      </c>
      <c r="E1747" s="699"/>
      <c r="F1747" s="674">
        <f>+E1747+F1653</f>
        <v>2048</v>
      </c>
      <c r="G1747" s="732">
        <v>109.77</v>
      </c>
      <c r="H1747" s="591">
        <f t="shared" ref="H1747:H1761" si="351">E1747*G1747</f>
        <v>0</v>
      </c>
      <c r="I1747" s="594">
        <f>+G1747*F1747</f>
        <v>224808.95999999999</v>
      </c>
      <c r="J1747" s="351"/>
    </row>
    <row r="1748" spans="1:10" ht="23.4" x14ac:dyDescent="0.3">
      <c r="A1748" s="1134"/>
      <c r="B1748" s="438"/>
      <c r="C1748" s="441" t="s">
        <v>264</v>
      </c>
      <c r="D1748" s="666" t="s">
        <v>265</v>
      </c>
      <c r="E1748" s="700"/>
      <c r="F1748" s="701">
        <f t="shared" ref="F1748:F1761" si="352">+E1748+F1654</f>
        <v>0</v>
      </c>
      <c r="G1748" s="697">
        <v>11</v>
      </c>
      <c r="H1748" s="592">
        <f t="shared" si="351"/>
        <v>0</v>
      </c>
      <c r="I1748" s="595">
        <f>+G1748*F1748</f>
        <v>0</v>
      </c>
      <c r="J1748" s="352"/>
    </row>
    <row r="1749" spans="1:10" ht="23.4" x14ac:dyDescent="0.3">
      <c r="A1749" s="1134"/>
      <c r="B1749" s="438"/>
      <c r="C1749" s="441" t="s">
        <v>295</v>
      </c>
      <c r="D1749" s="666" t="s">
        <v>453</v>
      </c>
      <c r="E1749" s="700"/>
      <c r="F1749" s="701">
        <f t="shared" si="352"/>
        <v>640</v>
      </c>
      <c r="G1749" s="697">
        <v>139.04</v>
      </c>
      <c r="H1749" s="592">
        <f t="shared" si="351"/>
        <v>0</v>
      </c>
      <c r="I1749" s="595">
        <f t="shared" ref="I1749:I1761" si="353">+G1749*F1749</f>
        <v>88985.599999999991</v>
      </c>
      <c r="J1749" s="352"/>
    </row>
    <row r="1750" spans="1:10" ht="23.4" x14ac:dyDescent="0.3">
      <c r="A1750" s="1134"/>
      <c r="B1750" s="438"/>
      <c r="C1750" s="441" t="s">
        <v>531</v>
      </c>
      <c r="D1750" s="666" t="s">
        <v>529</v>
      </c>
      <c r="E1750" s="700"/>
      <c r="F1750" s="701">
        <f t="shared" si="352"/>
        <v>12240</v>
      </c>
      <c r="G1750" s="715">
        <v>20.66</v>
      </c>
      <c r="H1750" s="592">
        <f t="shared" si="351"/>
        <v>0</v>
      </c>
      <c r="I1750" s="595">
        <f t="shared" si="353"/>
        <v>252878.4</v>
      </c>
      <c r="J1750" s="352"/>
    </row>
    <row r="1751" spans="1:10" ht="23.4" x14ac:dyDescent="0.3">
      <c r="A1751" s="1134"/>
      <c r="B1751" s="438"/>
      <c r="C1751" s="441" t="s">
        <v>288</v>
      </c>
      <c r="D1751" s="666" t="s">
        <v>177</v>
      </c>
      <c r="E1751" s="700"/>
      <c r="F1751" s="701">
        <f t="shared" si="352"/>
        <v>0</v>
      </c>
      <c r="G1751" s="697">
        <v>14.79</v>
      </c>
      <c r="H1751" s="592">
        <f t="shared" si="351"/>
        <v>0</v>
      </c>
      <c r="I1751" s="595">
        <f t="shared" si="353"/>
        <v>0</v>
      </c>
      <c r="J1751" s="352"/>
    </row>
    <row r="1752" spans="1:10" ht="23.4" x14ac:dyDescent="0.3">
      <c r="A1752" s="1134"/>
      <c r="B1752" s="438"/>
      <c r="C1752" s="441" t="s">
        <v>295</v>
      </c>
      <c r="D1752" s="666" t="s">
        <v>265</v>
      </c>
      <c r="E1752" s="700"/>
      <c r="F1752" s="701">
        <f t="shared" si="352"/>
        <v>5120</v>
      </c>
      <c r="G1752" s="697">
        <v>139.04</v>
      </c>
      <c r="H1752" s="592">
        <f t="shared" si="351"/>
        <v>0</v>
      </c>
      <c r="I1752" s="595">
        <f t="shared" si="353"/>
        <v>711884.79999999993</v>
      </c>
      <c r="J1752" s="352"/>
    </row>
    <row r="1753" spans="1:10" ht="23.4" x14ac:dyDescent="0.3">
      <c r="A1753" s="1134"/>
      <c r="B1753" s="438"/>
      <c r="C1753" s="441" t="s">
        <v>537</v>
      </c>
      <c r="D1753" s="666" t="s">
        <v>265</v>
      </c>
      <c r="E1753" s="700"/>
      <c r="F1753" s="701">
        <f t="shared" si="352"/>
        <v>4160</v>
      </c>
      <c r="G1753" s="697">
        <v>135.96</v>
      </c>
      <c r="H1753" s="592">
        <f t="shared" si="351"/>
        <v>0</v>
      </c>
      <c r="I1753" s="595">
        <f t="shared" si="353"/>
        <v>565593.59999999998</v>
      </c>
      <c r="J1753" s="352"/>
    </row>
    <row r="1754" spans="1:10" ht="23.4" x14ac:dyDescent="0.3">
      <c r="A1754" s="1134"/>
      <c r="B1754" s="438"/>
      <c r="C1754" s="441" t="s">
        <v>313</v>
      </c>
      <c r="D1754" s="667" t="s">
        <v>265</v>
      </c>
      <c r="E1754" s="700"/>
      <c r="F1754" s="701">
        <f t="shared" si="352"/>
        <v>58892</v>
      </c>
      <c r="G1754" s="697">
        <v>18.84</v>
      </c>
      <c r="H1754" s="592">
        <f t="shared" si="351"/>
        <v>0</v>
      </c>
      <c r="I1754" s="595">
        <f t="shared" si="353"/>
        <v>1109525.28</v>
      </c>
      <c r="J1754" s="352"/>
    </row>
    <row r="1755" spans="1:10" ht="23.4" x14ac:dyDescent="0.3">
      <c r="A1755" s="1134"/>
      <c r="B1755" s="438"/>
      <c r="C1755" s="441" t="s">
        <v>322</v>
      </c>
      <c r="D1755" s="667" t="s">
        <v>232</v>
      </c>
      <c r="E1755" s="700">
        <v>36447</v>
      </c>
      <c r="F1755" s="701">
        <f t="shared" si="352"/>
        <v>36447</v>
      </c>
      <c r="G1755" s="697">
        <v>21.18</v>
      </c>
      <c r="H1755" s="592">
        <f t="shared" si="351"/>
        <v>771947.46</v>
      </c>
      <c r="I1755" s="595">
        <f t="shared" si="353"/>
        <v>771947.46</v>
      </c>
      <c r="J1755" s="352"/>
    </row>
    <row r="1756" spans="1:10" ht="23.4" x14ac:dyDescent="0.3">
      <c r="A1756" s="1134"/>
      <c r="B1756" s="438"/>
      <c r="C1756" s="441" t="s">
        <v>324</v>
      </c>
      <c r="D1756" s="667" t="s">
        <v>325</v>
      </c>
      <c r="E1756" s="700"/>
      <c r="F1756" s="701">
        <f t="shared" si="352"/>
        <v>0</v>
      </c>
      <c r="G1756" s="697">
        <v>21.28</v>
      </c>
      <c r="H1756" s="592">
        <f t="shared" si="351"/>
        <v>0</v>
      </c>
      <c r="I1756" s="595">
        <f t="shared" si="353"/>
        <v>0</v>
      </c>
      <c r="J1756" s="352"/>
    </row>
    <row r="1757" spans="1:10" ht="23.4" x14ac:dyDescent="0.3">
      <c r="A1757" s="1134"/>
      <c r="B1757" s="438"/>
      <c r="C1757" s="441" t="s">
        <v>378</v>
      </c>
      <c r="D1757" s="667" t="s">
        <v>374</v>
      </c>
      <c r="E1757" s="700"/>
      <c r="F1757" s="701">
        <f t="shared" si="352"/>
        <v>9920</v>
      </c>
      <c r="G1757" s="697">
        <v>143.28</v>
      </c>
      <c r="H1757" s="592">
        <f t="shared" si="351"/>
        <v>0</v>
      </c>
      <c r="I1757" s="595">
        <f t="shared" si="353"/>
        <v>1421337.6000000001</v>
      </c>
      <c r="J1757" s="352"/>
    </row>
    <row r="1758" spans="1:10" ht="23.4" x14ac:dyDescent="0.3">
      <c r="A1758" s="1134"/>
      <c r="B1758" s="438"/>
      <c r="C1758" s="441" t="s">
        <v>472</v>
      </c>
      <c r="D1758" s="666" t="s">
        <v>177</v>
      </c>
      <c r="E1758" s="700"/>
      <c r="F1758" s="701">
        <f t="shared" si="352"/>
        <v>523776</v>
      </c>
      <c r="G1758" s="697">
        <v>14.79</v>
      </c>
      <c r="H1758" s="592">
        <f t="shared" si="351"/>
        <v>0</v>
      </c>
      <c r="I1758" s="595">
        <f t="shared" si="353"/>
        <v>7746647.0399999991</v>
      </c>
      <c r="J1758" s="352"/>
    </row>
    <row r="1759" spans="1:10" ht="23.4" x14ac:dyDescent="0.3">
      <c r="A1759" s="1134"/>
      <c r="B1759" s="438"/>
      <c r="C1759" s="441" t="s">
        <v>451</v>
      </c>
      <c r="D1759" s="666" t="s">
        <v>177</v>
      </c>
      <c r="E1759" s="700"/>
      <c r="F1759" s="701">
        <f t="shared" si="352"/>
        <v>498432</v>
      </c>
      <c r="G1759" s="697">
        <v>14.55</v>
      </c>
      <c r="H1759" s="592">
        <f t="shared" si="351"/>
        <v>0</v>
      </c>
      <c r="I1759" s="595">
        <f t="shared" si="353"/>
        <v>7252185.6000000006</v>
      </c>
      <c r="J1759" s="352"/>
    </row>
    <row r="1760" spans="1:10" ht="23.4" x14ac:dyDescent="0.3">
      <c r="A1760" s="1134"/>
      <c r="B1760" s="438"/>
      <c r="C1760" s="441" t="s">
        <v>327</v>
      </c>
      <c r="D1760" s="667" t="s">
        <v>188</v>
      </c>
      <c r="E1760" s="700"/>
      <c r="F1760" s="701">
        <f t="shared" si="352"/>
        <v>0</v>
      </c>
      <c r="G1760" s="697">
        <v>21.28</v>
      </c>
      <c r="H1760" s="592">
        <f t="shared" si="351"/>
        <v>0</v>
      </c>
      <c r="I1760" s="595">
        <f t="shared" si="353"/>
        <v>0</v>
      </c>
      <c r="J1760" s="352"/>
    </row>
    <row r="1761" spans="1:10" ht="24" thickBot="1" x14ac:dyDescent="0.35">
      <c r="A1761" s="1134"/>
      <c r="B1761" s="438"/>
      <c r="C1761" s="441" t="s">
        <v>295</v>
      </c>
      <c r="D1761" s="668" t="s">
        <v>539</v>
      </c>
      <c r="E1761" s="700"/>
      <c r="F1761" s="676">
        <f t="shared" si="352"/>
        <v>1920</v>
      </c>
      <c r="G1761" s="697">
        <v>135.96</v>
      </c>
      <c r="H1761" s="592">
        <f t="shared" si="351"/>
        <v>0</v>
      </c>
      <c r="I1761" s="595">
        <f t="shared" si="353"/>
        <v>261043.20000000001</v>
      </c>
      <c r="J1761" s="352"/>
    </row>
    <row r="1762" spans="1:10" ht="24" thickBot="1" x14ac:dyDescent="0.35">
      <c r="A1762" s="1134"/>
      <c r="B1762" s="1129" t="s">
        <v>266</v>
      </c>
      <c r="C1762" s="1130"/>
      <c r="D1762" s="990"/>
      <c r="E1762" s="326">
        <f>SUM(E1747:E1761)</f>
        <v>36447</v>
      </c>
      <c r="F1762" s="698">
        <f>SUM(F1747:F1761)</f>
        <v>1153595</v>
      </c>
      <c r="G1762" s="326"/>
      <c r="H1762" s="587">
        <f>SUM(H1747:H1761)</f>
        <v>771947.46</v>
      </c>
      <c r="I1762" s="580">
        <f>SUM(I1747:I1761)</f>
        <v>20406837.539999999</v>
      </c>
      <c r="J1762" s="349"/>
    </row>
    <row r="1763" spans="1:10" ht="23.4" x14ac:dyDescent="0.3">
      <c r="A1763" s="1134"/>
      <c r="B1763" s="988"/>
      <c r="C1763" s="279" t="s">
        <v>271</v>
      </c>
      <c r="D1763" s="434" t="s">
        <v>238</v>
      </c>
      <c r="E1763" s="280"/>
      <c r="F1763" s="435">
        <f>+E1763+F1669</f>
        <v>11736</v>
      </c>
      <c r="G1763" s="578">
        <v>160.44999999999999</v>
      </c>
      <c r="H1763" s="593">
        <f t="shared" ref="H1763:H1768" si="354">E1763*G1763</f>
        <v>0</v>
      </c>
      <c r="I1763" s="596">
        <f t="shared" ref="I1763:I1768" si="355">+G1763*F1763</f>
        <v>1883041.2</v>
      </c>
      <c r="J1763" s="373"/>
    </row>
    <row r="1764" spans="1:10" ht="23.4" x14ac:dyDescent="0.3">
      <c r="A1764" s="1134"/>
      <c r="B1764" s="988"/>
      <c r="C1764" s="279" t="s">
        <v>287</v>
      </c>
      <c r="D1764" s="434" t="s">
        <v>93</v>
      </c>
      <c r="E1764" s="280">
        <v>75240</v>
      </c>
      <c r="F1764" s="435">
        <f t="shared" ref="F1764:F1768" si="356">+E1764+F1670</f>
        <v>166620</v>
      </c>
      <c r="G1764" s="578">
        <v>27</v>
      </c>
      <c r="H1764" s="593">
        <f t="shared" si="354"/>
        <v>2031480</v>
      </c>
      <c r="I1764" s="596">
        <f t="shared" si="355"/>
        <v>4498740</v>
      </c>
      <c r="J1764" s="373"/>
    </row>
    <row r="1765" spans="1:10" ht="23.4" x14ac:dyDescent="0.3">
      <c r="A1765" s="1134"/>
      <c r="B1765" s="988"/>
      <c r="C1765" s="279" t="s">
        <v>287</v>
      </c>
      <c r="D1765" s="434" t="s">
        <v>292</v>
      </c>
      <c r="E1765" s="280"/>
      <c r="F1765" s="435">
        <f t="shared" si="356"/>
        <v>31070</v>
      </c>
      <c r="G1765" s="578">
        <v>27.5</v>
      </c>
      <c r="H1765" s="593">
        <f t="shared" si="354"/>
        <v>0</v>
      </c>
      <c r="I1765" s="596">
        <f t="shared" si="355"/>
        <v>854425</v>
      </c>
      <c r="J1765" s="373"/>
    </row>
    <row r="1766" spans="1:10" ht="23.4" x14ac:dyDescent="0.3">
      <c r="A1766" s="1134"/>
      <c r="B1766" s="988"/>
      <c r="C1766" s="279" t="s">
        <v>276</v>
      </c>
      <c r="D1766" s="434" t="s">
        <v>292</v>
      </c>
      <c r="E1766" s="280"/>
      <c r="F1766" s="435">
        <f t="shared" si="356"/>
        <v>1036</v>
      </c>
      <c r="G1766" s="578">
        <v>34.5</v>
      </c>
      <c r="H1766" s="593">
        <f t="shared" si="354"/>
        <v>0</v>
      </c>
      <c r="I1766" s="596">
        <f t="shared" si="355"/>
        <v>35742</v>
      </c>
      <c r="J1766" s="373"/>
    </row>
    <row r="1767" spans="1:10" ht="23.4" x14ac:dyDescent="0.3">
      <c r="A1767" s="1134"/>
      <c r="B1767" s="988"/>
      <c r="C1767" s="279" t="s">
        <v>473</v>
      </c>
      <c r="D1767" s="434" t="s">
        <v>440</v>
      </c>
      <c r="E1767" s="280"/>
      <c r="F1767" s="435">
        <f t="shared" si="356"/>
        <v>31200</v>
      </c>
      <c r="G1767" s="578">
        <v>10.57</v>
      </c>
      <c r="H1767" s="593">
        <f t="shared" si="354"/>
        <v>0</v>
      </c>
      <c r="I1767" s="596">
        <f t="shared" si="355"/>
        <v>329784</v>
      </c>
      <c r="J1767" s="373"/>
    </row>
    <row r="1768" spans="1:10" ht="24" thickBot="1" x14ac:dyDescent="0.35">
      <c r="A1768" s="1134"/>
      <c r="B1768" s="988"/>
      <c r="C1768" s="279" t="s">
        <v>276</v>
      </c>
      <c r="D1768" s="434" t="s">
        <v>440</v>
      </c>
      <c r="E1768" s="280"/>
      <c r="F1768" s="435">
        <f t="shared" si="356"/>
        <v>26</v>
      </c>
      <c r="G1768" s="578">
        <v>55.76</v>
      </c>
      <c r="H1768" s="593">
        <f t="shared" si="354"/>
        <v>0</v>
      </c>
      <c r="I1768" s="596">
        <f t="shared" si="355"/>
        <v>1449.76</v>
      </c>
      <c r="J1768" s="373"/>
    </row>
    <row r="1769" spans="1:10" ht="24" thickBot="1" x14ac:dyDescent="0.35">
      <c r="A1769" s="1134"/>
      <c r="B1769" s="1129" t="s">
        <v>267</v>
      </c>
      <c r="C1769" s="1130"/>
      <c r="D1769" s="990"/>
      <c r="E1769" s="326">
        <f>SUM(E1763:E1768)</f>
        <v>75240</v>
      </c>
      <c r="F1769" s="326">
        <f>SUM(F1763:F1768)</f>
        <v>241688</v>
      </c>
      <c r="G1769" s="326"/>
      <c r="H1769" s="587">
        <f>SUM(H1763:H1768)</f>
        <v>2031480</v>
      </c>
      <c r="I1769" s="580">
        <f>SUM(I1763:I1768)</f>
        <v>7603181.96</v>
      </c>
      <c r="J1769" s="349"/>
    </row>
    <row r="1770" spans="1:10" ht="23.4" x14ac:dyDescent="0.3">
      <c r="A1770" s="1134"/>
      <c r="B1770" s="988"/>
      <c r="C1770" s="279" t="s">
        <v>277</v>
      </c>
      <c r="D1770" s="434" t="s">
        <v>278</v>
      </c>
      <c r="E1770" s="280">
        <v>3</v>
      </c>
      <c r="F1770" s="435">
        <f>+E1770+F1676</f>
        <v>12</v>
      </c>
      <c r="G1770" s="578">
        <v>2500</v>
      </c>
      <c r="H1770" s="593">
        <f t="shared" ref="H1770:H1773" si="357">E1770*G1770</f>
        <v>7500</v>
      </c>
      <c r="I1770" s="596">
        <f>+G1770*F1770</f>
        <v>30000</v>
      </c>
      <c r="J1770" s="373"/>
    </row>
    <row r="1771" spans="1:10" ht="23.4" x14ac:dyDescent="0.3">
      <c r="A1771" s="1134"/>
      <c r="B1771" s="988"/>
      <c r="C1771" s="279" t="s">
        <v>454</v>
      </c>
      <c r="D1771" s="434"/>
      <c r="E1771" s="280"/>
      <c r="F1771" s="435">
        <f t="shared" ref="F1771:F1773" si="358">+E1771+F1677</f>
        <v>0</v>
      </c>
      <c r="G1771" s="578">
        <v>30000</v>
      </c>
      <c r="H1771" s="593">
        <f t="shared" si="357"/>
        <v>0</v>
      </c>
      <c r="I1771" s="596">
        <f>+G1771*F1771</f>
        <v>0</v>
      </c>
      <c r="J1771" s="373"/>
    </row>
    <row r="1772" spans="1:10" ht="23.4" x14ac:dyDescent="0.3">
      <c r="A1772" s="1134"/>
      <c r="B1772" s="988"/>
      <c r="C1772" s="279" t="s">
        <v>379</v>
      </c>
      <c r="D1772" s="434" t="s">
        <v>304</v>
      </c>
      <c r="E1772" s="280"/>
      <c r="F1772" s="435">
        <f t="shared" si="358"/>
        <v>0</v>
      </c>
      <c r="G1772" s="578">
        <v>360</v>
      </c>
      <c r="H1772" s="593">
        <f t="shared" si="357"/>
        <v>0</v>
      </c>
      <c r="I1772" s="596">
        <f>+G1772*F1772</f>
        <v>0</v>
      </c>
      <c r="J1772" s="373"/>
    </row>
    <row r="1773" spans="1:10" ht="24" thickBot="1" x14ac:dyDescent="0.35">
      <c r="A1773" s="1134"/>
      <c r="B1773" s="988"/>
      <c r="C1773" s="279" t="s">
        <v>427</v>
      </c>
      <c r="D1773" s="434" t="s">
        <v>304</v>
      </c>
      <c r="E1773" s="280"/>
      <c r="F1773" s="435">
        <f t="shared" si="358"/>
        <v>0</v>
      </c>
      <c r="G1773" s="579">
        <v>10</v>
      </c>
      <c r="H1773" s="593">
        <f t="shared" si="357"/>
        <v>0</v>
      </c>
      <c r="I1773" s="596">
        <f t="shared" ref="I1773" si="359">+G1773*F1773</f>
        <v>0</v>
      </c>
      <c r="J1773" s="373"/>
    </row>
    <row r="1774" spans="1:10" ht="24" thickBot="1" x14ac:dyDescent="0.35">
      <c r="A1774" s="1134"/>
      <c r="B1774" s="1129" t="s">
        <v>272</v>
      </c>
      <c r="C1774" s="1130"/>
      <c r="D1774" s="990"/>
      <c r="E1774" s="326">
        <f>SUM(E1770:E1773)</f>
        <v>3</v>
      </c>
      <c r="F1774" s="326">
        <f>SUM(F1770:F1773)</f>
        <v>12</v>
      </c>
      <c r="G1774" s="326"/>
      <c r="H1774" s="587">
        <f>SUM(H1770:H1773)</f>
        <v>7500</v>
      </c>
      <c r="I1774" s="580">
        <f>SUM(I1770:I1773)</f>
        <v>30000</v>
      </c>
      <c r="J1774" s="373"/>
    </row>
    <row r="1775" spans="1:10" ht="24" thickBot="1" x14ac:dyDescent="0.35">
      <c r="A1775" s="1134"/>
      <c r="B1775" s="988"/>
      <c r="C1775" s="279"/>
      <c r="D1775" s="434"/>
      <c r="E1775" s="280"/>
      <c r="F1775" s="317"/>
      <c r="G1775" s="579"/>
      <c r="H1775" s="588"/>
      <c r="I1775" s="282"/>
      <c r="J1775" s="373"/>
    </row>
    <row r="1776" spans="1:10" ht="24" thickBot="1" x14ac:dyDescent="0.35">
      <c r="A1776" s="1135"/>
      <c r="B1776" s="1129" t="s">
        <v>269</v>
      </c>
      <c r="C1776" s="1130"/>
      <c r="D1776" s="986"/>
      <c r="E1776" s="326">
        <f>+E1774+E1769+E1762</f>
        <v>111690</v>
      </c>
      <c r="F1776" s="326">
        <f>+F1774+F1769+F1762</f>
        <v>1395295</v>
      </c>
      <c r="G1776" s="326"/>
      <c r="H1776" s="580">
        <f>+H1769+H1762+H1774</f>
        <v>2810927.46</v>
      </c>
      <c r="I1776" s="580">
        <f>+I1769+I1762+I1774</f>
        <v>28040019.5</v>
      </c>
      <c r="J1776" s="373"/>
    </row>
    <row r="1777" spans="1:10" ht="23.4" x14ac:dyDescent="0.3">
      <c r="A1777" s="1133" t="s">
        <v>101</v>
      </c>
      <c r="B1777" s="988"/>
      <c r="C1777" s="279" t="s">
        <v>281</v>
      </c>
      <c r="D1777" s="434" t="s">
        <v>178</v>
      </c>
      <c r="E1777" s="280"/>
      <c r="F1777" s="435">
        <f>+E1777+F1683</f>
        <v>0</v>
      </c>
      <c r="G1777" s="602">
        <v>13.25</v>
      </c>
      <c r="H1777" s="597">
        <f t="shared" ref="H1777:H1805" si="360">E1777*G1777</f>
        <v>0</v>
      </c>
      <c r="I1777" s="596">
        <f t="shared" ref="I1777:I1805" si="361">+G1777*F1777</f>
        <v>0</v>
      </c>
      <c r="J1777" s="373"/>
    </row>
    <row r="1778" spans="1:10" ht="23.4" x14ac:dyDescent="0.3">
      <c r="A1778" s="1134"/>
      <c r="B1778" s="988"/>
      <c r="C1778" s="279" t="s">
        <v>282</v>
      </c>
      <c r="D1778" s="434"/>
      <c r="E1778" s="280">
        <v>1</v>
      </c>
      <c r="F1778" s="435">
        <f t="shared" ref="F1778:F1806" si="362">+E1778+F1684</f>
        <v>3</v>
      </c>
      <c r="G1778" s="603">
        <v>34000</v>
      </c>
      <c r="H1778" s="597">
        <f t="shared" si="360"/>
        <v>34000</v>
      </c>
      <c r="I1778" s="596">
        <f t="shared" si="361"/>
        <v>102000</v>
      </c>
      <c r="J1778" s="373"/>
    </row>
    <row r="1779" spans="1:10" ht="23.4" x14ac:dyDescent="0.3">
      <c r="A1779" s="1134"/>
      <c r="B1779" s="988"/>
      <c r="C1779" s="279" t="s">
        <v>282</v>
      </c>
      <c r="D1779" s="434"/>
      <c r="E1779" s="280"/>
      <c r="F1779" s="435">
        <f t="shared" si="362"/>
        <v>0</v>
      </c>
      <c r="G1779" s="603">
        <v>18000</v>
      </c>
      <c r="H1779" s="597">
        <f t="shared" si="360"/>
        <v>0</v>
      </c>
      <c r="I1779" s="596">
        <f t="shared" si="361"/>
        <v>0</v>
      </c>
      <c r="J1779" s="373"/>
    </row>
    <row r="1780" spans="1:10" ht="23.4" x14ac:dyDescent="0.3">
      <c r="A1780" s="1134"/>
      <c r="B1780" s="988"/>
      <c r="C1780" s="279" t="s">
        <v>589</v>
      </c>
      <c r="D1780" s="434" t="s">
        <v>178</v>
      </c>
      <c r="E1780" s="280">
        <v>123318</v>
      </c>
      <c r="F1780" s="435">
        <f t="shared" si="362"/>
        <v>369954</v>
      </c>
      <c r="G1780" s="602">
        <v>26.36</v>
      </c>
      <c r="H1780" s="597">
        <f t="shared" si="360"/>
        <v>3250662.48</v>
      </c>
      <c r="I1780" s="596">
        <f t="shared" si="361"/>
        <v>9751987.4399999995</v>
      </c>
      <c r="J1780" s="373"/>
    </row>
    <row r="1781" spans="1:10" ht="23.4" x14ac:dyDescent="0.3">
      <c r="A1781" s="1134"/>
      <c r="B1781" s="988"/>
      <c r="C1781" s="746" t="s">
        <v>466</v>
      </c>
      <c r="D1781" s="747" t="s">
        <v>92</v>
      </c>
      <c r="E1781" s="280"/>
      <c r="F1781" s="435">
        <f t="shared" si="362"/>
        <v>0</v>
      </c>
      <c r="G1781" s="602">
        <v>20.8</v>
      </c>
      <c r="H1781" s="597">
        <f t="shared" si="360"/>
        <v>0</v>
      </c>
      <c r="I1781" s="596">
        <f t="shared" si="361"/>
        <v>0</v>
      </c>
      <c r="J1781" s="373"/>
    </row>
    <row r="1782" spans="1:10" ht="23.4" x14ac:dyDescent="0.3">
      <c r="A1782" s="1134"/>
      <c r="B1782" s="988"/>
      <c r="C1782" s="746" t="s">
        <v>467</v>
      </c>
      <c r="D1782" s="747" t="s">
        <v>567</v>
      </c>
      <c r="E1782" s="280"/>
      <c r="F1782" s="435">
        <f t="shared" si="362"/>
        <v>123318</v>
      </c>
      <c r="G1782" s="602">
        <v>26.75</v>
      </c>
      <c r="H1782" s="597">
        <f t="shared" si="360"/>
        <v>0</v>
      </c>
      <c r="I1782" s="596">
        <f t="shared" si="361"/>
        <v>3298756.5</v>
      </c>
      <c r="J1782" s="373"/>
    </row>
    <row r="1783" spans="1:10" ht="23.4" x14ac:dyDescent="0.3">
      <c r="A1783" s="1134"/>
      <c r="B1783" s="988"/>
      <c r="C1783" s="746" t="s">
        <v>467</v>
      </c>
      <c r="D1783" s="747" t="s">
        <v>540</v>
      </c>
      <c r="E1783" s="280"/>
      <c r="F1783" s="435">
        <f t="shared" si="362"/>
        <v>246636</v>
      </c>
      <c r="G1783" s="602">
        <v>25</v>
      </c>
      <c r="H1783" s="597">
        <f t="shared" si="360"/>
        <v>0</v>
      </c>
      <c r="I1783" s="596">
        <f t="shared" si="361"/>
        <v>6165900</v>
      </c>
      <c r="J1783" s="373"/>
    </row>
    <row r="1784" spans="1:10" ht="23.4" x14ac:dyDescent="0.3">
      <c r="A1784" s="1134"/>
      <c r="B1784" s="748"/>
      <c r="C1784" s="749" t="s">
        <v>469</v>
      </c>
      <c r="D1784" s="750" t="s">
        <v>309</v>
      </c>
      <c r="E1784" s="751"/>
      <c r="F1784" s="752">
        <f t="shared" si="362"/>
        <v>0</v>
      </c>
      <c r="G1784" s="753">
        <v>24.41</v>
      </c>
      <c r="H1784" s="754">
        <f t="shared" si="360"/>
        <v>0</v>
      </c>
      <c r="I1784" s="755">
        <f t="shared" si="361"/>
        <v>0</v>
      </c>
      <c r="J1784" s="756"/>
    </row>
    <row r="1785" spans="1:10" ht="23.4" x14ac:dyDescent="0.3">
      <c r="A1785" s="1134"/>
      <c r="B1785" s="988"/>
      <c r="C1785" s="279" t="s">
        <v>444</v>
      </c>
      <c r="D1785" s="434" t="s">
        <v>423</v>
      </c>
      <c r="E1785" s="280"/>
      <c r="F1785" s="435">
        <f t="shared" si="362"/>
        <v>0</v>
      </c>
      <c r="G1785" s="602">
        <v>20.76</v>
      </c>
      <c r="H1785" s="597">
        <f t="shared" si="360"/>
        <v>0</v>
      </c>
      <c r="I1785" s="596">
        <f t="shared" si="361"/>
        <v>0</v>
      </c>
      <c r="J1785" s="373"/>
    </row>
    <row r="1786" spans="1:10" ht="23.4" x14ac:dyDescent="0.3">
      <c r="A1786" s="1134"/>
      <c r="B1786" s="988"/>
      <c r="C1786" s="279" t="s">
        <v>298</v>
      </c>
      <c r="D1786" s="434" t="s">
        <v>107</v>
      </c>
      <c r="E1786" s="280"/>
      <c r="F1786" s="435">
        <f t="shared" si="362"/>
        <v>0</v>
      </c>
      <c r="G1786" s="602">
        <v>24.93</v>
      </c>
      <c r="H1786" s="597">
        <f t="shared" si="360"/>
        <v>0</v>
      </c>
      <c r="I1786" s="596">
        <f t="shared" si="361"/>
        <v>0</v>
      </c>
      <c r="J1786" s="373"/>
    </row>
    <row r="1787" spans="1:10" ht="23.4" x14ac:dyDescent="0.3">
      <c r="A1787" s="1134"/>
      <c r="B1787" s="988"/>
      <c r="C1787" s="279" t="s">
        <v>299</v>
      </c>
      <c r="D1787" s="434" t="s">
        <v>280</v>
      </c>
      <c r="E1787" s="280"/>
      <c r="F1787" s="435">
        <f t="shared" si="362"/>
        <v>0</v>
      </c>
      <c r="G1787" s="602">
        <v>24.93</v>
      </c>
      <c r="H1787" s="597">
        <f t="shared" si="360"/>
        <v>0</v>
      </c>
      <c r="I1787" s="596">
        <f t="shared" si="361"/>
        <v>0</v>
      </c>
      <c r="J1787" s="373"/>
    </row>
    <row r="1788" spans="1:10" ht="23.4" x14ac:dyDescent="0.3">
      <c r="A1788" s="1134"/>
      <c r="B1788" s="988"/>
      <c r="C1788" s="279" t="s">
        <v>425</v>
      </c>
      <c r="D1788" s="434" t="s">
        <v>309</v>
      </c>
      <c r="E1788" s="280"/>
      <c r="F1788" s="435">
        <f t="shared" si="362"/>
        <v>0</v>
      </c>
      <c r="G1788" s="602">
        <v>23.78</v>
      </c>
      <c r="H1788" s="597">
        <f t="shared" si="360"/>
        <v>0</v>
      </c>
      <c r="I1788" s="596">
        <f t="shared" si="361"/>
        <v>0</v>
      </c>
      <c r="J1788" s="373"/>
    </row>
    <row r="1789" spans="1:10" ht="23.4" x14ac:dyDescent="0.3">
      <c r="A1789" s="1134"/>
      <c r="B1789" s="988"/>
      <c r="C1789" s="279" t="s">
        <v>354</v>
      </c>
      <c r="D1789" s="434" t="s">
        <v>309</v>
      </c>
      <c r="E1789" s="280"/>
      <c r="F1789" s="435">
        <f t="shared" si="362"/>
        <v>0</v>
      </c>
      <c r="G1789" s="602">
        <v>37.4566666666</v>
      </c>
      <c r="H1789" s="597">
        <f t="shared" si="360"/>
        <v>0</v>
      </c>
      <c r="I1789" s="596">
        <f t="shared" si="361"/>
        <v>0</v>
      </c>
      <c r="J1789" s="373"/>
    </row>
    <row r="1790" spans="1:10" ht="23.4" x14ac:dyDescent="0.3">
      <c r="A1790" s="1134"/>
      <c r="B1790" s="988"/>
      <c r="C1790" s="279" t="s">
        <v>355</v>
      </c>
      <c r="D1790" s="434" t="s">
        <v>309</v>
      </c>
      <c r="E1790" s="280"/>
      <c r="F1790" s="435">
        <f t="shared" si="362"/>
        <v>5616</v>
      </c>
      <c r="G1790" s="602">
        <v>37.89</v>
      </c>
      <c r="H1790" s="597">
        <f t="shared" si="360"/>
        <v>0</v>
      </c>
      <c r="I1790" s="596">
        <f t="shared" si="361"/>
        <v>212790.24</v>
      </c>
      <c r="J1790" s="373"/>
    </row>
    <row r="1791" spans="1:10" ht="23.4" x14ac:dyDescent="0.3">
      <c r="A1791" s="1134"/>
      <c r="B1791" s="988"/>
      <c r="C1791" s="279" t="s">
        <v>461</v>
      </c>
      <c r="D1791" s="434" t="s">
        <v>92</v>
      </c>
      <c r="E1791" s="280"/>
      <c r="F1791" s="435">
        <f t="shared" si="362"/>
        <v>0</v>
      </c>
      <c r="G1791" s="602">
        <v>28.31</v>
      </c>
      <c r="H1791" s="597">
        <f t="shared" si="360"/>
        <v>0</v>
      </c>
      <c r="I1791" s="596">
        <f t="shared" si="361"/>
        <v>0</v>
      </c>
      <c r="J1791" s="373"/>
    </row>
    <row r="1792" spans="1:10" ht="23.4" x14ac:dyDescent="0.3">
      <c r="A1792" s="1134"/>
      <c r="B1792" s="988"/>
      <c r="C1792" s="279" t="s">
        <v>461</v>
      </c>
      <c r="D1792" s="434" t="s">
        <v>423</v>
      </c>
      <c r="E1792" s="280"/>
      <c r="F1792" s="435">
        <f t="shared" si="362"/>
        <v>0</v>
      </c>
      <c r="G1792" s="602">
        <v>28.88</v>
      </c>
      <c r="H1792" s="597">
        <f t="shared" si="360"/>
        <v>0</v>
      </c>
      <c r="I1792" s="596">
        <f t="shared" si="361"/>
        <v>0</v>
      </c>
      <c r="J1792" s="373"/>
    </row>
    <row r="1793" spans="1:10" ht="23.4" x14ac:dyDescent="0.3">
      <c r="A1793" s="1134"/>
      <c r="B1793" s="988"/>
      <c r="C1793" s="279" t="s">
        <v>462</v>
      </c>
      <c r="D1793" s="434" t="s">
        <v>423</v>
      </c>
      <c r="E1793" s="280"/>
      <c r="F1793" s="435">
        <f t="shared" si="362"/>
        <v>0</v>
      </c>
      <c r="G1793" s="602">
        <v>28.21</v>
      </c>
      <c r="H1793" s="597">
        <f t="shared" si="360"/>
        <v>0</v>
      </c>
      <c r="I1793" s="596">
        <f t="shared" si="361"/>
        <v>0</v>
      </c>
      <c r="J1793" s="373"/>
    </row>
    <row r="1794" spans="1:10" ht="23.4" x14ac:dyDescent="0.3">
      <c r="A1794" s="1134"/>
      <c r="B1794" s="988"/>
      <c r="C1794" s="279" t="s">
        <v>588</v>
      </c>
      <c r="D1794" s="434" t="s">
        <v>587</v>
      </c>
      <c r="E1794" s="280"/>
      <c r="F1794" s="435">
        <f t="shared" si="362"/>
        <v>41184</v>
      </c>
      <c r="G1794" s="602">
        <v>42.28</v>
      </c>
      <c r="H1794" s="597">
        <f t="shared" si="360"/>
        <v>0</v>
      </c>
      <c r="I1794" s="596">
        <f t="shared" si="361"/>
        <v>1741259.52</v>
      </c>
      <c r="J1794" s="373"/>
    </row>
    <row r="1795" spans="1:10" ht="23.4" x14ac:dyDescent="0.3">
      <c r="A1795" s="1134"/>
      <c r="B1795" s="988"/>
      <c r="C1795" s="279" t="s">
        <v>463</v>
      </c>
      <c r="D1795" s="434" t="s">
        <v>92</v>
      </c>
      <c r="E1795" s="280"/>
      <c r="F1795" s="435">
        <f t="shared" si="362"/>
        <v>0</v>
      </c>
      <c r="G1795" s="602">
        <v>32.65</v>
      </c>
      <c r="H1795" s="597">
        <f t="shared" si="360"/>
        <v>0</v>
      </c>
      <c r="I1795" s="596">
        <f t="shared" si="361"/>
        <v>0</v>
      </c>
      <c r="J1795" s="373"/>
    </row>
    <row r="1796" spans="1:10" ht="23.4" x14ac:dyDescent="0.3">
      <c r="A1796" s="1134"/>
      <c r="B1796" s="988"/>
      <c r="C1796" s="279" t="s">
        <v>463</v>
      </c>
      <c r="D1796" s="434" t="s">
        <v>423</v>
      </c>
      <c r="E1796" s="280"/>
      <c r="F1796" s="435">
        <f t="shared" si="362"/>
        <v>0</v>
      </c>
      <c r="G1796" s="602">
        <v>33.299999999999997</v>
      </c>
      <c r="H1796" s="597">
        <f t="shared" si="360"/>
        <v>0</v>
      </c>
      <c r="I1796" s="596">
        <f t="shared" si="361"/>
        <v>0</v>
      </c>
      <c r="J1796" s="373"/>
    </row>
    <row r="1797" spans="1:10" ht="23.4" x14ac:dyDescent="0.3">
      <c r="A1797" s="1134"/>
      <c r="B1797" s="988"/>
      <c r="C1797" s="279" t="s">
        <v>299</v>
      </c>
      <c r="D1797" s="434" t="s">
        <v>279</v>
      </c>
      <c r="E1797" s="280"/>
      <c r="F1797" s="435">
        <f t="shared" si="362"/>
        <v>0</v>
      </c>
      <c r="G1797" s="602">
        <v>24.93</v>
      </c>
      <c r="H1797" s="597">
        <f t="shared" si="360"/>
        <v>0</v>
      </c>
      <c r="I1797" s="596">
        <f t="shared" si="361"/>
        <v>0</v>
      </c>
      <c r="J1797" s="373"/>
    </row>
    <row r="1798" spans="1:10" ht="23.4" x14ac:dyDescent="0.3">
      <c r="A1798" s="1134"/>
      <c r="B1798" s="988"/>
      <c r="C1798" s="279" t="s">
        <v>299</v>
      </c>
      <c r="D1798" s="434"/>
      <c r="E1798" s="280"/>
      <c r="F1798" s="435">
        <f t="shared" si="362"/>
        <v>0</v>
      </c>
      <c r="G1798" s="602">
        <v>24.93</v>
      </c>
      <c r="H1798" s="597">
        <f t="shared" si="360"/>
        <v>0</v>
      </c>
      <c r="I1798" s="596">
        <f t="shared" si="361"/>
        <v>0</v>
      </c>
      <c r="J1798" s="373"/>
    </row>
    <row r="1799" spans="1:10" ht="23.4" x14ac:dyDescent="0.3">
      <c r="A1799" s="1134"/>
      <c r="B1799" s="988"/>
      <c r="C1799" s="279" t="s">
        <v>316</v>
      </c>
      <c r="D1799" s="434" t="s">
        <v>289</v>
      </c>
      <c r="E1799" s="280"/>
      <c r="F1799" s="435">
        <f t="shared" si="362"/>
        <v>0</v>
      </c>
      <c r="G1799" s="602">
        <v>34.26</v>
      </c>
      <c r="H1799" s="597">
        <f t="shared" si="360"/>
        <v>0</v>
      </c>
      <c r="I1799" s="596">
        <f t="shared" si="361"/>
        <v>0</v>
      </c>
      <c r="J1799" s="373"/>
    </row>
    <row r="1800" spans="1:10" ht="23.4" x14ac:dyDescent="0.3">
      <c r="A1800" s="1134"/>
      <c r="B1800" s="988"/>
      <c r="C1800" s="279" t="s">
        <v>328</v>
      </c>
      <c r="D1800" s="434" t="s">
        <v>360</v>
      </c>
      <c r="E1800" s="280"/>
      <c r="F1800" s="435">
        <f t="shared" si="362"/>
        <v>0</v>
      </c>
      <c r="G1800" s="602">
        <v>37.89</v>
      </c>
      <c r="H1800" s="597">
        <f t="shared" si="360"/>
        <v>0</v>
      </c>
      <c r="I1800" s="596">
        <f t="shared" si="361"/>
        <v>0</v>
      </c>
      <c r="J1800" s="373"/>
    </row>
    <row r="1801" spans="1:10" ht="23.4" x14ac:dyDescent="0.3">
      <c r="A1801" s="1134"/>
      <c r="B1801" s="988"/>
      <c r="C1801" s="279" t="s">
        <v>363</v>
      </c>
      <c r="D1801" s="434" t="s">
        <v>338</v>
      </c>
      <c r="E1801" s="280"/>
      <c r="F1801" s="435">
        <f t="shared" si="362"/>
        <v>0</v>
      </c>
      <c r="G1801" s="602">
        <v>39</v>
      </c>
      <c r="H1801" s="597">
        <f t="shared" si="360"/>
        <v>0</v>
      </c>
      <c r="I1801" s="596">
        <f t="shared" si="361"/>
        <v>0</v>
      </c>
      <c r="J1801" s="373"/>
    </row>
    <row r="1802" spans="1:10" ht="23.4" x14ac:dyDescent="0.3">
      <c r="A1802" s="1134"/>
      <c r="B1802" s="988"/>
      <c r="C1802" s="279" t="s">
        <v>299</v>
      </c>
      <c r="D1802" s="434" t="s">
        <v>177</v>
      </c>
      <c r="E1802" s="280"/>
      <c r="F1802" s="435">
        <f t="shared" si="362"/>
        <v>0</v>
      </c>
      <c r="G1802" s="602">
        <v>21.22</v>
      </c>
      <c r="H1802" s="597">
        <f t="shared" si="360"/>
        <v>0</v>
      </c>
      <c r="I1802" s="596">
        <f t="shared" si="361"/>
        <v>0</v>
      </c>
      <c r="J1802" s="373"/>
    </row>
    <row r="1803" spans="1:10" ht="23.4" x14ac:dyDescent="0.3">
      <c r="A1803" s="1134"/>
      <c r="B1803" s="988"/>
      <c r="C1803" s="279" t="s">
        <v>298</v>
      </c>
      <c r="D1803" s="434" t="s">
        <v>177</v>
      </c>
      <c r="E1803" s="280"/>
      <c r="F1803" s="435">
        <f t="shared" si="362"/>
        <v>0</v>
      </c>
      <c r="G1803" s="602">
        <v>21.22</v>
      </c>
      <c r="H1803" s="597">
        <f t="shared" si="360"/>
        <v>0</v>
      </c>
      <c r="I1803" s="596">
        <f t="shared" si="361"/>
        <v>0</v>
      </c>
      <c r="J1803" s="373"/>
    </row>
    <row r="1804" spans="1:10" ht="23.4" x14ac:dyDescent="0.3">
      <c r="A1804" s="1134"/>
      <c r="B1804" s="988"/>
      <c r="C1804" s="279" t="s">
        <v>339</v>
      </c>
      <c r="D1804" s="434" t="s">
        <v>304</v>
      </c>
      <c r="E1804" s="280"/>
      <c r="F1804" s="435">
        <f t="shared" si="362"/>
        <v>0</v>
      </c>
      <c r="G1804" s="602">
        <v>10000</v>
      </c>
      <c r="H1804" s="597">
        <f t="shared" si="360"/>
        <v>0</v>
      </c>
      <c r="I1804" s="596">
        <f t="shared" si="361"/>
        <v>0</v>
      </c>
      <c r="J1804" s="373"/>
    </row>
    <row r="1805" spans="1:10" ht="24" thickBot="1" x14ac:dyDescent="0.35">
      <c r="A1805" s="1134"/>
      <c r="B1805" s="988"/>
      <c r="C1805" s="279" t="s">
        <v>303</v>
      </c>
      <c r="D1805" s="434" t="s">
        <v>304</v>
      </c>
      <c r="E1805" s="280"/>
      <c r="F1805" s="435">
        <f t="shared" si="362"/>
        <v>0</v>
      </c>
      <c r="G1805" s="602">
        <v>360</v>
      </c>
      <c r="H1805" s="597">
        <f t="shared" si="360"/>
        <v>0</v>
      </c>
      <c r="I1805" s="596">
        <f t="shared" si="361"/>
        <v>0</v>
      </c>
      <c r="J1805" s="373"/>
    </row>
    <row r="1806" spans="1:10" ht="24" thickBot="1" x14ac:dyDescent="0.35">
      <c r="A1806" s="1135"/>
      <c r="B1806" s="1129" t="s">
        <v>268</v>
      </c>
      <c r="C1806" s="1130"/>
      <c r="D1806" s="990"/>
      <c r="E1806" s="326">
        <f>SUM(E1777:E1805)</f>
        <v>123319</v>
      </c>
      <c r="F1806" s="326">
        <f t="shared" si="362"/>
        <v>786711</v>
      </c>
      <c r="G1806" s="326"/>
      <c r="H1806" s="587">
        <f>SUM(H1777:H1805)</f>
        <v>3284662.48</v>
      </c>
      <c r="I1806" s="580">
        <f>SUM(I1777:I1805)</f>
        <v>21272693.699999996</v>
      </c>
      <c r="J1806" s="373"/>
    </row>
    <row r="1807" spans="1:10" ht="23.4" x14ac:dyDescent="0.3">
      <c r="A1807" s="1133" t="s">
        <v>102</v>
      </c>
      <c r="B1807" s="988"/>
      <c r="C1807" s="279" t="s">
        <v>509</v>
      </c>
      <c r="D1807" s="434" t="s">
        <v>238</v>
      </c>
      <c r="E1807" s="280"/>
      <c r="F1807" s="435">
        <f>+E1807+F1713</f>
        <v>8600</v>
      </c>
      <c r="G1807" s="803">
        <v>624.26</v>
      </c>
      <c r="H1807" s="593">
        <f>E1807*G1807</f>
        <v>0</v>
      </c>
      <c r="I1807" s="596">
        <f t="shared" ref="I1807:I1809" si="363">+G1807*F1807</f>
        <v>5368636</v>
      </c>
      <c r="J1807" s="373"/>
    </row>
    <row r="1808" spans="1:10" ht="23.4" x14ac:dyDescent="0.3">
      <c r="A1808" s="1134"/>
      <c r="B1808" s="988"/>
      <c r="C1808" s="279" t="s">
        <v>273</v>
      </c>
      <c r="D1808" s="434" t="s">
        <v>238</v>
      </c>
      <c r="E1808" s="280">
        <v>2590</v>
      </c>
      <c r="F1808" s="435">
        <f t="shared" ref="F1808:F1832" si="364">+E1808+F1714</f>
        <v>38459</v>
      </c>
      <c r="G1808" s="602">
        <v>430.02</v>
      </c>
      <c r="H1808" s="593">
        <f t="shared" ref="H1808:H1829" si="365">E1808*G1808</f>
        <v>1113751.8</v>
      </c>
      <c r="I1808" s="596">
        <f t="shared" si="363"/>
        <v>16538139.18</v>
      </c>
      <c r="J1808" s="373"/>
    </row>
    <row r="1809" spans="1:10" ht="23.4" x14ac:dyDescent="0.3">
      <c r="A1809" s="1134"/>
      <c r="B1809" s="988"/>
      <c r="C1809" s="279" t="s">
        <v>390</v>
      </c>
      <c r="D1809" s="434" t="s">
        <v>238</v>
      </c>
      <c r="E1809" s="280"/>
      <c r="F1809" s="435">
        <f t="shared" si="364"/>
        <v>0</v>
      </c>
      <c r="G1809" s="602">
        <v>445.38</v>
      </c>
      <c r="H1809" s="593">
        <f t="shared" si="365"/>
        <v>0</v>
      </c>
      <c r="I1809" s="596">
        <f t="shared" si="363"/>
        <v>0</v>
      </c>
      <c r="J1809" s="373"/>
    </row>
    <row r="1810" spans="1:10" ht="23.4" x14ac:dyDescent="0.3">
      <c r="A1810" s="1134"/>
      <c r="B1810" s="988"/>
      <c r="C1810" s="279" t="s">
        <v>301</v>
      </c>
      <c r="D1810" s="434" t="s">
        <v>238</v>
      </c>
      <c r="E1810" s="280"/>
      <c r="F1810" s="435">
        <f t="shared" si="364"/>
        <v>8640</v>
      </c>
      <c r="G1810" s="602">
        <v>63.55</v>
      </c>
      <c r="H1810" s="593">
        <f t="shared" si="365"/>
        <v>0</v>
      </c>
      <c r="I1810" s="596">
        <f>+G1810*F1810</f>
        <v>549072</v>
      </c>
      <c r="J1810" s="373"/>
    </row>
    <row r="1811" spans="1:10" ht="23.4" x14ac:dyDescent="0.3">
      <c r="A1811" s="1134"/>
      <c r="B1811" s="988"/>
      <c r="C1811" s="279" t="s">
        <v>514</v>
      </c>
      <c r="D1811" s="434" t="s">
        <v>238</v>
      </c>
      <c r="E1811" s="280"/>
      <c r="F1811" s="435">
        <f t="shared" si="364"/>
        <v>51540</v>
      </c>
      <c r="G1811" s="602">
        <v>71.44</v>
      </c>
      <c r="H1811" s="593">
        <f t="shared" si="365"/>
        <v>0</v>
      </c>
      <c r="I1811" s="596">
        <f>+G1811*F1811</f>
        <v>3682017.6</v>
      </c>
      <c r="J1811" s="373"/>
    </row>
    <row r="1812" spans="1:10" ht="23.4" x14ac:dyDescent="0.3">
      <c r="A1812" s="1134"/>
      <c r="B1812" s="988"/>
      <c r="C1812" s="279" t="s">
        <v>275</v>
      </c>
      <c r="D1812" s="434" t="s">
        <v>238</v>
      </c>
      <c r="E1812" s="280">
        <v>47280</v>
      </c>
      <c r="F1812" s="435">
        <f t="shared" si="364"/>
        <v>367164</v>
      </c>
      <c r="G1812" s="602">
        <v>71.44</v>
      </c>
      <c r="H1812" s="593">
        <f t="shared" si="365"/>
        <v>3377683.1999999997</v>
      </c>
      <c r="I1812" s="596">
        <f t="shared" ref="I1812:I1829" si="366">+G1812*F1812</f>
        <v>26230196.16</v>
      </c>
      <c r="J1812" s="373"/>
    </row>
    <row r="1813" spans="1:10" ht="23.4" x14ac:dyDescent="0.3">
      <c r="A1813" s="1134"/>
      <c r="B1813" s="988"/>
      <c r="C1813" s="279" t="s">
        <v>276</v>
      </c>
      <c r="D1813" s="434" t="s">
        <v>238</v>
      </c>
      <c r="E1813" s="280"/>
      <c r="F1813" s="435">
        <f t="shared" si="364"/>
        <v>0</v>
      </c>
      <c r="G1813" s="602">
        <v>36.5</v>
      </c>
      <c r="H1813" s="593">
        <f t="shared" si="365"/>
        <v>0</v>
      </c>
      <c r="I1813" s="596">
        <f t="shared" si="366"/>
        <v>0</v>
      </c>
      <c r="J1813" s="373"/>
    </row>
    <row r="1814" spans="1:10" ht="23.4" x14ac:dyDescent="0.3">
      <c r="A1814" s="1134"/>
      <c r="B1814" s="988"/>
      <c r="C1814" s="279" t="s">
        <v>527</v>
      </c>
      <c r="D1814" s="434" t="s">
        <v>238</v>
      </c>
      <c r="E1814" s="280"/>
      <c r="F1814" s="435">
        <f t="shared" si="364"/>
        <v>14000</v>
      </c>
      <c r="G1814" s="602">
        <v>320.35000000000002</v>
      </c>
      <c r="H1814" s="593">
        <f t="shared" si="365"/>
        <v>0</v>
      </c>
      <c r="I1814" s="596">
        <f t="shared" si="366"/>
        <v>4484900</v>
      </c>
      <c r="J1814" s="373"/>
    </row>
    <row r="1815" spans="1:10" ht="23.4" x14ac:dyDescent="0.3">
      <c r="A1815" s="1134"/>
      <c r="B1815" s="988"/>
      <c r="C1815" s="279" t="s">
        <v>285</v>
      </c>
      <c r="D1815" s="434" t="s">
        <v>238</v>
      </c>
      <c r="E1815" s="280"/>
      <c r="F1815" s="435">
        <f t="shared" si="364"/>
        <v>0</v>
      </c>
      <c r="G1815" s="602">
        <v>320.35000000000002</v>
      </c>
      <c r="H1815" s="593">
        <f t="shared" si="365"/>
        <v>0</v>
      </c>
      <c r="I1815" s="596">
        <f t="shared" si="366"/>
        <v>0</v>
      </c>
      <c r="J1815" s="373"/>
    </row>
    <row r="1816" spans="1:10" ht="23.4" x14ac:dyDescent="0.3">
      <c r="A1816" s="1134"/>
      <c r="B1816" s="988"/>
      <c r="C1816" s="279" t="s">
        <v>296</v>
      </c>
      <c r="D1816" s="434" t="s">
        <v>238</v>
      </c>
      <c r="E1816" s="280"/>
      <c r="F1816" s="435">
        <f t="shared" si="364"/>
        <v>0</v>
      </c>
      <c r="G1816" s="602">
        <v>434.41</v>
      </c>
      <c r="H1816" s="593">
        <f t="shared" si="365"/>
        <v>0</v>
      </c>
      <c r="I1816" s="596">
        <f t="shared" si="366"/>
        <v>0</v>
      </c>
      <c r="J1816" s="373"/>
    </row>
    <row r="1817" spans="1:10" ht="23.4" x14ac:dyDescent="0.3">
      <c r="A1817" s="1134"/>
      <c r="B1817" s="988"/>
      <c r="C1817" s="279" t="s">
        <v>282</v>
      </c>
      <c r="D1817" s="434" t="s">
        <v>238</v>
      </c>
      <c r="E1817" s="280"/>
      <c r="F1817" s="435">
        <f t="shared" si="364"/>
        <v>1</v>
      </c>
      <c r="G1817" s="602">
        <v>29690</v>
      </c>
      <c r="H1817" s="593">
        <f t="shared" si="365"/>
        <v>0</v>
      </c>
      <c r="I1817" s="596">
        <f t="shared" si="366"/>
        <v>29690</v>
      </c>
      <c r="J1817" s="373"/>
    </row>
    <row r="1818" spans="1:10" ht="23.4" x14ac:dyDescent="0.3">
      <c r="A1818" s="1134"/>
      <c r="B1818" s="988"/>
      <c r="C1818" s="279" t="s">
        <v>282</v>
      </c>
      <c r="D1818" s="434" t="s">
        <v>238</v>
      </c>
      <c r="E1818" s="280"/>
      <c r="F1818" s="435">
        <f t="shared" si="364"/>
        <v>3</v>
      </c>
      <c r="G1818" s="602">
        <v>26445</v>
      </c>
      <c r="H1818" s="593">
        <f t="shared" si="365"/>
        <v>0</v>
      </c>
      <c r="I1818" s="596">
        <f t="shared" si="366"/>
        <v>79335</v>
      </c>
      <c r="J1818" s="373"/>
    </row>
    <row r="1819" spans="1:10" ht="23.4" x14ac:dyDescent="0.3">
      <c r="A1819" s="1134"/>
      <c r="B1819" s="988"/>
      <c r="C1819" s="279" t="s">
        <v>282</v>
      </c>
      <c r="D1819" s="434"/>
      <c r="E1819" s="280"/>
      <c r="F1819" s="435">
        <f t="shared" si="364"/>
        <v>0</v>
      </c>
      <c r="G1819" s="602">
        <v>33947.884599999998</v>
      </c>
      <c r="H1819" s="593">
        <f t="shared" si="365"/>
        <v>0</v>
      </c>
      <c r="I1819" s="596">
        <f t="shared" si="366"/>
        <v>0</v>
      </c>
      <c r="J1819" s="373"/>
    </row>
    <row r="1820" spans="1:10" ht="23.4" x14ac:dyDescent="0.3">
      <c r="A1820" s="1134"/>
      <c r="B1820" s="988"/>
      <c r="C1820" s="279" t="s">
        <v>311</v>
      </c>
      <c r="D1820" s="434" t="s">
        <v>337</v>
      </c>
      <c r="E1820" s="280"/>
      <c r="F1820" s="435">
        <f t="shared" si="364"/>
        <v>0</v>
      </c>
      <c r="G1820" s="602">
        <v>50</v>
      </c>
      <c r="H1820" s="593">
        <f t="shared" si="365"/>
        <v>0</v>
      </c>
      <c r="I1820" s="596">
        <f t="shared" si="366"/>
        <v>0</v>
      </c>
      <c r="J1820" s="373"/>
    </row>
    <row r="1821" spans="1:10" ht="23.4" x14ac:dyDescent="0.3">
      <c r="A1821" s="1134"/>
      <c r="B1821" s="988"/>
      <c r="C1821" s="279" t="s">
        <v>311</v>
      </c>
      <c r="D1821" s="434"/>
      <c r="E1821" s="280"/>
      <c r="F1821" s="435">
        <f t="shared" si="364"/>
        <v>0</v>
      </c>
      <c r="G1821" s="602">
        <v>10</v>
      </c>
      <c r="H1821" s="593">
        <f t="shared" si="365"/>
        <v>0</v>
      </c>
      <c r="I1821" s="596">
        <f t="shared" si="366"/>
        <v>0</v>
      </c>
      <c r="J1821" s="373"/>
    </row>
    <row r="1822" spans="1:10" ht="23.4" x14ac:dyDescent="0.3">
      <c r="A1822" s="1134"/>
      <c r="B1822" s="988"/>
      <c r="C1822" s="279" t="s">
        <v>329</v>
      </c>
      <c r="D1822" s="434" t="s">
        <v>370</v>
      </c>
      <c r="E1822" s="280">
        <v>4800</v>
      </c>
      <c r="F1822" s="435">
        <f t="shared" si="364"/>
        <v>11200</v>
      </c>
      <c r="G1822" s="803">
        <v>65.459999999999994</v>
      </c>
      <c r="H1822" s="593">
        <f t="shared" si="365"/>
        <v>314207.99999999994</v>
      </c>
      <c r="I1822" s="596">
        <f t="shared" si="366"/>
        <v>733151.99999999988</v>
      </c>
      <c r="J1822" s="373"/>
    </row>
    <row r="1823" spans="1:10" ht="23.4" x14ac:dyDescent="0.3">
      <c r="A1823" s="1134"/>
      <c r="B1823" s="988"/>
      <c r="C1823" s="279" t="s">
        <v>329</v>
      </c>
      <c r="D1823" s="434" t="s">
        <v>364</v>
      </c>
      <c r="E1823" s="280"/>
      <c r="F1823" s="435">
        <f t="shared" si="364"/>
        <v>0</v>
      </c>
      <c r="G1823" s="602">
        <v>57.64</v>
      </c>
      <c r="H1823" s="593">
        <f t="shared" si="365"/>
        <v>0</v>
      </c>
      <c r="I1823" s="596">
        <f t="shared" si="366"/>
        <v>0</v>
      </c>
      <c r="J1823" s="373"/>
    </row>
    <row r="1824" spans="1:10" ht="23.4" x14ac:dyDescent="0.3">
      <c r="A1824" s="1134"/>
      <c r="B1824" s="988"/>
      <c r="C1824" s="279" t="s">
        <v>330</v>
      </c>
      <c r="D1824" s="434" t="s">
        <v>331</v>
      </c>
      <c r="E1824" s="280"/>
      <c r="F1824" s="435">
        <f t="shared" si="364"/>
        <v>0</v>
      </c>
      <c r="G1824" s="602">
        <v>434.41</v>
      </c>
      <c r="H1824" s="593">
        <f t="shared" si="365"/>
        <v>0</v>
      </c>
      <c r="I1824" s="596">
        <f t="shared" si="366"/>
        <v>0</v>
      </c>
      <c r="J1824" s="373"/>
    </row>
    <row r="1825" spans="1:10" ht="23.4" x14ac:dyDescent="0.3">
      <c r="A1825" s="1134"/>
      <c r="B1825" s="988"/>
      <c r="C1825" s="279" t="s">
        <v>343</v>
      </c>
      <c r="D1825" s="434" t="s">
        <v>238</v>
      </c>
      <c r="E1825" s="280"/>
      <c r="F1825" s="435">
        <f t="shared" si="364"/>
        <v>0</v>
      </c>
      <c r="G1825" s="602">
        <v>624.26</v>
      </c>
      <c r="H1825" s="593">
        <f t="shared" si="365"/>
        <v>0</v>
      </c>
      <c r="I1825" s="596">
        <f t="shared" si="366"/>
        <v>0</v>
      </c>
      <c r="J1825" s="373"/>
    </row>
    <row r="1826" spans="1:10" ht="23.4" x14ac:dyDescent="0.3">
      <c r="A1826" s="1134"/>
      <c r="B1826" s="988"/>
      <c r="C1826" s="279" t="s">
        <v>332</v>
      </c>
      <c r="D1826" s="434" t="s">
        <v>331</v>
      </c>
      <c r="E1826" s="280"/>
      <c r="F1826" s="435">
        <f t="shared" si="364"/>
        <v>0</v>
      </c>
      <c r="G1826" s="602">
        <v>63.55</v>
      </c>
      <c r="H1826" s="593">
        <f t="shared" si="365"/>
        <v>0</v>
      </c>
      <c r="I1826" s="596">
        <f t="shared" si="366"/>
        <v>0</v>
      </c>
      <c r="J1826" s="373"/>
    </row>
    <row r="1827" spans="1:10" ht="23.4" x14ac:dyDescent="0.3">
      <c r="A1827" s="1134"/>
      <c r="B1827" s="988"/>
      <c r="C1827" s="279" t="s">
        <v>559</v>
      </c>
      <c r="D1827" s="434" t="s">
        <v>238</v>
      </c>
      <c r="E1827" s="280"/>
      <c r="F1827" s="435">
        <f t="shared" si="364"/>
        <v>48696</v>
      </c>
      <c r="G1827" s="602">
        <v>59.96</v>
      </c>
      <c r="H1827" s="593">
        <f t="shared" si="365"/>
        <v>0</v>
      </c>
      <c r="I1827" s="596">
        <f t="shared" si="366"/>
        <v>2919812.16</v>
      </c>
      <c r="J1827" s="373"/>
    </row>
    <row r="1828" spans="1:10" ht="23.4" x14ac:dyDescent="0.3">
      <c r="A1828" s="1134"/>
      <c r="B1828" s="988"/>
      <c r="C1828" s="279" t="s">
        <v>419</v>
      </c>
      <c r="D1828" s="434" t="s">
        <v>331</v>
      </c>
      <c r="E1828" s="280"/>
      <c r="F1828" s="435">
        <f t="shared" si="364"/>
        <v>0</v>
      </c>
      <c r="G1828" s="602">
        <v>53.86</v>
      </c>
      <c r="H1828" s="593">
        <f t="shared" si="365"/>
        <v>0</v>
      </c>
      <c r="I1828" s="596">
        <f t="shared" si="366"/>
        <v>0</v>
      </c>
      <c r="J1828" s="373"/>
    </row>
    <row r="1829" spans="1:10" ht="23.4" x14ac:dyDescent="0.3">
      <c r="A1829" s="1134"/>
      <c r="B1829" s="988"/>
      <c r="C1829" s="279" t="s">
        <v>379</v>
      </c>
      <c r="D1829" s="434"/>
      <c r="E1829" s="280"/>
      <c r="F1829" s="435">
        <f t="shared" si="364"/>
        <v>0</v>
      </c>
      <c r="G1829" s="602">
        <v>360</v>
      </c>
      <c r="H1829" s="593">
        <f t="shared" si="365"/>
        <v>0</v>
      </c>
      <c r="I1829" s="596">
        <f t="shared" si="366"/>
        <v>0</v>
      </c>
      <c r="J1829" s="373"/>
    </row>
    <row r="1830" spans="1:10" ht="23.4" x14ac:dyDescent="0.3">
      <c r="A1830" s="1134"/>
      <c r="B1830" s="988"/>
      <c r="C1830" s="279" t="s">
        <v>471</v>
      </c>
      <c r="D1830" s="434"/>
      <c r="E1830" s="280"/>
      <c r="F1830" s="435">
        <f t="shared" si="364"/>
        <v>0</v>
      </c>
      <c r="G1830" s="602"/>
      <c r="H1830" s="593">
        <f>+E1830</f>
        <v>0</v>
      </c>
      <c r="I1830" s="596">
        <f>+H1830</f>
        <v>0</v>
      </c>
      <c r="J1830" s="373"/>
    </row>
    <row r="1831" spans="1:10" ht="23.4" x14ac:dyDescent="0.3">
      <c r="A1831" s="1134"/>
      <c r="B1831" s="988"/>
      <c r="C1831" s="279" t="s">
        <v>282</v>
      </c>
      <c r="D1831" s="434"/>
      <c r="E1831" s="280"/>
      <c r="F1831" s="435">
        <f t="shared" si="364"/>
        <v>0</v>
      </c>
      <c r="G1831" s="602">
        <v>39450</v>
      </c>
      <c r="H1831" s="593">
        <f t="shared" ref="H1831:H1832" si="367">E1831*G1831</f>
        <v>0</v>
      </c>
      <c r="I1831" s="596">
        <f t="shared" ref="I1831:I1832" si="368">+G1831*F1831</f>
        <v>0</v>
      </c>
      <c r="J1831" s="373"/>
    </row>
    <row r="1832" spans="1:10" ht="24" thickBot="1" x14ac:dyDescent="0.35">
      <c r="A1832" s="1134"/>
      <c r="B1832" s="988"/>
      <c r="C1832" s="279" t="s">
        <v>329</v>
      </c>
      <c r="D1832" s="434" t="s">
        <v>443</v>
      </c>
      <c r="E1832" s="280"/>
      <c r="F1832" s="435">
        <f t="shared" si="364"/>
        <v>0</v>
      </c>
      <c r="G1832" s="602">
        <v>57.64</v>
      </c>
      <c r="H1832" s="593">
        <f t="shared" si="367"/>
        <v>0</v>
      </c>
      <c r="I1832" s="596">
        <f t="shared" si="368"/>
        <v>0</v>
      </c>
      <c r="J1832" s="373"/>
    </row>
    <row r="1833" spans="1:10" ht="24" thickBot="1" x14ac:dyDescent="0.35">
      <c r="A1833" s="1135"/>
      <c r="B1833" s="1129" t="s">
        <v>270</v>
      </c>
      <c r="C1833" s="1130"/>
      <c r="D1833" s="990"/>
      <c r="E1833" s="326">
        <f>SUM(E1807:E1832)</f>
        <v>54670</v>
      </c>
      <c r="F1833" s="326">
        <f>SUM(F1807:F1832)</f>
        <v>548303</v>
      </c>
      <c r="G1833" s="326"/>
      <c r="H1833" s="590">
        <f>SUM(H1807:H1832)</f>
        <v>4805643</v>
      </c>
      <c r="I1833" s="580">
        <f>SUM(I1807:I1832)</f>
        <v>60614950.099999994</v>
      </c>
      <c r="J1833" s="372"/>
    </row>
    <row r="1834" spans="1:10" ht="24" thickBot="1" x14ac:dyDescent="0.35">
      <c r="A1834" s="994"/>
      <c r="B1834" s="437"/>
      <c r="C1834" s="279" t="s">
        <v>379</v>
      </c>
      <c r="D1834" s="434"/>
      <c r="E1834" s="280"/>
      <c r="F1834" s="281">
        <f>+E1834</f>
        <v>0</v>
      </c>
      <c r="G1834" s="334"/>
      <c r="H1834" s="589">
        <f t="shared" ref="H1834" si="369">E1834*G1834</f>
        <v>0</v>
      </c>
      <c r="I1834" s="282">
        <f t="shared" ref="I1834" si="370">+G1834*F1834</f>
        <v>0</v>
      </c>
      <c r="J1834" s="373"/>
    </row>
    <row r="1835" spans="1:10" ht="24" thickBot="1" x14ac:dyDescent="0.35">
      <c r="A1835" s="994"/>
      <c r="B1835" s="1129" t="s">
        <v>224</v>
      </c>
      <c r="C1835" s="1130"/>
      <c r="D1835" s="986"/>
      <c r="E1835" s="326"/>
      <c r="F1835" s="327"/>
      <c r="G1835" s="326"/>
      <c r="H1835" s="587"/>
      <c r="I1835" s="324">
        <f>SUM(I1834)</f>
        <v>0</v>
      </c>
      <c r="J1835" s="349"/>
    </row>
    <row r="1836" spans="1:10" ht="24.6" thickBot="1" x14ac:dyDescent="0.35">
      <c r="A1836" s="319"/>
      <c r="B1836" s="1131" t="s">
        <v>174</v>
      </c>
      <c r="C1836" s="1132"/>
      <c r="D1836" s="987"/>
      <c r="E1836" s="374">
        <f>+E1833+E1806+E1776+E1774</f>
        <v>289682</v>
      </c>
      <c r="F1836" s="374">
        <f>+F1833+F1806+F1776+F1774</f>
        <v>2730321</v>
      </c>
      <c r="G1836" s="374"/>
      <c r="H1836" s="374"/>
      <c r="I1836" s="374">
        <f>+I1833+I1806+I1776+I1835</f>
        <v>109927663.29999998</v>
      </c>
      <c r="J1836" s="375"/>
    </row>
    <row r="1837" spans="1:10" ht="23.4" x14ac:dyDescent="0.3">
      <c r="A1837" s="1057" t="s">
        <v>1</v>
      </c>
      <c r="B1837" s="1060" t="s">
        <v>2</v>
      </c>
      <c r="C1837" s="1138" t="s">
        <v>396</v>
      </c>
      <c r="D1837" s="1115" t="s">
        <v>397</v>
      </c>
      <c r="E1837" s="1142" t="s">
        <v>594</v>
      </c>
      <c r="F1837" s="1067"/>
      <c r="G1837" s="1067"/>
      <c r="H1837" s="1067"/>
      <c r="I1837" s="1067"/>
      <c r="J1837" s="1068"/>
    </row>
    <row r="1838" spans="1:10" ht="23.4" x14ac:dyDescent="0.3">
      <c r="A1838" s="1136"/>
      <c r="B1838" s="1137"/>
      <c r="C1838" s="1139"/>
      <c r="D1838" s="1116"/>
      <c r="E1838" s="1143" t="s">
        <v>412</v>
      </c>
      <c r="F1838" s="1144"/>
      <c r="G1838" s="1143" t="s">
        <v>411</v>
      </c>
      <c r="H1838" s="1145"/>
      <c r="I1838" s="1145"/>
      <c r="J1838" s="1144"/>
    </row>
    <row r="1839" spans="1:10" x14ac:dyDescent="0.3">
      <c r="A1839" s="1058"/>
      <c r="B1839" s="1061"/>
      <c r="C1839" s="1140"/>
      <c r="D1839" s="1116"/>
      <c r="E1839" s="1069" t="s">
        <v>413</v>
      </c>
      <c r="F1839" s="1071" t="s">
        <v>414</v>
      </c>
      <c r="G1839" s="1147" t="s">
        <v>90</v>
      </c>
      <c r="H1839" s="1149" t="s">
        <v>91</v>
      </c>
      <c r="I1839" s="1149" t="s">
        <v>91</v>
      </c>
      <c r="J1839" s="1151" t="s">
        <v>12</v>
      </c>
    </row>
    <row r="1840" spans="1:10" ht="14.4" thickBot="1" x14ac:dyDescent="0.35">
      <c r="A1840" s="1059"/>
      <c r="B1840" s="1062"/>
      <c r="C1840" s="1141"/>
      <c r="D1840" s="1117"/>
      <c r="E1840" s="1070"/>
      <c r="F1840" s="1146"/>
      <c r="G1840" s="1148"/>
      <c r="H1840" s="1150"/>
      <c r="I1840" s="1150"/>
      <c r="J1840" s="1152"/>
    </row>
    <row r="1841" spans="1:10" ht="23.4" x14ac:dyDescent="0.3">
      <c r="A1841" s="1133" t="s">
        <v>103</v>
      </c>
      <c r="B1841" s="439"/>
      <c r="C1841" s="577" t="s">
        <v>538</v>
      </c>
      <c r="D1841" s="665" t="s">
        <v>539</v>
      </c>
      <c r="E1841" s="699"/>
      <c r="F1841" s="674">
        <f>+E1841+F1747</f>
        <v>2048</v>
      </c>
      <c r="G1841" s="732">
        <v>109.77</v>
      </c>
      <c r="H1841" s="591">
        <f t="shared" ref="H1841:H1858" si="371">E1841*G1841</f>
        <v>0</v>
      </c>
      <c r="I1841" s="594">
        <f>+G1841*F1841</f>
        <v>224808.95999999999</v>
      </c>
      <c r="J1841" s="351"/>
    </row>
    <row r="1842" spans="1:10" ht="23.4" x14ac:dyDescent="0.3">
      <c r="A1842" s="1134"/>
      <c r="B1842" s="438"/>
      <c r="C1842" s="441" t="s">
        <v>264</v>
      </c>
      <c r="D1842" s="666" t="s">
        <v>265</v>
      </c>
      <c r="E1842" s="700"/>
      <c r="F1842" s="701">
        <f t="shared" ref="F1842:F1853" si="372">+E1842+F1748</f>
        <v>0</v>
      </c>
      <c r="G1842" s="697">
        <v>11</v>
      </c>
      <c r="H1842" s="592">
        <f t="shared" si="371"/>
        <v>0</v>
      </c>
      <c r="I1842" s="595">
        <f>+G1842*F1842</f>
        <v>0</v>
      </c>
      <c r="J1842" s="352"/>
    </row>
    <row r="1843" spans="1:10" ht="23.4" x14ac:dyDescent="0.3">
      <c r="A1843" s="1134"/>
      <c r="B1843" s="438"/>
      <c r="C1843" s="441" t="s">
        <v>295</v>
      </c>
      <c r="D1843" s="666" t="s">
        <v>453</v>
      </c>
      <c r="E1843" s="700"/>
      <c r="F1843" s="701">
        <f t="shared" si="372"/>
        <v>640</v>
      </c>
      <c r="G1843" s="697">
        <v>139.04</v>
      </c>
      <c r="H1843" s="592">
        <f t="shared" si="371"/>
        <v>0</v>
      </c>
      <c r="I1843" s="595">
        <f t="shared" ref="I1843:I1858" si="373">+G1843*F1843</f>
        <v>88985.599999999991</v>
      </c>
      <c r="J1843" s="352"/>
    </row>
    <row r="1844" spans="1:10" ht="23.4" x14ac:dyDescent="0.3">
      <c r="A1844" s="1134"/>
      <c r="B1844" s="438"/>
      <c r="C1844" s="441" t="s">
        <v>531</v>
      </c>
      <c r="D1844" s="666" t="s">
        <v>529</v>
      </c>
      <c r="E1844" s="700">
        <v>29110</v>
      </c>
      <c r="F1844" s="701">
        <f t="shared" si="372"/>
        <v>41350</v>
      </c>
      <c r="G1844" s="715">
        <v>20.66</v>
      </c>
      <c r="H1844" s="592">
        <f t="shared" si="371"/>
        <v>601412.6</v>
      </c>
      <c r="I1844" s="595">
        <f t="shared" si="373"/>
        <v>854291</v>
      </c>
      <c r="J1844" s="352"/>
    </row>
    <row r="1845" spans="1:10" ht="23.4" x14ac:dyDescent="0.3">
      <c r="A1845" s="1134"/>
      <c r="B1845" s="438"/>
      <c r="C1845" s="441" t="s">
        <v>600</v>
      </c>
      <c r="D1845" s="666" t="s">
        <v>598</v>
      </c>
      <c r="E1845" s="700">
        <v>33760</v>
      </c>
      <c r="F1845" s="701">
        <f t="shared" si="372"/>
        <v>33760</v>
      </c>
      <c r="G1845" s="697">
        <v>20.66</v>
      </c>
      <c r="H1845" s="592">
        <f t="shared" si="371"/>
        <v>697481.6</v>
      </c>
      <c r="I1845" s="595">
        <f t="shared" si="373"/>
        <v>697481.6</v>
      </c>
      <c r="J1845" s="352"/>
    </row>
    <row r="1846" spans="1:10" ht="23.4" x14ac:dyDescent="0.3">
      <c r="A1846" s="1134"/>
      <c r="B1846" s="438"/>
      <c r="C1846" s="441" t="s">
        <v>295</v>
      </c>
      <c r="D1846" s="666" t="s">
        <v>265</v>
      </c>
      <c r="E1846" s="700"/>
      <c r="F1846" s="701">
        <f t="shared" si="372"/>
        <v>5120</v>
      </c>
      <c r="G1846" s="697">
        <v>139.04</v>
      </c>
      <c r="H1846" s="592">
        <f t="shared" si="371"/>
        <v>0</v>
      </c>
      <c r="I1846" s="595">
        <f t="shared" si="373"/>
        <v>711884.79999999993</v>
      </c>
      <c r="J1846" s="352"/>
    </row>
    <row r="1847" spans="1:10" ht="23.4" x14ac:dyDescent="0.3">
      <c r="A1847" s="1134"/>
      <c r="B1847" s="438"/>
      <c r="C1847" s="441" t="s">
        <v>537</v>
      </c>
      <c r="D1847" s="666" t="s">
        <v>265</v>
      </c>
      <c r="E1847" s="700">
        <v>1920</v>
      </c>
      <c r="F1847" s="701">
        <f t="shared" si="372"/>
        <v>6080</v>
      </c>
      <c r="G1847" s="697">
        <v>135.96</v>
      </c>
      <c r="H1847" s="592">
        <f t="shared" si="371"/>
        <v>261043.20000000001</v>
      </c>
      <c r="I1847" s="595">
        <f t="shared" si="373"/>
        <v>826636.80000000005</v>
      </c>
      <c r="J1847" s="352"/>
    </row>
    <row r="1848" spans="1:10" ht="23.4" x14ac:dyDescent="0.3">
      <c r="A1848" s="1134"/>
      <c r="B1848" s="438"/>
      <c r="C1848" s="441" t="s">
        <v>313</v>
      </c>
      <c r="D1848" s="667" t="s">
        <v>265</v>
      </c>
      <c r="E1848" s="700"/>
      <c r="F1848" s="701">
        <f t="shared" si="372"/>
        <v>58892</v>
      </c>
      <c r="G1848" s="697">
        <v>18.84</v>
      </c>
      <c r="H1848" s="592">
        <f t="shared" si="371"/>
        <v>0</v>
      </c>
      <c r="I1848" s="595">
        <f t="shared" si="373"/>
        <v>1109525.28</v>
      </c>
      <c r="J1848" s="352"/>
    </row>
    <row r="1849" spans="1:10" ht="23.4" x14ac:dyDescent="0.3">
      <c r="A1849" s="1134"/>
      <c r="B1849" s="438"/>
      <c r="C1849" s="441" t="s">
        <v>322</v>
      </c>
      <c r="D1849" s="667" t="s">
        <v>232</v>
      </c>
      <c r="E1849" s="700"/>
      <c r="F1849" s="701">
        <f t="shared" si="372"/>
        <v>36447</v>
      </c>
      <c r="G1849" s="697">
        <v>21.18</v>
      </c>
      <c r="H1849" s="592">
        <f t="shared" si="371"/>
        <v>0</v>
      </c>
      <c r="I1849" s="595">
        <f t="shared" si="373"/>
        <v>771947.46</v>
      </c>
      <c r="J1849" s="352"/>
    </row>
    <row r="1850" spans="1:10" ht="23.4" x14ac:dyDescent="0.3">
      <c r="A1850" s="1134"/>
      <c r="B1850" s="438"/>
      <c r="C1850" s="441" t="s">
        <v>599</v>
      </c>
      <c r="D1850" s="667" t="s">
        <v>325</v>
      </c>
      <c r="E1850" s="700"/>
      <c r="F1850" s="701">
        <f t="shared" si="372"/>
        <v>0</v>
      </c>
      <c r="G1850" s="697">
        <v>21.28</v>
      </c>
      <c r="H1850" s="592">
        <f t="shared" si="371"/>
        <v>0</v>
      </c>
      <c r="I1850" s="595">
        <f t="shared" si="373"/>
        <v>0</v>
      </c>
      <c r="J1850" s="352"/>
    </row>
    <row r="1851" spans="1:10" ht="23.4" x14ac:dyDescent="0.3">
      <c r="A1851" s="1134"/>
      <c r="B1851" s="438"/>
      <c r="C1851" s="441" t="s">
        <v>378</v>
      </c>
      <c r="D1851" s="667" t="s">
        <v>374</v>
      </c>
      <c r="E1851" s="700">
        <v>8700</v>
      </c>
      <c r="F1851" s="701">
        <f t="shared" si="372"/>
        <v>18620</v>
      </c>
      <c r="G1851" s="697">
        <v>143.28</v>
      </c>
      <c r="H1851" s="592">
        <f t="shared" si="371"/>
        <v>1246536</v>
      </c>
      <c r="I1851" s="595">
        <f t="shared" si="373"/>
        <v>2667873.6</v>
      </c>
      <c r="J1851" s="352"/>
    </row>
    <row r="1852" spans="1:10" ht="23.4" x14ac:dyDescent="0.3">
      <c r="A1852" s="1134"/>
      <c r="B1852" s="438"/>
      <c r="C1852" s="441" t="s">
        <v>472</v>
      </c>
      <c r="D1852" s="666" t="s">
        <v>177</v>
      </c>
      <c r="E1852" s="700"/>
      <c r="F1852" s="701">
        <f t="shared" si="372"/>
        <v>523776</v>
      </c>
      <c r="G1852" s="697">
        <v>14.79</v>
      </c>
      <c r="H1852" s="592">
        <f t="shared" si="371"/>
        <v>0</v>
      </c>
      <c r="I1852" s="595">
        <f t="shared" si="373"/>
        <v>7746647.0399999991</v>
      </c>
      <c r="J1852" s="352"/>
    </row>
    <row r="1853" spans="1:10" ht="23.4" x14ac:dyDescent="0.3">
      <c r="A1853" s="1134"/>
      <c r="B1853" s="438"/>
      <c r="C1853" s="441" t="s">
        <v>451</v>
      </c>
      <c r="D1853" s="666" t="s">
        <v>177</v>
      </c>
      <c r="E1853" s="700"/>
      <c r="F1853" s="701">
        <f t="shared" si="372"/>
        <v>498432</v>
      </c>
      <c r="G1853" s="697">
        <v>14.55</v>
      </c>
      <c r="H1853" s="592">
        <f t="shared" si="371"/>
        <v>0</v>
      </c>
      <c r="I1853" s="595">
        <f t="shared" si="373"/>
        <v>7252185.6000000006</v>
      </c>
      <c r="J1853" s="352"/>
    </row>
    <row r="1854" spans="1:10" ht="23.4" x14ac:dyDescent="0.3">
      <c r="A1854" s="1134"/>
      <c r="B1854" s="438"/>
      <c r="C1854" s="441" t="s">
        <v>288</v>
      </c>
      <c r="D1854" s="667" t="s">
        <v>522</v>
      </c>
      <c r="E1854" s="700">
        <v>213712</v>
      </c>
      <c r="F1854" s="701">
        <f>+E1854</f>
        <v>213712</v>
      </c>
      <c r="G1854" s="697">
        <v>16.41</v>
      </c>
      <c r="H1854" s="592">
        <f t="shared" si="371"/>
        <v>3507013.92</v>
      </c>
      <c r="I1854" s="595">
        <f t="shared" si="373"/>
        <v>3507013.92</v>
      </c>
      <c r="J1854" s="352"/>
    </row>
    <row r="1855" spans="1:10" ht="23.4" x14ac:dyDescent="0.3">
      <c r="A1855" s="1134"/>
      <c r="B1855" s="438"/>
      <c r="C1855" s="441" t="s">
        <v>377</v>
      </c>
      <c r="D1855" s="667" t="s">
        <v>522</v>
      </c>
      <c r="E1855" s="700">
        <v>287232</v>
      </c>
      <c r="F1855" s="701">
        <f>+E1855</f>
        <v>287232</v>
      </c>
      <c r="G1855" s="697">
        <v>16.41</v>
      </c>
      <c r="H1855" s="592">
        <f t="shared" si="371"/>
        <v>4713477.12</v>
      </c>
      <c r="I1855" s="595">
        <f t="shared" si="373"/>
        <v>4713477.12</v>
      </c>
      <c r="J1855" s="352"/>
    </row>
    <row r="1856" spans="1:10" ht="23.4" x14ac:dyDescent="0.3">
      <c r="A1856" s="1134"/>
      <c r="B1856" s="438"/>
      <c r="C1856" s="441" t="s">
        <v>536</v>
      </c>
      <c r="D1856" s="667" t="s">
        <v>522</v>
      </c>
      <c r="E1856" s="700">
        <v>149952</v>
      </c>
      <c r="F1856" s="701">
        <f>+E1856</f>
        <v>149952</v>
      </c>
      <c r="G1856" s="697">
        <v>16.41</v>
      </c>
      <c r="H1856" s="592">
        <f t="shared" si="371"/>
        <v>2460712.3199999998</v>
      </c>
      <c r="I1856" s="595">
        <f t="shared" si="373"/>
        <v>2460712.3199999998</v>
      </c>
      <c r="J1856" s="352"/>
    </row>
    <row r="1857" spans="1:10" ht="23.4" x14ac:dyDescent="0.3">
      <c r="A1857" s="1134"/>
      <c r="B1857" s="438"/>
      <c r="C1857" s="441" t="s">
        <v>327</v>
      </c>
      <c r="D1857" s="667" t="s">
        <v>188</v>
      </c>
      <c r="E1857" s="700"/>
      <c r="F1857" s="701">
        <f>+E1857+F1760</f>
        <v>0</v>
      </c>
      <c r="G1857" s="697">
        <v>21.28</v>
      </c>
      <c r="H1857" s="592">
        <f t="shared" si="371"/>
        <v>0</v>
      </c>
      <c r="I1857" s="595">
        <f t="shared" si="373"/>
        <v>0</v>
      </c>
      <c r="J1857" s="352"/>
    </row>
    <row r="1858" spans="1:10" ht="24" thickBot="1" x14ac:dyDescent="0.35">
      <c r="A1858" s="1134"/>
      <c r="B1858" s="438"/>
      <c r="C1858" s="441" t="s">
        <v>295</v>
      </c>
      <c r="D1858" s="668" t="s">
        <v>539</v>
      </c>
      <c r="E1858" s="700"/>
      <c r="F1858" s="676">
        <f>+E1858+F1761</f>
        <v>1920</v>
      </c>
      <c r="G1858" s="697">
        <v>135.96</v>
      </c>
      <c r="H1858" s="592">
        <f t="shared" si="371"/>
        <v>0</v>
      </c>
      <c r="I1858" s="595">
        <f t="shared" si="373"/>
        <v>261043.20000000001</v>
      </c>
      <c r="J1858" s="352"/>
    </row>
    <row r="1859" spans="1:10" ht="24" thickBot="1" x14ac:dyDescent="0.35">
      <c r="A1859" s="1134"/>
      <c r="B1859" s="1129" t="s">
        <v>266</v>
      </c>
      <c r="C1859" s="1130"/>
      <c r="D1859" s="1014"/>
      <c r="E1859" s="326">
        <f>SUM(E1841:E1858)</f>
        <v>724386</v>
      </c>
      <c r="F1859" s="698">
        <f>SUM(F1841:F1858)</f>
        <v>1877981</v>
      </c>
      <c r="G1859" s="326"/>
      <c r="H1859" s="587">
        <f>SUM(H1841:H1858)</f>
        <v>13487676.760000002</v>
      </c>
      <c r="I1859" s="580">
        <f>SUM(I1841:I1858)</f>
        <v>33894514.299999997</v>
      </c>
      <c r="J1859" s="349"/>
    </row>
    <row r="1860" spans="1:10" ht="23.4" x14ac:dyDescent="0.3">
      <c r="A1860" s="1134"/>
      <c r="B1860" s="1012"/>
      <c r="C1860" s="279" t="s">
        <v>271</v>
      </c>
      <c r="D1860" s="434" t="s">
        <v>238</v>
      </c>
      <c r="E1860" s="280"/>
      <c r="F1860" s="435">
        <f t="shared" ref="F1860:F1865" si="374">+E1860+F1763</f>
        <v>11736</v>
      </c>
      <c r="G1860" s="578">
        <v>160.44999999999999</v>
      </c>
      <c r="H1860" s="593">
        <f t="shared" ref="H1860:H1865" si="375">E1860*G1860</f>
        <v>0</v>
      </c>
      <c r="I1860" s="596">
        <f t="shared" ref="I1860:I1865" si="376">+G1860*F1860</f>
        <v>1883041.2</v>
      </c>
      <c r="J1860" s="373"/>
    </row>
    <row r="1861" spans="1:10" ht="23.4" x14ac:dyDescent="0.3">
      <c r="A1861" s="1134"/>
      <c r="B1861" s="1012"/>
      <c r="C1861" s="279" t="s">
        <v>287</v>
      </c>
      <c r="D1861" s="434" t="s">
        <v>93</v>
      </c>
      <c r="E1861" s="280"/>
      <c r="F1861" s="435">
        <f t="shared" si="374"/>
        <v>166620</v>
      </c>
      <c r="G1861" s="578">
        <v>27</v>
      </c>
      <c r="H1861" s="593">
        <f t="shared" si="375"/>
        <v>0</v>
      </c>
      <c r="I1861" s="596">
        <f t="shared" si="376"/>
        <v>4498740</v>
      </c>
      <c r="J1861" s="373"/>
    </row>
    <row r="1862" spans="1:10" ht="23.4" x14ac:dyDescent="0.3">
      <c r="A1862" s="1134"/>
      <c r="B1862" s="1012"/>
      <c r="C1862" s="279" t="s">
        <v>287</v>
      </c>
      <c r="D1862" s="434" t="s">
        <v>292</v>
      </c>
      <c r="E1862" s="280"/>
      <c r="F1862" s="435">
        <f t="shared" si="374"/>
        <v>31070</v>
      </c>
      <c r="G1862" s="578">
        <v>27.5</v>
      </c>
      <c r="H1862" s="593">
        <f t="shared" si="375"/>
        <v>0</v>
      </c>
      <c r="I1862" s="596">
        <f t="shared" si="376"/>
        <v>854425</v>
      </c>
      <c r="J1862" s="373"/>
    </row>
    <row r="1863" spans="1:10" ht="23.4" x14ac:dyDescent="0.3">
      <c r="A1863" s="1134"/>
      <c r="B1863" s="1012"/>
      <c r="C1863" s="279" t="s">
        <v>276</v>
      </c>
      <c r="D1863" s="434" t="s">
        <v>292</v>
      </c>
      <c r="E1863" s="280"/>
      <c r="F1863" s="435">
        <f t="shared" si="374"/>
        <v>1036</v>
      </c>
      <c r="G1863" s="578">
        <v>34.5</v>
      </c>
      <c r="H1863" s="593">
        <f t="shared" si="375"/>
        <v>0</v>
      </c>
      <c r="I1863" s="596">
        <f t="shared" si="376"/>
        <v>35742</v>
      </c>
      <c r="J1863" s="373"/>
    </row>
    <row r="1864" spans="1:10" ht="23.4" x14ac:dyDescent="0.3">
      <c r="A1864" s="1134"/>
      <c r="B1864" s="1012"/>
      <c r="C1864" s="279" t="s">
        <v>473</v>
      </c>
      <c r="D1864" s="434" t="s">
        <v>440</v>
      </c>
      <c r="E1864" s="280"/>
      <c r="F1864" s="435">
        <f t="shared" si="374"/>
        <v>31200</v>
      </c>
      <c r="G1864" s="578">
        <v>10.57</v>
      </c>
      <c r="H1864" s="593">
        <f t="shared" si="375"/>
        <v>0</v>
      </c>
      <c r="I1864" s="596">
        <f t="shared" si="376"/>
        <v>329784</v>
      </c>
      <c r="J1864" s="373"/>
    </row>
    <row r="1865" spans="1:10" ht="24" thickBot="1" x14ac:dyDescent="0.35">
      <c r="A1865" s="1134"/>
      <c r="B1865" s="1012"/>
      <c r="C1865" s="279" t="s">
        <v>276</v>
      </c>
      <c r="D1865" s="434" t="s">
        <v>440</v>
      </c>
      <c r="E1865" s="280"/>
      <c r="F1865" s="435">
        <f t="shared" si="374"/>
        <v>26</v>
      </c>
      <c r="G1865" s="578">
        <v>55.76</v>
      </c>
      <c r="H1865" s="593">
        <f t="shared" si="375"/>
        <v>0</v>
      </c>
      <c r="I1865" s="596">
        <f t="shared" si="376"/>
        <v>1449.76</v>
      </c>
      <c r="J1865" s="373"/>
    </row>
    <row r="1866" spans="1:10" ht="24" thickBot="1" x14ac:dyDescent="0.35">
      <c r="A1866" s="1134"/>
      <c r="B1866" s="1129" t="s">
        <v>267</v>
      </c>
      <c r="C1866" s="1130"/>
      <c r="D1866" s="1014"/>
      <c r="E1866" s="326">
        <f>SUM(E1860:E1865)</f>
        <v>0</v>
      </c>
      <c r="F1866" s="326">
        <f>SUM(F1860:F1865)</f>
        <v>241688</v>
      </c>
      <c r="G1866" s="326"/>
      <c r="H1866" s="587">
        <f>SUM(H1860:H1865)</f>
        <v>0</v>
      </c>
      <c r="I1866" s="580">
        <f>SUM(I1860:I1865)</f>
        <v>7603181.96</v>
      </c>
      <c r="J1866" s="349"/>
    </row>
    <row r="1867" spans="1:10" ht="23.4" x14ac:dyDescent="0.3">
      <c r="A1867" s="1134"/>
      <c r="B1867" s="1012"/>
      <c r="C1867" s="279" t="s">
        <v>277</v>
      </c>
      <c r="D1867" s="434" t="s">
        <v>278</v>
      </c>
      <c r="E1867" s="280"/>
      <c r="F1867" s="435">
        <f>+E1867+F1770</f>
        <v>12</v>
      </c>
      <c r="G1867" s="578">
        <v>2500</v>
      </c>
      <c r="H1867" s="593">
        <f t="shared" ref="H1867:H1870" si="377">E1867*G1867</f>
        <v>0</v>
      </c>
      <c r="I1867" s="596">
        <f>+G1867*F1867</f>
        <v>30000</v>
      </c>
      <c r="J1867" s="373"/>
    </row>
    <row r="1868" spans="1:10" ht="23.4" x14ac:dyDescent="0.3">
      <c r="A1868" s="1134"/>
      <c r="B1868" s="1012"/>
      <c r="C1868" s="279" t="s">
        <v>454</v>
      </c>
      <c r="D1868" s="434"/>
      <c r="E1868" s="280"/>
      <c r="F1868" s="435">
        <f>+E1868+F1771</f>
        <v>0</v>
      </c>
      <c r="G1868" s="578">
        <v>30000</v>
      </c>
      <c r="H1868" s="593">
        <f t="shared" si="377"/>
        <v>0</v>
      </c>
      <c r="I1868" s="596">
        <f>+G1868*F1868</f>
        <v>0</v>
      </c>
      <c r="J1868" s="373"/>
    </row>
    <row r="1869" spans="1:10" ht="23.4" x14ac:dyDescent="0.3">
      <c r="A1869" s="1134"/>
      <c r="B1869" s="1012"/>
      <c r="C1869" s="279" t="s">
        <v>379</v>
      </c>
      <c r="D1869" s="434" t="s">
        <v>304</v>
      </c>
      <c r="E1869" s="280"/>
      <c r="F1869" s="435">
        <f>+E1869+F1772</f>
        <v>0</v>
      </c>
      <c r="G1869" s="578">
        <v>360</v>
      </c>
      <c r="H1869" s="593">
        <f t="shared" si="377"/>
        <v>0</v>
      </c>
      <c r="I1869" s="596">
        <f>+G1869*F1869</f>
        <v>0</v>
      </c>
      <c r="J1869" s="373"/>
    </row>
    <row r="1870" spans="1:10" ht="24" thickBot="1" x14ac:dyDescent="0.35">
      <c r="A1870" s="1134"/>
      <c r="B1870" s="1012"/>
      <c r="C1870" s="279" t="s">
        <v>427</v>
      </c>
      <c r="D1870" s="434" t="s">
        <v>304</v>
      </c>
      <c r="E1870" s="280"/>
      <c r="F1870" s="435">
        <f>+E1870+F1773</f>
        <v>0</v>
      </c>
      <c r="G1870" s="579">
        <v>10</v>
      </c>
      <c r="H1870" s="593">
        <f t="shared" si="377"/>
        <v>0</v>
      </c>
      <c r="I1870" s="596">
        <f t="shared" ref="I1870" si="378">+G1870*F1870</f>
        <v>0</v>
      </c>
      <c r="J1870" s="373"/>
    </row>
    <row r="1871" spans="1:10" ht="24" thickBot="1" x14ac:dyDescent="0.35">
      <c r="A1871" s="1134"/>
      <c r="B1871" s="1129" t="s">
        <v>272</v>
      </c>
      <c r="C1871" s="1130"/>
      <c r="D1871" s="1014"/>
      <c r="E1871" s="326">
        <f>SUM(E1867:E1870)</f>
        <v>0</v>
      </c>
      <c r="F1871" s="326">
        <f>SUM(F1867:F1870)</f>
        <v>12</v>
      </c>
      <c r="G1871" s="326"/>
      <c r="H1871" s="587">
        <f>SUM(H1867:H1870)</f>
        <v>0</v>
      </c>
      <c r="I1871" s="580">
        <f>SUM(I1867:I1870)</f>
        <v>30000</v>
      </c>
      <c r="J1871" s="373"/>
    </row>
    <row r="1872" spans="1:10" ht="24" thickBot="1" x14ac:dyDescent="0.35">
      <c r="A1872" s="1134"/>
      <c r="B1872" s="1012"/>
      <c r="C1872" s="279"/>
      <c r="D1872" s="434"/>
      <c r="E1872" s="280"/>
      <c r="F1872" s="317"/>
      <c r="G1872" s="579"/>
      <c r="H1872" s="588"/>
      <c r="I1872" s="282"/>
      <c r="J1872" s="373"/>
    </row>
    <row r="1873" spans="1:10" ht="24" thickBot="1" x14ac:dyDescent="0.35">
      <c r="A1873" s="1135"/>
      <c r="B1873" s="1129" t="s">
        <v>269</v>
      </c>
      <c r="C1873" s="1130"/>
      <c r="D1873" s="1010"/>
      <c r="E1873" s="326">
        <f>+E1871+E1866+E1859</f>
        <v>724386</v>
      </c>
      <c r="F1873" s="326">
        <f>+F1871+F1866+F1859</f>
        <v>2119681</v>
      </c>
      <c r="G1873" s="326"/>
      <c r="H1873" s="580">
        <f>+H1866+H1859+H1871</f>
        <v>13487676.760000002</v>
      </c>
      <c r="I1873" s="580">
        <f>+I1866+I1859+I1871</f>
        <v>41527696.259999998</v>
      </c>
      <c r="J1873" s="373"/>
    </row>
    <row r="1874" spans="1:10" ht="23.4" x14ac:dyDescent="0.3">
      <c r="A1874" s="1133" t="s">
        <v>101</v>
      </c>
      <c r="B1874" s="1012"/>
      <c r="C1874" s="279" t="s">
        <v>281</v>
      </c>
      <c r="D1874" s="434" t="s">
        <v>178</v>
      </c>
      <c r="E1874" s="280"/>
      <c r="F1874" s="435">
        <f t="shared" ref="F1874:F1905" si="379">+E1874+F1777</f>
        <v>0</v>
      </c>
      <c r="G1874" s="602">
        <v>13.25</v>
      </c>
      <c r="H1874" s="597">
        <f t="shared" ref="H1874:H1902" si="380">E1874*G1874</f>
        <v>0</v>
      </c>
      <c r="I1874" s="596">
        <f t="shared" ref="I1874:I1902" si="381">+G1874*F1874</f>
        <v>0</v>
      </c>
      <c r="J1874" s="373"/>
    </row>
    <row r="1875" spans="1:10" ht="23.4" x14ac:dyDescent="0.3">
      <c r="A1875" s="1134"/>
      <c r="B1875" s="1012"/>
      <c r="C1875" s="279" t="s">
        <v>282</v>
      </c>
      <c r="D1875" s="434"/>
      <c r="E1875" s="280">
        <v>1</v>
      </c>
      <c r="F1875" s="435">
        <f t="shared" si="379"/>
        <v>4</v>
      </c>
      <c r="G1875" s="603">
        <v>34000</v>
      </c>
      <c r="H1875" s="597">
        <f t="shared" si="380"/>
        <v>34000</v>
      </c>
      <c r="I1875" s="596">
        <f t="shared" si="381"/>
        <v>136000</v>
      </c>
      <c r="J1875" s="373"/>
    </row>
    <row r="1876" spans="1:10" ht="23.4" x14ac:dyDescent="0.3">
      <c r="A1876" s="1134"/>
      <c r="B1876" s="1012"/>
      <c r="C1876" s="279" t="s">
        <v>282</v>
      </c>
      <c r="D1876" s="434"/>
      <c r="E1876" s="280"/>
      <c r="F1876" s="435">
        <f t="shared" si="379"/>
        <v>0</v>
      </c>
      <c r="G1876" s="603">
        <v>18000</v>
      </c>
      <c r="H1876" s="597">
        <f t="shared" si="380"/>
        <v>0</v>
      </c>
      <c r="I1876" s="596">
        <f t="shared" si="381"/>
        <v>0</v>
      </c>
      <c r="J1876" s="373"/>
    </row>
    <row r="1877" spans="1:10" ht="23.4" x14ac:dyDescent="0.3">
      <c r="A1877" s="1134"/>
      <c r="B1877" s="1012"/>
      <c r="C1877" s="279" t="s">
        <v>589</v>
      </c>
      <c r="D1877" s="434" t="s">
        <v>178</v>
      </c>
      <c r="E1877" s="280">
        <v>123318</v>
      </c>
      <c r="F1877" s="435">
        <f t="shared" si="379"/>
        <v>493272</v>
      </c>
      <c r="G1877" s="602">
        <v>26.36</v>
      </c>
      <c r="H1877" s="597">
        <f t="shared" si="380"/>
        <v>3250662.48</v>
      </c>
      <c r="I1877" s="596">
        <f t="shared" si="381"/>
        <v>13002649.92</v>
      </c>
      <c r="J1877" s="373"/>
    </row>
    <row r="1878" spans="1:10" ht="23.4" x14ac:dyDescent="0.3">
      <c r="A1878" s="1134"/>
      <c r="B1878" s="1012"/>
      <c r="C1878" s="746" t="s">
        <v>602</v>
      </c>
      <c r="D1878" s="747" t="s">
        <v>338</v>
      </c>
      <c r="E1878" s="280">
        <v>59670</v>
      </c>
      <c r="F1878" s="435">
        <f t="shared" si="379"/>
        <v>59670</v>
      </c>
      <c r="G1878" s="602">
        <v>24.93</v>
      </c>
      <c r="H1878" s="597">
        <f t="shared" si="380"/>
        <v>1487573.1</v>
      </c>
      <c r="I1878" s="596">
        <f t="shared" si="381"/>
        <v>1487573.1</v>
      </c>
      <c r="J1878" s="373"/>
    </row>
    <row r="1879" spans="1:10" ht="23.4" x14ac:dyDescent="0.3">
      <c r="A1879" s="1134"/>
      <c r="B1879" s="1012"/>
      <c r="C1879" s="746" t="s">
        <v>467</v>
      </c>
      <c r="D1879" s="747" t="s">
        <v>567</v>
      </c>
      <c r="E1879" s="280">
        <v>314262</v>
      </c>
      <c r="F1879" s="435">
        <f t="shared" si="379"/>
        <v>437580</v>
      </c>
      <c r="G1879" s="602">
        <v>26.75</v>
      </c>
      <c r="H1879" s="597">
        <f t="shared" si="380"/>
        <v>8406508.5</v>
      </c>
      <c r="I1879" s="596">
        <f t="shared" si="381"/>
        <v>11705265</v>
      </c>
      <c r="J1879" s="373"/>
    </row>
    <row r="1880" spans="1:10" ht="23.4" x14ac:dyDescent="0.3">
      <c r="A1880" s="1134"/>
      <c r="B1880" s="1012"/>
      <c r="C1880" s="746" t="s">
        <v>467</v>
      </c>
      <c r="D1880" s="747" t="s">
        <v>540</v>
      </c>
      <c r="E1880" s="280">
        <v>238680</v>
      </c>
      <c r="F1880" s="435">
        <f t="shared" si="379"/>
        <v>485316</v>
      </c>
      <c r="G1880" s="602">
        <v>25</v>
      </c>
      <c r="H1880" s="597">
        <f t="shared" si="380"/>
        <v>5967000</v>
      </c>
      <c r="I1880" s="596">
        <f t="shared" si="381"/>
        <v>12132900</v>
      </c>
      <c r="J1880" s="373"/>
    </row>
    <row r="1881" spans="1:10" ht="23.4" x14ac:dyDescent="0.3">
      <c r="A1881" s="1134"/>
      <c r="B1881" s="748"/>
      <c r="C1881" s="746" t="s">
        <v>603</v>
      </c>
      <c r="D1881" s="747" t="s">
        <v>604</v>
      </c>
      <c r="E1881" s="751">
        <v>246636</v>
      </c>
      <c r="F1881" s="752">
        <f t="shared" si="379"/>
        <v>246636</v>
      </c>
      <c r="G1881" s="753">
        <v>25</v>
      </c>
      <c r="H1881" s="754">
        <f t="shared" si="380"/>
        <v>6165900</v>
      </c>
      <c r="I1881" s="755">
        <f t="shared" si="381"/>
        <v>6165900</v>
      </c>
      <c r="J1881" s="756"/>
    </row>
    <row r="1882" spans="1:10" ht="23.4" x14ac:dyDescent="0.3">
      <c r="A1882" s="1134"/>
      <c r="B1882" s="1012"/>
      <c r="C1882" s="279" t="s">
        <v>444</v>
      </c>
      <c r="D1882" s="434" t="s">
        <v>423</v>
      </c>
      <c r="E1882" s="280">
        <v>358020</v>
      </c>
      <c r="F1882" s="435">
        <f t="shared" si="379"/>
        <v>358020</v>
      </c>
      <c r="G1882" s="602">
        <v>20.76</v>
      </c>
      <c r="H1882" s="597">
        <f t="shared" si="380"/>
        <v>7432495.2000000002</v>
      </c>
      <c r="I1882" s="596">
        <f t="shared" si="381"/>
        <v>7432495.2000000002</v>
      </c>
      <c r="J1882" s="373"/>
    </row>
    <row r="1883" spans="1:10" ht="23.4" x14ac:dyDescent="0.3">
      <c r="A1883" s="1134"/>
      <c r="B1883" s="1012"/>
      <c r="C1883" s="279" t="s">
        <v>298</v>
      </c>
      <c r="D1883" s="434" t="s">
        <v>107</v>
      </c>
      <c r="E1883" s="280"/>
      <c r="F1883" s="435">
        <f t="shared" si="379"/>
        <v>0</v>
      </c>
      <c r="G1883" s="602">
        <v>24.93</v>
      </c>
      <c r="H1883" s="597">
        <f t="shared" si="380"/>
        <v>0</v>
      </c>
      <c r="I1883" s="596">
        <f t="shared" si="381"/>
        <v>0</v>
      </c>
      <c r="J1883" s="373"/>
    </row>
    <row r="1884" spans="1:10" ht="23.4" x14ac:dyDescent="0.3">
      <c r="A1884" s="1134"/>
      <c r="B1884" s="1012"/>
      <c r="C1884" s="279" t="s">
        <v>299</v>
      </c>
      <c r="D1884" s="434" t="s">
        <v>280</v>
      </c>
      <c r="E1884" s="280"/>
      <c r="F1884" s="435">
        <f t="shared" si="379"/>
        <v>0</v>
      </c>
      <c r="G1884" s="602">
        <v>24.93</v>
      </c>
      <c r="H1884" s="597">
        <f t="shared" si="380"/>
        <v>0</v>
      </c>
      <c r="I1884" s="596">
        <f t="shared" si="381"/>
        <v>0</v>
      </c>
      <c r="J1884" s="373"/>
    </row>
    <row r="1885" spans="1:10" ht="23.4" x14ac:dyDescent="0.3">
      <c r="A1885" s="1134"/>
      <c r="B1885" s="1012"/>
      <c r="C1885" s="279" t="s">
        <v>425</v>
      </c>
      <c r="D1885" s="434" t="s">
        <v>309</v>
      </c>
      <c r="E1885" s="280">
        <v>55692</v>
      </c>
      <c r="F1885" s="435">
        <f t="shared" si="379"/>
        <v>55692</v>
      </c>
      <c r="G1885" s="602">
        <v>23.78</v>
      </c>
      <c r="H1885" s="597">
        <f t="shared" si="380"/>
        <v>1324355.76</v>
      </c>
      <c r="I1885" s="596">
        <f t="shared" si="381"/>
        <v>1324355.76</v>
      </c>
      <c r="J1885" s="373"/>
    </row>
    <row r="1886" spans="1:10" ht="23.4" x14ac:dyDescent="0.3">
      <c r="A1886" s="1134"/>
      <c r="B1886" s="1012"/>
      <c r="C1886" s="279" t="s">
        <v>354</v>
      </c>
      <c r="D1886" s="434" t="s">
        <v>309</v>
      </c>
      <c r="E1886" s="280">
        <v>28080</v>
      </c>
      <c r="F1886" s="435">
        <f t="shared" si="379"/>
        <v>28080</v>
      </c>
      <c r="G1886" s="602">
        <v>37.11</v>
      </c>
      <c r="H1886" s="597">
        <f t="shared" si="380"/>
        <v>1042048.7999999999</v>
      </c>
      <c r="I1886" s="596">
        <f t="shared" si="381"/>
        <v>1042048.7999999999</v>
      </c>
      <c r="J1886" s="373"/>
    </row>
    <row r="1887" spans="1:10" ht="23.4" x14ac:dyDescent="0.3">
      <c r="A1887" s="1134"/>
      <c r="B1887" s="1012"/>
      <c r="C1887" s="279" t="s">
        <v>355</v>
      </c>
      <c r="D1887" s="434" t="s">
        <v>309</v>
      </c>
      <c r="E1887" s="280">
        <v>74880</v>
      </c>
      <c r="F1887" s="435">
        <f t="shared" si="379"/>
        <v>80496</v>
      </c>
      <c r="G1887" s="602">
        <v>37.89</v>
      </c>
      <c r="H1887" s="597">
        <f t="shared" si="380"/>
        <v>2837203.2</v>
      </c>
      <c r="I1887" s="596">
        <f t="shared" si="381"/>
        <v>3049993.44</v>
      </c>
      <c r="J1887" s="373"/>
    </row>
    <row r="1888" spans="1:10" ht="23.4" x14ac:dyDescent="0.3">
      <c r="A1888" s="1134"/>
      <c r="B1888" s="1012"/>
      <c r="C1888" s="279" t="s">
        <v>461</v>
      </c>
      <c r="D1888" s="434" t="s">
        <v>92</v>
      </c>
      <c r="E1888" s="280"/>
      <c r="F1888" s="435">
        <f t="shared" si="379"/>
        <v>0</v>
      </c>
      <c r="G1888" s="602">
        <v>28.31</v>
      </c>
      <c r="H1888" s="597">
        <f t="shared" si="380"/>
        <v>0</v>
      </c>
      <c r="I1888" s="596">
        <f t="shared" si="381"/>
        <v>0</v>
      </c>
      <c r="J1888" s="373"/>
    </row>
    <row r="1889" spans="1:10" ht="23.4" x14ac:dyDescent="0.3">
      <c r="A1889" s="1134"/>
      <c r="B1889" s="1012"/>
      <c r="C1889" s="279" t="s">
        <v>461</v>
      </c>
      <c r="D1889" s="434" t="s">
        <v>423</v>
      </c>
      <c r="E1889" s="280"/>
      <c r="F1889" s="435">
        <f t="shared" si="379"/>
        <v>0</v>
      </c>
      <c r="G1889" s="602">
        <v>28.88</v>
      </c>
      <c r="H1889" s="597">
        <f t="shared" si="380"/>
        <v>0</v>
      </c>
      <c r="I1889" s="596">
        <f t="shared" si="381"/>
        <v>0</v>
      </c>
      <c r="J1889" s="373"/>
    </row>
    <row r="1890" spans="1:10" ht="23.4" x14ac:dyDescent="0.3">
      <c r="A1890" s="1134"/>
      <c r="B1890" s="1012"/>
      <c r="C1890" s="279" t="s">
        <v>462</v>
      </c>
      <c r="D1890" s="434" t="s">
        <v>423</v>
      </c>
      <c r="E1890" s="280">
        <v>7488</v>
      </c>
      <c r="F1890" s="435">
        <f t="shared" si="379"/>
        <v>7488</v>
      </c>
      <c r="G1890" s="602">
        <v>28.21</v>
      </c>
      <c r="H1890" s="597">
        <f t="shared" si="380"/>
        <v>211236.48000000001</v>
      </c>
      <c r="I1890" s="596">
        <f t="shared" si="381"/>
        <v>211236.48000000001</v>
      </c>
      <c r="J1890" s="373"/>
    </row>
    <row r="1891" spans="1:10" ht="23.4" x14ac:dyDescent="0.3">
      <c r="A1891" s="1134"/>
      <c r="B1891" s="1012"/>
      <c r="C1891" s="279" t="s">
        <v>588</v>
      </c>
      <c r="D1891" s="434" t="s">
        <v>587</v>
      </c>
      <c r="E1891" s="280">
        <v>310752</v>
      </c>
      <c r="F1891" s="435">
        <f t="shared" si="379"/>
        <v>351936</v>
      </c>
      <c r="G1891" s="602">
        <v>42.28</v>
      </c>
      <c r="H1891" s="597">
        <f t="shared" si="380"/>
        <v>13138594.560000001</v>
      </c>
      <c r="I1891" s="596">
        <f t="shared" si="381"/>
        <v>14879854.08</v>
      </c>
      <c r="J1891" s="373"/>
    </row>
    <row r="1892" spans="1:10" ht="23.4" x14ac:dyDescent="0.3">
      <c r="A1892" s="1134"/>
      <c r="B1892" s="1012"/>
      <c r="C1892" s="279" t="s">
        <v>463</v>
      </c>
      <c r="D1892" s="434" t="s">
        <v>92</v>
      </c>
      <c r="E1892" s="280"/>
      <c r="F1892" s="435">
        <f t="shared" si="379"/>
        <v>0</v>
      </c>
      <c r="G1892" s="602">
        <v>32.65</v>
      </c>
      <c r="H1892" s="597">
        <f t="shared" si="380"/>
        <v>0</v>
      </c>
      <c r="I1892" s="596">
        <f t="shared" si="381"/>
        <v>0</v>
      </c>
      <c r="J1892" s="373"/>
    </row>
    <row r="1893" spans="1:10" ht="23.4" x14ac:dyDescent="0.3">
      <c r="A1893" s="1134"/>
      <c r="B1893" s="1012"/>
      <c r="C1893" s="279" t="s">
        <v>463</v>
      </c>
      <c r="D1893" s="434" t="s">
        <v>423</v>
      </c>
      <c r="E1893" s="280"/>
      <c r="F1893" s="435">
        <f t="shared" si="379"/>
        <v>0</v>
      </c>
      <c r="G1893" s="602">
        <v>33.299999999999997</v>
      </c>
      <c r="H1893" s="597">
        <f t="shared" si="380"/>
        <v>0</v>
      </c>
      <c r="I1893" s="596">
        <f t="shared" si="381"/>
        <v>0</v>
      </c>
      <c r="J1893" s="373"/>
    </row>
    <row r="1894" spans="1:10" ht="23.4" x14ac:dyDescent="0.3">
      <c r="A1894" s="1134"/>
      <c r="B1894" s="1012"/>
      <c r="C1894" s="279" t="s">
        <v>299</v>
      </c>
      <c r="D1894" s="434" t="s">
        <v>279</v>
      </c>
      <c r="E1894" s="280"/>
      <c r="F1894" s="435">
        <f t="shared" si="379"/>
        <v>0</v>
      </c>
      <c r="G1894" s="602">
        <v>24.93</v>
      </c>
      <c r="H1894" s="597">
        <f t="shared" si="380"/>
        <v>0</v>
      </c>
      <c r="I1894" s="596">
        <f t="shared" si="381"/>
        <v>0</v>
      </c>
      <c r="J1894" s="373"/>
    </row>
    <row r="1895" spans="1:10" ht="23.4" x14ac:dyDescent="0.3">
      <c r="A1895" s="1134"/>
      <c r="B1895" s="1012"/>
      <c r="C1895" s="279" t="s">
        <v>299</v>
      </c>
      <c r="D1895" s="434"/>
      <c r="E1895" s="280"/>
      <c r="F1895" s="435">
        <f t="shared" si="379"/>
        <v>0</v>
      </c>
      <c r="G1895" s="602">
        <v>24.93</v>
      </c>
      <c r="H1895" s="597">
        <f t="shared" si="380"/>
        <v>0</v>
      </c>
      <c r="I1895" s="596">
        <f t="shared" si="381"/>
        <v>0</v>
      </c>
      <c r="J1895" s="373"/>
    </row>
    <row r="1896" spans="1:10" ht="23.4" x14ac:dyDescent="0.3">
      <c r="A1896" s="1134"/>
      <c r="B1896" s="1012"/>
      <c r="C1896" s="279" t="s">
        <v>316</v>
      </c>
      <c r="D1896" s="434" t="s">
        <v>289</v>
      </c>
      <c r="E1896" s="280"/>
      <c r="F1896" s="435">
        <f t="shared" si="379"/>
        <v>0</v>
      </c>
      <c r="G1896" s="602">
        <v>34.26</v>
      </c>
      <c r="H1896" s="597">
        <f t="shared" si="380"/>
        <v>0</v>
      </c>
      <c r="I1896" s="596">
        <f t="shared" si="381"/>
        <v>0</v>
      </c>
      <c r="J1896" s="373"/>
    </row>
    <row r="1897" spans="1:10" ht="23.4" x14ac:dyDescent="0.3">
      <c r="A1897" s="1134"/>
      <c r="B1897" s="1012"/>
      <c r="C1897" s="279" t="s">
        <v>328</v>
      </c>
      <c r="D1897" s="434" t="s">
        <v>360</v>
      </c>
      <c r="E1897" s="280"/>
      <c r="F1897" s="435">
        <f t="shared" si="379"/>
        <v>0</v>
      </c>
      <c r="G1897" s="602">
        <v>37.89</v>
      </c>
      <c r="H1897" s="597">
        <f t="shared" si="380"/>
        <v>0</v>
      </c>
      <c r="I1897" s="596">
        <f t="shared" si="381"/>
        <v>0</v>
      </c>
      <c r="J1897" s="373"/>
    </row>
    <row r="1898" spans="1:10" ht="23.4" x14ac:dyDescent="0.3">
      <c r="A1898" s="1134"/>
      <c r="B1898" s="1012"/>
      <c r="C1898" s="279" t="s">
        <v>363</v>
      </c>
      <c r="D1898" s="434" t="s">
        <v>338</v>
      </c>
      <c r="E1898" s="280"/>
      <c r="F1898" s="435">
        <f t="shared" si="379"/>
        <v>0</v>
      </c>
      <c r="G1898" s="602">
        <v>39</v>
      </c>
      <c r="H1898" s="597">
        <f t="shared" si="380"/>
        <v>0</v>
      </c>
      <c r="I1898" s="596">
        <f t="shared" si="381"/>
        <v>0</v>
      </c>
      <c r="J1898" s="373"/>
    </row>
    <row r="1899" spans="1:10" ht="23.4" x14ac:dyDescent="0.3">
      <c r="A1899" s="1134"/>
      <c r="B1899" s="1012"/>
      <c r="C1899" s="279" t="s">
        <v>299</v>
      </c>
      <c r="D1899" s="434" t="s">
        <v>177</v>
      </c>
      <c r="E1899" s="280">
        <v>39780</v>
      </c>
      <c r="F1899" s="435">
        <f t="shared" si="379"/>
        <v>39780</v>
      </c>
      <c r="G1899" s="602">
        <v>21.22</v>
      </c>
      <c r="H1899" s="597">
        <f t="shared" si="380"/>
        <v>844131.6</v>
      </c>
      <c r="I1899" s="596">
        <f t="shared" si="381"/>
        <v>844131.6</v>
      </c>
      <c r="J1899" s="373"/>
    </row>
    <row r="1900" spans="1:10" ht="23.4" x14ac:dyDescent="0.3">
      <c r="A1900" s="1134"/>
      <c r="B1900" s="1012"/>
      <c r="C1900" s="279" t="s">
        <v>298</v>
      </c>
      <c r="D1900" s="434" t="s">
        <v>177</v>
      </c>
      <c r="E1900" s="280"/>
      <c r="F1900" s="435">
        <f t="shared" si="379"/>
        <v>0</v>
      </c>
      <c r="G1900" s="602">
        <v>21.22</v>
      </c>
      <c r="H1900" s="597">
        <f t="shared" si="380"/>
        <v>0</v>
      </c>
      <c r="I1900" s="596">
        <f t="shared" si="381"/>
        <v>0</v>
      </c>
      <c r="J1900" s="373"/>
    </row>
    <row r="1901" spans="1:10" ht="23.4" x14ac:dyDescent="0.3">
      <c r="A1901" s="1134"/>
      <c r="B1901" s="1012"/>
      <c r="C1901" s="279" t="s">
        <v>339</v>
      </c>
      <c r="D1901" s="434" t="s">
        <v>304</v>
      </c>
      <c r="E1901" s="280"/>
      <c r="F1901" s="435">
        <f t="shared" si="379"/>
        <v>0</v>
      </c>
      <c r="G1901" s="602">
        <v>10000</v>
      </c>
      <c r="H1901" s="597">
        <f t="shared" si="380"/>
        <v>0</v>
      </c>
      <c r="I1901" s="596">
        <f t="shared" si="381"/>
        <v>0</v>
      </c>
      <c r="J1901" s="373"/>
    </row>
    <row r="1902" spans="1:10" ht="24" thickBot="1" x14ac:dyDescent="0.35">
      <c r="A1902" s="1134"/>
      <c r="B1902" s="1012"/>
      <c r="C1902" s="279" t="s">
        <v>303</v>
      </c>
      <c r="D1902" s="434" t="s">
        <v>304</v>
      </c>
      <c r="E1902" s="280"/>
      <c r="F1902" s="435">
        <f t="shared" si="379"/>
        <v>0</v>
      </c>
      <c r="G1902" s="602">
        <v>360</v>
      </c>
      <c r="H1902" s="597">
        <f t="shared" si="380"/>
        <v>0</v>
      </c>
      <c r="I1902" s="596">
        <f t="shared" si="381"/>
        <v>0</v>
      </c>
      <c r="J1902" s="373"/>
    </row>
    <row r="1903" spans="1:10" ht="24" thickBot="1" x14ac:dyDescent="0.35">
      <c r="A1903" s="1135"/>
      <c r="B1903" s="1129" t="s">
        <v>268</v>
      </c>
      <c r="C1903" s="1130"/>
      <c r="D1903" s="1014"/>
      <c r="E1903" s="326">
        <f>SUM(E1874:E1902)</f>
        <v>1857259</v>
      </c>
      <c r="F1903" s="326">
        <f t="shared" si="379"/>
        <v>2643970</v>
      </c>
      <c r="G1903" s="326"/>
      <c r="H1903" s="587">
        <f>SUM(H1874:H1902)</f>
        <v>52141709.68</v>
      </c>
      <c r="I1903" s="580">
        <f>SUM(I1874:I1902)</f>
        <v>73414403.37999998</v>
      </c>
      <c r="J1903" s="373"/>
    </row>
    <row r="1904" spans="1:10" ht="23.4" x14ac:dyDescent="0.3">
      <c r="A1904" s="1133" t="s">
        <v>102</v>
      </c>
      <c r="B1904" s="1012"/>
      <c r="C1904" s="279" t="s">
        <v>509</v>
      </c>
      <c r="D1904" s="434" t="s">
        <v>238</v>
      </c>
      <c r="E1904" s="280">
        <v>4149</v>
      </c>
      <c r="F1904" s="435">
        <f t="shared" si="379"/>
        <v>12749</v>
      </c>
      <c r="G1904" s="803">
        <v>624.26</v>
      </c>
      <c r="H1904" s="593">
        <f>E1904*G1904</f>
        <v>2590054.7399999998</v>
      </c>
      <c r="I1904" s="596">
        <f t="shared" ref="I1904:I1906" si="382">+G1904*F1904</f>
        <v>7958690.7400000002</v>
      </c>
      <c r="J1904" s="373"/>
    </row>
    <row r="1905" spans="1:10" ht="23.4" x14ac:dyDescent="0.3">
      <c r="A1905" s="1134"/>
      <c r="B1905" s="1012"/>
      <c r="C1905" s="279" t="s">
        <v>273</v>
      </c>
      <c r="D1905" s="434" t="s">
        <v>238</v>
      </c>
      <c r="E1905" s="280">
        <v>5440</v>
      </c>
      <c r="F1905" s="435">
        <f t="shared" si="379"/>
        <v>43899</v>
      </c>
      <c r="G1905" s="602">
        <v>430.02</v>
      </c>
      <c r="H1905" s="593">
        <f t="shared" ref="H1905:H1926" si="383">E1905*G1905</f>
        <v>2339308.7999999998</v>
      </c>
      <c r="I1905" s="596">
        <f t="shared" si="382"/>
        <v>18877447.98</v>
      </c>
      <c r="J1905" s="373"/>
    </row>
    <row r="1906" spans="1:10" ht="23.4" x14ac:dyDescent="0.3">
      <c r="A1906" s="1134"/>
      <c r="B1906" s="1012"/>
      <c r="C1906" s="279" t="s">
        <v>390</v>
      </c>
      <c r="D1906" s="434" t="s">
        <v>238</v>
      </c>
      <c r="E1906" s="280"/>
      <c r="F1906" s="435">
        <f t="shared" ref="F1906:F1929" si="384">+E1906+F1809</f>
        <v>0</v>
      </c>
      <c r="G1906" s="602">
        <v>445.38</v>
      </c>
      <c r="H1906" s="593">
        <f t="shared" si="383"/>
        <v>0</v>
      </c>
      <c r="I1906" s="596">
        <f t="shared" si="382"/>
        <v>0</v>
      </c>
      <c r="J1906" s="373"/>
    </row>
    <row r="1907" spans="1:10" ht="23.4" x14ac:dyDescent="0.3">
      <c r="A1907" s="1134"/>
      <c r="B1907" s="1012"/>
      <c r="C1907" s="279" t="s">
        <v>301</v>
      </c>
      <c r="D1907" s="434" t="s">
        <v>238</v>
      </c>
      <c r="E1907" s="280"/>
      <c r="F1907" s="435">
        <f t="shared" si="384"/>
        <v>8640</v>
      </c>
      <c r="G1907" s="602">
        <v>63.55</v>
      </c>
      <c r="H1907" s="593">
        <f t="shared" si="383"/>
        <v>0</v>
      </c>
      <c r="I1907" s="596">
        <f>+G1907*F1907</f>
        <v>549072</v>
      </c>
      <c r="J1907" s="373"/>
    </row>
    <row r="1908" spans="1:10" ht="23.4" x14ac:dyDescent="0.3">
      <c r="A1908" s="1134"/>
      <c r="B1908" s="1012"/>
      <c r="C1908" s="279" t="s">
        <v>514</v>
      </c>
      <c r="D1908" s="434" t="s">
        <v>238</v>
      </c>
      <c r="E1908" s="280"/>
      <c r="F1908" s="435">
        <f t="shared" si="384"/>
        <v>51540</v>
      </c>
      <c r="G1908" s="602">
        <v>71.44</v>
      </c>
      <c r="H1908" s="593">
        <f t="shared" si="383"/>
        <v>0</v>
      </c>
      <c r="I1908" s="596">
        <f>+G1908*F1908</f>
        <v>3682017.6</v>
      </c>
      <c r="J1908" s="373"/>
    </row>
    <row r="1909" spans="1:10" ht="23.4" x14ac:dyDescent="0.3">
      <c r="A1909" s="1134"/>
      <c r="B1909" s="1012"/>
      <c r="C1909" s="279" t="s">
        <v>275</v>
      </c>
      <c r="D1909" s="434" t="s">
        <v>238</v>
      </c>
      <c r="E1909" s="280">
        <v>152280</v>
      </c>
      <c r="F1909" s="435">
        <f t="shared" si="384"/>
        <v>519444</v>
      </c>
      <c r="G1909" s="602">
        <v>71.44</v>
      </c>
      <c r="H1909" s="593">
        <f t="shared" si="383"/>
        <v>10878883.199999999</v>
      </c>
      <c r="I1909" s="596">
        <f t="shared" ref="I1909:I1926" si="385">+G1909*F1909</f>
        <v>37109079.359999999</v>
      </c>
      <c r="J1909" s="373"/>
    </row>
    <row r="1910" spans="1:10" ht="23.4" x14ac:dyDescent="0.3">
      <c r="A1910" s="1134"/>
      <c r="B1910" s="1012"/>
      <c r="C1910" s="279" t="s">
        <v>276</v>
      </c>
      <c r="D1910" s="434" t="s">
        <v>238</v>
      </c>
      <c r="E1910" s="280"/>
      <c r="F1910" s="435">
        <f t="shared" si="384"/>
        <v>0</v>
      </c>
      <c r="G1910" s="602">
        <v>36.5</v>
      </c>
      <c r="H1910" s="593">
        <f t="shared" si="383"/>
        <v>0</v>
      </c>
      <c r="I1910" s="596">
        <f t="shared" si="385"/>
        <v>0</v>
      </c>
      <c r="J1910" s="373"/>
    </row>
    <row r="1911" spans="1:10" ht="23.4" x14ac:dyDescent="0.3">
      <c r="A1911" s="1134"/>
      <c r="B1911" s="1012"/>
      <c r="C1911" s="279" t="s">
        <v>527</v>
      </c>
      <c r="D1911" s="434" t="s">
        <v>238</v>
      </c>
      <c r="E1911" s="280">
        <v>16100</v>
      </c>
      <c r="F1911" s="435">
        <f t="shared" si="384"/>
        <v>30100</v>
      </c>
      <c r="G1911" s="602">
        <v>320.35000000000002</v>
      </c>
      <c r="H1911" s="593">
        <f t="shared" si="383"/>
        <v>5157635</v>
      </c>
      <c r="I1911" s="596">
        <f t="shared" si="385"/>
        <v>9642535</v>
      </c>
      <c r="J1911" s="373"/>
    </row>
    <row r="1912" spans="1:10" ht="23.4" x14ac:dyDescent="0.3">
      <c r="A1912" s="1134"/>
      <c r="B1912" s="1012"/>
      <c r="C1912" s="279" t="s">
        <v>285</v>
      </c>
      <c r="D1912" s="434" t="s">
        <v>238</v>
      </c>
      <c r="E1912" s="280"/>
      <c r="F1912" s="435">
        <f t="shared" si="384"/>
        <v>0</v>
      </c>
      <c r="G1912" s="602">
        <v>320.35000000000002</v>
      </c>
      <c r="H1912" s="593">
        <f t="shared" si="383"/>
        <v>0</v>
      </c>
      <c r="I1912" s="596">
        <f t="shared" si="385"/>
        <v>0</v>
      </c>
      <c r="J1912" s="373"/>
    </row>
    <row r="1913" spans="1:10" ht="23.4" x14ac:dyDescent="0.3">
      <c r="A1913" s="1134"/>
      <c r="B1913" s="1012"/>
      <c r="C1913" s="279" t="s">
        <v>296</v>
      </c>
      <c r="D1913" s="434" t="s">
        <v>238</v>
      </c>
      <c r="E1913" s="280"/>
      <c r="F1913" s="435">
        <f t="shared" si="384"/>
        <v>0</v>
      </c>
      <c r="G1913" s="602">
        <v>434.41</v>
      </c>
      <c r="H1913" s="593">
        <f t="shared" si="383"/>
        <v>0</v>
      </c>
      <c r="I1913" s="596">
        <f t="shared" si="385"/>
        <v>0</v>
      </c>
      <c r="J1913" s="373"/>
    </row>
    <row r="1914" spans="1:10" ht="23.4" x14ac:dyDescent="0.3">
      <c r="A1914" s="1134"/>
      <c r="B1914" s="1012"/>
      <c r="C1914" s="279" t="s">
        <v>282</v>
      </c>
      <c r="D1914" s="434" t="s">
        <v>238</v>
      </c>
      <c r="E1914" s="280"/>
      <c r="F1914" s="435">
        <f t="shared" si="384"/>
        <v>1</v>
      </c>
      <c r="G1914" s="602">
        <v>29690</v>
      </c>
      <c r="H1914" s="593">
        <f t="shared" si="383"/>
        <v>0</v>
      </c>
      <c r="I1914" s="596">
        <f t="shared" si="385"/>
        <v>29690</v>
      </c>
      <c r="J1914" s="373"/>
    </row>
    <row r="1915" spans="1:10" ht="23.4" x14ac:dyDescent="0.3">
      <c r="A1915" s="1134"/>
      <c r="B1915" s="1012"/>
      <c r="C1915" s="279" t="s">
        <v>282</v>
      </c>
      <c r="D1915" s="434" t="s">
        <v>238</v>
      </c>
      <c r="E1915" s="280"/>
      <c r="F1915" s="435">
        <f t="shared" si="384"/>
        <v>3</v>
      </c>
      <c r="G1915" s="602">
        <v>26445</v>
      </c>
      <c r="H1915" s="593">
        <f t="shared" si="383"/>
        <v>0</v>
      </c>
      <c r="I1915" s="596">
        <f t="shared" si="385"/>
        <v>79335</v>
      </c>
      <c r="J1915" s="373"/>
    </row>
    <row r="1916" spans="1:10" ht="23.4" x14ac:dyDescent="0.3">
      <c r="A1916" s="1134"/>
      <c r="B1916" s="1012"/>
      <c r="C1916" s="279" t="s">
        <v>282</v>
      </c>
      <c r="D1916" s="434"/>
      <c r="E1916" s="280">
        <v>29</v>
      </c>
      <c r="F1916" s="435">
        <f t="shared" si="384"/>
        <v>29</v>
      </c>
      <c r="G1916" s="602">
        <v>31826.37931</v>
      </c>
      <c r="H1916" s="593">
        <f t="shared" si="383"/>
        <v>922964.99999000004</v>
      </c>
      <c r="I1916" s="596">
        <f t="shared" si="385"/>
        <v>922964.99999000004</v>
      </c>
      <c r="J1916" s="373"/>
    </row>
    <row r="1917" spans="1:10" ht="23.4" x14ac:dyDescent="0.3">
      <c r="A1917" s="1134"/>
      <c r="B1917" s="1012"/>
      <c r="C1917" s="279" t="s">
        <v>311</v>
      </c>
      <c r="D1917" s="434" t="s">
        <v>337</v>
      </c>
      <c r="E1917" s="280"/>
      <c r="F1917" s="435">
        <f t="shared" si="384"/>
        <v>0</v>
      </c>
      <c r="G1917" s="602">
        <v>50</v>
      </c>
      <c r="H1917" s="593">
        <f t="shared" si="383"/>
        <v>0</v>
      </c>
      <c r="I1917" s="596">
        <f t="shared" si="385"/>
        <v>0</v>
      </c>
      <c r="J1917" s="373"/>
    </row>
    <row r="1918" spans="1:10" ht="23.4" x14ac:dyDescent="0.3">
      <c r="A1918" s="1134"/>
      <c r="B1918" s="1012"/>
      <c r="C1918" s="279" t="s">
        <v>311</v>
      </c>
      <c r="D1918" s="434"/>
      <c r="E1918" s="280">
        <v>31080</v>
      </c>
      <c r="F1918" s="435">
        <f t="shared" si="384"/>
        <v>31080</v>
      </c>
      <c r="G1918" s="602">
        <v>10</v>
      </c>
      <c r="H1918" s="593">
        <f t="shared" si="383"/>
        <v>310800</v>
      </c>
      <c r="I1918" s="596">
        <f t="shared" si="385"/>
        <v>310800</v>
      </c>
      <c r="J1918" s="373"/>
    </row>
    <row r="1919" spans="1:10" ht="23.4" x14ac:dyDescent="0.3">
      <c r="A1919" s="1134"/>
      <c r="B1919" s="1012"/>
      <c r="C1919" s="279" t="s">
        <v>329</v>
      </c>
      <c r="D1919" s="434" t="s">
        <v>370</v>
      </c>
      <c r="E1919" s="280">
        <v>12800</v>
      </c>
      <c r="F1919" s="435">
        <f t="shared" si="384"/>
        <v>24000</v>
      </c>
      <c r="G1919" s="803">
        <v>65.459999999999994</v>
      </c>
      <c r="H1919" s="593">
        <f t="shared" si="383"/>
        <v>837887.99999999988</v>
      </c>
      <c r="I1919" s="596">
        <f t="shared" si="385"/>
        <v>1571039.9999999998</v>
      </c>
      <c r="J1919" s="373"/>
    </row>
    <row r="1920" spans="1:10" ht="23.4" x14ac:dyDescent="0.3">
      <c r="A1920" s="1134"/>
      <c r="B1920" s="1012"/>
      <c r="C1920" s="279" t="s">
        <v>329</v>
      </c>
      <c r="D1920" s="434" t="s">
        <v>364</v>
      </c>
      <c r="E1920" s="280"/>
      <c r="F1920" s="435">
        <f t="shared" si="384"/>
        <v>0</v>
      </c>
      <c r="G1920" s="602">
        <v>57.64</v>
      </c>
      <c r="H1920" s="593">
        <f t="shared" si="383"/>
        <v>0</v>
      </c>
      <c r="I1920" s="596">
        <f t="shared" si="385"/>
        <v>0</v>
      </c>
      <c r="J1920" s="373"/>
    </row>
    <row r="1921" spans="1:10" ht="23.4" x14ac:dyDescent="0.3">
      <c r="A1921" s="1134"/>
      <c r="B1921" s="1012"/>
      <c r="C1921" s="279" t="s">
        <v>330</v>
      </c>
      <c r="D1921" s="434" t="s">
        <v>331</v>
      </c>
      <c r="E1921" s="280"/>
      <c r="F1921" s="435">
        <f t="shared" si="384"/>
        <v>0</v>
      </c>
      <c r="G1921" s="602">
        <v>434.41</v>
      </c>
      <c r="H1921" s="593">
        <f t="shared" si="383"/>
        <v>0</v>
      </c>
      <c r="I1921" s="596">
        <f t="shared" si="385"/>
        <v>0</v>
      </c>
      <c r="J1921" s="373"/>
    </row>
    <row r="1922" spans="1:10" ht="23.4" x14ac:dyDescent="0.3">
      <c r="A1922" s="1134"/>
      <c r="B1922" s="1012"/>
      <c r="C1922" s="279" t="s">
        <v>343</v>
      </c>
      <c r="D1922" s="434" t="s">
        <v>238</v>
      </c>
      <c r="E1922" s="280"/>
      <c r="F1922" s="435">
        <f t="shared" si="384"/>
        <v>0</v>
      </c>
      <c r="G1922" s="602">
        <v>624.26</v>
      </c>
      <c r="H1922" s="593">
        <f t="shared" si="383"/>
        <v>0</v>
      </c>
      <c r="I1922" s="596">
        <f t="shared" si="385"/>
        <v>0</v>
      </c>
      <c r="J1922" s="373"/>
    </row>
    <row r="1923" spans="1:10" ht="23.4" x14ac:dyDescent="0.3">
      <c r="A1923" s="1134"/>
      <c r="B1923" s="1012"/>
      <c r="C1923" s="279" t="s">
        <v>332</v>
      </c>
      <c r="D1923" s="434" t="s">
        <v>331</v>
      </c>
      <c r="E1923" s="280"/>
      <c r="F1923" s="435">
        <f t="shared" si="384"/>
        <v>0</v>
      </c>
      <c r="G1923" s="602">
        <v>63.55</v>
      </c>
      <c r="H1923" s="593">
        <f t="shared" si="383"/>
        <v>0</v>
      </c>
      <c r="I1923" s="596">
        <f t="shared" si="385"/>
        <v>0</v>
      </c>
      <c r="J1923" s="373"/>
    </row>
    <row r="1924" spans="1:10" ht="23.4" x14ac:dyDescent="0.3">
      <c r="A1924" s="1134"/>
      <c r="B1924" s="1012"/>
      <c r="C1924" s="279" t="s">
        <v>559</v>
      </c>
      <c r="D1924" s="434" t="s">
        <v>238</v>
      </c>
      <c r="E1924" s="280"/>
      <c r="F1924" s="435">
        <f t="shared" si="384"/>
        <v>48696</v>
      </c>
      <c r="G1924" s="602">
        <v>59.96</v>
      </c>
      <c r="H1924" s="593">
        <f t="shared" si="383"/>
        <v>0</v>
      </c>
      <c r="I1924" s="596">
        <f t="shared" si="385"/>
        <v>2919812.16</v>
      </c>
      <c r="J1924" s="373"/>
    </row>
    <row r="1925" spans="1:10" ht="23.4" x14ac:dyDescent="0.3">
      <c r="A1925" s="1134"/>
      <c r="B1925" s="1012"/>
      <c r="C1925" s="279" t="s">
        <v>419</v>
      </c>
      <c r="D1925" s="434" t="s">
        <v>331</v>
      </c>
      <c r="E1925" s="280"/>
      <c r="F1925" s="435">
        <f t="shared" si="384"/>
        <v>0</v>
      </c>
      <c r="G1925" s="602">
        <v>53.86</v>
      </c>
      <c r="H1925" s="593">
        <f t="shared" si="383"/>
        <v>0</v>
      </c>
      <c r="I1925" s="596">
        <f t="shared" si="385"/>
        <v>0</v>
      </c>
      <c r="J1925" s="373"/>
    </row>
    <row r="1926" spans="1:10" ht="23.4" x14ac:dyDescent="0.3">
      <c r="A1926" s="1134"/>
      <c r="B1926" s="1012"/>
      <c r="C1926" s="279" t="s">
        <v>379</v>
      </c>
      <c r="D1926" s="434"/>
      <c r="E1926" s="280"/>
      <c r="F1926" s="435">
        <f t="shared" si="384"/>
        <v>0</v>
      </c>
      <c r="G1926" s="602">
        <v>360</v>
      </c>
      <c r="H1926" s="593">
        <f t="shared" si="383"/>
        <v>0</v>
      </c>
      <c r="I1926" s="596">
        <f t="shared" si="385"/>
        <v>0</v>
      </c>
      <c r="J1926" s="373"/>
    </row>
    <row r="1927" spans="1:10" ht="23.4" x14ac:dyDescent="0.3">
      <c r="A1927" s="1134"/>
      <c r="B1927" s="1012"/>
      <c r="C1927" s="279" t="s">
        <v>471</v>
      </c>
      <c r="D1927" s="434"/>
      <c r="E1927" s="280"/>
      <c r="F1927" s="435">
        <f t="shared" si="384"/>
        <v>0</v>
      </c>
      <c r="G1927" s="602"/>
      <c r="H1927" s="593">
        <f>+E1927</f>
        <v>0</v>
      </c>
      <c r="I1927" s="596">
        <f>+H1927</f>
        <v>0</v>
      </c>
      <c r="J1927" s="373"/>
    </row>
    <row r="1928" spans="1:10" ht="23.4" x14ac:dyDescent="0.3">
      <c r="A1928" s="1134"/>
      <c r="B1928" s="1012"/>
      <c r="C1928" s="279" t="s">
        <v>282</v>
      </c>
      <c r="D1928" s="434"/>
      <c r="E1928" s="280"/>
      <c r="F1928" s="435">
        <f t="shared" si="384"/>
        <v>0</v>
      </c>
      <c r="G1928" s="602">
        <v>39450</v>
      </c>
      <c r="H1928" s="593">
        <f t="shared" ref="H1928:H1929" si="386">E1928*G1928</f>
        <v>0</v>
      </c>
      <c r="I1928" s="596">
        <f t="shared" ref="I1928:I1929" si="387">+G1928*F1928</f>
        <v>0</v>
      </c>
      <c r="J1928" s="373"/>
    </row>
    <row r="1929" spans="1:10" ht="24" thickBot="1" x14ac:dyDescent="0.35">
      <c r="A1929" s="1134"/>
      <c r="B1929" s="1012"/>
      <c r="C1929" s="279" t="s">
        <v>329</v>
      </c>
      <c r="D1929" s="434" t="s">
        <v>443</v>
      </c>
      <c r="E1929" s="280"/>
      <c r="F1929" s="435">
        <f t="shared" si="384"/>
        <v>0</v>
      </c>
      <c r="G1929" s="602">
        <v>57.64</v>
      </c>
      <c r="H1929" s="593">
        <f t="shared" si="386"/>
        <v>0</v>
      </c>
      <c r="I1929" s="596">
        <f t="shared" si="387"/>
        <v>0</v>
      </c>
      <c r="J1929" s="373"/>
    </row>
    <row r="1930" spans="1:10" ht="24" thickBot="1" x14ac:dyDescent="0.35">
      <c r="A1930" s="1135"/>
      <c r="B1930" s="1129" t="s">
        <v>270</v>
      </c>
      <c r="C1930" s="1130"/>
      <c r="D1930" s="1014"/>
      <c r="E1930" s="326">
        <f>SUM(E1904:E1929)</f>
        <v>221878</v>
      </c>
      <c r="F1930" s="326">
        <f>SUM(F1904:F1929)</f>
        <v>770181</v>
      </c>
      <c r="G1930" s="326"/>
      <c r="H1930" s="590">
        <f>SUM(H1904:H1929)</f>
        <v>23037534.73999</v>
      </c>
      <c r="I1930" s="580">
        <f>SUM(I1904:I1929)</f>
        <v>83652484.839990005</v>
      </c>
      <c r="J1930" s="372"/>
    </row>
    <row r="1931" spans="1:10" ht="24" thickBot="1" x14ac:dyDescent="0.35">
      <c r="A1931" s="1018"/>
      <c r="B1931" s="437"/>
      <c r="C1931" s="279" t="s">
        <v>379</v>
      </c>
      <c r="D1931" s="434"/>
      <c r="E1931" s="280"/>
      <c r="F1931" s="281">
        <f>+E1931</f>
        <v>0</v>
      </c>
      <c r="G1931" s="334"/>
      <c r="H1931" s="589">
        <f t="shared" ref="H1931" si="388">E1931*G1931</f>
        <v>0</v>
      </c>
      <c r="I1931" s="282">
        <f t="shared" ref="I1931" si="389">+G1931*F1931</f>
        <v>0</v>
      </c>
      <c r="J1931" s="373"/>
    </row>
    <row r="1932" spans="1:10" ht="24" thickBot="1" x14ac:dyDescent="0.35">
      <c r="A1932" s="1018"/>
      <c r="B1932" s="1129" t="s">
        <v>224</v>
      </c>
      <c r="C1932" s="1130"/>
      <c r="D1932" s="1010"/>
      <c r="E1932" s="326"/>
      <c r="F1932" s="327"/>
      <c r="G1932" s="326"/>
      <c r="H1932" s="587"/>
      <c r="I1932" s="324">
        <f>SUM(I1931)</f>
        <v>0</v>
      </c>
      <c r="J1932" s="349"/>
    </row>
    <row r="1933" spans="1:10" ht="24.6" thickBot="1" x14ac:dyDescent="0.35">
      <c r="A1933" s="319"/>
      <c r="B1933" s="1131" t="s">
        <v>174</v>
      </c>
      <c r="C1933" s="1132"/>
      <c r="D1933" s="1011"/>
      <c r="E1933" s="374">
        <f>+E1930+E1903+E1873+E1871</f>
        <v>2803523</v>
      </c>
      <c r="F1933" s="374">
        <f>+F1930+F1903+F1873+F1871</f>
        <v>5533844</v>
      </c>
      <c r="G1933" s="374"/>
      <c r="H1933" s="374"/>
      <c r="I1933" s="374">
        <f>+I1930+I1903+I1873+I1932</f>
        <v>198594584.47998998</v>
      </c>
      <c r="J1933" s="375"/>
    </row>
    <row r="1935" spans="1:10" x14ac:dyDescent="0.3">
      <c r="G1935" s="222"/>
      <c r="H1935" s="222"/>
    </row>
  </sheetData>
  <mergeCells count="481">
    <mergeCell ref="B1932:C1932"/>
    <mergeCell ref="B1933:C1933"/>
    <mergeCell ref="A1841:A1873"/>
    <mergeCell ref="B1859:C1859"/>
    <mergeCell ref="B1866:C1866"/>
    <mergeCell ref="B1871:C1871"/>
    <mergeCell ref="B1873:C1873"/>
    <mergeCell ref="A1874:A1903"/>
    <mergeCell ref="B1903:C1903"/>
    <mergeCell ref="A1904:A1930"/>
    <mergeCell ref="B1930:C1930"/>
    <mergeCell ref="A1837:A1840"/>
    <mergeCell ref="B1837:B1840"/>
    <mergeCell ref="C1837:C1840"/>
    <mergeCell ref="D1837:D1840"/>
    <mergeCell ref="E1837:J1837"/>
    <mergeCell ref="E1838:F1838"/>
    <mergeCell ref="G1838:J1838"/>
    <mergeCell ref="E1839:E1840"/>
    <mergeCell ref="F1839:F1840"/>
    <mergeCell ref="G1839:G1840"/>
    <mergeCell ref="H1839:H1840"/>
    <mergeCell ref="I1839:I1840"/>
    <mergeCell ref="J1839:J1840"/>
    <mergeCell ref="B1647:C1647"/>
    <mergeCell ref="B1648:C1648"/>
    <mergeCell ref="A1559:A1588"/>
    <mergeCell ref="B1574:C1574"/>
    <mergeCell ref="B1581:C1581"/>
    <mergeCell ref="B1586:C1586"/>
    <mergeCell ref="B1588:C1588"/>
    <mergeCell ref="A1589:A1618"/>
    <mergeCell ref="B1618:C1618"/>
    <mergeCell ref="A1619:A1645"/>
    <mergeCell ref="B1645:C1645"/>
    <mergeCell ref="A1555:A1558"/>
    <mergeCell ref="B1555:B1558"/>
    <mergeCell ref="C1555:C1558"/>
    <mergeCell ref="D1555:D1558"/>
    <mergeCell ref="E1555:J1555"/>
    <mergeCell ref="E1556:F1556"/>
    <mergeCell ref="G1556:J1556"/>
    <mergeCell ref="E1557:E1558"/>
    <mergeCell ref="F1557:F1558"/>
    <mergeCell ref="G1557:G1558"/>
    <mergeCell ref="H1557:H1558"/>
    <mergeCell ref="I1557:I1558"/>
    <mergeCell ref="J1557:J1558"/>
    <mergeCell ref="B1553:C1553"/>
    <mergeCell ref="B1554:C1554"/>
    <mergeCell ref="A1465:A1494"/>
    <mergeCell ref="B1480:C1480"/>
    <mergeCell ref="B1487:C1487"/>
    <mergeCell ref="B1492:C1492"/>
    <mergeCell ref="B1494:C1494"/>
    <mergeCell ref="A1495:A1524"/>
    <mergeCell ref="B1524:C1524"/>
    <mergeCell ref="A1525:A1551"/>
    <mergeCell ref="B1551:C1551"/>
    <mergeCell ref="A1461:A1464"/>
    <mergeCell ref="B1461:B1464"/>
    <mergeCell ref="C1461:C1464"/>
    <mergeCell ref="D1461:D1464"/>
    <mergeCell ref="E1461:J1461"/>
    <mergeCell ref="E1462:F1462"/>
    <mergeCell ref="G1462:J1462"/>
    <mergeCell ref="E1463:E1464"/>
    <mergeCell ref="F1463:F1464"/>
    <mergeCell ref="G1463:G1464"/>
    <mergeCell ref="H1463:H1464"/>
    <mergeCell ref="I1463:I1464"/>
    <mergeCell ref="J1463:J1464"/>
    <mergeCell ref="B1271:C1271"/>
    <mergeCell ref="B1272:C1272"/>
    <mergeCell ref="A1183:A1212"/>
    <mergeCell ref="B1198:C1198"/>
    <mergeCell ref="B1205:C1205"/>
    <mergeCell ref="B1210:C1210"/>
    <mergeCell ref="B1212:C1212"/>
    <mergeCell ref="A1213:A1242"/>
    <mergeCell ref="B1242:C1242"/>
    <mergeCell ref="A1243:A1269"/>
    <mergeCell ref="B1269:C1269"/>
    <mergeCell ref="A1179:A1182"/>
    <mergeCell ref="B1179:B1182"/>
    <mergeCell ref="C1179:C1182"/>
    <mergeCell ref="D1179:D1182"/>
    <mergeCell ref="E1179:J1179"/>
    <mergeCell ref="E1180:F1180"/>
    <mergeCell ref="G1180:J1180"/>
    <mergeCell ref="E1181:E1182"/>
    <mergeCell ref="F1181:F1182"/>
    <mergeCell ref="G1181:G1182"/>
    <mergeCell ref="H1181:H1182"/>
    <mergeCell ref="I1181:I1182"/>
    <mergeCell ref="J1181:J1182"/>
    <mergeCell ref="B1177:C1177"/>
    <mergeCell ref="B1178:C1178"/>
    <mergeCell ref="A1089:A1118"/>
    <mergeCell ref="B1104:C1104"/>
    <mergeCell ref="B1111:C1111"/>
    <mergeCell ref="B1116:C1116"/>
    <mergeCell ref="B1118:C1118"/>
    <mergeCell ref="A1119:A1148"/>
    <mergeCell ref="B1148:C1148"/>
    <mergeCell ref="A1149:A1175"/>
    <mergeCell ref="B1175:C1175"/>
    <mergeCell ref="A1085:A1088"/>
    <mergeCell ref="B1085:B1088"/>
    <mergeCell ref="C1085:C1088"/>
    <mergeCell ref="D1085:D1088"/>
    <mergeCell ref="E1085:J1085"/>
    <mergeCell ref="E1086:F1086"/>
    <mergeCell ref="G1086:J1086"/>
    <mergeCell ref="E1087:E1088"/>
    <mergeCell ref="F1087:F1088"/>
    <mergeCell ref="G1087:G1088"/>
    <mergeCell ref="H1087:H1088"/>
    <mergeCell ref="I1087:I1088"/>
    <mergeCell ref="J1087:J1088"/>
    <mergeCell ref="B1083:C1083"/>
    <mergeCell ref="B1084:C1084"/>
    <mergeCell ref="A995:A1024"/>
    <mergeCell ref="B1010:C1010"/>
    <mergeCell ref="B1017:C1017"/>
    <mergeCell ref="B1022:C1022"/>
    <mergeCell ref="B1024:C1024"/>
    <mergeCell ref="A1025:A1054"/>
    <mergeCell ref="B1054:C1054"/>
    <mergeCell ref="A1055:A1081"/>
    <mergeCell ref="B1081:C1081"/>
    <mergeCell ref="A991:A994"/>
    <mergeCell ref="B991:B994"/>
    <mergeCell ref="C991:C994"/>
    <mergeCell ref="D991:D994"/>
    <mergeCell ref="E991:J991"/>
    <mergeCell ref="E992:F992"/>
    <mergeCell ref="G992:J992"/>
    <mergeCell ref="E993:E994"/>
    <mergeCell ref="F993:F994"/>
    <mergeCell ref="G993:G994"/>
    <mergeCell ref="H993:H994"/>
    <mergeCell ref="I993:I994"/>
    <mergeCell ref="J993:J994"/>
    <mergeCell ref="B895:C895"/>
    <mergeCell ref="B896:C896"/>
    <mergeCell ref="A807:A836"/>
    <mergeCell ref="B822:C822"/>
    <mergeCell ref="B829:C829"/>
    <mergeCell ref="B834:C834"/>
    <mergeCell ref="B836:C836"/>
    <mergeCell ref="A837:A866"/>
    <mergeCell ref="B866:C866"/>
    <mergeCell ref="A867:A893"/>
    <mergeCell ref="B893:C893"/>
    <mergeCell ref="A803:A806"/>
    <mergeCell ref="B803:B806"/>
    <mergeCell ref="C803:C806"/>
    <mergeCell ref="D803:D806"/>
    <mergeCell ref="E803:J803"/>
    <mergeCell ref="E804:F804"/>
    <mergeCell ref="G804:J804"/>
    <mergeCell ref="E805:E806"/>
    <mergeCell ref="F805:F806"/>
    <mergeCell ref="G805:G806"/>
    <mergeCell ref="H805:H806"/>
    <mergeCell ref="I805:I806"/>
    <mergeCell ref="J805:J806"/>
    <mergeCell ref="B801:C801"/>
    <mergeCell ref="B802:C802"/>
    <mergeCell ref="A713:A742"/>
    <mergeCell ref="B728:C728"/>
    <mergeCell ref="B735:C735"/>
    <mergeCell ref="B740:C740"/>
    <mergeCell ref="B742:C742"/>
    <mergeCell ref="A743:A772"/>
    <mergeCell ref="B772:C772"/>
    <mergeCell ref="A773:A799"/>
    <mergeCell ref="B799:C799"/>
    <mergeCell ref="A709:A712"/>
    <mergeCell ref="B709:B712"/>
    <mergeCell ref="C709:C712"/>
    <mergeCell ref="D709:D712"/>
    <mergeCell ref="E709:J709"/>
    <mergeCell ref="E710:F710"/>
    <mergeCell ref="G710:J710"/>
    <mergeCell ref="E711:E712"/>
    <mergeCell ref="F711:F712"/>
    <mergeCell ref="G711:G712"/>
    <mergeCell ref="H711:H712"/>
    <mergeCell ref="I711:I712"/>
    <mergeCell ref="J711:J712"/>
    <mergeCell ref="B707:C707"/>
    <mergeCell ref="B708:C708"/>
    <mergeCell ref="A619:A648"/>
    <mergeCell ref="B634:C634"/>
    <mergeCell ref="B641:C641"/>
    <mergeCell ref="B646:C646"/>
    <mergeCell ref="B648:C648"/>
    <mergeCell ref="A649:A678"/>
    <mergeCell ref="B678:C678"/>
    <mergeCell ref="A679:A705"/>
    <mergeCell ref="B705:C705"/>
    <mergeCell ref="A615:A618"/>
    <mergeCell ref="B615:B618"/>
    <mergeCell ref="C615:C618"/>
    <mergeCell ref="D615:D618"/>
    <mergeCell ref="E615:J615"/>
    <mergeCell ref="E616:F616"/>
    <mergeCell ref="G616:J616"/>
    <mergeCell ref="E617:E618"/>
    <mergeCell ref="F617:F618"/>
    <mergeCell ref="G617:G618"/>
    <mergeCell ref="H617:H618"/>
    <mergeCell ref="I617:I618"/>
    <mergeCell ref="J617:J618"/>
    <mergeCell ref="B613:C613"/>
    <mergeCell ref="B614:C614"/>
    <mergeCell ref="A525:A554"/>
    <mergeCell ref="B540:C540"/>
    <mergeCell ref="B547:C547"/>
    <mergeCell ref="B552:C552"/>
    <mergeCell ref="B554:C554"/>
    <mergeCell ref="A555:A584"/>
    <mergeCell ref="B584:C584"/>
    <mergeCell ref="A585:A611"/>
    <mergeCell ref="B611:C611"/>
    <mergeCell ref="A521:A524"/>
    <mergeCell ref="B521:B524"/>
    <mergeCell ref="C521:C524"/>
    <mergeCell ref="D521:D524"/>
    <mergeCell ref="E521:J521"/>
    <mergeCell ref="E522:F522"/>
    <mergeCell ref="G522:J522"/>
    <mergeCell ref="E523:E524"/>
    <mergeCell ref="F523:F524"/>
    <mergeCell ref="G523:G524"/>
    <mergeCell ref="H523:H524"/>
    <mergeCell ref="I523:I524"/>
    <mergeCell ref="J523:J524"/>
    <mergeCell ref="B520:C520"/>
    <mergeCell ref="A462:A491"/>
    <mergeCell ref="B491:C491"/>
    <mergeCell ref="A492:A517"/>
    <mergeCell ref="B517:C517"/>
    <mergeCell ref="B519:C519"/>
    <mergeCell ref="A432:A461"/>
    <mergeCell ref="B447:C447"/>
    <mergeCell ref="B454:C454"/>
    <mergeCell ref="B459:C459"/>
    <mergeCell ref="B461:C461"/>
    <mergeCell ref="A428:A431"/>
    <mergeCell ref="B428:B431"/>
    <mergeCell ref="C428:C431"/>
    <mergeCell ref="D428:D431"/>
    <mergeCell ref="E428:J428"/>
    <mergeCell ref="E429:F429"/>
    <mergeCell ref="G429:J429"/>
    <mergeCell ref="E430:E431"/>
    <mergeCell ref="F430:F431"/>
    <mergeCell ref="G430:G431"/>
    <mergeCell ref="H430:H431"/>
    <mergeCell ref="I430:I431"/>
    <mergeCell ref="J430:J431"/>
    <mergeCell ref="B427:C427"/>
    <mergeCell ref="A369:A398"/>
    <mergeCell ref="B398:C398"/>
    <mergeCell ref="A399:A424"/>
    <mergeCell ref="B424:C424"/>
    <mergeCell ref="B426:C426"/>
    <mergeCell ref="A339:A368"/>
    <mergeCell ref="B354:C354"/>
    <mergeCell ref="B361:C361"/>
    <mergeCell ref="B366:C366"/>
    <mergeCell ref="B368:C368"/>
    <mergeCell ref="A335:A338"/>
    <mergeCell ref="B335:B338"/>
    <mergeCell ref="C335:C338"/>
    <mergeCell ref="D335:D338"/>
    <mergeCell ref="E335:J335"/>
    <mergeCell ref="E336:F336"/>
    <mergeCell ref="G336:J336"/>
    <mergeCell ref="E337:E338"/>
    <mergeCell ref="F337:F338"/>
    <mergeCell ref="G337:G338"/>
    <mergeCell ref="H337:H338"/>
    <mergeCell ref="I337:I338"/>
    <mergeCell ref="J337:J338"/>
    <mergeCell ref="B117:C117"/>
    <mergeCell ref="B118:C118"/>
    <mergeCell ref="A15:A56"/>
    <mergeCell ref="B31:C31"/>
    <mergeCell ref="B46:C46"/>
    <mergeCell ref="B54:C54"/>
    <mergeCell ref="B56:C56"/>
    <mergeCell ref="A57:A89"/>
    <mergeCell ref="B89:C89"/>
    <mergeCell ref="A90:A115"/>
    <mergeCell ref="B115:C115"/>
    <mergeCell ref="A9:J9"/>
    <mergeCell ref="A11:A14"/>
    <mergeCell ref="B11:B14"/>
    <mergeCell ref="C11:C14"/>
    <mergeCell ref="D11:D14"/>
    <mergeCell ref="E11:J11"/>
    <mergeCell ref="E12:F12"/>
    <mergeCell ref="G12:J12"/>
    <mergeCell ref="E13:E14"/>
    <mergeCell ref="F13:F14"/>
    <mergeCell ref="G13:G14"/>
    <mergeCell ref="H13:H14"/>
    <mergeCell ref="I13:I14"/>
    <mergeCell ref="J13:J14"/>
    <mergeCell ref="A119:A122"/>
    <mergeCell ref="B119:B122"/>
    <mergeCell ref="C119:C122"/>
    <mergeCell ref="D119:D122"/>
    <mergeCell ref="E119:J119"/>
    <mergeCell ref="E120:F120"/>
    <mergeCell ref="G120:J120"/>
    <mergeCell ref="E121:E122"/>
    <mergeCell ref="F121:F122"/>
    <mergeCell ref="G121:G122"/>
    <mergeCell ref="H121:H122"/>
    <mergeCell ref="I121:I122"/>
    <mergeCell ref="J121:J122"/>
    <mergeCell ref="A123:A164"/>
    <mergeCell ref="B139:C139"/>
    <mergeCell ref="B154:C154"/>
    <mergeCell ref="B162:C162"/>
    <mergeCell ref="B164:C164"/>
    <mergeCell ref="B226:C226"/>
    <mergeCell ref="A165:A197"/>
    <mergeCell ref="B197:C197"/>
    <mergeCell ref="A198:A223"/>
    <mergeCell ref="B223:C223"/>
    <mergeCell ref="B225:C225"/>
    <mergeCell ref="A227:A230"/>
    <mergeCell ref="B227:B230"/>
    <mergeCell ref="C227:C230"/>
    <mergeCell ref="D227:D230"/>
    <mergeCell ref="E227:J227"/>
    <mergeCell ref="E228:F228"/>
    <mergeCell ref="G228:J228"/>
    <mergeCell ref="E229:E230"/>
    <mergeCell ref="F229:F230"/>
    <mergeCell ref="G229:G230"/>
    <mergeCell ref="H229:H230"/>
    <mergeCell ref="I229:I230"/>
    <mergeCell ref="J229:J230"/>
    <mergeCell ref="A231:A272"/>
    <mergeCell ref="B247:C247"/>
    <mergeCell ref="B262:C262"/>
    <mergeCell ref="B270:C270"/>
    <mergeCell ref="B272:C272"/>
    <mergeCell ref="B334:C334"/>
    <mergeCell ref="A273:A305"/>
    <mergeCell ref="B305:C305"/>
    <mergeCell ref="A306:A331"/>
    <mergeCell ref="B331:C331"/>
    <mergeCell ref="B333:C333"/>
    <mergeCell ref="A897:A900"/>
    <mergeCell ref="B897:B900"/>
    <mergeCell ref="C897:C900"/>
    <mergeCell ref="D897:D900"/>
    <mergeCell ref="E897:J897"/>
    <mergeCell ref="E898:F898"/>
    <mergeCell ref="G898:J898"/>
    <mergeCell ref="E899:E900"/>
    <mergeCell ref="F899:F900"/>
    <mergeCell ref="G899:G900"/>
    <mergeCell ref="H899:H900"/>
    <mergeCell ref="I899:I900"/>
    <mergeCell ref="J899:J900"/>
    <mergeCell ref="B989:C989"/>
    <mergeCell ref="B990:C990"/>
    <mergeCell ref="A901:A930"/>
    <mergeCell ref="B916:C916"/>
    <mergeCell ref="B923:C923"/>
    <mergeCell ref="B928:C928"/>
    <mergeCell ref="B930:C930"/>
    <mergeCell ref="A931:A960"/>
    <mergeCell ref="B960:C960"/>
    <mergeCell ref="A961:A987"/>
    <mergeCell ref="B987:C987"/>
    <mergeCell ref="A1273:A1276"/>
    <mergeCell ref="B1273:B1276"/>
    <mergeCell ref="C1273:C1276"/>
    <mergeCell ref="D1273:D1276"/>
    <mergeCell ref="E1273:J1273"/>
    <mergeCell ref="E1274:F1274"/>
    <mergeCell ref="G1274:J1274"/>
    <mergeCell ref="E1275:E1276"/>
    <mergeCell ref="F1275:F1276"/>
    <mergeCell ref="G1275:G1276"/>
    <mergeCell ref="H1275:H1276"/>
    <mergeCell ref="I1275:I1276"/>
    <mergeCell ref="J1275:J1276"/>
    <mergeCell ref="B1365:C1365"/>
    <mergeCell ref="B1366:C1366"/>
    <mergeCell ref="A1277:A1306"/>
    <mergeCell ref="B1292:C1292"/>
    <mergeCell ref="B1299:C1299"/>
    <mergeCell ref="B1304:C1304"/>
    <mergeCell ref="B1306:C1306"/>
    <mergeCell ref="A1307:A1336"/>
    <mergeCell ref="B1336:C1336"/>
    <mergeCell ref="A1337:A1363"/>
    <mergeCell ref="B1363:C1363"/>
    <mergeCell ref="A1367:A1370"/>
    <mergeCell ref="B1367:B1370"/>
    <mergeCell ref="C1367:C1370"/>
    <mergeCell ref="D1367:D1370"/>
    <mergeCell ref="E1367:J1367"/>
    <mergeCell ref="E1368:F1368"/>
    <mergeCell ref="G1368:J1368"/>
    <mergeCell ref="E1369:E1370"/>
    <mergeCell ref="F1369:F1370"/>
    <mergeCell ref="G1369:G1370"/>
    <mergeCell ref="H1369:H1370"/>
    <mergeCell ref="I1369:I1370"/>
    <mergeCell ref="J1369:J1370"/>
    <mergeCell ref="B1459:C1459"/>
    <mergeCell ref="B1460:C1460"/>
    <mergeCell ref="A1371:A1400"/>
    <mergeCell ref="B1386:C1386"/>
    <mergeCell ref="B1393:C1393"/>
    <mergeCell ref="B1398:C1398"/>
    <mergeCell ref="B1400:C1400"/>
    <mergeCell ref="A1401:A1430"/>
    <mergeCell ref="B1430:C1430"/>
    <mergeCell ref="A1431:A1457"/>
    <mergeCell ref="B1457:C1457"/>
    <mergeCell ref="A1649:A1652"/>
    <mergeCell ref="B1649:B1652"/>
    <mergeCell ref="C1649:C1652"/>
    <mergeCell ref="D1649:D1652"/>
    <mergeCell ref="E1649:J1649"/>
    <mergeCell ref="E1650:F1650"/>
    <mergeCell ref="G1650:J1650"/>
    <mergeCell ref="E1651:E1652"/>
    <mergeCell ref="F1651:F1652"/>
    <mergeCell ref="G1651:G1652"/>
    <mergeCell ref="H1651:H1652"/>
    <mergeCell ref="I1651:I1652"/>
    <mergeCell ref="J1651:J1652"/>
    <mergeCell ref="B1741:C1741"/>
    <mergeCell ref="B1742:C1742"/>
    <mergeCell ref="A1653:A1682"/>
    <mergeCell ref="B1668:C1668"/>
    <mergeCell ref="B1675:C1675"/>
    <mergeCell ref="B1680:C1680"/>
    <mergeCell ref="B1682:C1682"/>
    <mergeCell ref="A1683:A1712"/>
    <mergeCell ref="B1712:C1712"/>
    <mergeCell ref="A1713:A1739"/>
    <mergeCell ref="B1739:C1739"/>
    <mergeCell ref="A1743:A1746"/>
    <mergeCell ref="B1743:B1746"/>
    <mergeCell ref="C1743:C1746"/>
    <mergeCell ref="D1743:D1746"/>
    <mergeCell ref="E1743:J1743"/>
    <mergeCell ref="E1744:F1744"/>
    <mergeCell ref="G1744:J1744"/>
    <mergeCell ref="E1745:E1746"/>
    <mergeCell ref="F1745:F1746"/>
    <mergeCell ref="G1745:G1746"/>
    <mergeCell ref="H1745:H1746"/>
    <mergeCell ref="I1745:I1746"/>
    <mergeCell ref="J1745:J1746"/>
    <mergeCell ref="B1835:C1835"/>
    <mergeCell ref="B1836:C1836"/>
    <mergeCell ref="A1747:A1776"/>
    <mergeCell ref="B1762:C1762"/>
    <mergeCell ref="B1769:C1769"/>
    <mergeCell ref="B1774:C1774"/>
    <mergeCell ref="B1776:C1776"/>
    <mergeCell ref="A1777:A1806"/>
    <mergeCell ref="B1806:C1806"/>
    <mergeCell ref="A1807:A1833"/>
    <mergeCell ref="B1833:C1833"/>
  </mergeCells>
  <pageMargins left="0.19685039370078741" right="0.19685039370078741" top="0.19685039370078741" bottom="0.19685039370078741" header="0.19685039370078741" footer="0.19685039370078741"/>
  <pageSetup paperSize="9" scale="20" orientation="portrait" verticalDpi="300" r:id="rId1"/>
  <rowBreaks count="19" manualBreakCount="19">
    <brk id="118" max="8" man="1"/>
    <brk id="226" max="8" man="1"/>
    <brk id="334" max="8" man="1"/>
    <brk id="427" max="8" man="1"/>
    <brk id="520" max="8" man="1"/>
    <brk id="614" max="8" man="1"/>
    <brk id="708" max="8" man="1"/>
    <brk id="802" max="8" man="1"/>
    <brk id="896" max="8" man="1"/>
    <brk id="990" max="8" man="1"/>
    <brk id="1084" max="8" man="1"/>
    <brk id="1178" max="8" man="1"/>
    <brk id="1272" max="8" man="1"/>
    <brk id="1366" max="8" man="1"/>
    <brk id="1460" max="8" man="1"/>
    <brk id="1554" max="8" man="1"/>
    <brk id="1648" max="8" man="1"/>
    <brk id="1742" max="8" man="1"/>
    <brk id="1836" max="8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00CC"/>
  </sheetPr>
  <dimension ref="A1:O312"/>
  <sheetViews>
    <sheetView view="pageBreakPreview" topLeftCell="A260" zoomScale="40" zoomScaleNormal="70" zoomScaleSheetLayoutView="40" workbookViewId="0">
      <selection activeCell="B312" sqref="B312"/>
    </sheetView>
  </sheetViews>
  <sheetFormatPr defaultColWidth="9.109375" defaultRowHeight="13.8" x14ac:dyDescent="0.3"/>
  <cols>
    <col min="1" max="1" width="11.33203125" style="229" customWidth="1"/>
    <col min="2" max="2" width="51.109375" style="266" customWidth="1"/>
    <col min="3" max="3" width="38.109375" style="229" customWidth="1"/>
    <col min="4" max="4" width="38" style="222" customWidth="1"/>
    <col min="5" max="5" width="26.5546875" style="222" customWidth="1"/>
    <col min="6" max="6" width="39.109375" style="223" customWidth="1"/>
    <col min="7" max="7" width="33.44140625" style="222" customWidth="1"/>
    <col min="8" max="8" width="39" style="222" customWidth="1"/>
    <col min="9" max="9" width="41.44140625" style="222" customWidth="1"/>
    <col min="10" max="10" width="40.44140625" style="224" customWidth="1"/>
    <col min="11" max="11" width="9.109375" style="229"/>
    <col min="12" max="12" width="8.44140625" style="229" customWidth="1"/>
    <col min="13" max="14" width="9.109375" style="229" hidden="1" customWidth="1"/>
    <col min="15" max="15" width="13" style="229" bestFit="1" customWidth="1"/>
    <col min="16" max="16384" width="9.109375" style="229"/>
  </cols>
  <sheetData>
    <row r="1" spans="1:15" x14ac:dyDescent="0.3">
      <c r="A1" s="229" t="s">
        <v>305</v>
      </c>
    </row>
    <row r="7" spans="1:15" ht="67.2" customHeight="1" x14ac:dyDescent="0.3">
      <c r="A7" s="220" t="s">
        <v>0</v>
      </c>
    </row>
    <row r="9" spans="1:15" ht="81" customHeight="1" x14ac:dyDescent="0.3">
      <c r="A9" s="1088" t="s">
        <v>481</v>
      </c>
      <c r="B9" s="1089"/>
      <c r="C9" s="1089"/>
      <c r="D9" s="1089"/>
      <c r="E9" s="1089"/>
      <c r="F9" s="1089"/>
      <c r="G9" s="1089"/>
      <c r="H9" s="1089"/>
      <c r="I9" s="1089"/>
      <c r="J9" s="1089"/>
    </row>
    <row r="10" spans="1:15" ht="24.6" customHeight="1" thickBot="1" x14ac:dyDescent="0.35">
      <c r="A10" s="230"/>
      <c r="B10" s="230"/>
      <c r="C10" s="230"/>
      <c r="D10" s="232"/>
      <c r="E10" s="232"/>
      <c r="F10" s="232"/>
      <c r="G10" s="232"/>
      <c r="H10" s="232"/>
      <c r="I10" s="232"/>
      <c r="J10" s="234"/>
    </row>
    <row r="11" spans="1:15" ht="41.4" customHeight="1" x14ac:dyDescent="0.3">
      <c r="A11" s="1057" t="s">
        <v>1</v>
      </c>
      <c r="B11" s="1063" t="s">
        <v>396</v>
      </c>
      <c r="C11" s="1063" t="s">
        <v>226</v>
      </c>
      <c r="D11" s="1154" t="s">
        <v>477</v>
      </c>
      <c r="E11" s="1155"/>
      <c r="F11" s="1155"/>
      <c r="G11" s="1155"/>
      <c r="H11" s="1156"/>
      <c r="I11" s="1157" t="s">
        <v>417</v>
      </c>
      <c r="J11" s="1157" t="s">
        <v>418</v>
      </c>
      <c r="K11" s="229" t="s">
        <v>420</v>
      </c>
    </row>
    <row r="12" spans="1:15" ht="41.4" customHeight="1" x14ac:dyDescent="0.3">
      <c r="A12" s="1136"/>
      <c r="B12" s="1153"/>
      <c r="C12" s="1153"/>
      <c r="D12" s="1160" t="s">
        <v>229</v>
      </c>
      <c r="E12" s="1161"/>
      <c r="F12" s="1162"/>
      <c r="G12" s="1160" t="s">
        <v>227</v>
      </c>
      <c r="H12" s="1162"/>
      <c r="I12" s="1158"/>
      <c r="J12" s="1158"/>
    </row>
    <row r="13" spans="1:15" ht="25.95" customHeight="1" x14ac:dyDescent="0.3">
      <c r="A13" s="1058"/>
      <c r="B13" s="1064"/>
      <c r="C13" s="1064"/>
      <c r="D13" s="1163" t="s">
        <v>415</v>
      </c>
      <c r="E13" s="1165" t="s">
        <v>9</v>
      </c>
      <c r="F13" s="1167" t="s">
        <v>416</v>
      </c>
      <c r="G13" s="1169" t="s">
        <v>228</v>
      </c>
      <c r="H13" s="1171" t="s">
        <v>416</v>
      </c>
      <c r="I13" s="1158"/>
      <c r="J13" s="1158"/>
    </row>
    <row r="14" spans="1:15" ht="25.95" customHeight="1" thickBot="1" x14ac:dyDescent="0.35">
      <c r="A14" s="1059"/>
      <c r="B14" s="1065"/>
      <c r="C14" s="1065"/>
      <c r="D14" s="1164"/>
      <c r="E14" s="1166"/>
      <c r="F14" s="1168"/>
      <c r="G14" s="1170"/>
      <c r="H14" s="1172"/>
      <c r="I14" s="1159"/>
      <c r="J14" s="1159"/>
    </row>
    <row r="15" spans="1:15" ht="60.6" customHeight="1" x14ac:dyDescent="0.3">
      <c r="A15" s="268" t="s">
        <v>103</v>
      </c>
      <c r="B15" s="572" t="s">
        <v>220</v>
      </c>
      <c r="C15" s="550">
        <f>+'01 Prod Physique Boites'!E42</f>
        <v>0</v>
      </c>
      <c r="D15" s="551">
        <f>+'01 Prod Physique Boites'!K42</f>
        <v>125085</v>
      </c>
      <c r="E15" s="552" t="str">
        <f>IFERROR(D15/C15,"-")</f>
        <v>-</v>
      </c>
      <c r="F15" s="553">
        <f>+'02 Prod Valorisée Boites'!G44</f>
        <v>1529690.5127999999</v>
      </c>
      <c r="G15" s="551">
        <f>+'03 Prod Accessoires'!K19</f>
        <v>151550</v>
      </c>
      <c r="H15" s="554">
        <f>+'03 Prod Accessoires'!Q19</f>
        <v>774209.91000000015</v>
      </c>
      <c r="I15" s="554">
        <f>+'02 Prod Valorisée Boites'!J44</f>
        <v>1846317.6</v>
      </c>
      <c r="J15" s="555">
        <f>+'04 Ventes'!I31</f>
        <v>0</v>
      </c>
      <c r="K15" s="712"/>
      <c r="L15" s="712"/>
      <c r="O15" s="704"/>
    </row>
    <row r="16" spans="1:15" ht="60.6" customHeight="1" x14ac:dyDescent="0.3">
      <c r="A16" s="744" t="s">
        <v>103</v>
      </c>
      <c r="B16" s="573" t="s">
        <v>221</v>
      </c>
      <c r="C16" s="556">
        <f>+'01 Prod Physique Boites'!E58</f>
        <v>0</v>
      </c>
      <c r="D16" s="557">
        <f>+'01 Prod Physique Boites'!K58</f>
        <v>0</v>
      </c>
      <c r="E16" s="558" t="str">
        <f t="shared" ref="E16:E24" si="0">IFERROR(D16/C16,"-")</f>
        <v>-</v>
      </c>
      <c r="F16" s="559">
        <f>+'02 Prod Valorisée Boites'!G60</f>
        <v>0</v>
      </c>
      <c r="G16" s="557">
        <f>+'03 Prod Accessoires'!K27</f>
        <v>0</v>
      </c>
      <c r="H16" s="560">
        <f>+'03 Prod Accessoires'!Q27</f>
        <v>0</v>
      </c>
      <c r="I16" s="560">
        <f>+'02 Prod Valorisée Boites'!J60</f>
        <v>0</v>
      </c>
      <c r="J16" s="561">
        <f>+'04 Ventes'!I46</f>
        <v>1015740</v>
      </c>
      <c r="K16" s="712"/>
      <c r="L16" s="712"/>
      <c r="O16" s="704"/>
    </row>
    <row r="17" spans="1:15" ht="60.6" customHeight="1" thickBot="1" x14ac:dyDescent="0.35">
      <c r="A17" s="274" t="s">
        <v>103</v>
      </c>
      <c r="B17" s="275" t="s">
        <v>222</v>
      </c>
      <c r="C17" s="556"/>
      <c r="D17" s="557"/>
      <c r="E17" s="558" t="str">
        <f t="shared" si="0"/>
        <v>-</v>
      </c>
      <c r="F17" s="559"/>
      <c r="G17" s="557"/>
      <c r="H17" s="560"/>
      <c r="I17" s="560"/>
      <c r="J17" s="561">
        <f>+'04 Ventes'!I54</f>
        <v>0</v>
      </c>
    </row>
    <row r="18" spans="1:15" s="294" customFormat="1" ht="60.6" customHeight="1" thickBot="1" x14ac:dyDescent="0.35">
      <c r="A18" s="318" t="s">
        <v>103</v>
      </c>
      <c r="B18" s="433" t="s">
        <v>223</v>
      </c>
      <c r="C18" s="562">
        <f>SUM(C15:C17)</f>
        <v>0</v>
      </c>
      <c r="D18" s="563">
        <f t="shared" ref="D18" si="1">SUM(D15:D17)</f>
        <v>125085</v>
      </c>
      <c r="E18" s="564" t="str">
        <f t="shared" si="0"/>
        <v>-</v>
      </c>
      <c r="F18" s="565">
        <f>SUM(F15:F17)</f>
        <v>1529690.5127999999</v>
      </c>
      <c r="G18" s="563">
        <f t="shared" ref="G18:H18" si="2">SUM(G15:G17)</f>
        <v>151550</v>
      </c>
      <c r="H18" s="565">
        <f t="shared" si="2"/>
        <v>774209.91000000015</v>
      </c>
      <c r="I18" s="565">
        <f>SUM(I15:I17)</f>
        <v>1846317.6</v>
      </c>
      <c r="J18" s="758">
        <f t="shared" ref="J18" si="3">SUM(J15:J17)</f>
        <v>1015740</v>
      </c>
    </row>
    <row r="19" spans="1:15" ht="60.6" customHeight="1" x14ac:dyDescent="0.3">
      <c r="A19" s="268" t="s">
        <v>101</v>
      </c>
      <c r="B19" s="572" t="s">
        <v>220</v>
      </c>
      <c r="C19" s="550">
        <f>+'01 Prod Physique Boites'!E94</f>
        <v>0</v>
      </c>
      <c r="D19" s="551">
        <f>+'01 Prod Physique Boites'!K94</f>
        <v>92915</v>
      </c>
      <c r="E19" s="552" t="str">
        <f t="shared" si="0"/>
        <v>-</v>
      </c>
      <c r="F19" s="553">
        <f>+'02 Prod Valorisée Boites'!G96</f>
        <v>1530584.8271999999</v>
      </c>
      <c r="G19" s="551">
        <f>+'03 Prod Accessoires'!K37</f>
        <v>100000</v>
      </c>
      <c r="H19" s="554">
        <f>+'03 Prod Accessoires'!Q36</f>
        <v>221410.00000000003</v>
      </c>
      <c r="I19" s="550">
        <f>+'02 Prod Valorisée Boites'!J96</f>
        <v>1899415.44</v>
      </c>
      <c r="J19" s="566">
        <f>+'04 Ventes'!I89</f>
        <v>0</v>
      </c>
      <c r="L19" s="712"/>
      <c r="O19" s="704"/>
    </row>
    <row r="20" spans="1:15" ht="60.6" customHeight="1" thickBot="1" x14ac:dyDescent="0.35">
      <c r="A20" s="744" t="s">
        <v>101</v>
      </c>
      <c r="B20" s="295" t="s">
        <v>222</v>
      </c>
      <c r="C20" s="567"/>
      <c r="D20" s="557"/>
      <c r="E20" s="558" t="str">
        <f t="shared" si="0"/>
        <v>-</v>
      </c>
      <c r="F20" s="559"/>
      <c r="G20" s="557"/>
      <c r="H20" s="560"/>
      <c r="I20" s="560"/>
      <c r="J20" s="568"/>
    </row>
    <row r="21" spans="1:15" s="294" customFormat="1" ht="60.6" customHeight="1" thickBot="1" x14ac:dyDescent="0.35">
      <c r="A21" s="318" t="s">
        <v>101</v>
      </c>
      <c r="B21" s="433" t="s">
        <v>224</v>
      </c>
      <c r="C21" s="562">
        <f>SUM(C19:C20)</f>
        <v>0</v>
      </c>
      <c r="D21" s="563">
        <f t="shared" ref="D21" si="4">SUM(D19:D20)</f>
        <v>92915</v>
      </c>
      <c r="E21" s="564" t="str">
        <f t="shared" si="0"/>
        <v>-</v>
      </c>
      <c r="F21" s="565">
        <f t="shared" ref="F21:J21" si="5">SUM(F19:F20)</f>
        <v>1530584.8271999999</v>
      </c>
      <c r="G21" s="563">
        <f t="shared" si="5"/>
        <v>100000</v>
      </c>
      <c r="H21" s="565">
        <f t="shared" si="5"/>
        <v>221410.00000000003</v>
      </c>
      <c r="I21" s="565">
        <f t="shared" si="5"/>
        <v>1899415.44</v>
      </c>
      <c r="J21" s="758">
        <f t="shared" si="5"/>
        <v>0</v>
      </c>
    </row>
    <row r="22" spans="1:15" ht="60.6" customHeight="1" x14ac:dyDescent="0.3">
      <c r="A22" s="268" t="s">
        <v>102</v>
      </c>
      <c r="B22" s="574" t="s">
        <v>221</v>
      </c>
      <c r="C22" s="554">
        <f>+'01 Prod Physique Boites'!E121</f>
        <v>0</v>
      </c>
      <c r="D22" s="551">
        <f>+'01 Prod Physique Boites'!K121</f>
        <v>18660</v>
      </c>
      <c r="E22" s="552" t="str">
        <f t="shared" si="0"/>
        <v>-</v>
      </c>
      <c r="F22" s="553">
        <f>+'02 Prod Valorisée Boites'!G122</f>
        <v>536897.00399999996</v>
      </c>
      <c r="G22" s="551">
        <f>+'03 Prod Accessoires'!K71</f>
        <v>100183</v>
      </c>
      <c r="H22" s="554">
        <f>+'03 Prod Accessoires'!Q71</f>
        <v>656386.30539999995</v>
      </c>
      <c r="I22" s="554">
        <f>+'02 Prod Valorisée Boites'!J122</f>
        <v>1163620.8</v>
      </c>
      <c r="J22" s="566">
        <f>+'04 Ventes'!I115</f>
        <v>0</v>
      </c>
      <c r="K22" s="712"/>
      <c r="L22" s="712"/>
      <c r="O22" s="704"/>
    </row>
    <row r="23" spans="1:15" ht="60.6" customHeight="1" thickBot="1" x14ac:dyDescent="0.35">
      <c r="A23" s="744" t="s">
        <v>102</v>
      </c>
      <c r="B23" s="303" t="s">
        <v>222</v>
      </c>
      <c r="C23" s="560"/>
      <c r="D23" s="569"/>
      <c r="E23" s="570" t="str">
        <f t="shared" si="0"/>
        <v>-</v>
      </c>
      <c r="F23" s="571"/>
      <c r="G23" s="557"/>
      <c r="H23" s="560"/>
      <c r="I23" s="560"/>
      <c r="J23" s="568"/>
    </row>
    <row r="24" spans="1:15" s="294" customFormat="1" ht="60.6" customHeight="1" thickBot="1" x14ac:dyDescent="0.35">
      <c r="A24" s="318" t="s">
        <v>102</v>
      </c>
      <c r="B24" s="433" t="s">
        <v>225</v>
      </c>
      <c r="C24" s="562">
        <f>SUM(C22:C23)</f>
        <v>0</v>
      </c>
      <c r="D24" s="563">
        <f t="shared" ref="D24" si="6">SUM(D22:D23)</f>
        <v>18660</v>
      </c>
      <c r="E24" s="564" t="str">
        <f t="shared" si="0"/>
        <v>-</v>
      </c>
      <c r="F24" s="565">
        <f t="shared" ref="F24:J24" si="7">SUM(F22:F23)</f>
        <v>536897.00399999996</v>
      </c>
      <c r="G24" s="563">
        <f t="shared" si="7"/>
        <v>100183</v>
      </c>
      <c r="H24" s="565">
        <f t="shared" si="7"/>
        <v>656386.30539999995</v>
      </c>
      <c r="I24" s="565">
        <f t="shared" si="7"/>
        <v>1163620.8</v>
      </c>
      <c r="J24" s="758">
        <f t="shared" si="7"/>
        <v>0</v>
      </c>
    </row>
    <row r="25" spans="1:15" ht="57.6" customHeight="1" thickBot="1" x14ac:dyDescent="0.35">
      <c r="A25" s="630"/>
      <c r="B25" s="548" t="s">
        <v>174</v>
      </c>
      <c r="C25" s="549">
        <f>+C18+C21+C24</f>
        <v>0</v>
      </c>
      <c r="D25" s="575">
        <f t="shared" ref="D25" si="8">+D18+D21+D24</f>
        <v>236660</v>
      </c>
      <c r="E25" s="576" t="str">
        <f>IFERROR(D25/C25,"-")</f>
        <v>-</v>
      </c>
      <c r="F25" s="575">
        <f>+F18+F21+F24</f>
        <v>3597172.3439999996</v>
      </c>
      <c r="G25" s="575">
        <f t="shared" ref="G25:H25" si="9">+G18+G21+G24</f>
        <v>351733</v>
      </c>
      <c r="H25" s="575">
        <f t="shared" si="9"/>
        <v>1652006.2154000001</v>
      </c>
      <c r="I25" s="575">
        <f>+I18+I21+I24</f>
        <v>4909353.84</v>
      </c>
      <c r="J25" s="631">
        <f t="shared" ref="J25" si="10">+J18+J21+J24</f>
        <v>1015740</v>
      </c>
    </row>
    <row r="26" spans="1:15" ht="41.4" customHeight="1" x14ac:dyDescent="0.3">
      <c r="A26" s="1057" t="s">
        <v>1</v>
      </c>
      <c r="B26" s="1063" t="s">
        <v>396</v>
      </c>
      <c r="C26" s="1063" t="s">
        <v>226</v>
      </c>
      <c r="D26" s="1154" t="s">
        <v>485</v>
      </c>
      <c r="E26" s="1155"/>
      <c r="F26" s="1155"/>
      <c r="G26" s="1155"/>
      <c r="H26" s="1156"/>
      <c r="I26" s="1157" t="s">
        <v>417</v>
      </c>
      <c r="J26" s="1157" t="s">
        <v>418</v>
      </c>
      <c r="K26" s="229" t="s">
        <v>420</v>
      </c>
    </row>
    <row r="27" spans="1:15" ht="41.4" customHeight="1" x14ac:dyDescent="0.3">
      <c r="A27" s="1136"/>
      <c r="B27" s="1153"/>
      <c r="C27" s="1153"/>
      <c r="D27" s="1160" t="s">
        <v>229</v>
      </c>
      <c r="E27" s="1161"/>
      <c r="F27" s="1162"/>
      <c r="G27" s="1160" t="s">
        <v>227</v>
      </c>
      <c r="H27" s="1162"/>
      <c r="I27" s="1158"/>
      <c r="J27" s="1158"/>
    </row>
    <row r="28" spans="1:15" ht="25.95" customHeight="1" x14ac:dyDescent="0.3">
      <c r="A28" s="1058"/>
      <c r="B28" s="1064"/>
      <c r="C28" s="1064"/>
      <c r="D28" s="1163" t="s">
        <v>415</v>
      </c>
      <c r="E28" s="1165" t="s">
        <v>9</v>
      </c>
      <c r="F28" s="1167" t="s">
        <v>416</v>
      </c>
      <c r="G28" s="1169" t="s">
        <v>228</v>
      </c>
      <c r="H28" s="1171" t="s">
        <v>416</v>
      </c>
      <c r="I28" s="1158"/>
      <c r="J28" s="1158"/>
    </row>
    <row r="29" spans="1:15" ht="25.95" customHeight="1" thickBot="1" x14ac:dyDescent="0.35">
      <c r="A29" s="1059"/>
      <c r="B29" s="1065"/>
      <c r="C29" s="1065"/>
      <c r="D29" s="1164"/>
      <c r="E29" s="1166"/>
      <c r="F29" s="1168"/>
      <c r="G29" s="1170"/>
      <c r="H29" s="1172"/>
      <c r="I29" s="1159"/>
      <c r="J29" s="1159"/>
    </row>
    <row r="30" spans="1:15" ht="60.6" customHeight="1" x14ac:dyDescent="0.3">
      <c r="A30" s="268" t="s">
        <v>103</v>
      </c>
      <c r="B30" s="572" t="s">
        <v>220</v>
      </c>
      <c r="C30" s="550">
        <f>+'01 Prod Physique Boites'!E155</f>
        <v>0</v>
      </c>
      <c r="D30" s="551">
        <f>+'01 Prod Physique Boites'!K155</f>
        <v>313122</v>
      </c>
      <c r="E30" s="552" t="str">
        <f>IFERROR(D30/C30,"-")</f>
        <v>-</v>
      </c>
      <c r="F30" s="553">
        <f>+'02 Prod Valorisée Boites'!G158</f>
        <v>3839070.9408</v>
      </c>
      <c r="G30" s="551">
        <f>+'03 Prod Accessoires'!K82</f>
        <v>304550</v>
      </c>
      <c r="H30" s="554">
        <f>+'03 Prod Accessoires'!Q82</f>
        <v>1516787.0100000002</v>
      </c>
      <c r="I30" s="554">
        <f>+'02 Prod Valorisée Boites'!J158</f>
        <v>4681065.5999999996</v>
      </c>
      <c r="J30" s="555">
        <f>+'04 Ventes'!I139</f>
        <v>345902.4</v>
      </c>
      <c r="K30" s="712"/>
      <c r="L30" s="712"/>
      <c r="O30" s="704"/>
    </row>
    <row r="31" spans="1:15" ht="60.6" customHeight="1" x14ac:dyDescent="0.3">
      <c r="A31" s="769" t="s">
        <v>103</v>
      </c>
      <c r="B31" s="573" t="s">
        <v>221</v>
      </c>
      <c r="C31" s="556">
        <f>+'01 Prod Physique Boites'!E171</f>
        <v>0</v>
      </c>
      <c r="D31" s="557">
        <f>+'01 Prod Physique Boites'!K171</f>
        <v>0</v>
      </c>
      <c r="E31" s="558" t="str">
        <f t="shared" ref="E31:E39" si="11">IFERROR(D31/C31,"-")</f>
        <v>-</v>
      </c>
      <c r="F31" s="559">
        <f>+'02 Prod Valorisée Boites'!G174</f>
        <v>0</v>
      </c>
      <c r="G31" s="557">
        <f>+'03 Prod Accessoires'!K90</f>
        <v>0</v>
      </c>
      <c r="H31" s="560">
        <f>+'03 Prod Accessoires'!Q90</f>
        <v>0</v>
      </c>
      <c r="I31" s="560">
        <f>+'02 Prod Valorisée Boites'!J174</f>
        <v>0</v>
      </c>
      <c r="J31" s="561">
        <f>+'04 Ventes'!I154</f>
        <v>1015740</v>
      </c>
      <c r="K31" s="712"/>
      <c r="L31" s="712"/>
      <c r="O31" s="704"/>
    </row>
    <row r="32" spans="1:15" ht="60.6" customHeight="1" thickBot="1" x14ac:dyDescent="0.35">
      <c r="A32" s="274" t="s">
        <v>103</v>
      </c>
      <c r="B32" s="275" t="s">
        <v>222</v>
      </c>
      <c r="C32" s="556"/>
      <c r="D32" s="557"/>
      <c r="E32" s="558" t="str">
        <f t="shared" si="11"/>
        <v>-</v>
      </c>
      <c r="F32" s="559"/>
      <c r="G32" s="557"/>
      <c r="H32" s="560"/>
      <c r="I32" s="560"/>
      <c r="J32" s="561">
        <f>+'04 Ventes'!I162</f>
        <v>0</v>
      </c>
    </row>
    <row r="33" spans="1:15" s="294" customFormat="1" ht="60.6" customHeight="1" thickBot="1" x14ac:dyDescent="0.35">
      <c r="A33" s="318" t="s">
        <v>103</v>
      </c>
      <c r="B33" s="433" t="s">
        <v>223</v>
      </c>
      <c r="C33" s="562">
        <f>SUM(C30:C32)</f>
        <v>0</v>
      </c>
      <c r="D33" s="563">
        <f t="shared" ref="D33" si="12">SUM(D30:D32)</f>
        <v>313122</v>
      </c>
      <c r="E33" s="564" t="str">
        <f t="shared" si="11"/>
        <v>-</v>
      </c>
      <c r="F33" s="565">
        <f>SUM(F30:F32)</f>
        <v>3839070.9408</v>
      </c>
      <c r="G33" s="563">
        <f t="shared" ref="G33:H33" si="13">SUM(G30:G32)</f>
        <v>304550</v>
      </c>
      <c r="H33" s="565">
        <f t="shared" si="13"/>
        <v>1516787.0100000002</v>
      </c>
      <c r="I33" s="565">
        <f>SUM(I30:I32)</f>
        <v>4681065.5999999996</v>
      </c>
      <c r="J33" s="758">
        <f t="shared" ref="J33" si="14">SUM(J30:J32)</f>
        <v>1361642.4</v>
      </c>
    </row>
    <row r="34" spans="1:15" ht="60.6" customHeight="1" x14ac:dyDescent="0.3">
      <c r="A34" s="268" t="s">
        <v>101</v>
      </c>
      <c r="B34" s="572" t="s">
        <v>220</v>
      </c>
      <c r="C34" s="550">
        <f>+'01 Prod Physique Boites'!E207</f>
        <v>0</v>
      </c>
      <c r="D34" s="551">
        <f>+'01 Prod Physique Boites'!K207</f>
        <v>269289</v>
      </c>
      <c r="E34" s="552" t="str">
        <f t="shared" si="11"/>
        <v>-</v>
      </c>
      <c r="F34" s="553">
        <f>+'02 Prod Valorisée Boites'!G210</f>
        <v>4458660.1487999996</v>
      </c>
      <c r="G34" s="551">
        <f>+'03 Prod Accessoires'!K100</f>
        <v>200000</v>
      </c>
      <c r="H34" s="554">
        <f>+'03 Prod Accessoires'!Q100</f>
        <v>442820.00000000006</v>
      </c>
      <c r="I34" s="550">
        <f>+'02 Prod Valorisée Boites'!J210</f>
        <v>5533079.7600000007</v>
      </c>
      <c r="J34" s="566">
        <f>+'04 Ventes'!I197</f>
        <v>0</v>
      </c>
      <c r="L34" s="712"/>
      <c r="O34" s="704"/>
    </row>
    <row r="35" spans="1:15" ht="60.6" customHeight="1" thickBot="1" x14ac:dyDescent="0.35">
      <c r="A35" s="769" t="s">
        <v>101</v>
      </c>
      <c r="B35" s="295" t="s">
        <v>222</v>
      </c>
      <c r="C35" s="567"/>
      <c r="D35" s="557"/>
      <c r="E35" s="558" t="str">
        <f t="shared" si="11"/>
        <v>-</v>
      </c>
      <c r="F35" s="559"/>
      <c r="G35" s="557"/>
      <c r="H35" s="560"/>
      <c r="I35" s="560"/>
      <c r="J35" s="568"/>
    </row>
    <row r="36" spans="1:15" s="294" customFormat="1" ht="60.6" customHeight="1" thickBot="1" x14ac:dyDescent="0.35">
      <c r="A36" s="318" t="s">
        <v>101</v>
      </c>
      <c r="B36" s="433" t="s">
        <v>224</v>
      </c>
      <c r="C36" s="562">
        <f>SUM(C34:C35)</f>
        <v>0</v>
      </c>
      <c r="D36" s="563">
        <f t="shared" ref="D36" si="15">SUM(D34:D35)</f>
        <v>269289</v>
      </c>
      <c r="E36" s="564" t="str">
        <f t="shared" si="11"/>
        <v>-</v>
      </c>
      <c r="F36" s="565">
        <f t="shared" ref="F36:J36" si="16">SUM(F34:F35)</f>
        <v>4458660.1487999996</v>
      </c>
      <c r="G36" s="563">
        <f t="shared" si="16"/>
        <v>200000</v>
      </c>
      <c r="H36" s="565">
        <f t="shared" si="16"/>
        <v>442820.00000000006</v>
      </c>
      <c r="I36" s="565">
        <f t="shared" si="16"/>
        <v>5533079.7600000007</v>
      </c>
      <c r="J36" s="758">
        <f t="shared" si="16"/>
        <v>0</v>
      </c>
    </row>
    <row r="37" spans="1:15" ht="60.6" customHeight="1" x14ac:dyDescent="0.3">
      <c r="A37" s="268" t="s">
        <v>102</v>
      </c>
      <c r="B37" s="574" t="s">
        <v>221</v>
      </c>
      <c r="C37" s="554">
        <f>+'01 Prod Physique Boites'!E234</f>
        <v>0</v>
      </c>
      <c r="D37" s="551">
        <f>+'01 Prod Physique Boites'!K234</f>
        <v>45601</v>
      </c>
      <c r="E37" s="552" t="str">
        <f t="shared" si="11"/>
        <v>-</v>
      </c>
      <c r="F37" s="553">
        <f>+'02 Prod Valorisée Boites'!G236</f>
        <v>1800059.0939999998</v>
      </c>
      <c r="G37" s="551">
        <f>+'03 Prod Accessoires'!K134</f>
        <v>234603</v>
      </c>
      <c r="H37" s="554">
        <f>+'03 Prod Accessoires'!Q134</f>
        <v>1836838.1853999998</v>
      </c>
      <c r="I37" s="554">
        <f>+'02 Prod Valorisée Boites'!J236</f>
        <v>3521202.8</v>
      </c>
      <c r="J37" s="566">
        <f>+'04 Ventes'!I223</f>
        <v>0</v>
      </c>
      <c r="K37" s="712"/>
      <c r="L37" s="712"/>
      <c r="O37" s="704"/>
    </row>
    <row r="38" spans="1:15" ht="60.6" customHeight="1" thickBot="1" x14ac:dyDescent="0.35">
      <c r="A38" s="769" t="s">
        <v>102</v>
      </c>
      <c r="B38" s="303" t="s">
        <v>222</v>
      </c>
      <c r="C38" s="560"/>
      <c r="D38" s="569"/>
      <c r="E38" s="570" t="str">
        <f t="shared" si="11"/>
        <v>-</v>
      </c>
      <c r="F38" s="571"/>
      <c r="G38" s="557"/>
      <c r="H38" s="560"/>
      <c r="I38" s="560"/>
      <c r="J38" s="568"/>
    </row>
    <row r="39" spans="1:15" s="294" customFormat="1" ht="60.6" customHeight="1" thickBot="1" x14ac:dyDescent="0.35">
      <c r="A39" s="318" t="s">
        <v>102</v>
      </c>
      <c r="B39" s="433" t="s">
        <v>225</v>
      </c>
      <c r="C39" s="562">
        <f>SUM(C37:C38)</f>
        <v>0</v>
      </c>
      <c r="D39" s="563">
        <f t="shared" ref="D39" si="17">SUM(D37:D38)</f>
        <v>45601</v>
      </c>
      <c r="E39" s="564" t="str">
        <f t="shared" si="11"/>
        <v>-</v>
      </c>
      <c r="F39" s="565">
        <f t="shared" ref="F39:J39" si="18">SUM(F37:F38)</f>
        <v>1800059.0939999998</v>
      </c>
      <c r="G39" s="563">
        <f t="shared" si="18"/>
        <v>234603</v>
      </c>
      <c r="H39" s="565">
        <f t="shared" si="18"/>
        <v>1836838.1853999998</v>
      </c>
      <c r="I39" s="565">
        <f t="shared" si="18"/>
        <v>3521202.8</v>
      </c>
      <c r="J39" s="758">
        <f t="shared" si="18"/>
        <v>0</v>
      </c>
    </row>
    <row r="40" spans="1:15" ht="57.6" customHeight="1" thickBot="1" x14ac:dyDescent="0.35">
      <c r="A40" s="630"/>
      <c r="B40" s="548" t="s">
        <v>174</v>
      </c>
      <c r="C40" s="549">
        <f>+C33+C36+C39</f>
        <v>0</v>
      </c>
      <c r="D40" s="575">
        <f t="shared" ref="D40" si="19">+D33+D36+D39</f>
        <v>628012</v>
      </c>
      <c r="E40" s="576" t="str">
        <f>IFERROR(D40/C40,"-")</f>
        <v>-</v>
      </c>
      <c r="F40" s="575">
        <f>+F33+F36+F39</f>
        <v>10097790.183599999</v>
      </c>
      <c r="G40" s="575">
        <f t="shared" ref="G40:H40" si="20">+G33+G36+G39</f>
        <v>739153</v>
      </c>
      <c r="H40" s="575">
        <f t="shared" si="20"/>
        <v>3796445.1954000001</v>
      </c>
      <c r="I40" s="575">
        <f>+I33+I36+I39</f>
        <v>13735348.16</v>
      </c>
      <c r="J40" s="631">
        <f t="shared" ref="J40" si="21">+J33+J36+J39</f>
        <v>1361642.4</v>
      </c>
    </row>
    <row r="41" spans="1:15" ht="41.4" customHeight="1" x14ac:dyDescent="0.3">
      <c r="A41" s="1057" t="s">
        <v>1</v>
      </c>
      <c r="B41" s="1063" t="s">
        <v>396</v>
      </c>
      <c r="C41" s="1063" t="s">
        <v>226</v>
      </c>
      <c r="D41" s="1154" t="s">
        <v>490</v>
      </c>
      <c r="E41" s="1155"/>
      <c r="F41" s="1155"/>
      <c r="G41" s="1155"/>
      <c r="H41" s="1156"/>
      <c r="I41" s="1157" t="s">
        <v>417</v>
      </c>
      <c r="J41" s="1157" t="s">
        <v>418</v>
      </c>
      <c r="K41" s="229" t="s">
        <v>420</v>
      </c>
    </row>
    <row r="42" spans="1:15" ht="41.4" customHeight="1" x14ac:dyDescent="0.3">
      <c r="A42" s="1136"/>
      <c r="B42" s="1153"/>
      <c r="C42" s="1153"/>
      <c r="D42" s="1160" t="s">
        <v>229</v>
      </c>
      <c r="E42" s="1161"/>
      <c r="F42" s="1162"/>
      <c r="G42" s="1160" t="s">
        <v>227</v>
      </c>
      <c r="H42" s="1162"/>
      <c r="I42" s="1158"/>
      <c r="J42" s="1158"/>
    </row>
    <row r="43" spans="1:15" ht="25.95" customHeight="1" x14ac:dyDescent="0.3">
      <c r="A43" s="1058"/>
      <c r="B43" s="1064"/>
      <c r="C43" s="1064"/>
      <c r="D43" s="1163" t="s">
        <v>415</v>
      </c>
      <c r="E43" s="1165" t="s">
        <v>9</v>
      </c>
      <c r="F43" s="1167" t="s">
        <v>416</v>
      </c>
      <c r="G43" s="1169" t="s">
        <v>228</v>
      </c>
      <c r="H43" s="1171" t="s">
        <v>416</v>
      </c>
      <c r="I43" s="1158"/>
      <c r="J43" s="1158"/>
    </row>
    <row r="44" spans="1:15" ht="25.95" customHeight="1" thickBot="1" x14ac:dyDescent="0.35">
      <c r="A44" s="1059"/>
      <c r="B44" s="1065"/>
      <c r="C44" s="1065"/>
      <c r="D44" s="1164"/>
      <c r="E44" s="1166"/>
      <c r="F44" s="1168"/>
      <c r="G44" s="1170"/>
      <c r="H44" s="1172"/>
      <c r="I44" s="1159"/>
      <c r="J44" s="1159"/>
    </row>
    <row r="45" spans="1:15" ht="60.6" customHeight="1" x14ac:dyDescent="0.3">
      <c r="A45" s="268" t="s">
        <v>103</v>
      </c>
      <c r="B45" s="572" t="s">
        <v>220</v>
      </c>
      <c r="C45" s="550">
        <f>+'01 Prod Physique Boites'!E268</f>
        <v>0</v>
      </c>
      <c r="D45" s="551">
        <f>+'01 Prod Physique Boites'!K268</f>
        <v>539616</v>
      </c>
      <c r="E45" s="552" t="str">
        <f>IFERROR(D45/C45,"-")</f>
        <v>-</v>
      </c>
      <c r="F45" s="553">
        <f>+'02 Prod Valorisée Boites'!G272</f>
        <v>6904049.0696</v>
      </c>
      <c r="G45" s="551">
        <f>+'03 Prod Accessoires'!K145</f>
        <v>406050</v>
      </c>
      <c r="H45" s="554">
        <f>+'03 Prod Accessoires'!Q145</f>
        <v>2268781.56</v>
      </c>
      <c r="I45" s="554">
        <f>+'02 Prod Valorisée Boites'!J272</f>
        <v>8534743.1999999993</v>
      </c>
      <c r="J45" s="555">
        <f>+'04 Ventes'!I247</f>
        <v>4156372.8000000003</v>
      </c>
      <c r="K45" s="712"/>
      <c r="L45" s="712"/>
      <c r="O45" s="704"/>
    </row>
    <row r="46" spans="1:15" ht="60.6" customHeight="1" x14ac:dyDescent="0.3">
      <c r="A46" s="777" t="s">
        <v>103</v>
      </c>
      <c r="B46" s="573" t="s">
        <v>221</v>
      </c>
      <c r="C46" s="556">
        <f>+'01 Prod Physique Boites'!E284</f>
        <v>0</v>
      </c>
      <c r="D46" s="557">
        <f>+'01 Prod Physique Boites'!K284</f>
        <v>0</v>
      </c>
      <c r="E46" s="558" t="str">
        <f t="shared" ref="E46:E54" si="22">IFERROR(D46/C46,"-")</f>
        <v>-</v>
      </c>
      <c r="F46" s="559">
        <f>+'02 Prod Valorisée Boites'!G288</f>
        <v>0</v>
      </c>
      <c r="G46" s="557">
        <f>+'03 Prod Accessoires'!K153</f>
        <v>78000</v>
      </c>
      <c r="H46" s="560">
        <f>+'03 Prod Accessoires'!Q153</f>
        <v>293475</v>
      </c>
      <c r="I46" s="560">
        <f>+'02 Prod Valorisée Boites'!J288</f>
        <v>0</v>
      </c>
      <c r="J46" s="561">
        <f>+'04 Ventes'!I262</f>
        <v>1015740</v>
      </c>
      <c r="K46" s="712"/>
      <c r="L46" s="712"/>
      <c r="O46" s="704"/>
    </row>
    <row r="47" spans="1:15" ht="60.6" customHeight="1" thickBot="1" x14ac:dyDescent="0.35">
      <c r="A47" s="274" t="s">
        <v>103</v>
      </c>
      <c r="B47" s="275" t="s">
        <v>222</v>
      </c>
      <c r="C47" s="556"/>
      <c r="D47" s="557"/>
      <c r="E47" s="558" t="str">
        <f t="shared" si="22"/>
        <v>-</v>
      </c>
      <c r="F47" s="559"/>
      <c r="G47" s="557"/>
      <c r="H47" s="560"/>
      <c r="I47" s="560"/>
      <c r="J47" s="561">
        <f>+'04 Ventes'!I270</f>
        <v>0</v>
      </c>
    </row>
    <row r="48" spans="1:15" s="294" customFormat="1" ht="60.6" customHeight="1" thickBot="1" x14ac:dyDescent="0.35">
      <c r="A48" s="318" t="s">
        <v>103</v>
      </c>
      <c r="B48" s="433" t="s">
        <v>223</v>
      </c>
      <c r="C48" s="562">
        <f>SUM(C45:C47)</f>
        <v>0</v>
      </c>
      <c r="D48" s="563">
        <f t="shared" ref="D48" si="23">SUM(D45:D47)</f>
        <v>539616</v>
      </c>
      <c r="E48" s="564" t="str">
        <f t="shared" si="22"/>
        <v>-</v>
      </c>
      <c r="F48" s="565">
        <f>SUM(F45:F47)</f>
        <v>6904049.0696</v>
      </c>
      <c r="G48" s="563">
        <f t="shared" ref="G48:H48" si="24">SUM(G45:G47)</f>
        <v>484050</v>
      </c>
      <c r="H48" s="565">
        <f t="shared" si="24"/>
        <v>2562256.56</v>
      </c>
      <c r="I48" s="565">
        <f>SUM(I45:I47)</f>
        <v>8534743.1999999993</v>
      </c>
      <c r="J48" s="758">
        <f t="shared" ref="J48" si="25">SUM(J45:J47)</f>
        <v>5172112.8000000007</v>
      </c>
    </row>
    <row r="49" spans="1:15" ht="60.6" customHeight="1" x14ac:dyDescent="0.3">
      <c r="A49" s="268" t="s">
        <v>101</v>
      </c>
      <c r="B49" s="572" t="s">
        <v>220</v>
      </c>
      <c r="C49" s="550">
        <f>+'01 Prod Physique Boites'!E320</f>
        <v>0</v>
      </c>
      <c r="D49" s="551">
        <f>+'01 Prod Physique Boites'!K320</f>
        <v>378682</v>
      </c>
      <c r="E49" s="552" t="str">
        <f t="shared" si="22"/>
        <v>-</v>
      </c>
      <c r="F49" s="553">
        <f>+'02 Prod Valorisée Boites'!G324</f>
        <v>6290166.3552000001</v>
      </c>
      <c r="G49" s="551">
        <f>+'03 Prod Accessoires'!K163</f>
        <v>293000</v>
      </c>
      <c r="H49" s="554">
        <f>+'03 Prod Accessoires'!Q163</f>
        <v>648731.30000000005</v>
      </c>
      <c r="I49" s="550">
        <f>+'02 Prod Valorisée Boites'!J324</f>
        <v>7895534.4000000004</v>
      </c>
      <c r="J49" s="566">
        <f>+'04 Ventes'!I305</f>
        <v>0</v>
      </c>
      <c r="L49" s="712"/>
      <c r="O49" s="704"/>
    </row>
    <row r="50" spans="1:15" ht="60.6" customHeight="1" thickBot="1" x14ac:dyDescent="0.35">
      <c r="A50" s="777" t="s">
        <v>101</v>
      </c>
      <c r="B50" s="295" t="s">
        <v>222</v>
      </c>
      <c r="C50" s="567"/>
      <c r="D50" s="557"/>
      <c r="E50" s="558" t="str">
        <f t="shared" si="22"/>
        <v>-</v>
      </c>
      <c r="F50" s="559"/>
      <c r="G50" s="557"/>
      <c r="H50" s="560"/>
      <c r="I50" s="560"/>
      <c r="J50" s="568"/>
    </row>
    <row r="51" spans="1:15" s="294" customFormat="1" ht="60.6" customHeight="1" thickBot="1" x14ac:dyDescent="0.35">
      <c r="A51" s="318" t="s">
        <v>101</v>
      </c>
      <c r="B51" s="433" t="s">
        <v>224</v>
      </c>
      <c r="C51" s="562">
        <f>SUM(C49:C50)</f>
        <v>0</v>
      </c>
      <c r="D51" s="563">
        <f t="shared" ref="D51" si="26">SUM(D49:D50)</f>
        <v>378682</v>
      </c>
      <c r="E51" s="564" t="str">
        <f t="shared" si="22"/>
        <v>-</v>
      </c>
      <c r="F51" s="565">
        <f t="shared" ref="F51:J51" si="27">SUM(F49:F50)</f>
        <v>6290166.3552000001</v>
      </c>
      <c r="G51" s="563">
        <f t="shared" si="27"/>
        <v>293000</v>
      </c>
      <c r="H51" s="565">
        <f t="shared" si="27"/>
        <v>648731.30000000005</v>
      </c>
      <c r="I51" s="565">
        <f t="shared" si="27"/>
        <v>7895534.4000000004</v>
      </c>
      <c r="J51" s="758">
        <f t="shared" si="27"/>
        <v>0</v>
      </c>
    </row>
    <row r="52" spans="1:15" ht="60.6" customHeight="1" x14ac:dyDescent="0.3">
      <c r="A52" s="268" t="s">
        <v>102</v>
      </c>
      <c r="B52" s="574" t="s">
        <v>221</v>
      </c>
      <c r="C52" s="554">
        <f>+'01 Prod Physique Boites'!E347</f>
        <v>0</v>
      </c>
      <c r="D52" s="551">
        <f>+'01 Prod Physique Boites'!K347</f>
        <v>75700</v>
      </c>
      <c r="E52" s="552" t="str">
        <f t="shared" si="22"/>
        <v>-</v>
      </c>
      <c r="F52" s="553">
        <f>+'02 Prod Valorisée Boites'!G350</f>
        <v>3474337.0710000005</v>
      </c>
      <c r="G52" s="551">
        <f>+'03 Prod Accessoires'!K197</f>
        <v>338623</v>
      </c>
      <c r="H52" s="554">
        <f>+'03 Prod Accessoires'!Q197</f>
        <v>2502453.4853999997</v>
      </c>
      <c r="I52" s="554">
        <f>+'02 Prod Valorisée Boites'!J350</f>
        <v>6498925.5</v>
      </c>
      <c r="J52" s="566">
        <f>+'04 Ventes'!I331</f>
        <v>720115.19999999995</v>
      </c>
      <c r="K52" s="712"/>
      <c r="L52" s="712"/>
      <c r="O52" s="704"/>
    </row>
    <row r="53" spans="1:15" ht="60.6" customHeight="1" thickBot="1" x14ac:dyDescent="0.35">
      <c r="A53" s="777" t="s">
        <v>102</v>
      </c>
      <c r="B53" s="303" t="s">
        <v>222</v>
      </c>
      <c r="C53" s="560"/>
      <c r="D53" s="569"/>
      <c r="E53" s="570" t="str">
        <f t="shared" si="22"/>
        <v>-</v>
      </c>
      <c r="F53" s="571"/>
      <c r="G53" s="557"/>
      <c r="H53" s="560"/>
      <c r="I53" s="560"/>
      <c r="J53" s="568"/>
    </row>
    <row r="54" spans="1:15" s="294" customFormat="1" ht="60.6" customHeight="1" thickBot="1" x14ac:dyDescent="0.35">
      <c r="A54" s="318" t="s">
        <v>102</v>
      </c>
      <c r="B54" s="433" t="s">
        <v>225</v>
      </c>
      <c r="C54" s="562">
        <f>SUM(C52:C53)</f>
        <v>0</v>
      </c>
      <c r="D54" s="563">
        <f t="shared" ref="D54" si="28">SUM(D52:D53)</f>
        <v>75700</v>
      </c>
      <c r="E54" s="564" t="str">
        <f t="shared" si="22"/>
        <v>-</v>
      </c>
      <c r="F54" s="565">
        <f t="shared" ref="F54:J54" si="29">SUM(F52:F53)</f>
        <v>3474337.0710000005</v>
      </c>
      <c r="G54" s="563">
        <f t="shared" si="29"/>
        <v>338623</v>
      </c>
      <c r="H54" s="565">
        <f t="shared" si="29"/>
        <v>2502453.4853999997</v>
      </c>
      <c r="I54" s="565">
        <f t="shared" si="29"/>
        <v>6498925.5</v>
      </c>
      <c r="J54" s="758">
        <f t="shared" si="29"/>
        <v>720115.19999999995</v>
      </c>
    </row>
    <row r="55" spans="1:15" ht="57.6" customHeight="1" thickBot="1" x14ac:dyDescent="0.35">
      <c r="A55" s="630"/>
      <c r="B55" s="548" t="s">
        <v>174</v>
      </c>
      <c r="C55" s="549">
        <f>+C48+C51+C54</f>
        <v>0</v>
      </c>
      <c r="D55" s="575">
        <f t="shared" ref="D55" si="30">+D48+D51+D54</f>
        <v>993998</v>
      </c>
      <c r="E55" s="576" t="str">
        <f>IFERROR(D55/C55,"-")</f>
        <v>-</v>
      </c>
      <c r="F55" s="575">
        <f>+F48+F51+F54</f>
        <v>16668552.495800002</v>
      </c>
      <c r="G55" s="575">
        <f t="shared" ref="G55:H55" si="31">+G48+G51+G54</f>
        <v>1115673</v>
      </c>
      <c r="H55" s="575">
        <f t="shared" si="31"/>
        <v>5713441.3454</v>
      </c>
      <c r="I55" s="575">
        <f>+I48+I51+I54</f>
        <v>22929203.100000001</v>
      </c>
      <c r="J55" s="631">
        <f t="shared" ref="J55" si="32">+J48+J51+J54</f>
        <v>5892228.0000000009</v>
      </c>
    </row>
    <row r="56" spans="1:15" ht="41.4" customHeight="1" x14ac:dyDescent="0.3">
      <c r="A56" s="1057" t="s">
        <v>1</v>
      </c>
      <c r="B56" s="1063" t="s">
        <v>396</v>
      </c>
      <c r="C56" s="1063" t="s">
        <v>226</v>
      </c>
      <c r="D56" s="1154" t="s">
        <v>503</v>
      </c>
      <c r="E56" s="1155"/>
      <c r="F56" s="1155"/>
      <c r="G56" s="1155"/>
      <c r="H56" s="1156"/>
      <c r="I56" s="1157" t="s">
        <v>417</v>
      </c>
      <c r="J56" s="1157" t="s">
        <v>418</v>
      </c>
      <c r="K56" s="229" t="s">
        <v>420</v>
      </c>
    </row>
    <row r="57" spans="1:15" ht="41.4" customHeight="1" x14ac:dyDescent="0.3">
      <c r="A57" s="1136"/>
      <c r="B57" s="1153"/>
      <c r="C57" s="1153"/>
      <c r="D57" s="1160" t="s">
        <v>229</v>
      </c>
      <c r="E57" s="1161"/>
      <c r="F57" s="1162"/>
      <c r="G57" s="1160" t="s">
        <v>227</v>
      </c>
      <c r="H57" s="1162"/>
      <c r="I57" s="1158"/>
      <c r="J57" s="1158"/>
    </row>
    <row r="58" spans="1:15" ht="25.95" customHeight="1" x14ac:dyDescent="0.3">
      <c r="A58" s="1058"/>
      <c r="B58" s="1064"/>
      <c r="C58" s="1064"/>
      <c r="D58" s="1163" t="s">
        <v>415</v>
      </c>
      <c r="E58" s="1165" t="s">
        <v>9</v>
      </c>
      <c r="F58" s="1167" t="s">
        <v>416</v>
      </c>
      <c r="G58" s="1169" t="s">
        <v>228</v>
      </c>
      <c r="H58" s="1171" t="s">
        <v>416</v>
      </c>
      <c r="I58" s="1158"/>
      <c r="J58" s="1158"/>
    </row>
    <row r="59" spans="1:15" ht="25.95" customHeight="1" thickBot="1" x14ac:dyDescent="0.35">
      <c r="A59" s="1059"/>
      <c r="B59" s="1065"/>
      <c r="C59" s="1065"/>
      <c r="D59" s="1164"/>
      <c r="E59" s="1166"/>
      <c r="F59" s="1168"/>
      <c r="G59" s="1170"/>
      <c r="H59" s="1172"/>
      <c r="I59" s="1159"/>
      <c r="J59" s="1159"/>
    </row>
    <row r="60" spans="1:15" ht="60.6" customHeight="1" x14ac:dyDescent="0.3">
      <c r="A60" s="268" t="s">
        <v>103</v>
      </c>
      <c r="B60" s="572" t="s">
        <v>220</v>
      </c>
      <c r="C60" s="550">
        <f>+'01 Prod Physique Boites'!E381</f>
        <v>3770000</v>
      </c>
      <c r="D60" s="551">
        <f>+'01 Prod Physique Boites'!K381</f>
        <v>837850</v>
      </c>
      <c r="E60" s="552">
        <f>IFERROR(D60/C60,"-")</f>
        <v>0.22224137931034482</v>
      </c>
      <c r="F60" s="553">
        <f>+'02 Prod Valorisée Boites'!G386</f>
        <v>10633811.4396</v>
      </c>
      <c r="G60" s="551">
        <f>+'03 Prod Accessoires'!K208</f>
        <v>621050</v>
      </c>
      <c r="H60" s="554">
        <f>+'03 Prod Accessoires'!Q208</f>
        <v>3232243.86</v>
      </c>
      <c r="I60" s="554">
        <f>+'02 Prod Valorisée Boites'!J386</f>
        <v>13628967.600000001</v>
      </c>
      <c r="J60" s="555">
        <f>+'04 Ventes'!I354</f>
        <v>4502275.2</v>
      </c>
      <c r="K60" s="712"/>
      <c r="L60" s="712"/>
      <c r="O60" s="704"/>
    </row>
    <row r="61" spans="1:15" ht="60.6" customHeight="1" x14ac:dyDescent="0.3">
      <c r="A61" s="785" t="s">
        <v>103</v>
      </c>
      <c r="B61" s="573" t="s">
        <v>221</v>
      </c>
      <c r="C61" s="556">
        <f>+'01 Prod Physique Boites'!E397</f>
        <v>10000</v>
      </c>
      <c r="D61" s="557">
        <f>+'01 Prod Physique Boites'!K397</f>
        <v>0</v>
      </c>
      <c r="E61" s="558">
        <f t="shared" ref="E61:E69" si="33">IFERROR(D61/C61,"-")</f>
        <v>0</v>
      </c>
      <c r="F61" s="559">
        <f>+'02 Prod Valorisée Boites'!G402</f>
        <v>0</v>
      </c>
      <c r="G61" s="557">
        <f>+'03 Prod Accessoires'!K216</f>
        <v>96000</v>
      </c>
      <c r="H61" s="560">
        <f>+'03 Prod Accessoires'!Q216</f>
        <v>510006</v>
      </c>
      <c r="I61" s="560">
        <f>+'02 Prod Valorisée Boites'!J402</f>
        <v>0</v>
      </c>
      <c r="J61" s="561">
        <f>+'04 Ventes'!I361</f>
        <v>1015740</v>
      </c>
      <c r="K61" s="712"/>
      <c r="L61" s="712"/>
      <c r="O61" s="704"/>
    </row>
    <row r="62" spans="1:15" ht="60.6" customHeight="1" thickBot="1" x14ac:dyDescent="0.35">
      <c r="A62" s="274" t="s">
        <v>103</v>
      </c>
      <c r="B62" s="275" t="s">
        <v>222</v>
      </c>
      <c r="C62" s="556"/>
      <c r="D62" s="557"/>
      <c r="E62" s="558" t="str">
        <f t="shared" si="33"/>
        <v>-</v>
      </c>
      <c r="F62" s="559"/>
      <c r="G62" s="557"/>
      <c r="H62" s="560"/>
      <c r="I62" s="560"/>
      <c r="J62" s="561">
        <f>+'04 Ventes'!I366</f>
        <v>2500</v>
      </c>
    </row>
    <row r="63" spans="1:15" s="294" customFormat="1" ht="60.6" customHeight="1" thickBot="1" x14ac:dyDescent="0.35">
      <c r="A63" s="318" t="s">
        <v>103</v>
      </c>
      <c r="B63" s="433" t="s">
        <v>223</v>
      </c>
      <c r="C63" s="562">
        <f>SUM(C60:C62)</f>
        <v>3780000</v>
      </c>
      <c r="D63" s="563">
        <f t="shared" ref="D63" si="34">SUM(D60:D62)</f>
        <v>837850</v>
      </c>
      <c r="E63" s="564">
        <f t="shared" si="33"/>
        <v>0.22165343915343916</v>
      </c>
      <c r="F63" s="565">
        <f>SUM(F60:F62)</f>
        <v>10633811.4396</v>
      </c>
      <c r="G63" s="563">
        <f t="shared" ref="G63:H63" si="35">SUM(G60:G62)</f>
        <v>717050</v>
      </c>
      <c r="H63" s="565">
        <f t="shared" si="35"/>
        <v>3742249.86</v>
      </c>
      <c r="I63" s="565">
        <f>SUM(I60:I62)</f>
        <v>13628967.600000001</v>
      </c>
      <c r="J63" s="758">
        <f t="shared" ref="J63" si="36">SUM(J60:J62)</f>
        <v>5520515.2000000002</v>
      </c>
    </row>
    <row r="64" spans="1:15" ht="60.6" customHeight="1" x14ac:dyDescent="0.3">
      <c r="A64" s="268" t="s">
        <v>101</v>
      </c>
      <c r="B64" s="572" t="s">
        <v>220</v>
      </c>
      <c r="C64" s="550">
        <f>+'01 Prod Physique Boites'!E433</f>
        <v>2215664</v>
      </c>
      <c r="D64" s="551">
        <f>+'01 Prod Physique Boites'!K433</f>
        <v>499619</v>
      </c>
      <c r="E64" s="552">
        <f t="shared" si="33"/>
        <v>0.22549402797536089</v>
      </c>
      <c r="F64" s="553">
        <f>+'02 Prod Valorisée Boites'!G438</f>
        <v>8452497.6432000007</v>
      </c>
      <c r="G64" s="551">
        <f>+'03 Prod Accessoires'!K226</f>
        <v>311250</v>
      </c>
      <c r="H64" s="554">
        <f>+'03 Prod Accessoires'!Q226</f>
        <v>689138.625</v>
      </c>
      <c r="I64" s="550">
        <f>+'02 Prod Valorisée Boites'!J438</f>
        <v>11144212.560000001</v>
      </c>
      <c r="J64" s="566">
        <f>+'04 Ventes'!I398</f>
        <v>0</v>
      </c>
      <c r="L64" s="712"/>
      <c r="O64" s="704"/>
    </row>
    <row r="65" spans="1:15" ht="60.6" customHeight="1" thickBot="1" x14ac:dyDescent="0.35">
      <c r="A65" s="785" t="s">
        <v>101</v>
      </c>
      <c r="B65" s="295" t="s">
        <v>222</v>
      </c>
      <c r="C65" s="567"/>
      <c r="D65" s="557"/>
      <c r="E65" s="558" t="str">
        <f t="shared" si="33"/>
        <v>-</v>
      </c>
      <c r="F65" s="559"/>
      <c r="G65" s="557"/>
      <c r="H65" s="560"/>
      <c r="I65" s="560"/>
      <c r="J65" s="568"/>
    </row>
    <row r="66" spans="1:15" s="294" customFormat="1" ht="60.6" customHeight="1" thickBot="1" x14ac:dyDescent="0.35">
      <c r="A66" s="318" t="s">
        <v>101</v>
      </c>
      <c r="B66" s="433" t="s">
        <v>224</v>
      </c>
      <c r="C66" s="562">
        <f>SUM(C64:C65)</f>
        <v>2215664</v>
      </c>
      <c r="D66" s="563">
        <f t="shared" ref="D66" si="37">SUM(D64:D65)</f>
        <v>499619</v>
      </c>
      <c r="E66" s="564">
        <f t="shared" si="33"/>
        <v>0.22549402797536089</v>
      </c>
      <c r="F66" s="565">
        <f t="shared" ref="F66:J66" si="38">SUM(F64:F65)</f>
        <v>8452497.6432000007</v>
      </c>
      <c r="G66" s="563">
        <f t="shared" si="38"/>
        <v>311250</v>
      </c>
      <c r="H66" s="565">
        <f t="shared" si="38"/>
        <v>689138.625</v>
      </c>
      <c r="I66" s="565">
        <f t="shared" si="38"/>
        <v>11144212.560000001</v>
      </c>
      <c r="J66" s="758">
        <f t="shared" si="38"/>
        <v>0</v>
      </c>
    </row>
    <row r="67" spans="1:15" ht="60.6" customHeight="1" x14ac:dyDescent="0.3">
      <c r="A67" s="268" t="s">
        <v>102</v>
      </c>
      <c r="B67" s="574" t="s">
        <v>221</v>
      </c>
      <c r="C67" s="554">
        <f>+'01 Prod Physique Boites'!E460</f>
        <v>545076</v>
      </c>
      <c r="D67" s="551">
        <f>+'01 Prod Physique Boites'!K460</f>
        <v>103997</v>
      </c>
      <c r="E67" s="552">
        <f t="shared" si="33"/>
        <v>0.19079357740938879</v>
      </c>
      <c r="F67" s="553">
        <f>+'02 Prod Valorisée Boites'!G464</f>
        <v>4783981.6182000004</v>
      </c>
      <c r="G67" s="551">
        <f>+'03 Prod Accessoires'!K260</f>
        <v>470343</v>
      </c>
      <c r="H67" s="554">
        <f>+'03 Prod Accessoires'!Q260</f>
        <v>3423304.0353999999</v>
      </c>
      <c r="I67" s="554">
        <f>+'02 Prod Valorisée Boites'!J464</f>
        <v>8955112.1400000006</v>
      </c>
      <c r="J67" s="566">
        <f>+'04 Ventes'!I424</f>
        <v>720115.19999999995</v>
      </c>
      <c r="K67" s="712"/>
      <c r="L67" s="712"/>
      <c r="O67" s="704"/>
    </row>
    <row r="68" spans="1:15" ht="60.6" customHeight="1" thickBot="1" x14ac:dyDescent="0.35">
      <c r="A68" s="785" t="s">
        <v>102</v>
      </c>
      <c r="B68" s="303" t="s">
        <v>222</v>
      </c>
      <c r="C68" s="560"/>
      <c r="D68" s="569"/>
      <c r="E68" s="570" t="str">
        <f t="shared" si="33"/>
        <v>-</v>
      </c>
      <c r="F68" s="571"/>
      <c r="G68" s="557"/>
      <c r="H68" s="560"/>
      <c r="I68" s="560"/>
      <c r="J68" s="568"/>
    </row>
    <row r="69" spans="1:15" s="294" customFormat="1" ht="60.6" customHeight="1" thickBot="1" x14ac:dyDescent="0.35">
      <c r="A69" s="318" t="s">
        <v>102</v>
      </c>
      <c r="B69" s="433" t="s">
        <v>225</v>
      </c>
      <c r="C69" s="562">
        <f>SUM(C67:C68)</f>
        <v>545076</v>
      </c>
      <c r="D69" s="563">
        <f t="shared" ref="D69" si="39">SUM(D67:D68)</f>
        <v>103997</v>
      </c>
      <c r="E69" s="564">
        <f t="shared" si="33"/>
        <v>0.19079357740938879</v>
      </c>
      <c r="F69" s="565">
        <f t="shared" ref="F69:J69" si="40">SUM(F67:F68)</f>
        <v>4783981.6182000004</v>
      </c>
      <c r="G69" s="563">
        <f t="shared" si="40"/>
        <v>470343</v>
      </c>
      <c r="H69" s="565">
        <f t="shared" si="40"/>
        <v>3423304.0353999999</v>
      </c>
      <c r="I69" s="565">
        <f t="shared" si="40"/>
        <v>8955112.1400000006</v>
      </c>
      <c r="J69" s="758">
        <f t="shared" si="40"/>
        <v>720115.19999999995</v>
      </c>
    </row>
    <row r="70" spans="1:15" ht="57.6" customHeight="1" thickBot="1" x14ac:dyDescent="0.35">
      <c r="A70" s="630"/>
      <c r="B70" s="548" t="s">
        <v>174</v>
      </c>
      <c r="C70" s="549">
        <f>+C63+C66+C69</f>
        <v>6540740</v>
      </c>
      <c r="D70" s="575">
        <f t="shared" ref="D70" si="41">+D63+D66+D69</f>
        <v>1441466</v>
      </c>
      <c r="E70" s="576">
        <f>IFERROR(D70/C70,"-")</f>
        <v>0.22038270899011428</v>
      </c>
      <c r="F70" s="575">
        <f>+F63+F66+F69</f>
        <v>23870290.701000001</v>
      </c>
      <c r="G70" s="575">
        <f t="shared" ref="G70:H70" si="42">+G63+G66+G69</f>
        <v>1498643</v>
      </c>
      <c r="H70" s="575">
        <f t="shared" si="42"/>
        <v>7854692.5203999989</v>
      </c>
      <c r="I70" s="575">
        <f>+I63+I66+I69</f>
        <v>33728292.300000004</v>
      </c>
      <c r="J70" s="631">
        <f t="shared" ref="J70" si="43">+J63+J66+J69</f>
        <v>6240630.4000000004</v>
      </c>
    </row>
    <row r="71" spans="1:15" ht="41.4" customHeight="1" x14ac:dyDescent="0.3">
      <c r="A71" s="1057" t="s">
        <v>1</v>
      </c>
      <c r="B71" s="1063" t="s">
        <v>396</v>
      </c>
      <c r="C71" s="1063" t="s">
        <v>226</v>
      </c>
      <c r="D71" s="1154" t="s">
        <v>507</v>
      </c>
      <c r="E71" s="1155"/>
      <c r="F71" s="1155"/>
      <c r="G71" s="1155"/>
      <c r="H71" s="1156"/>
      <c r="I71" s="1157" t="s">
        <v>417</v>
      </c>
      <c r="J71" s="1157" t="s">
        <v>418</v>
      </c>
      <c r="K71" s="229" t="s">
        <v>420</v>
      </c>
    </row>
    <row r="72" spans="1:15" ht="41.4" customHeight="1" x14ac:dyDescent="0.3">
      <c r="A72" s="1136"/>
      <c r="B72" s="1153"/>
      <c r="C72" s="1153"/>
      <c r="D72" s="1160" t="s">
        <v>229</v>
      </c>
      <c r="E72" s="1161"/>
      <c r="F72" s="1162"/>
      <c r="G72" s="1160" t="s">
        <v>227</v>
      </c>
      <c r="H72" s="1162"/>
      <c r="I72" s="1158"/>
      <c r="J72" s="1158"/>
    </row>
    <row r="73" spans="1:15" ht="25.95" customHeight="1" x14ac:dyDescent="0.3">
      <c r="A73" s="1058"/>
      <c r="B73" s="1064"/>
      <c r="C73" s="1064"/>
      <c r="D73" s="1163" t="s">
        <v>415</v>
      </c>
      <c r="E73" s="1165" t="s">
        <v>9</v>
      </c>
      <c r="F73" s="1167" t="s">
        <v>416</v>
      </c>
      <c r="G73" s="1169" t="s">
        <v>228</v>
      </c>
      <c r="H73" s="1171" t="s">
        <v>416</v>
      </c>
      <c r="I73" s="1158"/>
      <c r="J73" s="1158"/>
    </row>
    <row r="74" spans="1:15" ht="25.95" customHeight="1" thickBot="1" x14ac:dyDescent="0.35">
      <c r="A74" s="1059"/>
      <c r="B74" s="1065"/>
      <c r="C74" s="1065"/>
      <c r="D74" s="1164"/>
      <c r="E74" s="1166"/>
      <c r="F74" s="1168"/>
      <c r="G74" s="1170"/>
      <c r="H74" s="1172"/>
      <c r="I74" s="1159"/>
      <c r="J74" s="1159"/>
    </row>
    <row r="75" spans="1:15" ht="60.6" customHeight="1" x14ac:dyDescent="0.3">
      <c r="A75" s="268" t="s">
        <v>103</v>
      </c>
      <c r="B75" s="572" t="s">
        <v>220</v>
      </c>
      <c r="C75" s="550">
        <f>+'01 Prod Physique Boites'!E494</f>
        <v>3770000</v>
      </c>
      <c r="D75" s="551">
        <f>+'01 Prod Physique Boites'!K494</f>
        <v>936140</v>
      </c>
      <c r="E75" s="552">
        <f>IFERROR(D75/C75,"-")</f>
        <v>0.24831299734748011</v>
      </c>
      <c r="F75" s="553">
        <f>+'02 Prod Valorisée Boites'!G500</f>
        <v>11897459.2476</v>
      </c>
      <c r="G75" s="551">
        <f>+'03 Prod Accessoires'!K271</f>
        <v>722550</v>
      </c>
      <c r="H75" s="554">
        <f>+'03 Prod Accessoires'!Q271</f>
        <v>3984238.4100000006</v>
      </c>
      <c r="I75" s="554">
        <f>+'02 Prod Valorisée Boites'!J500</f>
        <v>15636327.600000001</v>
      </c>
      <c r="J75" s="555">
        <f>+'04 Ventes'!I447</f>
        <v>7943990.4000000004</v>
      </c>
      <c r="K75" s="712"/>
      <c r="L75" s="712"/>
      <c r="O75" s="704"/>
    </row>
    <row r="76" spans="1:15" ht="60.6" customHeight="1" x14ac:dyDescent="0.3">
      <c r="A76" s="794" t="s">
        <v>103</v>
      </c>
      <c r="B76" s="573" t="s">
        <v>221</v>
      </c>
      <c r="C76" s="556">
        <f>+'01 Prod Physique Boites'!E510</f>
        <v>10000</v>
      </c>
      <c r="D76" s="557">
        <f>+'01 Prod Physique Boites'!K510</f>
        <v>0</v>
      </c>
      <c r="E76" s="558">
        <f t="shared" ref="E76:E84" si="44">IFERROR(D76/C76,"-")</f>
        <v>0</v>
      </c>
      <c r="F76" s="559">
        <f>+'02 Prod Valorisée Boites'!G516</f>
        <v>0</v>
      </c>
      <c r="G76" s="557">
        <f>+'03 Prod Accessoires'!K279</f>
        <v>105000</v>
      </c>
      <c r="H76" s="560">
        <f>+'03 Prod Accessoires'!Q279</f>
        <v>618271.5</v>
      </c>
      <c r="I76" s="560">
        <f>+'02 Prod Valorisée Boites'!J516</f>
        <v>0</v>
      </c>
      <c r="J76" s="561">
        <f>+'04 Ventes'!I454</f>
        <v>1015740</v>
      </c>
      <c r="K76" s="712"/>
      <c r="L76" s="712"/>
      <c r="O76" s="704"/>
    </row>
    <row r="77" spans="1:15" ht="60.6" customHeight="1" thickBot="1" x14ac:dyDescent="0.35">
      <c r="A77" s="274" t="s">
        <v>103</v>
      </c>
      <c r="B77" s="275" t="s">
        <v>222</v>
      </c>
      <c r="C77" s="556"/>
      <c r="D77" s="557"/>
      <c r="E77" s="558" t="str">
        <f t="shared" si="44"/>
        <v>-</v>
      </c>
      <c r="F77" s="559"/>
      <c r="G77" s="557"/>
      <c r="H77" s="560"/>
      <c r="I77" s="560"/>
      <c r="J77" s="561">
        <f>+'04 Ventes'!I459</f>
        <v>7500</v>
      </c>
    </row>
    <row r="78" spans="1:15" s="294" customFormat="1" ht="60.6" customHeight="1" thickBot="1" x14ac:dyDescent="0.35">
      <c r="A78" s="318" t="s">
        <v>103</v>
      </c>
      <c r="B78" s="433" t="s">
        <v>223</v>
      </c>
      <c r="C78" s="562">
        <f>SUM(C75:C77)</f>
        <v>3780000</v>
      </c>
      <c r="D78" s="563">
        <f t="shared" ref="D78" si="45">SUM(D75:D77)</f>
        <v>936140</v>
      </c>
      <c r="E78" s="564">
        <f t="shared" si="44"/>
        <v>0.24765608465608466</v>
      </c>
      <c r="F78" s="565">
        <f>SUM(F75:F77)</f>
        <v>11897459.2476</v>
      </c>
      <c r="G78" s="563">
        <f t="shared" ref="G78:H78" si="46">SUM(G75:G77)</f>
        <v>827550</v>
      </c>
      <c r="H78" s="565">
        <f t="shared" si="46"/>
        <v>4602509.91</v>
      </c>
      <c r="I78" s="565">
        <f>SUM(I75:I77)</f>
        <v>15636327.600000001</v>
      </c>
      <c r="J78" s="758">
        <f t="shared" ref="J78" si="47">SUM(J75:J77)</f>
        <v>8967230.4000000004</v>
      </c>
    </row>
    <row r="79" spans="1:15" ht="60.6" customHeight="1" x14ac:dyDescent="0.3">
      <c r="A79" s="268" t="s">
        <v>101</v>
      </c>
      <c r="B79" s="572" t="s">
        <v>220</v>
      </c>
      <c r="C79" s="550">
        <f>+'01 Prod Physique Boites'!E546</f>
        <v>2215664</v>
      </c>
      <c r="D79" s="551">
        <f>+'01 Prod Physique Boites'!K546</f>
        <v>705639</v>
      </c>
      <c r="E79" s="552">
        <f t="shared" si="44"/>
        <v>0.31847744062276589</v>
      </c>
      <c r="F79" s="553">
        <f>+'02 Prod Valorisée Boites'!G552</f>
        <v>12063482.589600001</v>
      </c>
      <c r="G79" s="551">
        <f>+'03 Prod Accessoires'!K288</f>
        <v>311250</v>
      </c>
      <c r="H79" s="554">
        <f>+'03 Prod Accessoires'!Q288</f>
        <v>689138.625</v>
      </c>
      <c r="I79" s="550">
        <f>+'02 Prod Valorisée Boites'!J552</f>
        <v>16547370.840000002</v>
      </c>
      <c r="J79" s="566">
        <f>+'04 Ventes'!I491</f>
        <v>0</v>
      </c>
      <c r="L79" s="712"/>
      <c r="O79" s="704"/>
    </row>
    <row r="80" spans="1:15" ht="60.6" customHeight="1" thickBot="1" x14ac:dyDescent="0.35">
      <c r="A80" s="794" t="s">
        <v>101</v>
      </c>
      <c r="B80" s="295" t="s">
        <v>222</v>
      </c>
      <c r="C80" s="567"/>
      <c r="D80" s="557"/>
      <c r="E80" s="558" t="str">
        <f t="shared" si="44"/>
        <v>-</v>
      </c>
      <c r="F80" s="559"/>
      <c r="G80" s="557"/>
      <c r="H80" s="560"/>
      <c r="I80" s="560"/>
      <c r="J80" s="568"/>
    </row>
    <row r="81" spans="1:15" s="294" customFormat="1" ht="60.6" customHeight="1" thickBot="1" x14ac:dyDescent="0.35">
      <c r="A81" s="318" t="s">
        <v>101</v>
      </c>
      <c r="B81" s="433" t="s">
        <v>224</v>
      </c>
      <c r="C81" s="562">
        <f>SUM(C79:C80)</f>
        <v>2215664</v>
      </c>
      <c r="D81" s="563">
        <f t="shared" ref="D81" si="48">SUM(D79:D80)</f>
        <v>705639</v>
      </c>
      <c r="E81" s="564">
        <f t="shared" si="44"/>
        <v>0.31847744062276589</v>
      </c>
      <c r="F81" s="565">
        <f t="shared" ref="F81:J81" si="49">SUM(F79:F80)</f>
        <v>12063482.589600001</v>
      </c>
      <c r="G81" s="563">
        <f t="shared" si="49"/>
        <v>311250</v>
      </c>
      <c r="H81" s="565">
        <f t="shared" si="49"/>
        <v>689138.625</v>
      </c>
      <c r="I81" s="565">
        <f t="shared" si="49"/>
        <v>16547370.840000002</v>
      </c>
      <c r="J81" s="758">
        <f t="shared" si="49"/>
        <v>0</v>
      </c>
    </row>
    <row r="82" spans="1:15" ht="60.6" customHeight="1" x14ac:dyDescent="0.3">
      <c r="A82" s="268" t="s">
        <v>102</v>
      </c>
      <c r="B82" s="574" t="s">
        <v>221</v>
      </c>
      <c r="C82" s="554">
        <f>+'01 Prod Physique Boites'!E573</f>
        <v>545076</v>
      </c>
      <c r="D82" s="551">
        <f>+'01 Prod Physique Boites'!K573</f>
        <v>133934</v>
      </c>
      <c r="E82" s="552">
        <f t="shared" si="44"/>
        <v>0.24571619370509801</v>
      </c>
      <c r="F82" s="553">
        <f>+'02 Prod Valorisée Boites'!G578</f>
        <v>7217067.9582000002</v>
      </c>
      <c r="G82" s="551">
        <f>+'03 Prod Accessoires'!K322</f>
        <v>614163</v>
      </c>
      <c r="H82" s="554">
        <f>+'03 Prod Accessoires'!Q323</f>
        <v>4330294.0353999995</v>
      </c>
      <c r="I82" s="554">
        <f>+'02 Prod Valorisée Boites'!J578</f>
        <v>13282088.140000001</v>
      </c>
      <c r="J82" s="566">
        <f>+'04 Ventes'!I517</f>
        <v>2842599.2</v>
      </c>
      <c r="K82" s="712"/>
      <c r="L82" s="712"/>
      <c r="O82" s="704"/>
    </row>
    <row r="83" spans="1:15" ht="60.6" customHeight="1" thickBot="1" x14ac:dyDescent="0.35">
      <c r="A83" s="794" t="s">
        <v>102</v>
      </c>
      <c r="B83" s="303" t="s">
        <v>222</v>
      </c>
      <c r="C83" s="560"/>
      <c r="D83" s="569"/>
      <c r="E83" s="570" t="str">
        <f t="shared" si="44"/>
        <v>-</v>
      </c>
      <c r="F83" s="571"/>
      <c r="G83" s="557"/>
      <c r="H83" s="560"/>
      <c r="I83" s="560"/>
      <c r="J83" s="568"/>
    </row>
    <row r="84" spans="1:15" s="294" customFormat="1" ht="60.6" customHeight="1" thickBot="1" x14ac:dyDescent="0.35">
      <c r="A84" s="318" t="s">
        <v>102</v>
      </c>
      <c r="B84" s="433" t="s">
        <v>225</v>
      </c>
      <c r="C84" s="562">
        <f>SUM(C82:C83)</f>
        <v>545076</v>
      </c>
      <c r="D84" s="563">
        <f t="shared" ref="D84" si="50">SUM(D82:D83)</f>
        <v>133934</v>
      </c>
      <c r="E84" s="564">
        <f t="shared" si="44"/>
        <v>0.24571619370509801</v>
      </c>
      <c r="F84" s="565">
        <f t="shared" ref="F84:J84" si="51">SUM(F82:F83)</f>
        <v>7217067.9582000002</v>
      </c>
      <c r="G84" s="563">
        <f t="shared" si="51"/>
        <v>614163</v>
      </c>
      <c r="H84" s="565">
        <f t="shared" si="51"/>
        <v>4330294.0353999995</v>
      </c>
      <c r="I84" s="565">
        <f t="shared" si="51"/>
        <v>13282088.140000001</v>
      </c>
      <c r="J84" s="758">
        <f t="shared" si="51"/>
        <v>2842599.2</v>
      </c>
    </row>
    <row r="85" spans="1:15" ht="57.6" customHeight="1" thickBot="1" x14ac:dyDescent="0.35">
      <c r="A85" s="630"/>
      <c r="B85" s="548" t="s">
        <v>174</v>
      </c>
      <c r="C85" s="549">
        <f>+C78+C81+C84</f>
        <v>6540740</v>
      </c>
      <c r="D85" s="575">
        <f t="shared" ref="D85" si="52">+D78+D81+D84</f>
        <v>1775713</v>
      </c>
      <c r="E85" s="576">
        <f>IFERROR(D85/C85,"-")</f>
        <v>0.27148503074575658</v>
      </c>
      <c r="F85" s="575">
        <f>+F78+F81+F84</f>
        <v>31178009.795400001</v>
      </c>
      <c r="G85" s="575">
        <f t="shared" ref="G85:H85" si="53">+G78+G81+G84</f>
        <v>1752963</v>
      </c>
      <c r="H85" s="575">
        <f t="shared" si="53"/>
        <v>9621942.5703999996</v>
      </c>
      <c r="I85" s="575">
        <f>+I78+I81+I84</f>
        <v>45465786.580000006</v>
      </c>
      <c r="J85" s="631">
        <f t="shared" ref="J85" si="54">+J78+J81+J84</f>
        <v>11809829.600000001</v>
      </c>
    </row>
    <row r="86" spans="1:15" ht="41.4" customHeight="1" x14ac:dyDescent="0.3">
      <c r="A86" s="1057" t="s">
        <v>1</v>
      </c>
      <c r="B86" s="1063" t="s">
        <v>396</v>
      </c>
      <c r="C86" s="1063" t="s">
        <v>226</v>
      </c>
      <c r="D86" s="1154" t="s">
        <v>517</v>
      </c>
      <c r="E86" s="1155"/>
      <c r="F86" s="1155"/>
      <c r="G86" s="1155"/>
      <c r="H86" s="1156"/>
      <c r="I86" s="1157" t="s">
        <v>417</v>
      </c>
      <c r="J86" s="1157" t="s">
        <v>418</v>
      </c>
      <c r="K86" s="229" t="s">
        <v>420</v>
      </c>
    </row>
    <row r="87" spans="1:15" ht="41.4" customHeight="1" x14ac:dyDescent="0.3">
      <c r="A87" s="1136"/>
      <c r="B87" s="1153"/>
      <c r="C87" s="1153"/>
      <c r="D87" s="1160" t="s">
        <v>229</v>
      </c>
      <c r="E87" s="1161"/>
      <c r="F87" s="1162"/>
      <c r="G87" s="1160" t="s">
        <v>227</v>
      </c>
      <c r="H87" s="1162"/>
      <c r="I87" s="1158"/>
      <c r="J87" s="1158"/>
    </row>
    <row r="88" spans="1:15" ht="25.95" customHeight="1" x14ac:dyDescent="0.3">
      <c r="A88" s="1058"/>
      <c r="B88" s="1064"/>
      <c r="C88" s="1064"/>
      <c r="D88" s="1163" t="s">
        <v>415</v>
      </c>
      <c r="E88" s="1165" t="s">
        <v>9</v>
      </c>
      <c r="F88" s="1167" t="s">
        <v>416</v>
      </c>
      <c r="G88" s="1169" t="s">
        <v>228</v>
      </c>
      <c r="H88" s="1171" t="s">
        <v>416</v>
      </c>
      <c r="I88" s="1158"/>
      <c r="J88" s="1158"/>
    </row>
    <row r="89" spans="1:15" ht="25.95" customHeight="1" thickBot="1" x14ac:dyDescent="0.35">
      <c r="A89" s="1059"/>
      <c r="B89" s="1065"/>
      <c r="C89" s="1065"/>
      <c r="D89" s="1164"/>
      <c r="E89" s="1166"/>
      <c r="F89" s="1168"/>
      <c r="G89" s="1170"/>
      <c r="H89" s="1172"/>
      <c r="I89" s="1159"/>
      <c r="J89" s="1159"/>
    </row>
    <row r="90" spans="1:15" ht="60.6" customHeight="1" x14ac:dyDescent="0.3">
      <c r="A90" s="268" t="s">
        <v>103</v>
      </c>
      <c r="B90" s="572" t="s">
        <v>220</v>
      </c>
      <c r="C90" s="550">
        <f>+'01 Prod Physique Boites'!E609</f>
        <v>3770000</v>
      </c>
      <c r="D90" s="551">
        <f>+'01 Prod Physique Boites'!K609</f>
        <v>1237505</v>
      </c>
      <c r="E90" s="552">
        <f>IFERROR(D90/C90,"-")</f>
        <v>0.32825066312997347</v>
      </c>
      <c r="F90" s="553">
        <f>+'02 Prod Valorisée Boites'!G615</f>
        <v>15788522.532399997</v>
      </c>
      <c r="G90" s="551">
        <f>+'03 Prod Accessoires'!K334</f>
        <v>873050</v>
      </c>
      <c r="H90" s="554">
        <f>+'03 Prod Accessoires'!Q334</f>
        <v>4916440.26</v>
      </c>
      <c r="I90" s="554">
        <f>+'02 Prod Valorisée Boites'!J615</f>
        <v>20555317.199999999</v>
      </c>
      <c r="J90" s="555">
        <f>+'04 Ventes'!I540</f>
        <v>8210947.2000000011</v>
      </c>
      <c r="K90" s="712"/>
      <c r="L90" s="712"/>
      <c r="O90" s="704"/>
    </row>
    <row r="91" spans="1:15" ht="60.6" customHeight="1" x14ac:dyDescent="0.3">
      <c r="A91" s="802" t="s">
        <v>103</v>
      </c>
      <c r="B91" s="573" t="s">
        <v>221</v>
      </c>
      <c r="C91" s="556">
        <f>+'01 Prod Physique Boites'!E625</f>
        <v>10000</v>
      </c>
      <c r="D91" s="557">
        <f>+'01 Prod Physique Boites'!K625</f>
        <v>0</v>
      </c>
      <c r="E91" s="558">
        <f t="shared" ref="E91:E99" si="55">IFERROR(D91/C91,"-")</f>
        <v>0</v>
      </c>
      <c r="F91" s="559">
        <f>+'02 Prod Valorisée Boites'!G631</f>
        <v>0</v>
      </c>
      <c r="G91" s="557">
        <f>+'03 Prod Accessoires'!K342</f>
        <v>111400</v>
      </c>
      <c r="H91" s="560">
        <f>+'03 Prod Accessoires'!Q342</f>
        <v>695260.3</v>
      </c>
      <c r="I91" s="560">
        <f>+'02 Prod Valorisée Boites'!J631</f>
        <v>0</v>
      </c>
      <c r="J91" s="561">
        <f>+'04 Ventes'!I547</f>
        <v>1015740</v>
      </c>
      <c r="K91" s="712"/>
      <c r="L91" s="712"/>
      <c r="O91" s="704"/>
    </row>
    <row r="92" spans="1:15" ht="60.6" customHeight="1" thickBot="1" x14ac:dyDescent="0.35">
      <c r="A92" s="274" t="s">
        <v>103</v>
      </c>
      <c r="B92" s="275" t="s">
        <v>222</v>
      </c>
      <c r="C92" s="556"/>
      <c r="D92" s="557"/>
      <c r="E92" s="558" t="str">
        <f t="shared" si="55"/>
        <v>-</v>
      </c>
      <c r="F92" s="559"/>
      <c r="G92" s="557"/>
      <c r="H92" s="560"/>
      <c r="I92" s="560"/>
      <c r="J92" s="561">
        <f>+'04 Ventes'!I552</f>
        <v>7500</v>
      </c>
    </row>
    <row r="93" spans="1:15" s="294" customFormat="1" ht="60.6" customHeight="1" thickBot="1" x14ac:dyDescent="0.35">
      <c r="A93" s="318" t="s">
        <v>103</v>
      </c>
      <c r="B93" s="433" t="s">
        <v>223</v>
      </c>
      <c r="C93" s="562">
        <f>SUM(C90:C92)</f>
        <v>3780000</v>
      </c>
      <c r="D93" s="563">
        <f t="shared" ref="D93" si="56">SUM(D90:D92)</f>
        <v>1237505</v>
      </c>
      <c r="E93" s="564">
        <f t="shared" si="55"/>
        <v>0.32738227513227514</v>
      </c>
      <c r="F93" s="565">
        <f>SUM(F90:F92)</f>
        <v>15788522.532399997</v>
      </c>
      <c r="G93" s="563">
        <f t="shared" ref="G93:H93" si="57">SUM(G90:G92)</f>
        <v>984450</v>
      </c>
      <c r="H93" s="565">
        <f t="shared" si="57"/>
        <v>5611700.5599999996</v>
      </c>
      <c r="I93" s="565">
        <f>SUM(I90:I92)</f>
        <v>20555317.199999999</v>
      </c>
      <c r="J93" s="758">
        <f t="shared" ref="J93" si="58">SUM(J90:J92)</f>
        <v>9234187.2000000011</v>
      </c>
    </row>
    <row r="94" spans="1:15" ht="60.6" customHeight="1" x14ac:dyDescent="0.3">
      <c r="A94" s="268" t="s">
        <v>101</v>
      </c>
      <c r="B94" s="572" t="s">
        <v>220</v>
      </c>
      <c r="C94" s="550">
        <f>+'01 Prod Physique Boites'!E661</f>
        <v>2215664</v>
      </c>
      <c r="D94" s="551">
        <f>+'01 Prod Physique Boites'!K661</f>
        <v>778847</v>
      </c>
      <c r="E94" s="552">
        <f t="shared" si="55"/>
        <v>0.35151855154933237</v>
      </c>
      <c r="F94" s="553">
        <f>+'02 Prod Valorisée Boites'!G667</f>
        <v>13300899.159600001</v>
      </c>
      <c r="G94" s="551">
        <f>+'03 Prod Accessoires'!K351</f>
        <v>311250</v>
      </c>
      <c r="H94" s="554">
        <f>+'03 Prod Accessoires'!Q351</f>
        <v>689138.625</v>
      </c>
      <c r="I94" s="550">
        <f>+'02 Prod Valorisée Boites'!J667</f>
        <v>18347296.500000004</v>
      </c>
      <c r="J94" s="566">
        <f>+'04 Ventes'!I584</f>
        <v>0</v>
      </c>
      <c r="L94" s="712"/>
      <c r="O94" s="704"/>
    </row>
    <row r="95" spans="1:15" ht="60.6" customHeight="1" thickBot="1" x14ac:dyDescent="0.35">
      <c r="A95" s="802" t="s">
        <v>101</v>
      </c>
      <c r="B95" s="295" t="s">
        <v>222</v>
      </c>
      <c r="C95" s="567"/>
      <c r="D95" s="557"/>
      <c r="E95" s="558" t="str">
        <f t="shared" si="55"/>
        <v>-</v>
      </c>
      <c r="F95" s="559"/>
      <c r="G95" s="557"/>
      <c r="H95" s="560"/>
      <c r="I95" s="560"/>
      <c r="J95" s="568"/>
    </row>
    <row r="96" spans="1:15" s="294" customFormat="1" ht="60.6" customHeight="1" thickBot="1" x14ac:dyDescent="0.35">
      <c r="A96" s="318" t="s">
        <v>101</v>
      </c>
      <c r="B96" s="433" t="s">
        <v>224</v>
      </c>
      <c r="C96" s="562">
        <f>SUM(C94:C95)</f>
        <v>2215664</v>
      </c>
      <c r="D96" s="563">
        <f t="shared" ref="D96" si="59">SUM(D94:D95)</f>
        <v>778847</v>
      </c>
      <c r="E96" s="564">
        <f t="shared" si="55"/>
        <v>0.35151855154933237</v>
      </c>
      <c r="F96" s="565">
        <f t="shared" ref="F96:J96" si="60">SUM(F94:F95)</f>
        <v>13300899.159600001</v>
      </c>
      <c r="G96" s="563">
        <f t="shared" si="60"/>
        <v>311250</v>
      </c>
      <c r="H96" s="565">
        <f t="shared" si="60"/>
        <v>689138.625</v>
      </c>
      <c r="I96" s="565">
        <f t="shared" si="60"/>
        <v>18347296.500000004</v>
      </c>
      <c r="J96" s="758">
        <f t="shared" si="60"/>
        <v>0</v>
      </c>
    </row>
    <row r="97" spans="1:15" ht="60.6" customHeight="1" x14ac:dyDescent="0.3">
      <c r="A97" s="268" t="s">
        <v>102</v>
      </c>
      <c r="B97" s="574" t="s">
        <v>221</v>
      </c>
      <c r="C97" s="554">
        <f>+'01 Prod Physique Boites'!E688</f>
        <v>545076</v>
      </c>
      <c r="D97" s="551">
        <f>+'01 Prod Physique Boites'!K688</f>
        <v>162429</v>
      </c>
      <c r="E97" s="552">
        <f t="shared" si="55"/>
        <v>0.2979933073553046</v>
      </c>
      <c r="F97" s="553">
        <f>+'02 Prod Valorisée Boites'!G693</f>
        <v>8787221.3381999992</v>
      </c>
      <c r="G97" s="551">
        <f>+'03 Prod Accessoires'!K386</f>
        <v>708433</v>
      </c>
      <c r="H97" s="554">
        <f>+'03 Prod Accessoires'!Q386</f>
        <v>5058344.7753999997</v>
      </c>
      <c r="I97" s="554">
        <f>+'02 Prod Valorisée Boites'!J693</f>
        <v>16177126.140000001</v>
      </c>
      <c r="J97" s="566">
        <f>+'04 Ventes'!I611</f>
        <v>4961220.2</v>
      </c>
      <c r="K97" s="712"/>
      <c r="L97" s="712"/>
      <c r="O97" s="704"/>
    </row>
    <row r="98" spans="1:15" ht="60.6" customHeight="1" thickBot="1" x14ac:dyDescent="0.35">
      <c r="A98" s="802" t="s">
        <v>102</v>
      </c>
      <c r="B98" s="303" t="s">
        <v>222</v>
      </c>
      <c r="C98" s="560"/>
      <c r="D98" s="569"/>
      <c r="E98" s="570" t="str">
        <f t="shared" si="55"/>
        <v>-</v>
      </c>
      <c r="F98" s="571"/>
      <c r="G98" s="557"/>
      <c r="H98" s="560"/>
      <c r="I98" s="560"/>
      <c r="J98" s="568"/>
    </row>
    <row r="99" spans="1:15" s="294" customFormat="1" ht="60.6" customHeight="1" thickBot="1" x14ac:dyDescent="0.35">
      <c r="A99" s="318" t="s">
        <v>102</v>
      </c>
      <c r="B99" s="433" t="s">
        <v>225</v>
      </c>
      <c r="C99" s="562">
        <f>SUM(C97:C98)</f>
        <v>545076</v>
      </c>
      <c r="D99" s="563">
        <f t="shared" ref="D99" si="61">SUM(D97:D98)</f>
        <v>162429</v>
      </c>
      <c r="E99" s="564">
        <f t="shared" si="55"/>
        <v>0.2979933073553046</v>
      </c>
      <c r="F99" s="565">
        <f t="shared" ref="F99:J99" si="62">SUM(F97:F98)</f>
        <v>8787221.3381999992</v>
      </c>
      <c r="G99" s="563">
        <f t="shared" si="62"/>
        <v>708433</v>
      </c>
      <c r="H99" s="565">
        <f t="shared" si="62"/>
        <v>5058344.7753999997</v>
      </c>
      <c r="I99" s="565">
        <f t="shared" si="62"/>
        <v>16177126.140000001</v>
      </c>
      <c r="J99" s="758">
        <f t="shared" si="62"/>
        <v>4961220.2</v>
      </c>
    </row>
    <row r="100" spans="1:15" ht="57.6" customHeight="1" thickBot="1" x14ac:dyDescent="0.35">
      <c r="A100" s="630"/>
      <c r="B100" s="548" t="s">
        <v>174</v>
      </c>
      <c r="C100" s="549">
        <f>+C93+C96+C99</f>
        <v>6540740</v>
      </c>
      <c r="D100" s="575">
        <f t="shared" ref="D100" si="63">+D93+D96+D99</f>
        <v>2178781</v>
      </c>
      <c r="E100" s="576">
        <f>IFERROR(D100/C100,"-")</f>
        <v>0.33310925063524921</v>
      </c>
      <c r="F100" s="575">
        <f>+F93+F96+F99</f>
        <v>37876643.030199997</v>
      </c>
      <c r="G100" s="575">
        <f t="shared" ref="G100:H100" si="64">+G93+G96+G99</f>
        <v>2004133</v>
      </c>
      <c r="H100" s="575">
        <f t="shared" si="64"/>
        <v>11359183.9604</v>
      </c>
      <c r="I100" s="575">
        <f>+I93+I96+I99</f>
        <v>55079739.840000004</v>
      </c>
      <c r="J100" s="631">
        <f t="shared" ref="J100" si="65">+J93+J96+J99</f>
        <v>14195407.400000002</v>
      </c>
    </row>
    <row r="101" spans="1:15" ht="41.4" customHeight="1" x14ac:dyDescent="0.3">
      <c r="A101" s="1057" t="s">
        <v>1</v>
      </c>
      <c r="B101" s="1063" t="s">
        <v>396</v>
      </c>
      <c r="C101" s="1063" t="s">
        <v>226</v>
      </c>
      <c r="D101" s="1154" t="s">
        <v>518</v>
      </c>
      <c r="E101" s="1155"/>
      <c r="F101" s="1155"/>
      <c r="G101" s="1155"/>
      <c r="H101" s="1156"/>
      <c r="I101" s="1157" t="s">
        <v>417</v>
      </c>
      <c r="J101" s="1157" t="s">
        <v>418</v>
      </c>
      <c r="K101" s="229" t="s">
        <v>420</v>
      </c>
    </row>
    <row r="102" spans="1:15" ht="41.4" customHeight="1" x14ac:dyDescent="0.3">
      <c r="A102" s="1136"/>
      <c r="B102" s="1153"/>
      <c r="C102" s="1153"/>
      <c r="D102" s="1160" t="s">
        <v>229</v>
      </c>
      <c r="E102" s="1161"/>
      <c r="F102" s="1162"/>
      <c r="G102" s="1160" t="s">
        <v>227</v>
      </c>
      <c r="H102" s="1162"/>
      <c r="I102" s="1158"/>
      <c r="J102" s="1158"/>
    </row>
    <row r="103" spans="1:15" ht="25.95" customHeight="1" x14ac:dyDescent="0.3">
      <c r="A103" s="1058"/>
      <c r="B103" s="1064"/>
      <c r="C103" s="1064"/>
      <c r="D103" s="1163" t="s">
        <v>415</v>
      </c>
      <c r="E103" s="1165" t="s">
        <v>9</v>
      </c>
      <c r="F103" s="1167" t="s">
        <v>416</v>
      </c>
      <c r="G103" s="1169" t="s">
        <v>228</v>
      </c>
      <c r="H103" s="1171" t="s">
        <v>416</v>
      </c>
      <c r="I103" s="1158"/>
      <c r="J103" s="1158"/>
    </row>
    <row r="104" spans="1:15" ht="25.95" customHeight="1" thickBot="1" x14ac:dyDescent="0.35">
      <c r="A104" s="1059"/>
      <c r="B104" s="1065"/>
      <c r="C104" s="1065"/>
      <c r="D104" s="1164"/>
      <c r="E104" s="1166"/>
      <c r="F104" s="1168"/>
      <c r="G104" s="1170"/>
      <c r="H104" s="1172"/>
      <c r="I104" s="1159"/>
      <c r="J104" s="1159"/>
    </row>
    <row r="105" spans="1:15" ht="60.6" customHeight="1" x14ac:dyDescent="0.3">
      <c r="A105" s="268" t="s">
        <v>103</v>
      </c>
      <c r="B105" s="572" t="s">
        <v>220</v>
      </c>
      <c r="C105" s="550">
        <f>+'01 Prod Physique Boites'!E724</f>
        <v>3770000</v>
      </c>
      <c r="D105" s="551">
        <f>+'01 Prod Physique Boites'!K724</f>
        <v>1408128</v>
      </c>
      <c r="E105" s="552">
        <f>IFERROR(D105/C105,"-")</f>
        <v>0.37350875331564987</v>
      </c>
      <c r="F105" s="553">
        <f>+'02 Prod Valorisée Boites'!G730</f>
        <v>18078654.957199998</v>
      </c>
      <c r="G105" s="551">
        <f>+'03 Prod Accessoires'!K397</f>
        <v>1112800</v>
      </c>
      <c r="H105" s="554">
        <f>+'03 Prod Accessoires'!Q397</f>
        <v>5628051.4350000005</v>
      </c>
      <c r="I105" s="554">
        <f>+'02 Prod Valorisée Boites'!J730</f>
        <v>19525587.600000001</v>
      </c>
      <c r="J105" s="555">
        <f>+'04 Ventes'!I634</f>
        <v>8210947.2000000011</v>
      </c>
      <c r="K105" s="712"/>
      <c r="L105" s="712"/>
      <c r="O105" s="704"/>
    </row>
    <row r="106" spans="1:15" ht="60.6" customHeight="1" x14ac:dyDescent="0.3">
      <c r="A106" s="812" t="s">
        <v>103</v>
      </c>
      <c r="B106" s="573" t="s">
        <v>221</v>
      </c>
      <c r="C106" s="556">
        <f>+'01 Prod Physique Boites'!E740</f>
        <v>10000</v>
      </c>
      <c r="D106" s="557">
        <f>+'01 Prod Physique Boites'!K740</f>
        <v>0</v>
      </c>
      <c r="E106" s="558">
        <f t="shared" ref="E106:E114" si="66">IFERROR(D106/C106,"-")</f>
        <v>0</v>
      </c>
      <c r="F106" s="559">
        <f>+'02 Prod Valorisée Boites'!G746</f>
        <v>0</v>
      </c>
      <c r="G106" s="557">
        <f>+'03 Prod Accessoires'!K405</f>
        <v>111400</v>
      </c>
      <c r="H106" s="560">
        <f>+'03 Prod Accessoires'!Q405</f>
        <v>695260.3</v>
      </c>
      <c r="I106" s="560">
        <f>+'02 Prod Valorisée Boites'!J746</f>
        <v>0</v>
      </c>
      <c r="J106" s="561">
        <f>+'04 Ventes'!I641</f>
        <v>1015740</v>
      </c>
      <c r="K106" s="712"/>
      <c r="L106" s="712"/>
      <c r="O106" s="704"/>
    </row>
    <row r="107" spans="1:15" ht="60.6" customHeight="1" thickBot="1" x14ac:dyDescent="0.35">
      <c r="A107" s="274" t="s">
        <v>103</v>
      </c>
      <c r="B107" s="275" t="s">
        <v>222</v>
      </c>
      <c r="C107" s="556"/>
      <c r="D107" s="557"/>
      <c r="E107" s="558" t="str">
        <f t="shared" si="66"/>
        <v>-</v>
      </c>
      <c r="F107" s="559"/>
      <c r="G107" s="557"/>
      <c r="H107" s="560"/>
      <c r="I107" s="560"/>
      <c r="J107" s="561">
        <f>+'04 Ventes'!I646</f>
        <v>7500</v>
      </c>
    </row>
    <row r="108" spans="1:15" s="294" customFormat="1" ht="60.6" customHeight="1" thickBot="1" x14ac:dyDescent="0.35">
      <c r="A108" s="318" t="s">
        <v>103</v>
      </c>
      <c r="B108" s="433" t="s">
        <v>223</v>
      </c>
      <c r="C108" s="562">
        <f>SUM(C105:C107)</f>
        <v>3780000</v>
      </c>
      <c r="D108" s="563">
        <f t="shared" ref="D108" si="67">SUM(D105:D107)</f>
        <v>1408128</v>
      </c>
      <c r="E108" s="564">
        <f t="shared" si="66"/>
        <v>0.37252063492063492</v>
      </c>
      <c r="F108" s="565">
        <f>SUM(F105:F107)</f>
        <v>18078654.957199998</v>
      </c>
      <c r="G108" s="563">
        <f t="shared" ref="G108:H108" si="68">SUM(G105:G107)</f>
        <v>1224200</v>
      </c>
      <c r="H108" s="565">
        <f t="shared" si="68"/>
        <v>6323311.7350000003</v>
      </c>
      <c r="I108" s="565">
        <f>SUM(I105:I107)</f>
        <v>19525587.600000001</v>
      </c>
      <c r="J108" s="758">
        <f t="shared" ref="J108" si="69">SUM(J105:J107)</f>
        <v>9234187.2000000011</v>
      </c>
    </row>
    <row r="109" spans="1:15" ht="60.6" customHeight="1" x14ac:dyDescent="0.3">
      <c r="A109" s="268" t="s">
        <v>101</v>
      </c>
      <c r="B109" s="572" t="s">
        <v>220</v>
      </c>
      <c r="C109" s="550">
        <f>+'01 Prod Physique Boites'!E776</f>
        <v>2215664</v>
      </c>
      <c r="D109" s="551">
        <f>+'01 Prod Physique Boites'!K776</f>
        <v>856847</v>
      </c>
      <c r="E109" s="552">
        <f t="shared" si="66"/>
        <v>0.38672244528051186</v>
      </c>
      <c r="F109" s="553">
        <f>+'02 Prod Valorisée Boites'!G782</f>
        <v>14520004.199999999</v>
      </c>
      <c r="G109" s="551">
        <f>+'03 Prod Accessoires'!K415</f>
        <v>341000</v>
      </c>
      <c r="H109" s="554">
        <f>+'03 Prod Accessoires'!Q415</f>
        <v>755008.10000000009</v>
      </c>
      <c r="I109" s="550">
        <f>+'02 Prod Valorisée Boites'!J782</f>
        <v>20222923.500000004</v>
      </c>
      <c r="J109" s="566">
        <f>+'04 Ventes'!I678</f>
        <v>0</v>
      </c>
      <c r="L109" s="712"/>
      <c r="O109" s="704"/>
    </row>
    <row r="110" spans="1:15" ht="60.6" customHeight="1" thickBot="1" x14ac:dyDescent="0.35">
      <c r="A110" s="812" t="s">
        <v>101</v>
      </c>
      <c r="B110" s="295" t="s">
        <v>222</v>
      </c>
      <c r="C110" s="567"/>
      <c r="D110" s="557"/>
      <c r="E110" s="558" t="str">
        <f t="shared" si="66"/>
        <v>-</v>
      </c>
      <c r="F110" s="559"/>
      <c r="G110" s="557"/>
      <c r="H110" s="560"/>
      <c r="I110" s="560"/>
      <c r="J110" s="568"/>
    </row>
    <row r="111" spans="1:15" s="294" customFormat="1" ht="60.6" customHeight="1" thickBot="1" x14ac:dyDescent="0.35">
      <c r="A111" s="318" t="s">
        <v>101</v>
      </c>
      <c r="B111" s="433" t="s">
        <v>224</v>
      </c>
      <c r="C111" s="562">
        <f>SUM(C109:C110)</f>
        <v>2215664</v>
      </c>
      <c r="D111" s="563">
        <f t="shared" ref="D111" si="70">SUM(D109:D110)</f>
        <v>856847</v>
      </c>
      <c r="E111" s="564">
        <f t="shared" si="66"/>
        <v>0.38672244528051186</v>
      </c>
      <c r="F111" s="565">
        <f t="shared" ref="F111:J111" si="71">SUM(F109:F110)</f>
        <v>14520004.199999999</v>
      </c>
      <c r="G111" s="563">
        <f t="shared" si="71"/>
        <v>341000</v>
      </c>
      <c r="H111" s="565">
        <f t="shared" si="71"/>
        <v>755008.10000000009</v>
      </c>
      <c r="I111" s="565">
        <f t="shared" si="71"/>
        <v>20222923.500000004</v>
      </c>
      <c r="J111" s="758">
        <f t="shared" si="71"/>
        <v>0</v>
      </c>
    </row>
    <row r="112" spans="1:15" ht="60.6" customHeight="1" x14ac:dyDescent="0.3">
      <c r="A112" s="268" t="s">
        <v>102</v>
      </c>
      <c r="B112" s="574" t="s">
        <v>221</v>
      </c>
      <c r="C112" s="554">
        <f>+'01 Prod Physique Boites'!E803</f>
        <v>545076</v>
      </c>
      <c r="D112" s="551">
        <f>+'01 Prod Physique Boites'!K803</f>
        <v>205185</v>
      </c>
      <c r="E112" s="552">
        <f t="shared" si="66"/>
        <v>0.3764337450190432</v>
      </c>
      <c r="F112" s="553">
        <f>+'02 Prod Valorisée Boites'!G808</f>
        <v>11080385.749799998</v>
      </c>
      <c r="G112" s="551">
        <f>+'03 Prod Accessoires'!K449</f>
        <v>844893</v>
      </c>
      <c r="H112" s="554">
        <f>+'03 Prod Accessoires'!Q449</f>
        <v>6242758.4453999996</v>
      </c>
      <c r="I112" s="554">
        <f>+'02 Prod Valorisée Boites'!J808</f>
        <v>20387702.059999999</v>
      </c>
      <c r="J112" s="566">
        <f>+'04 Ventes'!I705</f>
        <v>7666234.2000000002</v>
      </c>
      <c r="K112" s="712"/>
      <c r="L112" s="712"/>
      <c r="O112" s="704"/>
    </row>
    <row r="113" spans="1:15" ht="60.6" customHeight="1" thickBot="1" x14ac:dyDescent="0.35">
      <c r="A113" s="812" t="s">
        <v>102</v>
      </c>
      <c r="B113" s="303" t="s">
        <v>222</v>
      </c>
      <c r="C113" s="560"/>
      <c r="D113" s="569"/>
      <c r="E113" s="570" t="str">
        <f t="shared" si="66"/>
        <v>-</v>
      </c>
      <c r="F113" s="571"/>
      <c r="G113" s="557"/>
      <c r="H113" s="560"/>
      <c r="I113" s="560"/>
      <c r="J113" s="568"/>
    </row>
    <row r="114" spans="1:15" s="294" customFormat="1" ht="60.6" customHeight="1" thickBot="1" x14ac:dyDescent="0.35">
      <c r="A114" s="318" t="s">
        <v>102</v>
      </c>
      <c r="B114" s="433" t="s">
        <v>225</v>
      </c>
      <c r="C114" s="562">
        <f>SUM(C112:C113)</f>
        <v>545076</v>
      </c>
      <c r="D114" s="563">
        <f t="shared" ref="D114" si="72">SUM(D112:D113)</f>
        <v>205185</v>
      </c>
      <c r="E114" s="564">
        <f t="shared" si="66"/>
        <v>0.3764337450190432</v>
      </c>
      <c r="F114" s="565">
        <f t="shared" ref="F114:J114" si="73">SUM(F112:F113)</f>
        <v>11080385.749799998</v>
      </c>
      <c r="G114" s="563">
        <f t="shared" si="73"/>
        <v>844893</v>
      </c>
      <c r="H114" s="565">
        <f t="shared" si="73"/>
        <v>6242758.4453999996</v>
      </c>
      <c r="I114" s="565">
        <f t="shared" si="73"/>
        <v>20387702.059999999</v>
      </c>
      <c r="J114" s="758">
        <f t="shared" si="73"/>
        <v>7666234.2000000002</v>
      </c>
    </row>
    <row r="115" spans="1:15" ht="57.6" customHeight="1" thickBot="1" x14ac:dyDescent="0.35">
      <c r="A115" s="630"/>
      <c r="B115" s="548" t="s">
        <v>174</v>
      </c>
      <c r="C115" s="549">
        <f>+C108+C111+C114</f>
        <v>6540740</v>
      </c>
      <c r="D115" s="575">
        <f t="shared" ref="D115" si="74">+D108+D111+D114</f>
        <v>2470160</v>
      </c>
      <c r="E115" s="576">
        <f>IFERROR(D115/C115,"-")</f>
        <v>0.37765757391365501</v>
      </c>
      <c r="F115" s="575">
        <f>+F108+F111+F114</f>
        <v>43679044.906999998</v>
      </c>
      <c r="G115" s="575">
        <f t="shared" ref="G115:H115" si="75">+G108+G111+G114</f>
        <v>2410093</v>
      </c>
      <c r="H115" s="575">
        <f t="shared" si="75"/>
        <v>13321078.280400001</v>
      </c>
      <c r="I115" s="575">
        <f>+I108+I111+I114</f>
        <v>60136213.160000011</v>
      </c>
      <c r="J115" s="631">
        <f t="shared" ref="J115" si="76">+J108+J111+J114</f>
        <v>16900421.400000002</v>
      </c>
    </row>
    <row r="116" spans="1:15" ht="41.4" customHeight="1" x14ac:dyDescent="0.3">
      <c r="A116" s="1057" t="s">
        <v>1</v>
      </c>
      <c r="B116" s="1063" t="s">
        <v>396</v>
      </c>
      <c r="C116" s="1063" t="s">
        <v>226</v>
      </c>
      <c r="D116" s="1154" t="s">
        <v>523</v>
      </c>
      <c r="E116" s="1155"/>
      <c r="F116" s="1155"/>
      <c r="G116" s="1155"/>
      <c r="H116" s="1156"/>
      <c r="I116" s="1157" t="s">
        <v>417</v>
      </c>
      <c r="J116" s="1157" t="s">
        <v>418</v>
      </c>
      <c r="K116" s="229" t="s">
        <v>420</v>
      </c>
    </row>
    <row r="117" spans="1:15" ht="41.4" customHeight="1" x14ac:dyDescent="0.3">
      <c r="A117" s="1136"/>
      <c r="B117" s="1153"/>
      <c r="C117" s="1153"/>
      <c r="D117" s="1160" t="s">
        <v>229</v>
      </c>
      <c r="E117" s="1161"/>
      <c r="F117" s="1162"/>
      <c r="G117" s="1160" t="s">
        <v>227</v>
      </c>
      <c r="H117" s="1162"/>
      <c r="I117" s="1158"/>
      <c r="J117" s="1158"/>
    </row>
    <row r="118" spans="1:15" ht="25.95" customHeight="1" x14ac:dyDescent="0.3">
      <c r="A118" s="1058"/>
      <c r="B118" s="1064"/>
      <c r="C118" s="1064"/>
      <c r="D118" s="1163" t="s">
        <v>415</v>
      </c>
      <c r="E118" s="1165" t="s">
        <v>9</v>
      </c>
      <c r="F118" s="1167" t="s">
        <v>416</v>
      </c>
      <c r="G118" s="1169" t="s">
        <v>228</v>
      </c>
      <c r="H118" s="1171" t="s">
        <v>416</v>
      </c>
      <c r="I118" s="1158"/>
      <c r="J118" s="1158"/>
    </row>
    <row r="119" spans="1:15" ht="25.95" customHeight="1" thickBot="1" x14ac:dyDescent="0.35">
      <c r="A119" s="1059"/>
      <c r="B119" s="1065"/>
      <c r="C119" s="1065"/>
      <c r="D119" s="1164"/>
      <c r="E119" s="1166"/>
      <c r="F119" s="1168"/>
      <c r="G119" s="1170"/>
      <c r="H119" s="1172"/>
      <c r="I119" s="1159"/>
      <c r="J119" s="1159"/>
    </row>
    <row r="120" spans="1:15" ht="60.6" customHeight="1" x14ac:dyDescent="0.3">
      <c r="A120" s="268" t="s">
        <v>103</v>
      </c>
      <c r="B120" s="572" t="s">
        <v>220</v>
      </c>
      <c r="C120" s="550">
        <f>+'01 Prod Physique Boites'!E839</f>
        <v>3770000</v>
      </c>
      <c r="D120" s="551">
        <f>+'01 Prod Physique Boites'!K839</f>
        <v>1643130</v>
      </c>
      <c r="E120" s="552">
        <f>IFERROR(D120/C120,"-")</f>
        <v>0.43584350132625993</v>
      </c>
      <c r="F120" s="553">
        <f>+'02 Prod Valorisée Boites'!G845</f>
        <v>21022985.157200001</v>
      </c>
      <c r="G120" s="551">
        <f>+'03 Prod Accessoires'!K460</f>
        <v>1271800</v>
      </c>
      <c r="H120" s="554">
        <f>+'03 Prod Accessoires'!Q460</f>
        <v>6591513.7350000003</v>
      </c>
      <c r="I120" s="554">
        <f>+'02 Prod Valorisée Boites'!J845</f>
        <v>21218740.879999999</v>
      </c>
      <c r="J120" s="555">
        <f>+'04 Ventes'!I728</f>
        <v>8730782.4000000004</v>
      </c>
      <c r="K120" s="712"/>
      <c r="L120" s="712"/>
      <c r="O120" s="704"/>
    </row>
    <row r="121" spans="1:15" ht="60.6" customHeight="1" x14ac:dyDescent="0.3">
      <c r="A121" s="823" t="s">
        <v>103</v>
      </c>
      <c r="B121" s="573" t="s">
        <v>221</v>
      </c>
      <c r="C121" s="556">
        <f>+'01 Prod Physique Boites'!E855</f>
        <v>10000</v>
      </c>
      <c r="D121" s="557">
        <f>+'01 Prod Physique Boites'!K855</f>
        <v>0</v>
      </c>
      <c r="E121" s="558">
        <f t="shared" ref="E121:E129" si="77">IFERROR(D121/C121,"-")</f>
        <v>0</v>
      </c>
      <c r="F121" s="559">
        <f>+'02 Prod Valorisée Boites'!G861</f>
        <v>0</v>
      </c>
      <c r="G121" s="557">
        <f>+'03 Prod Accessoires'!K468</f>
        <v>111400</v>
      </c>
      <c r="H121" s="560">
        <f>+'03 Prod Accessoires'!Q468</f>
        <v>695260.3</v>
      </c>
      <c r="I121" s="560">
        <f>+'02 Prod Valorisée Boites'!J861</f>
        <v>0</v>
      </c>
      <c r="J121" s="561">
        <f>+'04 Ventes'!I735</f>
        <v>1015740</v>
      </c>
      <c r="K121" s="712"/>
      <c r="L121" s="712"/>
      <c r="O121" s="704"/>
    </row>
    <row r="122" spans="1:15" ht="60.6" customHeight="1" thickBot="1" x14ac:dyDescent="0.35">
      <c r="A122" s="274" t="s">
        <v>103</v>
      </c>
      <c r="B122" s="275" t="s">
        <v>222</v>
      </c>
      <c r="C122" s="556"/>
      <c r="D122" s="557"/>
      <c r="E122" s="558" t="str">
        <f t="shared" si="77"/>
        <v>-</v>
      </c>
      <c r="F122" s="559"/>
      <c r="G122" s="557"/>
      <c r="H122" s="560"/>
      <c r="I122" s="560"/>
      <c r="J122" s="561">
        <f>+'04 Ventes'!I740</f>
        <v>7500</v>
      </c>
    </row>
    <row r="123" spans="1:15" s="294" customFormat="1" ht="60.6" customHeight="1" thickBot="1" x14ac:dyDescent="0.35">
      <c r="A123" s="318" t="s">
        <v>103</v>
      </c>
      <c r="B123" s="433" t="s">
        <v>223</v>
      </c>
      <c r="C123" s="562">
        <f>SUM(C120:C122)</f>
        <v>3780000</v>
      </c>
      <c r="D123" s="563">
        <f t="shared" ref="D123" si="78">SUM(D120:D122)</f>
        <v>1643130</v>
      </c>
      <c r="E123" s="564">
        <f t="shared" si="77"/>
        <v>0.43469047619047618</v>
      </c>
      <c r="F123" s="565">
        <f>SUM(F120:F122)</f>
        <v>21022985.157200001</v>
      </c>
      <c r="G123" s="563">
        <f t="shared" ref="G123:H123" si="79">SUM(G120:G122)</f>
        <v>1383200</v>
      </c>
      <c r="H123" s="565">
        <f t="shared" si="79"/>
        <v>7286774.0350000001</v>
      </c>
      <c r="I123" s="565">
        <f>SUM(I120:I122)</f>
        <v>21218740.879999999</v>
      </c>
      <c r="J123" s="758">
        <f t="shared" ref="J123" si="80">SUM(J120:J122)</f>
        <v>9754022.4000000004</v>
      </c>
    </row>
    <row r="124" spans="1:15" ht="60.6" customHeight="1" x14ac:dyDescent="0.3">
      <c r="A124" s="268" t="s">
        <v>101</v>
      </c>
      <c r="B124" s="572" t="s">
        <v>220</v>
      </c>
      <c r="C124" s="550">
        <f>+'01 Prod Physique Boites'!E890</f>
        <v>2215664</v>
      </c>
      <c r="D124" s="551">
        <f>+'01 Prod Physique Boites'!K891</f>
        <v>906724</v>
      </c>
      <c r="E124" s="552">
        <f t="shared" si="77"/>
        <v>0.40923352999371748</v>
      </c>
      <c r="F124" s="553">
        <f>+'02 Prod Valorisée Boites'!G896</f>
        <v>15242887.951200001</v>
      </c>
      <c r="G124" s="551">
        <f>+'03 Prod Accessoires'!K478</f>
        <v>341000</v>
      </c>
      <c r="H124" s="554">
        <f>+'03 Prod Accessoires'!Q477</f>
        <v>755008.10000000009</v>
      </c>
      <c r="I124" s="550">
        <f>+'02 Prod Valorisée Boites'!J896</f>
        <v>21412703.520000003</v>
      </c>
      <c r="J124" s="566">
        <f>+'04 Ventes'!I772</f>
        <v>0</v>
      </c>
      <c r="L124" s="712"/>
      <c r="O124" s="704"/>
    </row>
    <row r="125" spans="1:15" ht="60.6" customHeight="1" thickBot="1" x14ac:dyDescent="0.35">
      <c r="A125" s="823" t="s">
        <v>101</v>
      </c>
      <c r="B125" s="295" t="s">
        <v>222</v>
      </c>
      <c r="C125" s="567"/>
      <c r="D125" s="557"/>
      <c r="E125" s="558" t="str">
        <f t="shared" si="77"/>
        <v>-</v>
      </c>
      <c r="F125" s="559"/>
      <c r="G125" s="557"/>
      <c r="H125" s="560"/>
      <c r="I125" s="560"/>
      <c r="J125" s="568"/>
    </row>
    <row r="126" spans="1:15" s="294" customFormat="1" ht="60.6" customHeight="1" thickBot="1" x14ac:dyDescent="0.35">
      <c r="A126" s="318" t="s">
        <v>101</v>
      </c>
      <c r="B126" s="433" t="s">
        <v>224</v>
      </c>
      <c r="C126" s="562">
        <f>SUM(C124:C125)</f>
        <v>2215664</v>
      </c>
      <c r="D126" s="563">
        <f t="shared" ref="D126" si="81">SUM(D124:D125)</f>
        <v>906724</v>
      </c>
      <c r="E126" s="564">
        <f t="shared" si="77"/>
        <v>0.40923352999371748</v>
      </c>
      <c r="F126" s="565">
        <f t="shared" ref="F126:J126" si="82">SUM(F124:F125)</f>
        <v>15242887.951200001</v>
      </c>
      <c r="G126" s="563">
        <f t="shared" si="82"/>
        <v>341000</v>
      </c>
      <c r="H126" s="565">
        <f t="shared" si="82"/>
        <v>755008.10000000009</v>
      </c>
      <c r="I126" s="565">
        <f t="shared" si="82"/>
        <v>21412703.520000003</v>
      </c>
      <c r="J126" s="758">
        <f t="shared" si="82"/>
        <v>0</v>
      </c>
    </row>
    <row r="127" spans="1:15" ht="60.6" customHeight="1" x14ac:dyDescent="0.3">
      <c r="A127" s="268" t="s">
        <v>102</v>
      </c>
      <c r="B127" s="574" t="s">
        <v>221</v>
      </c>
      <c r="C127" s="554">
        <f>+'01 Prod Physique Boites'!E918</f>
        <v>545076</v>
      </c>
      <c r="D127" s="551">
        <f>+'01 Prod Physique Boites'!K918</f>
        <v>249786</v>
      </c>
      <c r="E127" s="552">
        <f t="shared" si="77"/>
        <v>0.458259031768047</v>
      </c>
      <c r="F127" s="553">
        <f>+'02 Prod Valorisée Boites'!G923</f>
        <v>13387054.5702</v>
      </c>
      <c r="G127" s="551">
        <f>+'03 Prod Accessoires'!K512</f>
        <v>1107233</v>
      </c>
      <c r="H127" s="554">
        <f>+'03 Prod Accessoires'!Q512</f>
        <v>7892545.0164000001</v>
      </c>
      <c r="I127" s="554">
        <f>+'02 Prod Valorisée Boites'!J923</f>
        <v>24618550.539999999</v>
      </c>
      <c r="J127" s="566">
        <f>+'04 Ventes'!I799</f>
        <v>11002744.199999999</v>
      </c>
      <c r="K127" s="712"/>
      <c r="L127" s="712"/>
      <c r="O127" s="704"/>
    </row>
    <row r="128" spans="1:15" ht="60.6" customHeight="1" thickBot="1" x14ac:dyDescent="0.35">
      <c r="A128" s="823" t="s">
        <v>102</v>
      </c>
      <c r="B128" s="303" t="s">
        <v>222</v>
      </c>
      <c r="C128" s="560"/>
      <c r="D128" s="569"/>
      <c r="E128" s="570" t="str">
        <f t="shared" si="77"/>
        <v>-</v>
      </c>
      <c r="F128" s="571"/>
      <c r="G128" s="557"/>
      <c r="H128" s="560"/>
      <c r="I128" s="560"/>
      <c r="J128" s="568"/>
    </row>
    <row r="129" spans="1:15" s="294" customFormat="1" ht="60.6" customHeight="1" thickBot="1" x14ac:dyDescent="0.35">
      <c r="A129" s="318" t="s">
        <v>102</v>
      </c>
      <c r="B129" s="433" t="s">
        <v>225</v>
      </c>
      <c r="C129" s="562">
        <f>SUM(C127:C128)</f>
        <v>545076</v>
      </c>
      <c r="D129" s="563">
        <f t="shared" ref="D129" si="83">SUM(D127:D128)</f>
        <v>249786</v>
      </c>
      <c r="E129" s="564">
        <f t="shared" si="77"/>
        <v>0.458259031768047</v>
      </c>
      <c r="F129" s="565">
        <f t="shared" ref="F129:J129" si="84">SUM(F127:F128)</f>
        <v>13387054.5702</v>
      </c>
      <c r="G129" s="563">
        <f t="shared" si="84"/>
        <v>1107233</v>
      </c>
      <c r="H129" s="565">
        <f t="shared" si="84"/>
        <v>7892545.0164000001</v>
      </c>
      <c r="I129" s="565">
        <f t="shared" si="84"/>
        <v>24618550.539999999</v>
      </c>
      <c r="J129" s="758">
        <f t="shared" si="84"/>
        <v>11002744.199999999</v>
      </c>
    </row>
    <row r="130" spans="1:15" ht="57.6" customHeight="1" thickBot="1" x14ac:dyDescent="0.35">
      <c r="A130" s="630"/>
      <c r="B130" s="548" t="s">
        <v>174</v>
      </c>
      <c r="C130" s="549">
        <f>+C123+C126+C129</f>
        <v>6540740</v>
      </c>
      <c r="D130" s="575">
        <f t="shared" ref="D130" si="85">+D123+D126+D129</f>
        <v>2799640</v>
      </c>
      <c r="E130" s="576">
        <f>IFERROR(D130/C130,"-")</f>
        <v>0.42803107905221732</v>
      </c>
      <c r="F130" s="575">
        <f>+F123+F126+F129</f>
        <v>49652927.678599998</v>
      </c>
      <c r="G130" s="575">
        <f t="shared" ref="G130:H130" si="86">+G123+G126+G129</f>
        <v>2831433</v>
      </c>
      <c r="H130" s="575">
        <f t="shared" si="86"/>
        <v>15934327.1514</v>
      </c>
      <c r="I130" s="575">
        <f>+I123+I126+I129</f>
        <v>67249994.939999998</v>
      </c>
      <c r="J130" s="631">
        <f t="shared" ref="J130" si="87">+J123+J126+J129</f>
        <v>20756766.600000001</v>
      </c>
    </row>
    <row r="131" spans="1:15" ht="41.4" customHeight="1" x14ac:dyDescent="0.3">
      <c r="A131" s="1057" t="s">
        <v>1</v>
      </c>
      <c r="B131" s="1063" t="s">
        <v>396</v>
      </c>
      <c r="C131" s="1063" t="s">
        <v>226</v>
      </c>
      <c r="D131" s="1154" t="s">
        <v>534</v>
      </c>
      <c r="E131" s="1155"/>
      <c r="F131" s="1155"/>
      <c r="G131" s="1155"/>
      <c r="H131" s="1156"/>
      <c r="I131" s="1157" t="s">
        <v>417</v>
      </c>
      <c r="J131" s="1157" t="s">
        <v>418</v>
      </c>
      <c r="K131" s="229" t="s">
        <v>420</v>
      </c>
    </row>
    <row r="132" spans="1:15" ht="41.4" customHeight="1" x14ac:dyDescent="0.3">
      <c r="A132" s="1136"/>
      <c r="B132" s="1153"/>
      <c r="C132" s="1153"/>
      <c r="D132" s="1160" t="s">
        <v>229</v>
      </c>
      <c r="E132" s="1161"/>
      <c r="F132" s="1162"/>
      <c r="G132" s="1160" t="s">
        <v>227</v>
      </c>
      <c r="H132" s="1162"/>
      <c r="I132" s="1158"/>
      <c r="J132" s="1158"/>
    </row>
    <row r="133" spans="1:15" ht="25.95" customHeight="1" x14ac:dyDescent="0.3">
      <c r="A133" s="1058"/>
      <c r="B133" s="1064"/>
      <c r="C133" s="1064"/>
      <c r="D133" s="1163" t="s">
        <v>415</v>
      </c>
      <c r="E133" s="1165" t="s">
        <v>9</v>
      </c>
      <c r="F133" s="1167" t="s">
        <v>416</v>
      </c>
      <c r="G133" s="1169" t="s">
        <v>228</v>
      </c>
      <c r="H133" s="1171" t="s">
        <v>416</v>
      </c>
      <c r="I133" s="1158"/>
      <c r="J133" s="1158"/>
    </row>
    <row r="134" spans="1:15" ht="25.95" customHeight="1" thickBot="1" x14ac:dyDescent="0.35">
      <c r="A134" s="1059"/>
      <c r="B134" s="1065"/>
      <c r="C134" s="1065"/>
      <c r="D134" s="1164"/>
      <c r="E134" s="1166"/>
      <c r="F134" s="1168"/>
      <c r="G134" s="1170"/>
      <c r="H134" s="1172"/>
      <c r="I134" s="1159"/>
      <c r="J134" s="1159"/>
    </row>
    <row r="135" spans="1:15" ht="60.6" customHeight="1" x14ac:dyDescent="0.3">
      <c r="A135" s="268" t="s">
        <v>103</v>
      </c>
      <c r="B135" s="572" t="s">
        <v>220</v>
      </c>
      <c r="C135" s="550">
        <f>+'01 Prod Physique Boites'!E955</f>
        <v>3770000</v>
      </c>
      <c r="D135" s="551">
        <f>+'01 Prod Physique Boites'!K955</f>
        <v>1746280</v>
      </c>
      <c r="E135" s="552">
        <f>IFERROR(D135/C135,"-")</f>
        <v>0.46320424403183025</v>
      </c>
      <c r="F135" s="553">
        <f>+'02 Prod Valorisée Boites'!G961</f>
        <v>22335921.635599997</v>
      </c>
      <c r="G135" s="551">
        <f>+'03 Prod Accessoires'!K523</f>
        <v>1315800</v>
      </c>
      <c r="H135" s="554">
        <f>+'03 Prod Accessoires'!Q523</f>
        <v>7132040.5350000001</v>
      </c>
      <c r="I135" s="554">
        <f>+'02 Prod Valorisée Boites'!J961</f>
        <v>22975180.879999999</v>
      </c>
      <c r="J135" s="555">
        <f>+'04 Ventes'!I822</f>
        <v>9427759.6799999997</v>
      </c>
      <c r="K135" s="712"/>
      <c r="L135" s="712"/>
      <c r="O135" s="704"/>
    </row>
    <row r="136" spans="1:15" ht="60.6" customHeight="1" x14ac:dyDescent="0.3">
      <c r="A136" s="868" t="s">
        <v>103</v>
      </c>
      <c r="B136" s="573" t="s">
        <v>221</v>
      </c>
      <c r="C136" s="556">
        <f>+'01 Prod Physique Boites'!E971</f>
        <v>10000</v>
      </c>
      <c r="D136" s="557">
        <f>+'01 Prod Physique Boites'!K971</f>
        <v>0</v>
      </c>
      <c r="E136" s="558">
        <f t="shared" ref="E136:E144" si="88">IFERROR(D136/C136,"-")</f>
        <v>0</v>
      </c>
      <c r="F136" s="559">
        <f>+'02 Prod Valorisée Boites'!G977</f>
        <v>0</v>
      </c>
      <c r="G136" s="557">
        <f>+'03 Prod Accessoires'!K531</f>
        <v>177400</v>
      </c>
      <c r="H136" s="560">
        <f>+'03 Prod Accessoires'!Q531</f>
        <v>844381.3</v>
      </c>
      <c r="I136" s="560">
        <f>+'02 Prod Valorisée Boites'!J977</f>
        <v>0</v>
      </c>
      <c r="J136" s="561">
        <f>+'04 Ventes'!I829</f>
        <v>1451520</v>
      </c>
      <c r="K136" s="712"/>
      <c r="L136" s="712"/>
      <c r="O136" s="704"/>
    </row>
    <row r="137" spans="1:15" ht="60.6" customHeight="1" thickBot="1" x14ac:dyDescent="0.35">
      <c r="A137" s="274" t="s">
        <v>103</v>
      </c>
      <c r="B137" s="275" t="s">
        <v>222</v>
      </c>
      <c r="C137" s="556"/>
      <c r="D137" s="557"/>
      <c r="E137" s="558" t="str">
        <f t="shared" si="88"/>
        <v>-</v>
      </c>
      <c r="F137" s="559"/>
      <c r="G137" s="557"/>
      <c r="H137" s="560"/>
      <c r="I137" s="560"/>
      <c r="J137" s="561">
        <f>+'04 Ventes'!I834</f>
        <v>7500</v>
      </c>
    </row>
    <row r="138" spans="1:15" s="294" customFormat="1" ht="60.6" customHeight="1" thickBot="1" x14ac:dyDescent="0.35">
      <c r="A138" s="318" t="s">
        <v>103</v>
      </c>
      <c r="B138" s="433" t="s">
        <v>223</v>
      </c>
      <c r="C138" s="562">
        <f>SUM(C135:C137)</f>
        <v>3780000</v>
      </c>
      <c r="D138" s="563">
        <f t="shared" ref="D138" si="89">SUM(D135:D137)</f>
        <v>1746280</v>
      </c>
      <c r="E138" s="564">
        <f t="shared" si="88"/>
        <v>0.46197883597883599</v>
      </c>
      <c r="F138" s="565">
        <f>SUM(F135:F137)</f>
        <v>22335921.635599997</v>
      </c>
      <c r="G138" s="563">
        <f t="shared" ref="G138:H138" si="90">SUM(G135:G137)</f>
        <v>1493200</v>
      </c>
      <c r="H138" s="565">
        <f t="shared" si="90"/>
        <v>7976421.835</v>
      </c>
      <c r="I138" s="565">
        <f>SUM(I135:I137)</f>
        <v>22975180.879999999</v>
      </c>
      <c r="J138" s="758">
        <f t="shared" ref="J138" si="91">SUM(J135:J137)</f>
        <v>10886779.68</v>
      </c>
    </row>
    <row r="139" spans="1:15" ht="60.6" customHeight="1" x14ac:dyDescent="0.3">
      <c r="A139" s="268" t="s">
        <v>101</v>
      </c>
      <c r="B139" s="572" t="s">
        <v>220</v>
      </c>
      <c r="C139" s="550">
        <f>+'01 Prod Physique Boites'!E1007</f>
        <v>2215664</v>
      </c>
      <c r="D139" s="551">
        <f>+'01 Prod Physique Boites'!K1007</f>
        <v>1071311</v>
      </c>
      <c r="E139" s="552">
        <f t="shared" si="88"/>
        <v>0.48351690509030248</v>
      </c>
      <c r="F139" s="553">
        <f>+'02 Prod Valorisée Boites'!G1013</f>
        <v>17971321.773599997</v>
      </c>
      <c r="G139" s="551">
        <f>+'03 Prod Accessoires'!K541</f>
        <v>357250</v>
      </c>
      <c r="H139" s="554">
        <f>+'03 Prod Accessoires'!Q541</f>
        <v>822791.72500000009</v>
      </c>
      <c r="I139" s="550">
        <f>+'02 Prod Valorisée Boites'!J1013</f>
        <v>25490153.520000007</v>
      </c>
      <c r="J139" s="566">
        <f>+'04 Ventes'!I866</f>
        <v>0</v>
      </c>
      <c r="L139" s="712"/>
      <c r="O139" s="704"/>
    </row>
    <row r="140" spans="1:15" ht="60.6" customHeight="1" thickBot="1" x14ac:dyDescent="0.35">
      <c r="A140" s="868" t="s">
        <v>101</v>
      </c>
      <c r="B140" s="295" t="s">
        <v>222</v>
      </c>
      <c r="C140" s="567"/>
      <c r="D140" s="557"/>
      <c r="E140" s="558" t="str">
        <f t="shared" si="88"/>
        <v>-</v>
      </c>
      <c r="F140" s="559"/>
      <c r="G140" s="557"/>
      <c r="H140" s="560"/>
      <c r="I140" s="560"/>
      <c r="J140" s="568"/>
    </row>
    <row r="141" spans="1:15" s="294" customFormat="1" ht="60.6" customHeight="1" thickBot="1" x14ac:dyDescent="0.35">
      <c r="A141" s="318" t="s">
        <v>101</v>
      </c>
      <c r="B141" s="433" t="s">
        <v>224</v>
      </c>
      <c r="C141" s="562">
        <f>SUM(C139:C140)</f>
        <v>2215664</v>
      </c>
      <c r="D141" s="563">
        <f t="shared" ref="D141" si="92">SUM(D139:D140)</f>
        <v>1071311</v>
      </c>
      <c r="E141" s="564">
        <f t="shared" si="88"/>
        <v>0.48351690509030248</v>
      </c>
      <c r="F141" s="565">
        <f t="shared" ref="F141:J141" si="93">SUM(F139:F140)</f>
        <v>17971321.773599997</v>
      </c>
      <c r="G141" s="563">
        <f t="shared" si="93"/>
        <v>357250</v>
      </c>
      <c r="H141" s="565">
        <f t="shared" si="93"/>
        <v>822791.72500000009</v>
      </c>
      <c r="I141" s="565">
        <f t="shared" si="93"/>
        <v>25490153.520000007</v>
      </c>
      <c r="J141" s="758">
        <f t="shared" si="93"/>
        <v>0</v>
      </c>
    </row>
    <row r="142" spans="1:15" ht="60.6" customHeight="1" x14ac:dyDescent="0.3">
      <c r="A142" s="268" t="s">
        <v>102</v>
      </c>
      <c r="B142" s="574" t="s">
        <v>221</v>
      </c>
      <c r="C142" s="554">
        <f>+'01 Prod Physique Boites'!E1034</f>
        <v>545076</v>
      </c>
      <c r="D142" s="551">
        <f>+'01 Prod Physique Boites'!K1034</f>
        <v>298479</v>
      </c>
      <c r="E142" s="552">
        <f t="shared" si="88"/>
        <v>0.5475915285207934</v>
      </c>
      <c r="F142" s="553">
        <f>+'02 Prod Valorisée Boites'!G1039</f>
        <v>15753444.026099999</v>
      </c>
      <c r="G142" s="551">
        <f>+'03 Prod Accessoires'!K575</f>
        <v>1231098</v>
      </c>
      <c r="H142" s="554">
        <f>+'03 Prod Accessoires'!Q575</f>
        <v>8781319.2729000002</v>
      </c>
      <c r="I142" s="554">
        <f>+'02 Prod Valorisée Boites'!J1039</f>
        <v>29001689.279999997</v>
      </c>
      <c r="J142" s="566">
        <f>+'04 Ventes'!I893</f>
        <v>11864310.6</v>
      </c>
      <c r="K142" s="712"/>
      <c r="L142" s="712"/>
      <c r="O142" s="704"/>
    </row>
    <row r="143" spans="1:15" ht="60.6" customHeight="1" thickBot="1" x14ac:dyDescent="0.35">
      <c r="A143" s="868" t="s">
        <v>102</v>
      </c>
      <c r="B143" s="303" t="s">
        <v>222</v>
      </c>
      <c r="C143" s="560"/>
      <c r="D143" s="569"/>
      <c r="E143" s="570" t="str">
        <f t="shared" si="88"/>
        <v>-</v>
      </c>
      <c r="F143" s="571"/>
      <c r="G143" s="557"/>
      <c r="H143" s="560"/>
      <c r="I143" s="560"/>
      <c r="J143" s="568"/>
    </row>
    <row r="144" spans="1:15" s="294" customFormat="1" ht="60.6" customHeight="1" thickBot="1" x14ac:dyDescent="0.35">
      <c r="A144" s="318" t="s">
        <v>102</v>
      </c>
      <c r="B144" s="433" t="s">
        <v>225</v>
      </c>
      <c r="C144" s="562">
        <f>SUM(C142:C143)</f>
        <v>545076</v>
      </c>
      <c r="D144" s="563">
        <f t="shared" ref="D144" si="94">SUM(D142:D143)</f>
        <v>298479</v>
      </c>
      <c r="E144" s="564">
        <f t="shared" si="88"/>
        <v>0.5475915285207934</v>
      </c>
      <c r="F144" s="565">
        <f t="shared" ref="F144:J144" si="95">SUM(F142:F143)</f>
        <v>15753444.026099999</v>
      </c>
      <c r="G144" s="563">
        <f t="shared" si="95"/>
        <v>1231098</v>
      </c>
      <c r="H144" s="565">
        <f t="shared" si="95"/>
        <v>8781319.2729000002</v>
      </c>
      <c r="I144" s="565">
        <f t="shared" si="95"/>
        <v>29001689.279999997</v>
      </c>
      <c r="J144" s="758">
        <f t="shared" si="95"/>
        <v>11864310.6</v>
      </c>
    </row>
    <row r="145" spans="1:15" ht="57.6" customHeight="1" thickBot="1" x14ac:dyDescent="0.35">
      <c r="A145" s="630"/>
      <c r="B145" s="548" t="s">
        <v>174</v>
      </c>
      <c r="C145" s="549">
        <f>+C138+C141+C144</f>
        <v>6540740</v>
      </c>
      <c r="D145" s="575">
        <f t="shared" ref="D145" si="96">+D138+D141+D144</f>
        <v>3116070</v>
      </c>
      <c r="E145" s="576">
        <f>IFERROR(D145/C145,"-")</f>
        <v>0.47640939710185698</v>
      </c>
      <c r="F145" s="575">
        <f>+F138+F141+F144</f>
        <v>56060687.435299993</v>
      </c>
      <c r="G145" s="575">
        <f t="shared" ref="G145:H145" si="97">+G138+G141+G144</f>
        <v>3081548</v>
      </c>
      <c r="H145" s="575">
        <f t="shared" si="97"/>
        <v>17580532.832900003</v>
      </c>
      <c r="I145" s="575">
        <f>+I138+I141+I144</f>
        <v>77467023.680000007</v>
      </c>
      <c r="J145" s="631">
        <f t="shared" ref="J145" si="98">+J138+J141+J144</f>
        <v>22751090.280000001</v>
      </c>
    </row>
    <row r="146" spans="1:15" ht="41.4" customHeight="1" x14ac:dyDescent="0.3">
      <c r="A146" s="1057" t="s">
        <v>1</v>
      </c>
      <c r="B146" s="1063" t="s">
        <v>396</v>
      </c>
      <c r="C146" s="1063" t="s">
        <v>226</v>
      </c>
      <c r="D146" s="1154" t="s">
        <v>544</v>
      </c>
      <c r="E146" s="1155"/>
      <c r="F146" s="1155"/>
      <c r="G146" s="1155"/>
      <c r="H146" s="1156"/>
      <c r="I146" s="1157" t="s">
        <v>417</v>
      </c>
      <c r="J146" s="1157" t="s">
        <v>418</v>
      </c>
      <c r="K146" s="229" t="s">
        <v>420</v>
      </c>
    </row>
    <row r="147" spans="1:15" ht="41.4" customHeight="1" x14ac:dyDescent="0.3">
      <c r="A147" s="1136"/>
      <c r="B147" s="1153"/>
      <c r="C147" s="1153"/>
      <c r="D147" s="1160" t="s">
        <v>229</v>
      </c>
      <c r="E147" s="1161"/>
      <c r="F147" s="1162"/>
      <c r="G147" s="1160" t="s">
        <v>227</v>
      </c>
      <c r="H147" s="1162"/>
      <c r="I147" s="1158"/>
      <c r="J147" s="1158"/>
    </row>
    <row r="148" spans="1:15" ht="25.95" customHeight="1" x14ac:dyDescent="0.3">
      <c r="A148" s="1058"/>
      <c r="B148" s="1064"/>
      <c r="C148" s="1064"/>
      <c r="D148" s="1163" t="s">
        <v>415</v>
      </c>
      <c r="E148" s="1165" t="s">
        <v>9</v>
      </c>
      <c r="F148" s="1167" t="s">
        <v>416</v>
      </c>
      <c r="G148" s="1169" t="s">
        <v>228</v>
      </c>
      <c r="H148" s="1171" t="s">
        <v>416</v>
      </c>
      <c r="I148" s="1158"/>
      <c r="J148" s="1158"/>
    </row>
    <row r="149" spans="1:15" ht="25.95" customHeight="1" thickBot="1" x14ac:dyDescent="0.35">
      <c r="A149" s="1059"/>
      <c r="B149" s="1065"/>
      <c r="C149" s="1065"/>
      <c r="D149" s="1164"/>
      <c r="E149" s="1166"/>
      <c r="F149" s="1168"/>
      <c r="G149" s="1170"/>
      <c r="H149" s="1172"/>
      <c r="I149" s="1159"/>
      <c r="J149" s="1159"/>
    </row>
    <row r="150" spans="1:15" ht="60.6" customHeight="1" x14ac:dyDescent="0.3">
      <c r="A150" s="268" t="s">
        <v>103</v>
      </c>
      <c r="B150" s="572" t="s">
        <v>220</v>
      </c>
      <c r="C150" s="550">
        <f>+'01 Prod Physique Boites'!E1072</f>
        <v>3770000</v>
      </c>
      <c r="D150" s="551">
        <f>+'01 Prod Physique Boites'!K1072</f>
        <v>1955881</v>
      </c>
      <c r="E150" s="552">
        <f>IFERROR(D150/C150,"-")</f>
        <v>0.5188013262599469</v>
      </c>
      <c r="F150" s="553">
        <f>+'02 Prod Valorisée Boites'!G1078</f>
        <v>25124938.7392</v>
      </c>
      <c r="G150" s="551">
        <f>+'03 Prod Accessoires'!K586</f>
        <v>1439050</v>
      </c>
      <c r="H150" s="550">
        <f>+'03 Prod Accessoires'!Q586</f>
        <v>7964025.0600000005</v>
      </c>
      <c r="I150" s="550">
        <f>+'02 Prod Valorisée Boites'!J1078</f>
        <v>25835975.599999998</v>
      </c>
      <c r="J150" s="555">
        <f>+'04 Ventes'!I916</f>
        <v>9427759.6799999997</v>
      </c>
      <c r="K150" s="712"/>
      <c r="L150" s="712"/>
      <c r="O150" s="704"/>
    </row>
    <row r="151" spans="1:15" ht="60.6" customHeight="1" x14ac:dyDescent="0.3">
      <c r="A151" s="892" t="s">
        <v>103</v>
      </c>
      <c r="B151" s="573" t="s">
        <v>221</v>
      </c>
      <c r="C151" s="556">
        <f>+'01 Prod Physique Boites'!E1088</f>
        <v>195500</v>
      </c>
      <c r="D151" s="557">
        <f>+'01 Prod Physique Boites'!K1088</f>
        <v>39700</v>
      </c>
      <c r="E151" s="558">
        <f t="shared" ref="E151:E159" si="99">IFERROR(D151/C151,"-")</f>
        <v>0.20306905370843989</v>
      </c>
      <c r="F151" s="559">
        <f>+'02 Prod Valorisée Boites'!G1094</f>
        <v>880644.6</v>
      </c>
      <c r="G151" s="557">
        <f>+'03 Prod Accessoires'!K594</f>
        <v>195400</v>
      </c>
      <c r="H151" s="556">
        <f>+'03 Prod Accessoires'!Q594</f>
        <v>1060912.3</v>
      </c>
      <c r="I151" s="560">
        <f>+'02 Prod Valorisée Boites'!J1094</f>
        <v>1069200</v>
      </c>
      <c r="J151" s="561">
        <f>+'04 Ventes'!I923</f>
        <v>1782753.76</v>
      </c>
      <c r="K151" s="712"/>
      <c r="L151" s="712"/>
      <c r="O151" s="704"/>
    </row>
    <row r="152" spans="1:15" ht="60.6" customHeight="1" thickBot="1" x14ac:dyDescent="0.35">
      <c r="A152" s="274" t="s">
        <v>103</v>
      </c>
      <c r="B152" s="275" t="s">
        <v>222</v>
      </c>
      <c r="C152" s="556"/>
      <c r="D152" s="557"/>
      <c r="E152" s="558" t="str">
        <f t="shared" si="99"/>
        <v>-</v>
      </c>
      <c r="F152" s="559"/>
      <c r="G152" s="557"/>
      <c r="H152" s="560"/>
      <c r="I152" s="560"/>
      <c r="J152" s="561">
        <f>+'04 Ventes'!I928</f>
        <v>12500</v>
      </c>
    </row>
    <row r="153" spans="1:15" s="294" customFormat="1" ht="60.6" customHeight="1" thickBot="1" x14ac:dyDescent="0.35">
      <c r="A153" s="318" t="s">
        <v>103</v>
      </c>
      <c r="B153" s="433" t="s">
        <v>223</v>
      </c>
      <c r="C153" s="562">
        <f>SUM(C150:C152)</f>
        <v>3965500</v>
      </c>
      <c r="D153" s="563">
        <f t="shared" ref="D153" si="100">SUM(D150:D152)</f>
        <v>1995581</v>
      </c>
      <c r="E153" s="564">
        <f t="shared" si="99"/>
        <v>0.50323565754633715</v>
      </c>
      <c r="F153" s="565">
        <f>SUM(F150:F152)</f>
        <v>26005583.339200001</v>
      </c>
      <c r="G153" s="563">
        <f t="shared" ref="G153:H153" si="101">SUM(G150:G152)</f>
        <v>1634450</v>
      </c>
      <c r="H153" s="565">
        <f t="shared" si="101"/>
        <v>9024937.3600000013</v>
      </c>
      <c r="I153" s="565">
        <f>SUM(I150:I152)</f>
        <v>26905175.599999998</v>
      </c>
      <c r="J153" s="758">
        <f t="shared" ref="J153" si="102">SUM(J150:J152)</f>
        <v>11223013.439999999</v>
      </c>
    </row>
    <row r="154" spans="1:15" ht="60.6" customHeight="1" x14ac:dyDescent="0.3">
      <c r="A154" s="268" t="s">
        <v>101</v>
      </c>
      <c r="B154" s="572" t="s">
        <v>220</v>
      </c>
      <c r="C154" s="550">
        <f>+'01 Prod Physique Boites'!E1124</f>
        <v>2215664</v>
      </c>
      <c r="D154" s="551">
        <f>+'01 Prod Physique Boites'!K1124</f>
        <v>1288914</v>
      </c>
      <c r="E154" s="552">
        <f t="shared" si="99"/>
        <v>0.58172809595678765</v>
      </c>
      <c r="F154" s="553">
        <f>+'02 Prod Valorisée Boites'!G1130</f>
        <v>21564868.759199999</v>
      </c>
      <c r="G154" s="551">
        <f>+'03 Prod Accessoires'!K603</f>
        <v>457250</v>
      </c>
      <c r="H154" s="554">
        <f>+'03 Prod Accessoires'!Q604</f>
        <v>1044201.7250000001</v>
      </c>
      <c r="I154" s="550">
        <f>+'02 Prod Valorisée Boites'!J1130</f>
        <v>30860453.520000007</v>
      </c>
      <c r="J154" s="566">
        <f>+'04 Ventes'!I960</f>
        <v>0</v>
      </c>
      <c r="L154" s="712"/>
      <c r="O154" s="704"/>
    </row>
    <row r="155" spans="1:15" ht="60.6" customHeight="1" thickBot="1" x14ac:dyDescent="0.35">
      <c r="A155" s="892" t="s">
        <v>101</v>
      </c>
      <c r="B155" s="295" t="s">
        <v>222</v>
      </c>
      <c r="C155" s="567"/>
      <c r="D155" s="557"/>
      <c r="E155" s="558" t="str">
        <f t="shared" si="99"/>
        <v>-</v>
      </c>
      <c r="F155" s="559"/>
      <c r="G155" s="557"/>
      <c r="H155" s="560"/>
      <c r="I155" s="560"/>
      <c r="J155" s="568"/>
    </row>
    <row r="156" spans="1:15" s="294" customFormat="1" ht="60.6" customHeight="1" thickBot="1" x14ac:dyDescent="0.35">
      <c r="A156" s="318" t="s">
        <v>101</v>
      </c>
      <c r="B156" s="433" t="s">
        <v>224</v>
      </c>
      <c r="C156" s="562">
        <f>SUM(C154:C155)</f>
        <v>2215664</v>
      </c>
      <c r="D156" s="563">
        <f t="shared" ref="D156" si="103">SUM(D154:D155)</f>
        <v>1288914</v>
      </c>
      <c r="E156" s="564">
        <f t="shared" si="99"/>
        <v>0.58172809595678765</v>
      </c>
      <c r="F156" s="565">
        <f t="shared" ref="F156:J156" si="104">SUM(F154:F155)</f>
        <v>21564868.759199999</v>
      </c>
      <c r="G156" s="563">
        <f t="shared" si="104"/>
        <v>457250</v>
      </c>
      <c r="H156" s="565">
        <f t="shared" si="104"/>
        <v>1044201.7250000001</v>
      </c>
      <c r="I156" s="565">
        <f t="shared" si="104"/>
        <v>30860453.520000007</v>
      </c>
      <c r="J156" s="758">
        <f t="shared" si="104"/>
        <v>0</v>
      </c>
    </row>
    <row r="157" spans="1:15" ht="60.6" customHeight="1" x14ac:dyDescent="0.3">
      <c r="A157" s="268" t="s">
        <v>102</v>
      </c>
      <c r="B157" s="574" t="s">
        <v>221</v>
      </c>
      <c r="C157" s="554">
        <f>+'01 Prod Physique Boites'!E1151</f>
        <v>1292400</v>
      </c>
      <c r="D157" s="551">
        <f>+'01 Prod Physique Boites'!K1151</f>
        <v>348384</v>
      </c>
      <c r="E157" s="552">
        <f t="shared" si="99"/>
        <v>0.26956360259981432</v>
      </c>
      <c r="F157" s="553">
        <f>+'02 Prod Valorisée Boites'!G1156</f>
        <v>17980420.1241</v>
      </c>
      <c r="G157" s="551">
        <f>+'03 Prod Accessoires'!K638</f>
        <v>1383468</v>
      </c>
      <c r="H157" s="554">
        <f>+'03 Prod Accessoires'!Q638</f>
        <v>9911853.4128999989</v>
      </c>
      <c r="I157" s="554">
        <f>+'02 Prod Valorisée Boites'!J1156</f>
        <v>33163101.879999999</v>
      </c>
      <c r="J157" s="566">
        <f>+'04 Ventes'!I987</f>
        <v>14568801.66</v>
      </c>
      <c r="K157" s="712"/>
      <c r="L157" s="712"/>
      <c r="O157" s="704"/>
    </row>
    <row r="158" spans="1:15" ht="60.6" customHeight="1" thickBot="1" x14ac:dyDescent="0.35">
      <c r="A158" s="892" t="s">
        <v>102</v>
      </c>
      <c r="B158" s="303" t="s">
        <v>222</v>
      </c>
      <c r="C158" s="560"/>
      <c r="D158" s="569"/>
      <c r="E158" s="570" t="str">
        <f t="shared" si="99"/>
        <v>-</v>
      </c>
      <c r="F158" s="571"/>
      <c r="G158" s="557"/>
      <c r="H158" s="560"/>
      <c r="I158" s="560"/>
      <c r="J158" s="568"/>
    </row>
    <row r="159" spans="1:15" s="294" customFormat="1" ht="60.6" customHeight="1" thickBot="1" x14ac:dyDescent="0.35">
      <c r="A159" s="318" t="s">
        <v>102</v>
      </c>
      <c r="B159" s="433" t="s">
        <v>225</v>
      </c>
      <c r="C159" s="562">
        <f>SUM(C157:C158)</f>
        <v>1292400</v>
      </c>
      <c r="D159" s="563">
        <f t="shared" ref="D159" si="105">SUM(D157:D158)</f>
        <v>348384</v>
      </c>
      <c r="E159" s="564">
        <f t="shared" si="99"/>
        <v>0.26956360259981432</v>
      </c>
      <c r="F159" s="565">
        <f t="shared" ref="F159:J159" si="106">SUM(F157:F158)</f>
        <v>17980420.1241</v>
      </c>
      <c r="G159" s="563">
        <f t="shared" si="106"/>
        <v>1383468</v>
      </c>
      <c r="H159" s="565">
        <f t="shared" si="106"/>
        <v>9911853.4128999989</v>
      </c>
      <c r="I159" s="565">
        <f t="shared" si="106"/>
        <v>33163101.879999999</v>
      </c>
      <c r="J159" s="758">
        <f t="shared" si="106"/>
        <v>14568801.66</v>
      </c>
    </row>
    <row r="160" spans="1:15" ht="57.6" customHeight="1" thickBot="1" x14ac:dyDescent="0.35">
      <c r="A160" s="630"/>
      <c r="B160" s="548" t="s">
        <v>174</v>
      </c>
      <c r="C160" s="549">
        <f>+C153+C156+C159</f>
        <v>7473564</v>
      </c>
      <c r="D160" s="575">
        <f t="shared" ref="D160" si="107">+D153+D156+D159</f>
        <v>3632879</v>
      </c>
      <c r="E160" s="576">
        <f>IFERROR(D160/C160,"-")</f>
        <v>0.48609726229681044</v>
      </c>
      <c r="F160" s="575">
        <f>+F153+F156+F159</f>
        <v>65550872.222499996</v>
      </c>
      <c r="G160" s="575">
        <f t="shared" ref="G160:H160" si="108">+G153+G156+G159</f>
        <v>3475168</v>
      </c>
      <c r="H160" s="575">
        <f t="shared" si="108"/>
        <v>19980992.497900002</v>
      </c>
      <c r="I160" s="575">
        <f>+I153+I156+I159</f>
        <v>90928731</v>
      </c>
      <c r="J160" s="631">
        <f t="shared" ref="J160" si="109">+J153+J156+J159</f>
        <v>25791815.100000001</v>
      </c>
    </row>
    <row r="161" spans="1:15" ht="41.4" customHeight="1" x14ac:dyDescent="0.3">
      <c r="A161" s="1057" t="s">
        <v>1</v>
      </c>
      <c r="B161" s="1063" t="s">
        <v>396</v>
      </c>
      <c r="C161" s="1063" t="s">
        <v>226</v>
      </c>
      <c r="D161" s="1154" t="s">
        <v>554</v>
      </c>
      <c r="E161" s="1155"/>
      <c r="F161" s="1155"/>
      <c r="G161" s="1155"/>
      <c r="H161" s="1156"/>
      <c r="I161" s="1157" t="s">
        <v>417</v>
      </c>
      <c r="J161" s="1157" t="s">
        <v>418</v>
      </c>
      <c r="K161" s="229" t="s">
        <v>420</v>
      </c>
    </row>
    <row r="162" spans="1:15" ht="41.4" customHeight="1" x14ac:dyDescent="0.3">
      <c r="A162" s="1136"/>
      <c r="B162" s="1153"/>
      <c r="C162" s="1153"/>
      <c r="D162" s="1160" t="s">
        <v>229</v>
      </c>
      <c r="E162" s="1161"/>
      <c r="F162" s="1162"/>
      <c r="G162" s="1160" t="s">
        <v>227</v>
      </c>
      <c r="H162" s="1162"/>
      <c r="I162" s="1158"/>
      <c r="J162" s="1158"/>
    </row>
    <row r="163" spans="1:15" ht="25.95" customHeight="1" x14ac:dyDescent="0.3">
      <c r="A163" s="1058"/>
      <c r="B163" s="1064"/>
      <c r="C163" s="1064"/>
      <c r="D163" s="1163" t="s">
        <v>415</v>
      </c>
      <c r="E163" s="1165" t="s">
        <v>9</v>
      </c>
      <c r="F163" s="1167" t="s">
        <v>416</v>
      </c>
      <c r="G163" s="1169" t="s">
        <v>228</v>
      </c>
      <c r="H163" s="1171" t="s">
        <v>416</v>
      </c>
      <c r="I163" s="1158"/>
      <c r="J163" s="1158"/>
    </row>
    <row r="164" spans="1:15" ht="25.95" customHeight="1" thickBot="1" x14ac:dyDescent="0.35">
      <c r="A164" s="1059"/>
      <c r="B164" s="1065"/>
      <c r="C164" s="1065"/>
      <c r="D164" s="1164"/>
      <c r="E164" s="1166"/>
      <c r="F164" s="1168"/>
      <c r="G164" s="1170"/>
      <c r="H164" s="1172"/>
      <c r="I164" s="1159"/>
      <c r="J164" s="1159"/>
    </row>
    <row r="165" spans="1:15" ht="60.6" customHeight="1" x14ac:dyDescent="0.3">
      <c r="A165" s="268" t="s">
        <v>103</v>
      </c>
      <c r="B165" s="572" t="s">
        <v>220</v>
      </c>
      <c r="C165" s="550">
        <f>+'01 Prod Physique Boites'!E1189</f>
        <v>3770000</v>
      </c>
      <c r="D165" s="551">
        <f>+'01 Prod Physique Boites'!K1189</f>
        <v>2183552</v>
      </c>
      <c r="E165" s="552">
        <f>IFERROR(D165/C165,"-")</f>
        <v>0.57919151193633955</v>
      </c>
      <c r="F165" s="553">
        <f>+'02 Prod Valorisée Boites'!G1195</f>
        <v>28320450.8616</v>
      </c>
      <c r="G165" s="551">
        <f>+'03 Prod Accessoires'!K649</f>
        <v>1483050</v>
      </c>
      <c r="H165" s="550">
        <f>+'03 Prod Accessoires'!Q649</f>
        <v>8504551.8600000013</v>
      </c>
      <c r="I165" s="550">
        <f>+'02 Prod Valorisée Boites'!J1195</f>
        <v>28748238.799999997</v>
      </c>
      <c r="J165" s="555">
        <f>+'04 Ventes'!I1010</f>
        <v>9688802.8800000008</v>
      </c>
      <c r="K165" s="712"/>
      <c r="L165" s="712"/>
      <c r="O165" s="704"/>
    </row>
    <row r="166" spans="1:15" ht="60.6" customHeight="1" x14ac:dyDescent="0.3">
      <c r="A166" s="909" t="s">
        <v>103</v>
      </c>
      <c r="B166" s="573" t="s">
        <v>221</v>
      </c>
      <c r="C166" s="556">
        <f>+'01 Prod Physique Boites'!E1205</f>
        <v>195500</v>
      </c>
      <c r="D166" s="557">
        <f>+'01 Prod Physique Boites'!K1205</f>
        <v>85340</v>
      </c>
      <c r="E166" s="558">
        <f t="shared" ref="E166:E174" si="110">IFERROR(D166/C166,"-")</f>
        <v>0.43652173913043479</v>
      </c>
      <c r="F166" s="559">
        <f>+'02 Prod Valorisée Boites'!G1211</f>
        <v>1893385.89</v>
      </c>
      <c r="G166" s="557">
        <f>+'03 Prod Accessoires'!K657</f>
        <v>213400</v>
      </c>
      <c r="H166" s="556">
        <f>+'03 Prod Accessoires'!Q657</f>
        <v>1277443.3</v>
      </c>
      <c r="I166" s="560">
        <f>+'02 Prod Valorisée Boites'!J1211</f>
        <v>2298780</v>
      </c>
      <c r="J166" s="561">
        <f>+'04 Ventes'!I1017</f>
        <v>2798493.76</v>
      </c>
      <c r="K166" s="712"/>
      <c r="L166" s="712"/>
      <c r="O166" s="704"/>
    </row>
    <row r="167" spans="1:15" ht="60.6" customHeight="1" thickBot="1" x14ac:dyDescent="0.35">
      <c r="A167" s="274" t="s">
        <v>103</v>
      </c>
      <c r="B167" s="275" t="s">
        <v>222</v>
      </c>
      <c r="C167" s="556"/>
      <c r="D167" s="557"/>
      <c r="E167" s="558" t="str">
        <f t="shared" si="110"/>
        <v>-</v>
      </c>
      <c r="F167" s="559"/>
      <c r="G167" s="557"/>
      <c r="H167" s="560"/>
      <c r="I167" s="560"/>
      <c r="J167" s="561">
        <f>+'04 Ventes'!I1022</f>
        <v>12500</v>
      </c>
    </row>
    <row r="168" spans="1:15" s="294" customFormat="1" ht="60.6" customHeight="1" thickBot="1" x14ac:dyDescent="0.35">
      <c r="A168" s="318" t="s">
        <v>103</v>
      </c>
      <c r="B168" s="433" t="s">
        <v>223</v>
      </c>
      <c r="C168" s="562">
        <f>SUM(C165:C167)</f>
        <v>3965500</v>
      </c>
      <c r="D168" s="563">
        <f t="shared" ref="D168" si="111">SUM(D165:D167)</f>
        <v>2268892</v>
      </c>
      <c r="E168" s="564">
        <f t="shared" si="110"/>
        <v>0.57215786155591986</v>
      </c>
      <c r="F168" s="565">
        <f>SUM(F165:F167)</f>
        <v>30213836.751600001</v>
      </c>
      <c r="G168" s="563">
        <f t="shared" ref="G168:H168" si="112">SUM(G165:G167)</f>
        <v>1696450</v>
      </c>
      <c r="H168" s="565">
        <f t="shared" si="112"/>
        <v>9781995.160000002</v>
      </c>
      <c r="I168" s="565">
        <f>SUM(I165:I167)</f>
        <v>31047018.799999997</v>
      </c>
      <c r="J168" s="758">
        <f t="shared" ref="J168" si="113">SUM(J165:J167)</f>
        <v>12499796.640000001</v>
      </c>
    </row>
    <row r="169" spans="1:15" ht="60.6" customHeight="1" x14ac:dyDescent="0.3">
      <c r="A169" s="268" t="s">
        <v>101</v>
      </c>
      <c r="B169" s="572" t="s">
        <v>220</v>
      </c>
      <c r="C169" s="550">
        <f>+'01 Prod Physique Boites'!E1241</f>
        <v>2215664</v>
      </c>
      <c r="D169" s="551">
        <f>+'01 Prod Physique Boites'!K1241</f>
        <v>1445089</v>
      </c>
      <c r="E169" s="552">
        <f t="shared" si="110"/>
        <v>0.65221486651405625</v>
      </c>
      <c r="F169" s="553">
        <f>+'02 Prod Valorisée Boites'!G1247</f>
        <v>24596668.792799998</v>
      </c>
      <c r="G169" s="551">
        <f>+'03 Prod Accessoires'!K667</f>
        <v>554250</v>
      </c>
      <c r="H169" s="554">
        <f>+'03 Prod Accessoires'!Q667</f>
        <v>1258969.425</v>
      </c>
      <c r="I169" s="550">
        <f>+'02 Prod Valorisée Boites'!J1247</f>
        <v>35361265.680000007</v>
      </c>
      <c r="J169" s="566">
        <f>+'04 Ventes'!I1054</f>
        <v>0</v>
      </c>
      <c r="L169" s="712"/>
      <c r="O169" s="704"/>
    </row>
    <row r="170" spans="1:15" ht="60.6" customHeight="1" thickBot="1" x14ac:dyDescent="0.35">
      <c r="A170" s="909" t="s">
        <v>101</v>
      </c>
      <c r="B170" s="295" t="s">
        <v>222</v>
      </c>
      <c r="C170" s="567"/>
      <c r="D170" s="557"/>
      <c r="E170" s="558" t="str">
        <f t="shared" si="110"/>
        <v>-</v>
      </c>
      <c r="F170" s="559"/>
      <c r="G170" s="557"/>
      <c r="H170" s="560"/>
      <c r="I170" s="560"/>
      <c r="J170" s="568"/>
    </row>
    <row r="171" spans="1:15" s="294" customFormat="1" ht="60.6" customHeight="1" thickBot="1" x14ac:dyDescent="0.35">
      <c r="A171" s="318" t="s">
        <v>101</v>
      </c>
      <c r="B171" s="433" t="s">
        <v>224</v>
      </c>
      <c r="C171" s="562">
        <f>SUM(C169:C170)</f>
        <v>2215664</v>
      </c>
      <c r="D171" s="563">
        <f t="shared" ref="D171" si="114">SUM(D169:D170)</f>
        <v>1445089</v>
      </c>
      <c r="E171" s="564">
        <f t="shared" si="110"/>
        <v>0.65221486651405625</v>
      </c>
      <c r="F171" s="565">
        <f t="shared" ref="F171:J171" si="115">SUM(F169:F170)</f>
        <v>24596668.792799998</v>
      </c>
      <c r="G171" s="563">
        <f t="shared" si="115"/>
        <v>554250</v>
      </c>
      <c r="H171" s="565">
        <f t="shared" si="115"/>
        <v>1258969.425</v>
      </c>
      <c r="I171" s="565">
        <f t="shared" si="115"/>
        <v>35361265.680000007</v>
      </c>
      <c r="J171" s="758">
        <f t="shared" si="115"/>
        <v>0</v>
      </c>
    </row>
    <row r="172" spans="1:15" ht="60.6" customHeight="1" x14ac:dyDescent="0.3">
      <c r="A172" s="268" t="s">
        <v>102</v>
      </c>
      <c r="B172" s="574" t="s">
        <v>221</v>
      </c>
      <c r="C172" s="554">
        <f>+'01 Prod Physique Boites'!E1268</f>
        <v>1292400</v>
      </c>
      <c r="D172" s="551">
        <f>+'01 Prod Physique Boites'!K1268</f>
        <v>396543</v>
      </c>
      <c r="E172" s="552">
        <f t="shared" si="110"/>
        <v>0.30682683379758591</v>
      </c>
      <c r="F172" s="553">
        <f>+'02 Prod Valorisée Boites'!G1273</f>
        <v>19762993.9113</v>
      </c>
      <c r="G172" s="551">
        <f>+'03 Prod Accessoires'!K701</f>
        <v>1540518</v>
      </c>
      <c r="H172" s="554">
        <f>+'03 Prod Accessoires'!Q701</f>
        <v>11448673.2579</v>
      </c>
      <c r="I172" s="554">
        <f>+'02 Prod Valorisée Boites'!J1273</f>
        <v>36581934.519999996</v>
      </c>
      <c r="J172" s="566">
        <f>+'04 Ventes'!I1081</f>
        <v>17243806.300000001</v>
      </c>
      <c r="K172" s="712"/>
      <c r="L172" s="712"/>
      <c r="O172" s="704"/>
    </row>
    <row r="173" spans="1:15" ht="60.6" customHeight="1" thickBot="1" x14ac:dyDescent="0.35">
      <c r="A173" s="909" t="s">
        <v>102</v>
      </c>
      <c r="B173" s="303" t="s">
        <v>222</v>
      </c>
      <c r="C173" s="560"/>
      <c r="D173" s="569"/>
      <c r="E173" s="570" t="str">
        <f t="shared" si="110"/>
        <v>-</v>
      </c>
      <c r="F173" s="571"/>
      <c r="G173" s="557"/>
      <c r="H173" s="560"/>
      <c r="I173" s="560"/>
      <c r="J173" s="568"/>
    </row>
    <row r="174" spans="1:15" s="294" customFormat="1" ht="60.6" customHeight="1" thickBot="1" x14ac:dyDescent="0.35">
      <c r="A174" s="318" t="s">
        <v>102</v>
      </c>
      <c r="B174" s="433" t="s">
        <v>225</v>
      </c>
      <c r="C174" s="562">
        <f>SUM(C172:C173)</f>
        <v>1292400</v>
      </c>
      <c r="D174" s="563">
        <f t="shared" ref="D174" si="116">SUM(D172:D173)</f>
        <v>396543</v>
      </c>
      <c r="E174" s="564">
        <f t="shared" si="110"/>
        <v>0.30682683379758591</v>
      </c>
      <c r="F174" s="565">
        <f t="shared" ref="F174:J174" si="117">SUM(F172:F173)</f>
        <v>19762993.9113</v>
      </c>
      <c r="G174" s="563">
        <f t="shared" si="117"/>
        <v>1540518</v>
      </c>
      <c r="H174" s="565">
        <f t="shared" si="117"/>
        <v>11448673.2579</v>
      </c>
      <c r="I174" s="565">
        <f t="shared" si="117"/>
        <v>36581934.519999996</v>
      </c>
      <c r="J174" s="758">
        <f t="shared" si="117"/>
        <v>17243806.300000001</v>
      </c>
    </row>
    <row r="175" spans="1:15" ht="57.6" customHeight="1" thickBot="1" x14ac:dyDescent="0.35">
      <c r="A175" s="630"/>
      <c r="B175" s="548" t="s">
        <v>174</v>
      </c>
      <c r="C175" s="549">
        <f>+C168+C171+C174</f>
        <v>7473564</v>
      </c>
      <c r="D175" s="575">
        <f t="shared" ref="D175" si="118">+D168+D171+D174</f>
        <v>4110524</v>
      </c>
      <c r="E175" s="576">
        <f>IFERROR(D175/C175,"-")</f>
        <v>0.55000853675702788</v>
      </c>
      <c r="F175" s="575">
        <f>+F168+F171+F174</f>
        <v>74573499.455699995</v>
      </c>
      <c r="G175" s="575">
        <f t="shared" ref="G175:H175" si="119">+G168+G171+G174</f>
        <v>3791218</v>
      </c>
      <c r="H175" s="575">
        <f t="shared" si="119"/>
        <v>22489637.842900001</v>
      </c>
      <c r="I175" s="575">
        <f>+I168+I171+I174</f>
        <v>102990219</v>
      </c>
      <c r="J175" s="631">
        <f t="shared" ref="J175" si="120">+J168+J171+J174</f>
        <v>29743602.940000001</v>
      </c>
    </row>
    <row r="176" spans="1:15" ht="36.75" customHeight="1" x14ac:dyDescent="0.3">
      <c r="A176" s="1057" t="s">
        <v>1</v>
      </c>
      <c r="B176" s="1063" t="s">
        <v>396</v>
      </c>
      <c r="C176" s="1063" t="s">
        <v>226</v>
      </c>
      <c r="D176" s="1154" t="s">
        <v>558</v>
      </c>
      <c r="E176" s="1155"/>
      <c r="F176" s="1155"/>
      <c r="G176" s="1155"/>
      <c r="H176" s="1156"/>
      <c r="I176" s="1157" t="s">
        <v>417</v>
      </c>
      <c r="J176" s="1157" t="s">
        <v>418</v>
      </c>
    </row>
    <row r="177" spans="1:10" ht="35.25" customHeight="1" x14ac:dyDescent="0.3">
      <c r="A177" s="1136"/>
      <c r="B177" s="1153"/>
      <c r="C177" s="1153"/>
      <c r="D177" s="1160" t="s">
        <v>229</v>
      </c>
      <c r="E177" s="1161"/>
      <c r="F177" s="1162"/>
      <c r="G177" s="1160" t="s">
        <v>227</v>
      </c>
      <c r="H177" s="1162"/>
      <c r="I177" s="1158"/>
      <c r="J177" s="1158"/>
    </row>
    <row r="178" spans="1:10" ht="30" customHeight="1" x14ac:dyDescent="0.3">
      <c r="A178" s="1058"/>
      <c r="B178" s="1064"/>
      <c r="C178" s="1064"/>
      <c r="D178" s="1163" t="s">
        <v>415</v>
      </c>
      <c r="E178" s="1165" t="s">
        <v>9</v>
      </c>
      <c r="F178" s="1167" t="s">
        <v>416</v>
      </c>
      <c r="G178" s="1169" t="s">
        <v>228</v>
      </c>
      <c r="H178" s="1171" t="s">
        <v>416</v>
      </c>
      <c r="I178" s="1158"/>
      <c r="J178" s="1158"/>
    </row>
    <row r="179" spans="1:10" ht="50.25" customHeight="1" thickBot="1" x14ac:dyDescent="0.35">
      <c r="A179" s="1059"/>
      <c r="B179" s="1065"/>
      <c r="C179" s="1065"/>
      <c r="D179" s="1164"/>
      <c r="E179" s="1166"/>
      <c r="F179" s="1168"/>
      <c r="G179" s="1170"/>
      <c r="H179" s="1172"/>
      <c r="I179" s="1159"/>
      <c r="J179" s="1159"/>
    </row>
    <row r="180" spans="1:10" ht="71.25" customHeight="1" x14ac:dyDescent="0.3">
      <c r="A180" s="268" t="s">
        <v>103</v>
      </c>
      <c r="B180" s="572" t="s">
        <v>220</v>
      </c>
      <c r="C180" s="550">
        <v>3770000</v>
      </c>
      <c r="D180" s="551">
        <f>'01 Prod Physique Boites'!K1306</f>
        <v>2386702</v>
      </c>
      <c r="E180" s="552">
        <f>IFERROR(D180/C180,"-")</f>
        <v>0.63307745358090184</v>
      </c>
      <c r="F180" s="553">
        <f>'02 Prod Valorisée Boites'!G1312</f>
        <v>31341097.083999999</v>
      </c>
      <c r="G180" s="551">
        <f>'03 Prod Accessoires'!K713</f>
        <v>1571770</v>
      </c>
      <c r="H180" s="550">
        <f>'03 Prod Accessoires'!Q713</f>
        <v>8875287.6600000001</v>
      </c>
      <c r="I180" s="550">
        <f>'02 Prod Valorisée Boites'!J1312</f>
        <v>32931568.399999999</v>
      </c>
      <c r="J180" s="555">
        <f>'04 Ventes'!I1104</f>
        <v>11514795.359999999</v>
      </c>
    </row>
    <row r="181" spans="1:10" ht="65.25" customHeight="1" x14ac:dyDescent="0.3">
      <c r="A181" s="926" t="s">
        <v>103</v>
      </c>
      <c r="B181" s="573" t="s">
        <v>221</v>
      </c>
      <c r="C181" s="556">
        <v>195500</v>
      </c>
      <c r="D181" s="557">
        <f>'01 Prod Physique Boites'!K1322</f>
        <v>119090</v>
      </c>
      <c r="E181" s="558">
        <f t="shared" ref="E181:E189" si="121">IFERROR(D181/C181,"-")</f>
        <v>0.60915601023017907</v>
      </c>
      <c r="F181" s="559">
        <f>'02 Prod Valorisée Boites'!G1328</f>
        <v>2641933.7999999998</v>
      </c>
      <c r="G181" s="557">
        <f>'03 Prod Accessoires'!K721</f>
        <v>222400</v>
      </c>
      <c r="H181" s="556">
        <f>'03 Prod Accessoires'!Q721</f>
        <v>1385708.8</v>
      </c>
      <c r="I181" s="560">
        <f>'02 Prod Valorisée Boites'!J1328</f>
        <v>3207600</v>
      </c>
      <c r="J181" s="561">
        <f>'04 Ventes'!I1111</f>
        <v>2798493.76</v>
      </c>
    </row>
    <row r="182" spans="1:10" ht="31.2" thickBot="1" x14ac:dyDescent="0.35">
      <c r="A182" s="274" t="s">
        <v>103</v>
      </c>
      <c r="B182" s="275" t="s">
        <v>222</v>
      </c>
      <c r="C182" s="556"/>
      <c r="D182" s="557"/>
      <c r="E182" s="558" t="str">
        <f t="shared" si="121"/>
        <v>-</v>
      </c>
      <c r="F182" s="559"/>
      <c r="G182" s="557"/>
      <c r="H182" s="560"/>
      <c r="I182" s="560"/>
      <c r="J182" s="561">
        <f>'04 Ventes'!I1116</f>
        <v>12500</v>
      </c>
    </row>
    <row r="183" spans="1:10" ht="30" thickBot="1" x14ac:dyDescent="0.35">
      <c r="A183" s="318" t="s">
        <v>103</v>
      </c>
      <c r="B183" s="433" t="s">
        <v>223</v>
      </c>
      <c r="C183" s="562">
        <f>SUM(C180:C182)</f>
        <v>3965500</v>
      </c>
      <c r="D183" s="563">
        <f t="shared" ref="D183" si="122">SUM(D180:D182)</f>
        <v>2505792</v>
      </c>
      <c r="E183" s="564">
        <f t="shared" si="121"/>
        <v>0.6318981212961795</v>
      </c>
      <c r="F183" s="565">
        <f>SUM(F180:F182)</f>
        <v>33983030.883999996</v>
      </c>
      <c r="G183" s="563">
        <f t="shared" ref="G183:H183" si="123">SUM(G180:G182)</f>
        <v>1794170</v>
      </c>
      <c r="H183" s="565">
        <f t="shared" si="123"/>
        <v>10260996.460000001</v>
      </c>
      <c r="I183" s="565">
        <f>SUM(I180:I182)</f>
        <v>36139168.399999999</v>
      </c>
      <c r="J183" s="758">
        <f t="shared" ref="J183" si="124">SUM(J180:J182)</f>
        <v>14325789.119999999</v>
      </c>
    </row>
    <row r="184" spans="1:10" ht="65.25" customHeight="1" x14ac:dyDescent="0.3">
      <c r="A184" s="268" t="s">
        <v>101</v>
      </c>
      <c r="B184" s="572" t="s">
        <v>220</v>
      </c>
      <c r="C184" s="550">
        <v>2215664</v>
      </c>
      <c r="D184" s="551">
        <f>'01 Prod Physique Boites'!K1358</f>
        <v>1504770</v>
      </c>
      <c r="E184" s="552">
        <f t="shared" si="121"/>
        <v>0.67915080987008858</v>
      </c>
      <c r="F184" s="553">
        <f>'02 Prod Valorisée Boites'!G1363</f>
        <v>25829659.720800001</v>
      </c>
      <c r="G184" s="551">
        <f>'03 Prod Accessoires'!K731</f>
        <v>654250</v>
      </c>
      <c r="H184" s="554">
        <f>'03 Prod Accessoires'!Q731</f>
        <v>1480379.425</v>
      </c>
      <c r="I184" s="550">
        <f>'02 Prod Valorisée Boites'!J1364</f>
        <v>37405779.839999996</v>
      </c>
      <c r="J184" s="566">
        <f>'04 Ventes'!I1148</f>
        <v>0</v>
      </c>
    </row>
    <row r="185" spans="1:10" ht="60" customHeight="1" thickBot="1" x14ac:dyDescent="0.35">
      <c r="A185" s="926" t="s">
        <v>101</v>
      </c>
      <c r="B185" s="295" t="s">
        <v>222</v>
      </c>
      <c r="C185" s="567"/>
      <c r="D185" s="557"/>
      <c r="E185" s="558" t="str">
        <f t="shared" si="121"/>
        <v>-</v>
      </c>
      <c r="F185" s="559"/>
      <c r="G185" s="557"/>
      <c r="H185" s="560"/>
      <c r="I185" s="560"/>
      <c r="J185" s="568"/>
    </row>
    <row r="186" spans="1:10" ht="30" thickBot="1" x14ac:dyDescent="0.35">
      <c r="A186" s="318" t="s">
        <v>101</v>
      </c>
      <c r="B186" s="433" t="s">
        <v>224</v>
      </c>
      <c r="C186" s="562">
        <f>SUM(C184:C185)</f>
        <v>2215664</v>
      </c>
      <c r="D186" s="563">
        <f t="shared" ref="D186" si="125">SUM(D184:D185)</f>
        <v>1504770</v>
      </c>
      <c r="E186" s="564">
        <f t="shared" si="121"/>
        <v>0.67915080987008858</v>
      </c>
      <c r="F186" s="565">
        <f t="shared" ref="F186:J186" si="126">SUM(F184:F185)</f>
        <v>25829659.720800001</v>
      </c>
      <c r="G186" s="563">
        <f t="shared" si="126"/>
        <v>654250</v>
      </c>
      <c r="H186" s="565">
        <f t="shared" si="126"/>
        <v>1480379.425</v>
      </c>
      <c r="I186" s="565">
        <f t="shared" si="126"/>
        <v>37405779.839999996</v>
      </c>
      <c r="J186" s="758">
        <f t="shared" si="126"/>
        <v>0</v>
      </c>
    </row>
    <row r="187" spans="1:10" ht="55.5" customHeight="1" x14ac:dyDescent="0.3">
      <c r="A187" s="268" t="s">
        <v>102</v>
      </c>
      <c r="B187" s="574" t="s">
        <v>221</v>
      </c>
      <c r="C187" s="554">
        <v>1292400</v>
      </c>
      <c r="D187" s="551">
        <f>'01 Prod Physique Boites'!K1385</f>
        <v>437270</v>
      </c>
      <c r="E187" s="552">
        <f t="shared" si="121"/>
        <v>0.33833952336737855</v>
      </c>
      <c r="F187" s="553">
        <f>'02 Prod Valorisée Boites'!G1390</f>
        <v>21264861.495300002</v>
      </c>
      <c r="G187" s="551">
        <f>'03 Prod Accessoires'!K765</f>
        <v>1637388</v>
      </c>
      <c r="H187" s="554">
        <f>'03 Prod Accessoires'!Q765</f>
        <v>12205030.849900002</v>
      </c>
      <c r="I187" s="554">
        <f>'02 Prod Valorisée Boites'!J1390</f>
        <v>39462395.319999993</v>
      </c>
      <c r="J187" s="566">
        <f>'04 Ventes'!I1175</f>
        <v>23314432.539999999</v>
      </c>
    </row>
    <row r="188" spans="1:10" ht="52.5" customHeight="1" thickBot="1" x14ac:dyDescent="0.35">
      <c r="A188" s="926" t="s">
        <v>102</v>
      </c>
      <c r="B188" s="303" t="s">
        <v>222</v>
      </c>
      <c r="C188" s="560"/>
      <c r="D188" s="569"/>
      <c r="E188" s="570" t="str">
        <f t="shared" si="121"/>
        <v>-</v>
      </c>
      <c r="F188" s="571"/>
      <c r="G188" s="557"/>
      <c r="H188" s="560"/>
      <c r="I188" s="560"/>
      <c r="J188" s="568"/>
    </row>
    <row r="189" spans="1:10" ht="56.25" customHeight="1" thickBot="1" x14ac:dyDescent="0.35">
      <c r="A189" s="318" t="s">
        <v>102</v>
      </c>
      <c r="B189" s="433" t="s">
        <v>225</v>
      </c>
      <c r="C189" s="562">
        <f>SUM(C187:C188)</f>
        <v>1292400</v>
      </c>
      <c r="D189" s="563">
        <f t="shared" ref="D189" si="127">SUM(D187:D188)</f>
        <v>437270</v>
      </c>
      <c r="E189" s="564">
        <f t="shared" si="121"/>
        <v>0.33833952336737855</v>
      </c>
      <c r="F189" s="565">
        <f t="shared" ref="F189:J189" si="128">SUM(F187:F188)</f>
        <v>21264861.495300002</v>
      </c>
      <c r="G189" s="563">
        <f t="shared" si="128"/>
        <v>1637388</v>
      </c>
      <c r="H189" s="565">
        <f t="shared" si="128"/>
        <v>12205030.849900002</v>
      </c>
      <c r="I189" s="565">
        <f t="shared" si="128"/>
        <v>39462395.319999993</v>
      </c>
      <c r="J189" s="758">
        <f t="shared" si="128"/>
        <v>23314432.539999999</v>
      </c>
    </row>
    <row r="190" spans="1:10" ht="31.8" thickBot="1" x14ac:dyDescent="0.35">
      <c r="A190" s="630"/>
      <c r="B190" s="548" t="s">
        <v>174</v>
      </c>
      <c r="C190" s="549">
        <f>+C183+C186+C189</f>
        <v>7473564</v>
      </c>
      <c r="D190" s="575">
        <f t="shared" ref="D190" si="129">+D183+D186+D189</f>
        <v>4447832</v>
      </c>
      <c r="E190" s="576">
        <f>IFERROR(D190/C190,"-")</f>
        <v>0.59514202327028976</v>
      </c>
      <c r="F190" s="575">
        <f>+F183+F186+F189</f>
        <v>81077552.100100011</v>
      </c>
      <c r="G190" s="575">
        <f t="shared" ref="G190:H190" si="130">+G183+G186+G189</f>
        <v>4085808</v>
      </c>
      <c r="H190" s="575">
        <f t="shared" si="130"/>
        <v>23946406.734900005</v>
      </c>
      <c r="I190" s="575">
        <f>+I183+I186+I189</f>
        <v>113007343.55999999</v>
      </c>
      <c r="J190" s="631">
        <f t="shared" ref="J190" si="131">+J183+J186+J189</f>
        <v>37640221.659999996</v>
      </c>
    </row>
    <row r="191" spans="1:10" ht="43.5" customHeight="1" x14ac:dyDescent="0.3">
      <c r="A191" s="1057" t="s">
        <v>1</v>
      </c>
      <c r="B191" s="1063" t="s">
        <v>396</v>
      </c>
      <c r="C191" s="1063" t="s">
        <v>226</v>
      </c>
      <c r="D191" s="1154" t="s">
        <v>564</v>
      </c>
      <c r="E191" s="1155"/>
      <c r="F191" s="1155"/>
      <c r="G191" s="1155"/>
      <c r="H191" s="1156"/>
      <c r="I191" s="1157" t="s">
        <v>417</v>
      </c>
      <c r="J191" s="1157" t="s">
        <v>418</v>
      </c>
    </row>
    <row r="192" spans="1:10" ht="42" customHeight="1" x14ac:dyDescent="0.3">
      <c r="A192" s="1136"/>
      <c r="B192" s="1153"/>
      <c r="C192" s="1153"/>
      <c r="D192" s="1160" t="s">
        <v>229</v>
      </c>
      <c r="E192" s="1161"/>
      <c r="F192" s="1162"/>
      <c r="G192" s="1160" t="s">
        <v>227</v>
      </c>
      <c r="H192" s="1162"/>
      <c r="I192" s="1158"/>
      <c r="J192" s="1158"/>
    </row>
    <row r="193" spans="1:10" ht="33" customHeight="1" x14ac:dyDescent="0.3">
      <c r="A193" s="1058"/>
      <c r="B193" s="1064"/>
      <c r="C193" s="1064"/>
      <c r="D193" s="1163" t="s">
        <v>415</v>
      </c>
      <c r="E193" s="1165" t="s">
        <v>9</v>
      </c>
      <c r="F193" s="1167" t="s">
        <v>416</v>
      </c>
      <c r="G193" s="1169" t="s">
        <v>228</v>
      </c>
      <c r="H193" s="1171" t="s">
        <v>416</v>
      </c>
      <c r="I193" s="1158"/>
      <c r="J193" s="1158"/>
    </row>
    <row r="194" spans="1:10" ht="52.5" customHeight="1" thickBot="1" x14ac:dyDescent="0.35">
      <c r="A194" s="1059"/>
      <c r="B194" s="1065"/>
      <c r="C194" s="1065"/>
      <c r="D194" s="1164"/>
      <c r="E194" s="1166"/>
      <c r="F194" s="1168"/>
      <c r="G194" s="1170"/>
      <c r="H194" s="1172"/>
      <c r="I194" s="1159"/>
      <c r="J194" s="1159"/>
    </row>
    <row r="195" spans="1:10" ht="69.75" customHeight="1" x14ac:dyDescent="0.3">
      <c r="A195" s="268" t="s">
        <v>103</v>
      </c>
      <c r="B195" s="572" t="s">
        <v>220</v>
      </c>
      <c r="C195" s="550">
        <v>3770000</v>
      </c>
      <c r="D195" s="551">
        <f>'01 Prod Physique Boites'!K1423</f>
        <v>2635225</v>
      </c>
      <c r="E195" s="552">
        <f>IFERROR(D195/C195,"-")</f>
        <v>0.69899867374005309</v>
      </c>
      <c r="F195" s="553">
        <f>'02 Prod Valorisée Boites'!G1429</f>
        <v>34682240.027600005</v>
      </c>
      <c r="G195" s="551">
        <f>'03 Prod Accessoires'!K777</f>
        <v>1718940</v>
      </c>
      <c r="H195" s="550">
        <f>'03 Prod Accessoires'!Q777</f>
        <v>9314907.2009999994</v>
      </c>
      <c r="I195" s="550">
        <f>'02 Prod Valorisée Boites'!J1429</f>
        <v>37575437.359999999</v>
      </c>
      <c r="J195" s="555">
        <f>'04 Ventes'!I1104</f>
        <v>11514795.359999999</v>
      </c>
    </row>
    <row r="196" spans="1:10" ht="73.5" customHeight="1" x14ac:dyDescent="0.3">
      <c r="A196" s="945" t="s">
        <v>103</v>
      </c>
      <c r="B196" s="573" t="s">
        <v>221</v>
      </c>
      <c r="C196" s="556">
        <v>195500</v>
      </c>
      <c r="D196" s="557">
        <f>'01 Prod Physique Boites'!K1439</f>
        <v>125030</v>
      </c>
      <c r="E196" s="558">
        <f t="shared" ref="E196:E204" si="132">IFERROR(D196/C196,"-")</f>
        <v>0.63953964194373403</v>
      </c>
      <c r="F196" s="559">
        <f>'02 Prod Valorisée Boites'!G1445</f>
        <v>2774030.4899999998</v>
      </c>
      <c r="G196" s="557">
        <f>'03 Prod Accessoires'!K785</f>
        <v>231040</v>
      </c>
      <c r="H196" s="556">
        <f>'03 Prod Accessoires'!Q785</f>
        <v>1543229.824</v>
      </c>
      <c r="I196" s="560">
        <f>'02 Prod Valorisée Boites'!J1445</f>
        <v>3367980</v>
      </c>
      <c r="J196" s="561">
        <f>'04 Ventes'!I1111</f>
        <v>2798493.76</v>
      </c>
    </row>
    <row r="197" spans="1:10" ht="51.75" customHeight="1" thickBot="1" x14ac:dyDescent="0.35">
      <c r="A197" s="274" t="s">
        <v>103</v>
      </c>
      <c r="B197" s="275" t="s">
        <v>222</v>
      </c>
      <c r="C197" s="556"/>
      <c r="D197" s="557"/>
      <c r="E197" s="558" t="str">
        <f t="shared" si="132"/>
        <v>-</v>
      </c>
      <c r="F197" s="559"/>
      <c r="G197" s="557"/>
      <c r="H197" s="560"/>
      <c r="I197" s="560"/>
      <c r="J197" s="561">
        <f>'04 Ventes'!I1116</f>
        <v>12500</v>
      </c>
    </row>
    <row r="198" spans="1:10" ht="30" thickBot="1" x14ac:dyDescent="0.35">
      <c r="A198" s="318" t="s">
        <v>103</v>
      </c>
      <c r="B198" s="433" t="s">
        <v>223</v>
      </c>
      <c r="C198" s="562">
        <f>SUM(C195:C197)</f>
        <v>3965500</v>
      </c>
      <c r="D198" s="563">
        <f t="shared" ref="D198" si="133">SUM(D195:D197)</f>
        <v>2760255</v>
      </c>
      <c r="E198" s="564">
        <f t="shared" si="132"/>
        <v>0.69606733072752491</v>
      </c>
      <c r="F198" s="565">
        <f>SUM(F195:F197)</f>
        <v>37456270.517600007</v>
      </c>
      <c r="G198" s="563">
        <f t="shared" ref="G198:H198" si="134">SUM(G195:G197)</f>
        <v>1949980</v>
      </c>
      <c r="H198" s="565">
        <f t="shared" si="134"/>
        <v>10858137.024999999</v>
      </c>
      <c r="I198" s="565">
        <f>SUM(I195:I197)</f>
        <v>40943417.359999999</v>
      </c>
      <c r="J198" s="758">
        <f t="shared" ref="J198" si="135">SUM(J195:J197)</f>
        <v>14325789.119999999</v>
      </c>
    </row>
    <row r="199" spans="1:10" ht="62.25" customHeight="1" x14ac:dyDescent="0.3">
      <c r="A199" s="268" t="s">
        <v>101</v>
      </c>
      <c r="B199" s="572" t="s">
        <v>220</v>
      </c>
      <c r="C199" s="550">
        <v>2215664</v>
      </c>
      <c r="D199" s="551">
        <v>1709838</v>
      </c>
      <c r="E199" s="552">
        <f t="shared" si="132"/>
        <v>0.77170455448118491</v>
      </c>
      <c r="F199" s="553">
        <v>30132567.969999999</v>
      </c>
      <c r="G199" s="551">
        <v>751500</v>
      </c>
      <c r="H199" s="554">
        <v>1695700.65</v>
      </c>
      <c r="I199" s="550">
        <v>43855241.039999999</v>
      </c>
      <c r="J199" s="566">
        <f>'04 Ventes'!I1163</f>
        <v>0</v>
      </c>
    </row>
    <row r="200" spans="1:10" ht="37.5" customHeight="1" thickBot="1" x14ac:dyDescent="0.35">
      <c r="A200" s="945" t="s">
        <v>101</v>
      </c>
      <c r="B200" s="295" t="s">
        <v>222</v>
      </c>
      <c r="C200" s="567"/>
      <c r="D200" s="557"/>
      <c r="E200" s="558" t="str">
        <f t="shared" si="132"/>
        <v>-</v>
      </c>
      <c r="F200" s="559"/>
      <c r="G200" s="557"/>
      <c r="H200" s="560"/>
      <c r="I200" s="560"/>
      <c r="J200" s="568"/>
    </row>
    <row r="201" spans="1:10" ht="30" thickBot="1" x14ac:dyDescent="0.35">
      <c r="A201" s="318" t="s">
        <v>101</v>
      </c>
      <c r="B201" s="433" t="s">
        <v>224</v>
      </c>
      <c r="C201" s="562">
        <f>SUM(C199:C200)</f>
        <v>2215664</v>
      </c>
      <c r="D201" s="563">
        <f t="shared" ref="D201" si="136">SUM(D199:D200)</f>
        <v>1709838</v>
      </c>
      <c r="E201" s="564">
        <f t="shared" si="132"/>
        <v>0.77170455448118491</v>
      </c>
      <c r="F201" s="565">
        <f t="shared" ref="F201:J201" si="137">SUM(F199:F200)</f>
        <v>30132567.969999999</v>
      </c>
      <c r="G201" s="563">
        <f t="shared" si="137"/>
        <v>751500</v>
      </c>
      <c r="H201" s="565">
        <f t="shared" si="137"/>
        <v>1695700.65</v>
      </c>
      <c r="I201" s="565">
        <f t="shared" si="137"/>
        <v>43855241.039999999</v>
      </c>
      <c r="J201" s="758">
        <f t="shared" si="137"/>
        <v>0</v>
      </c>
    </row>
    <row r="202" spans="1:10" ht="63.75" customHeight="1" x14ac:dyDescent="0.3">
      <c r="A202" s="268" t="s">
        <v>102</v>
      </c>
      <c r="B202" s="574" t="s">
        <v>221</v>
      </c>
      <c r="C202" s="554">
        <v>1292400</v>
      </c>
      <c r="D202" s="551">
        <v>441931</v>
      </c>
      <c r="E202" s="552">
        <f t="shared" si="132"/>
        <v>0.34194599195295572</v>
      </c>
      <c r="F202" s="553">
        <v>21955634.390000001</v>
      </c>
      <c r="G202" s="551">
        <v>1760508</v>
      </c>
      <c r="H202" s="554">
        <v>13329724.01</v>
      </c>
      <c r="I202" s="554">
        <v>40718803.960000001</v>
      </c>
      <c r="J202" s="566">
        <v>26172694.420000002</v>
      </c>
    </row>
    <row r="203" spans="1:10" ht="45.75" customHeight="1" thickBot="1" x14ac:dyDescent="0.35">
      <c r="A203" s="945" t="s">
        <v>102</v>
      </c>
      <c r="B203" s="303" t="s">
        <v>222</v>
      </c>
      <c r="C203" s="560"/>
      <c r="D203" s="569"/>
      <c r="E203" s="570" t="str">
        <f t="shared" si="132"/>
        <v>-</v>
      </c>
      <c r="F203" s="571"/>
      <c r="G203" s="557"/>
      <c r="H203" s="560"/>
      <c r="I203" s="560"/>
      <c r="J203" s="568"/>
    </row>
    <row r="204" spans="1:10" ht="47.25" customHeight="1" thickBot="1" x14ac:dyDescent="0.35">
      <c r="A204" s="318" t="s">
        <v>102</v>
      </c>
      <c r="B204" s="433" t="s">
        <v>225</v>
      </c>
      <c r="C204" s="562">
        <f>SUM(C202:C203)</f>
        <v>1292400</v>
      </c>
      <c r="D204" s="563">
        <f t="shared" ref="D204" si="138">SUM(D202:D203)</f>
        <v>441931</v>
      </c>
      <c r="E204" s="564">
        <f t="shared" si="132"/>
        <v>0.34194599195295572</v>
      </c>
      <c r="F204" s="565">
        <f t="shared" ref="F204:J204" si="139">SUM(F202:F203)</f>
        <v>21955634.390000001</v>
      </c>
      <c r="G204" s="563">
        <f t="shared" si="139"/>
        <v>1760508</v>
      </c>
      <c r="H204" s="565">
        <f t="shared" si="139"/>
        <v>13329724.01</v>
      </c>
      <c r="I204" s="565">
        <f t="shared" si="139"/>
        <v>40718803.960000001</v>
      </c>
      <c r="J204" s="758">
        <f t="shared" si="139"/>
        <v>26172694.420000002</v>
      </c>
    </row>
    <row r="205" spans="1:10" ht="42.75" customHeight="1" thickBot="1" x14ac:dyDescent="0.35">
      <c r="A205" s="630"/>
      <c r="B205" s="548" t="s">
        <v>174</v>
      </c>
      <c r="C205" s="549">
        <f>+C198+C201+C204</f>
        <v>7473564</v>
      </c>
      <c r="D205" s="575">
        <f t="shared" ref="D205" si="140">+D198+D201+D204</f>
        <v>4912024</v>
      </c>
      <c r="E205" s="576">
        <f>IFERROR(D205/C205,"-")</f>
        <v>0.65725321948136128</v>
      </c>
      <c r="F205" s="575">
        <f>+F198+F201+F204</f>
        <v>89544472.877599999</v>
      </c>
      <c r="G205" s="575">
        <f t="shared" ref="G205:H205" si="141">+G198+G201+G204</f>
        <v>4461988</v>
      </c>
      <c r="H205" s="575">
        <f t="shared" si="141"/>
        <v>25883561.684999999</v>
      </c>
      <c r="I205" s="575">
        <f>+I198+I201+I204</f>
        <v>125517462.36000001</v>
      </c>
      <c r="J205" s="631">
        <f t="shared" ref="J205" si="142">+J198+J201+J204</f>
        <v>40498483.539999999</v>
      </c>
    </row>
    <row r="206" spans="1:10" ht="24" x14ac:dyDescent="0.3">
      <c r="A206" s="1057" t="s">
        <v>1</v>
      </c>
      <c r="B206" s="1063" t="s">
        <v>396</v>
      </c>
      <c r="C206" s="1063" t="s">
        <v>226</v>
      </c>
      <c r="D206" s="1154" t="s">
        <v>571</v>
      </c>
      <c r="E206" s="1155"/>
      <c r="F206" s="1155"/>
      <c r="G206" s="1155"/>
      <c r="H206" s="1156"/>
      <c r="I206" s="1157" t="s">
        <v>417</v>
      </c>
      <c r="J206" s="1157" t="s">
        <v>418</v>
      </c>
    </row>
    <row r="207" spans="1:10" ht="39.75" customHeight="1" x14ac:dyDescent="0.3">
      <c r="A207" s="1136"/>
      <c r="B207" s="1153"/>
      <c r="C207" s="1153"/>
      <c r="D207" s="1160" t="s">
        <v>229</v>
      </c>
      <c r="E207" s="1161"/>
      <c r="F207" s="1162"/>
      <c r="G207" s="1160" t="s">
        <v>227</v>
      </c>
      <c r="H207" s="1162"/>
      <c r="I207" s="1158"/>
      <c r="J207" s="1158"/>
    </row>
    <row r="208" spans="1:10" ht="27.75" customHeight="1" x14ac:dyDescent="0.3">
      <c r="A208" s="1058"/>
      <c r="B208" s="1064"/>
      <c r="C208" s="1064"/>
      <c r="D208" s="1163" t="s">
        <v>415</v>
      </c>
      <c r="E208" s="1165" t="s">
        <v>9</v>
      </c>
      <c r="F208" s="1167" t="s">
        <v>416</v>
      </c>
      <c r="G208" s="1169" t="s">
        <v>228</v>
      </c>
      <c r="H208" s="1171" t="s">
        <v>416</v>
      </c>
      <c r="I208" s="1158"/>
      <c r="J208" s="1158"/>
    </row>
    <row r="209" spans="1:10" ht="48" customHeight="1" thickBot="1" x14ac:dyDescent="0.35">
      <c r="A209" s="1059"/>
      <c r="B209" s="1065"/>
      <c r="C209" s="1065"/>
      <c r="D209" s="1164"/>
      <c r="E209" s="1166"/>
      <c r="F209" s="1168"/>
      <c r="G209" s="1170"/>
      <c r="H209" s="1172"/>
      <c r="I209" s="1159"/>
      <c r="J209" s="1159"/>
    </row>
    <row r="210" spans="1:10" ht="66.75" customHeight="1" x14ac:dyDescent="0.3">
      <c r="A210" s="268" t="s">
        <v>103</v>
      </c>
      <c r="B210" s="572" t="s">
        <v>220</v>
      </c>
      <c r="C210" s="550">
        <v>3770000</v>
      </c>
      <c r="D210" s="551">
        <f>+'01 Prod Physique Boites'!K1540</f>
        <v>2761235</v>
      </c>
      <c r="E210" s="552">
        <f>IFERROR(D210/C210,"-")</f>
        <v>0.73242307692307695</v>
      </c>
      <c r="F210" s="553">
        <f>+'02 Prod Valorisée Boites'!G1546</f>
        <v>36281399.1404</v>
      </c>
      <c r="G210" s="551">
        <f>+'03 Prod Accessoires'!K841</f>
        <v>1854170</v>
      </c>
      <c r="H210" s="550">
        <f>+'03 Prod Accessoires'!Q841</f>
        <v>9714132.5879999995</v>
      </c>
      <c r="I210" s="550">
        <f>+'02 Prod Valorisée Boites'!J1546</f>
        <v>39957121.039999999</v>
      </c>
      <c r="J210" s="555">
        <f>+'04 Ventes'!I1292</f>
        <v>15500523.359999999</v>
      </c>
    </row>
    <row r="211" spans="1:10" ht="42" customHeight="1" x14ac:dyDescent="0.3">
      <c r="A211" s="953" t="s">
        <v>103</v>
      </c>
      <c r="B211" s="573" t="s">
        <v>221</v>
      </c>
      <c r="C211" s="556">
        <v>195500</v>
      </c>
      <c r="D211" s="557">
        <f>+'01 Prod Physique Boites'!K1556</f>
        <v>140972</v>
      </c>
      <c r="E211" s="558">
        <f t="shared" ref="E211:E219" si="143">IFERROR(D211/C211,"-")</f>
        <v>0.72108439897698207</v>
      </c>
      <c r="F211" s="559">
        <f>+'02 Prod Valorisée Boites'!G1562</f>
        <v>3126288.3299999996</v>
      </c>
      <c r="G211" s="557">
        <f>+'03 Prod Accessoires'!K849</f>
        <v>299680</v>
      </c>
      <c r="H211" s="556">
        <f>+'03 Prod Accessoires'!Q849</f>
        <v>1777694.848</v>
      </c>
      <c r="I211" s="560">
        <f>+'02 Prod Valorisée Boites'!J1562</f>
        <v>3795660</v>
      </c>
      <c r="J211" s="561">
        <f>+'04 Ventes'!I1299</f>
        <v>4681534.96</v>
      </c>
    </row>
    <row r="212" spans="1:10" ht="44.25" customHeight="1" thickBot="1" x14ac:dyDescent="0.35">
      <c r="A212" s="274" t="s">
        <v>103</v>
      </c>
      <c r="B212" s="275" t="s">
        <v>222</v>
      </c>
      <c r="C212" s="556"/>
      <c r="D212" s="557"/>
      <c r="E212" s="558" t="str">
        <f t="shared" si="143"/>
        <v>-</v>
      </c>
      <c r="F212" s="559"/>
      <c r="G212" s="557"/>
      <c r="H212" s="560"/>
      <c r="I212" s="560"/>
      <c r="J212" s="561">
        <f>+'04 Ventes'!I1304</f>
        <v>12500</v>
      </c>
    </row>
    <row r="213" spans="1:10" ht="30" thickBot="1" x14ac:dyDescent="0.35">
      <c r="A213" s="318" t="s">
        <v>103</v>
      </c>
      <c r="B213" s="433" t="s">
        <v>223</v>
      </c>
      <c r="C213" s="562">
        <f>SUM(C210:C212)</f>
        <v>3965500</v>
      </c>
      <c r="D213" s="563">
        <f t="shared" ref="D213" si="144">SUM(D210:D212)</f>
        <v>2902207</v>
      </c>
      <c r="E213" s="564">
        <f t="shared" si="143"/>
        <v>0.73186407766990291</v>
      </c>
      <c r="F213" s="565">
        <f>SUM(F210:F212)</f>
        <v>39407687.470399998</v>
      </c>
      <c r="G213" s="563">
        <f t="shared" ref="G213:H213" si="145">SUM(G210:G212)</f>
        <v>2153850</v>
      </c>
      <c r="H213" s="565">
        <f t="shared" si="145"/>
        <v>11491827.435999999</v>
      </c>
      <c r="I213" s="565">
        <f>SUM(I210:I212)</f>
        <v>43752781.039999999</v>
      </c>
      <c r="J213" s="758">
        <f t="shared" ref="J213" si="146">SUM(J210:J212)</f>
        <v>20194558.32</v>
      </c>
    </row>
    <row r="214" spans="1:10" ht="58.5" customHeight="1" x14ac:dyDescent="0.3">
      <c r="A214" s="268" t="s">
        <v>101</v>
      </c>
      <c r="B214" s="572" t="s">
        <v>220</v>
      </c>
      <c r="C214" s="550">
        <v>2215664</v>
      </c>
      <c r="D214" s="551">
        <f>+'01 Prod Physique Boites'!K1592</f>
        <v>1839003</v>
      </c>
      <c r="E214" s="552">
        <f t="shared" si="143"/>
        <v>0.83000084850410527</v>
      </c>
      <c r="F214" s="553">
        <f>+'02 Prod Valorisée Boites'!G1598</f>
        <v>32534120.080800004</v>
      </c>
      <c r="G214" s="551">
        <f>+'03 Prod Accessoires'!K859</f>
        <v>751500</v>
      </c>
      <c r="H214" s="554">
        <f>+'03 Prod Accessoires'!Q850</f>
        <v>11491827.435999999</v>
      </c>
      <c r="I214" s="550">
        <f>+'02 Prod Valorisée Boites'!J1598</f>
        <v>47461349.519999996</v>
      </c>
      <c r="J214" s="566">
        <f>+'04 Ventes'!I1336</f>
        <v>6381706.5</v>
      </c>
    </row>
    <row r="215" spans="1:10" ht="51" customHeight="1" thickBot="1" x14ac:dyDescent="0.35">
      <c r="A215" s="953" t="s">
        <v>101</v>
      </c>
      <c r="B215" s="295" t="s">
        <v>222</v>
      </c>
      <c r="C215" s="567"/>
      <c r="D215" s="557"/>
      <c r="E215" s="558" t="str">
        <f t="shared" si="143"/>
        <v>-</v>
      </c>
      <c r="F215" s="559"/>
      <c r="G215" s="557"/>
      <c r="H215" s="560"/>
      <c r="I215" s="560"/>
      <c r="J215" s="568"/>
    </row>
    <row r="216" spans="1:10" ht="30" thickBot="1" x14ac:dyDescent="0.35">
      <c r="A216" s="318" t="s">
        <v>101</v>
      </c>
      <c r="B216" s="433" t="s">
        <v>224</v>
      </c>
      <c r="C216" s="562">
        <f>SUM(C214:C215)</f>
        <v>2215664</v>
      </c>
      <c r="D216" s="563">
        <f t="shared" ref="D216" si="147">SUM(D214:D215)</f>
        <v>1839003</v>
      </c>
      <c r="E216" s="564">
        <f t="shared" si="143"/>
        <v>0.83000084850410527</v>
      </c>
      <c r="F216" s="565">
        <f t="shared" ref="F216:J216" si="148">SUM(F214:F215)</f>
        <v>32534120.080800004</v>
      </c>
      <c r="G216" s="563">
        <f t="shared" si="148"/>
        <v>751500</v>
      </c>
      <c r="H216" s="565">
        <f t="shared" si="148"/>
        <v>11491827.435999999</v>
      </c>
      <c r="I216" s="565">
        <f t="shared" si="148"/>
        <v>47461349.519999996</v>
      </c>
      <c r="J216" s="758">
        <f t="shared" si="148"/>
        <v>6381706.5</v>
      </c>
    </row>
    <row r="217" spans="1:10" ht="48.75" customHeight="1" x14ac:dyDescent="0.3">
      <c r="A217" s="268" t="s">
        <v>102</v>
      </c>
      <c r="B217" s="574" t="s">
        <v>221</v>
      </c>
      <c r="C217" s="554">
        <v>1292400</v>
      </c>
      <c r="D217" s="551">
        <f>+'01 Prod Physique Boites'!K1619</f>
        <v>450836</v>
      </c>
      <c r="E217" s="552">
        <f t="shared" si="143"/>
        <v>0.34883627359950481</v>
      </c>
      <c r="F217" s="553">
        <f>+'02 Prod Valorisée Boites'!G1624</f>
        <v>22586709.976500001</v>
      </c>
      <c r="G217" s="551">
        <f>+'03 Prod Accessoires'!K893</f>
        <v>1886402</v>
      </c>
      <c r="H217" s="554">
        <f>+'03 Prod Accessoires'!Q893</f>
        <v>14491188.3891</v>
      </c>
      <c r="I217" s="554">
        <f>+'02 Prod Valorisée Boites'!J1624</f>
        <v>41819655.159999996</v>
      </c>
      <c r="J217" s="566">
        <f>+'04 Ventes'!I1363</f>
        <v>34767376.899999999</v>
      </c>
    </row>
    <row r="218" spans="1:10" ht="39.75" customHeight="1" thickBot="1" x14ac:dyDescent="0.35">
      <c r="A218" s="953" t="s">
        <v>102</v>
      </c>
      <c r="B218" s="303" t="s">
        <v>222</v>
      </c>
      <c r="C218" s="560"/>
      <c r="D218" s="569"/>
      <c r="E218" s="570" t="str">
        <f t="shared" si="143"/>
        <v>-</v>
      </c>
      <c r="F218" s="571"/>
      <c r="G218" s="557"/>
      <c r="H218" s="560"/>
      <c r="I218" s="560"/>
      <c r="J218" s="568"/>
    </row>
    <row r="219" spans="1:10" ht="38.25" customHeight="1" thickBot="1" x14ac:dyDescent="0.35">
      <c r="A219" s="318" t="s">
        <v>102</v>
      </c>
      <c r="B219" s="433" t="s">
        <v>225</v>
      </c>
      <c r="C219" s="562">
        <f>SUM(C217:C218)</f>
        <v>1292400</v>
      </c>
      <c r="D219" s="563">
        <f t="shared" ref="D219" si="149">SUM(D217:D218)</f>
        <v>450836</v>
      </c>
      <c r="E219" s="564">
        <f t="shared" si="143"/>
        <v>0.34883627359950481</v>
      </c>
      <c r="F219" s="565">
        <f t="shared" ref="F219:J219" si="150">SUM(F217:F218)</f>
        <v>22586709.976500001</v>
      </c>
      <c r="G219" s="563">
        <f t="shared" si="150"/>
        <v>1886402</v>
      </c>
      <c r="H219" s="565">
        <f t="shared" si="150"/>
        <v>14491188.3891</v>
      </c>
      <c r="I219" s="565">
        <f t="shared" si="150"/>
        <v>41819655.159999996</v>
      </c>
      <c r="J219" s="758">
        <f t="shared" si="150"/>
        <v>34767376.899999999</v>
      </c>
    </row>
    <row r="220" spans="1:10" ht="44.25" customHeight="1" thickBot="1" x14ac:dyDescent="0.35">
      <c r="A220" s="630"/>
      <c r="B220" s="548" t="s">
        <v>174</v>
      </c>
      <c r="C220" s="549">
        <f>+C213+C216+C219</f>
        <v>7473564</v>
      </c>
      <c r="D220" s="575">
        <f t="shared" ref="D220" si="151">+D213+D216+D219</f>
        <v>5192046</v>
      </c>
      <c r="E220" s="576">
        <f>IFERROR(D220/C220,"-")</f>
        <v>0.6947215545354265</v>
      </c>
      <c r="F220" s="575">
        <f>+F213+F216+F219</f>
        <v>94528517.527700007</v>
      </c>
      <c r="G220" s="575">
        <f t="shared" ref="G220:H220" si="152">+G213+G216+G219</f>
        <v>4791752</v>
      </c>
      <c r="H220" s="575">
        <f t="shared" si="152"/>
        <v>37474843.261099994</v>
      </c>
      <c r="I220" s="575">
        <f>+I213+I216+I219</f>
        <v>133033785.72</v>
      </c>
      <c r="J220" s="631">
        <f t="shared" ref="J220" si="153">+J213+J216+J219</f>
        <v>61343641.719999999</v>
      </c>
    </row>
    <row r="221" spans="1:10" ht="37.5" customHeight="1" x14ac:dyDescent="0.3">
      <c r="A221" s="1057" t="s">
        <v>1</v>
      </c>
      <c r="B221" s="1063" t="s">
        <v>396</v>
      </c>
      <c r="C221" s="1063" t="s">
        <v>226</v>
      </c>
      <c r="D221" s="1154" t="s">
        <v>570</v>
      </c>
      <c r="E221" s="1155"/>
      <c r="F221" s="1155"/>
      <c r="G221" s="1155"/>
      <c r="H221" s="1156"/>
      <c r="I221" s="1157" t="s">
        <v>417</v>
      </c>
      <c r="J221" s="1157" t="s">
        <v>418</v>
      </c>
    </row>
    <row r="222" spans="1:10" ht="35.25" customHeight="1" x14ac:dyDescent="0.3">
      <c r="A222" s="1136"/>
      <c r="B222" s="1153"/>
      <c r="C222" s="1153"/>
      <c r="D222" s="1160" t="s">
        <v>229</v>
      </c>
      <c r="E222" s="1161"/>
      <c r="F222" s="1162"/>
      <c r="G222" s="1160" t="s">
        <v>227</v>
      </c>
      <c r="H222" s="1162"/>
      <c r="I222" s="1158"/>
      <c r="J222" s="1158"/>
    </row>
    <row r="223" spans="1:10" x14ac:dyDescent="0.3">
      <c r="A223" s="1058"/>
      <c r="B223" s="1064"/>
      <c r="C223" s="1064"/>
      <c r="D223" s="1163" t="s">
        <v>415</v>
      </c>
      <c r="E223" s="1165" t="s">
        <v>9</v>
      </c>
      <c r="F223" s="1167" t="s">
        <v>416</v>
      </c>
      <c r="G223" s="1169" t="s">
        <v>228</v>
      </c>
      <c r="H223" s="1171" t="s">
        <v>416</v>
      </c>
      <c r="I223" s="1158"/>
      <c r="J223" s="1158"/>
    </row>
    <row r="224" spans="1:10" ht="48.75" customHeight="1" thickBot="1" x14ac:dyDescent="0.35">
      <c r="A224" s="1059"/>
      <c r="B224" s="1065"/>
      <c r="C224" s="1065"/>
      <c r="D224" s="1164"/>
      <c r="E224" s="1166"/>
      <c r="F224" s="1168"/>
      <c r="G224" s="1170"/>
      <c r="H224" s="1172"/>
      <c r="I224" s="1159"/>
      <c r="J224" s="1159"/>
    </row>
    <row r="225" spans="1:10" ht="45.75" customHeight="1" x14ac:dyDescent="0.3">
      <c r="A225" s="268" t="s">
        <v>103</v>
      </c>
      <c r="B225" s="572" t="s">
        <v>220</v>
      </c>
      <c r="C225" s="550">
        <v>3770000</v>
      </c>
      <c r="D225" s="551">
        <f>'01 Prod Physique Boites'!K1657</f>
        <v>2921080</v>
      </c>
      <c r="E225" s="552">
        <f>IFERROR(D225/C225,"-")</f>
        <v>0.77482228116710872</v>
      </c>
      <c r="F225" s="553">
        <f>'02 Prod Valorisée Boites'!G1663</f>
        <v>38295047.546000004</v>
      </c>
      <c r="G225" s="551">
        <f>'03 Prod Accessoires'!K905</f>
        <v>1988020</v>
      </c>
      <c r="H225" s="550">
        <f>'03 Prod Accessoires'!Q905</f>
        <v>10105918.652999999</v>
      </c>
      <c r="I225" s="550">
        <f>'02 Prod Valorisée Boites'!J1663</f>
        <v>42838588.399999999</v>
      </c>
      <c r="J225" s="555">
        <f>'04 Ventes'!I1386</f>
        <v>15761566.559999999</v>
      </c>
    </row>
    <row r="226" spans="1:10" ht="47.25" customHeight="1" x14ac:dyDescent="0.3">
      <c r="A226" s="961" t="s">
        <v>103</v>
      </c>
      <c r="B226" s="573" t="s">
        <v>221</v>
      </c>
      <c r="C226" s="556">
        <v>195500</v>
      </c>
      <c r="D226" s="557">
        <f>'01 Prod Physique Boites'!K1673</f>
        <v>168782</v>
      </c>
      <c r="E226" s="558">
        <f t="shared" ref="E226:E234" si="154">IFERROR(D226/C226,"-")</f>
        <v>0.86333503836317138</v>
      </c>
      <c r="F226" s="559">
        <f>'02 Prod Valorisée Boites'!G1679</f>
        <v>3742739.55</v>
      </c>
      <c r="G226" s="557">
        <f>'03 Prod Accessoires'!K913</f>
        <v>368320</v>
      </c>
      <c r="H226" s="556">
        <f>'03 Prod Accessoires'!Q913</f>
        <v>2012159.872</v>
      </c>
      <c r="I226" s="560">
        <f>'02 Prod Valorisée Boites'!J1679</f>
        <v>4544100</v>
      </c>
      <c r="J226" s="561">
        <f>'04 Ventes'!I1393</f>
        <v>4681534.96</v>
      </c>
    </row>
    <row r="227" spans="1:10" ht="49.5" customHeight="1" thickBot="1" x14ac:dyDescent="0.35">
      <c r="A227" s="274" t="s">
        <v>103</v>
      </c>
      <c r="B227" s="275" t="s">
        <v>222</v>
      </c>
      <c r="C227" s="556"/>
      <c r="D227" s="557"/>
      <c r="E227" s="558" t="str">
        <f t="shared" si="154"/>
        <v>-</v>
      </c>
      <c r="F227" s="559"/>
      <c r="G227" s="557"/>
      <c r="H227" s="560"/>
      <c r="I227" s="560"/>
      <c r="J227" s="561">
        <f>'04 Ventes'!I1398</f>
        <v>12500</v>
      </c>
    </row>
    <row r="228" spans="1:10" ht="30" thickBot="1" x14ac:dyDescent="0.35">
      <c r="A228" s="318" t="s">
        <v>103</v>
      </c>
      <c r="B228" s="433" t="s">
        <v>223</v>
      </c>
      <c r="C228" s="562">
        <f>SUM(C225:C227)</f>
        <v>3965500</v>
      </c>
      <c r="D228" s="563">
        <f t="shared" ref="D228" si="155">SUM(D225:D227)</f>
        <v>3089862</v>
      </c>
      <c r="E228" s="564">
        <f t="shared" si="154"/>
        <v>0.77918597906947418</v>
      </c>
      <c r="F228" s="565">
        <f>SUM(F225:F227)</f>
        <v>42037787.096000001</v>
      </c>
      <c r="G228" s="563">
        <f t="shared" ref="G228:H228" si="156">SUM(G225:G227)</f>
        <v>2356340</v>
      </c>
      <c r="H228" s="565">
        <f t="shared" si="156"/>
        <v>12118078.524999999</v>
      </c>
      <c r="I228" s="565">
        <f>SUM(I225:I227)</f>
        <v>47382688.399999999</v>
      </c>
      <c r="J228" s="758">
        <f t="shared" ref="J228" si="157">SUM(J225:J227)</f>
        <v>20455601.52</v>
      </c>
    </row>
    <row r="229" spans="1:10" ht="51.75" customHeight="1" x14ac:dyDescent="0.3">
      <c r="A229" s="268" t="s">
        <v>101</v>
      </c>
      <c r="B229" s="572" t="s">
        <v>220</v>
      </c>
      <c r="C229" s="550">
        <v>2215664</v>
      </c>
      <c r="D229" s="551">
        <f>'01 Prod Physique Boites'!K1708</f>
        <v>1917867</v>
      </c>
      <c r="E229" s="552">
        <f t="shared" si="154"/>
        <v>0.86559469305815318</v>
      </c>
      <c r="F229" s="553">
        <f>'02 Prod Valorisée Boites'!G1715</f>
        <v>34646710.926000006</v>
      </c>
      <c r="G229" s="551">
        <f>'03 Prod Accessoires'!K922</f>
        <v>851500</v>
      </c>
      <c r="H229" s="554">
        <f>'03 Prod Accessoires'!Q922</f>
        <v>1917110.6500000001</v>
      </c>
      <c r="I229" s="550">
        <f>'02 Prod Valorisée Boites'!J1715</f>
        <v>50666248.439999998</v>
      </c>
      <c r="J229" s="566">
        <f>'04 Ventes'!I1430</f>
        <v>6381706.5</v>
      </c>
    </row>
    <row r="230" spans="1:10" ht="31.2" thickBot="1" x14ac:dyDescent="0.35">
      <c r="A230" s="961" t="s">
        <v>101</v>
      </c>
      <c r="B230" s="295" t="s">
        <v>222</v>
      </c>
      <c r="C230" s="567"/>
      <c r="D230" s="557"/>
      <c r="E230" s="558" t="str">
        <f t="shared" si="154"/>
        <v>-</v>
      </c>
      <c r="F230" s="559"/>
      <c r="G230" s="557"/>
      <c r="H230" s="560"/>
      <c r="I230" s="560"/>
      <c r="J230" s="568"/>
    </row>
    <row r="231" spans="1:10" ht="30" thickBot="1" x14ac:dyDescent="0.35">
      <c r="A231" s="318" t="s">
        <v>101</v>
      </c>
      <c r="B231" s="433" t="s">
        <v>224</v>
      </c>
      <c r="C231" s="562">
        <f>SUM(C229:C230)</f>
        <v>2215664</v>
      </c>
      <c r="D231" s="563">
        <f t="shared" ref="D231" si="158">SUM(D229:D230)</f>
        <v>1917867</v>
      </c>
      <c r="E231" s="564">
        <f t="shared" si="154"/>
        <v>0.86559469305815318</v>
      </c>
      <c r="F231" s="565">
        <f t="shared" ref="F231:J231" si="159">SUM(F229:F230)</f>
        <v>34646710.926000006</v>
      </c>
      <c r="G231" s="563">
        <f t="shared" si="159"/>
        <v>851500</v>
      </c>
      <c r="H231" s="565">
        <f t="shared" si="159"/>
        <v>1917110.6500000001</v>
      </c>
      <c r="I231" s="565">
        <f t="shared" si="159"/>
        <v>50666248.439999998</v>
      </c>
      <c r="J231" s="758">
        <f t="shared" si="159"/>
        <v>6381706.5</v>
      </c>
    </row>
    <row r="232" spans="1:10" ht="55.5" customHeight="1" x14ac:dyDescent="0.3">
      <c r="A232" s="268" t="s">
        <v>102</v>
      </c>
      <c r="B232" s="574" t="s">
        <v>221</v>
      </c>
      <c r="C232" s="554">
        <v>1292400</v>
      </c>
      <c r="D232" s="551">
        <f>'01 Prod Physique Boites'!K1735</f>
        <v>459558</v>
      </c>
      <c r="E232" s="552">
        <f t="shared" si="154"/>
        <v>0.35558495821727021</v>
      </c>
      <c r="F232" s="553">
        <f>'02 Prod Valorisée Boites'!G1741</f>
        <v>24223094.776499998</v>
      </c>
      <c r="G232" s="551">
        <f>'03 Prod Accessoires'!K959</f>
        <v>2016635</v>
      </c>
      <c r="H232" s="550">
        <f>'03 Prod Accessoires'!Q959</f>
        <v>15511286.536499999</v>
      </c>
      <c r="I232" s="554">
        <f>'02 Prod Valorisée Boites'!J1741</f>
        <v>44638983.159999996</v>
      </c>
      <c r="J232" s="566">
        <f>'04 Ventes'!I1457</f>
        <v>38341702.559999995</v>
      </c>
    </row>
    <row r="233" spans="1:10" ht="46.5" customHeight="1" thickBot="1" x14ac:dyDescent="0.35">
      <c r="A233" s="961" t="s">
        <v>102</v>
      </c>
      <c r="B233" s="303" t="s">
        <v>222</v>
      </c>
      <c r="C233" s="560"/>
      <c r="D233" s="569"/>
      <c r="E233" s="570" t="str">
        <f t="shared" si="154"/>
        <v>-</v>
      </c>
      <c r="F233" s="571"/>
      <c r="G233" s="557"/>
      <c r="H233" s="560"/>
      <c r="I233" s="560"/>
      <c r="J233" s="568"/>
    </row>
    <row r="234" spans="1:10" ht="30" thickBot="1" x14ac:dyDescent="0.35">
      <c r="A234" s="318" t="s">
        <v>102</v>
      </c>
      <c r="B234" s="433" t="s">
        <v>225</v>
      </c>
      <c r="C234" s="562">
        <f>SUM(C232:C233)</f>
        <v>1292400</v>
      </c>
      <c r="D234" s="563">
        <f t="shared" ref="D234" si="160">SUM(D232:D233)</f>
        <v>459558</v>
      </c>
      <c r="E234" s="564">
        <f t="shared" si="154"/>
        <v>0.35558495821727021</v>
      </c>
      <c r="F234" s="565">
        <f t="shared" ref="F234:J234" si="161">SUM(F232:F233)</f>
        <v>24223094.776499998</v>
      </c>
      <c r="G234" s="563">
        <f t="shared" si="161"/>
        <v>2016635</v>
      </c>
      <c r="H234" s="565">
        <f t="shared" si="161"/>
        <v>15511286.536499999</v>
      </c>
      <c r="I234" s="565">
        <f t="shared" si="161"/>
        <v>44638983.159999996</v>
      </c>
      <c r="J234" s="758">
        <f t="shared" si="161"/>
        <v>38341702.559999995</v>
      </c>
    </row>
    <row r="235" spans="1:10" ht="31.8" thickBot="1" x14ac:dyDescent="0.35">
      <c r="A235" s="630"/>
      <c r="B235" s="548" t="s">
        <v>174</v>
      </c>
      <c r="C235" s="549">
        <f>+C228+C231+C234</f>
        <v>7473564</v>
      </c>
      <c r="D235" s="575">
        <f t="shared" ref="D235" si="162">+D228+D231+D234</f>
        <v>5467287</v>
      </c>
      <c r="E235" s="576">
        <f>IFERROR(D235/C235,"-")</f>
        <v>0.73155016803228023</v>
      </c>
      <c r="F235" s="575">
        <f>+F228+F231+F234</f>
        <v>100907592.79850002</v>
      </c>
      <c r="G235" s="575">
        <f t="shared" ref="G235:H235" si="163">+G228+G231+G234</f>
        <v>5224475</v>
      </c>
      <c r="H235" s="575">
        <f t="shared" si="163"/>
        <v>29546475.711499996</v>
      </c>
      <c r="I235" s="575">
        <f>+I228+I231+I234</f>
        <v>142687920</v>
      </c>
      <c r="J235" s="631">
        <f t="shared" ref="J235" si="164">+J228+J231+J234</f>
        <v>65179010.579999998</v>
      </c>
    </row>
    <row r="236" spans="1:10" ht="24" x14ac:dyDescent="0.3">
      <c r="A236" s="1057" t="s">
        <v>1</v>
      </c>
      <c r="B236" s="1063" t="s">
        <v>396</v>
      </c>
      <c r="C236" s="1063" t="s">
        <v>226</v>
      </c>
      <c r="D236" s="1154" t="s">
        <v>574</v>
      </c>
      <c r="E236" s="1155"/>
      <c r="F236" s="1155"/>
      <c r="G236" s="1155"/>
      <c r="H236" s="1156"/>
      <c r="I236" s="1157" t="s">
        <v>417</v>
      </c>
      <c r="J236" s="1157" t="s">
        <v>418</v>
      </c>
    </row>
    <row r="237" spans="1:10" ht="42" customHeight="1" x14ac:dyDescent="0.3">
      <c r="A237" s="1136"/>
      <c r="B237" s="1153"/>
      <c r="C237" s="1153"/>
      <c r="D237" s="1160" t="s">
        <v>229</v>
      </c>
      <c r="E237" s="1161"/>
      <c r="F237" s="1162"/>
      <c r="G237" s="1160" t="s">
        <v>227</v>
      </c>
      <c r="H237" s="1162"/>
      <c r="I237" s="1158"/>
      <c r="J237" s="1158"/>
    </row>
    <row r="238" spans="1:10" ht="31.5" customHeight="1" x14ac:dyDescent="0.3">
      <c r="A238" s="1058"/>
      <c r="B238" s="1064"/>
      <c r="C238" s="1064"/>
      <c r="D238" s="1163" t="s">
        <v>415</v>
      </c>
      <c r="E238" s="1165" t="s">
        <v>9</v>
      </c>
      <c r="F238" s="1167" t="s">
        <v>416</v>
      </c>
      <c r="G238" s="1169" t="s">
        <v>228</v>
      </c>
      <c r="H238" s="1171" t="s">
        <v>416</v>
      </c>
      <c r="I238" s="1158"/>
      <c r="J238" s="1158"/>
    </row>
    <row r="239" spans="1:10" ht="14.4" thickBot="1" x14ac:dyDescent="0.35">
      <c r="A239" s="1059"/>
      <c r="B239" s="1065"/>
      <c r="C239" s="1065"/>
      <c r="D239" s="1164"/>
      <c r="E239" s="1166"/>
      <c r="F239" s="1168"/>
      <c r="G239" s="1170"/>
      <c r="H239" s="1172"/>
      <c r="I239" s="1159"/>
      <c r="J239" s="1159"/>
    </row>
    <row r="240" spans="1:10" ht="54" customHeight="1" x14ac:dyDescent="0.3">
      <c r="A240" s="268" t="s">
        <v>103</v>
      </c>
      <c r="B240" s="572" t="s">
        <v>220</v>
      </c>
      <c r="C240" s="550">
        <v>3770000</v>
      </c>
      <c r="D240" s="551">
        <f>'01 Prod Physique Boites'!K1774</f>
        <v>3024131</v>
      </c>
      <c r="E240" s="552">
        <f>IFERROR(D240/C240,"-")</f>
        <v>0.80215676392572943</v>
      </c>
      <c r="F240" s="553">
        <f>'02 Prod Valorisée Boites'!G1780</f>
        <v>39746161.613199994</v>
      </c>
      <c r="G240" s="551">
        <f>'03 Prod Accessoires'!K971</f>
        <v>2045520</v>
      </c>
      <c r="H240" s="550">
        <f>'03 Prod Accessoires'!Q971</f>
        <v>10317386.402999999</v>
      </c>
      <c r="I240" s="550">
        <f>'02 Prod Valorisée Boites'!J1780</f>
        <v>44591943.920000002</v>
      </c>
      <c r="J240" s="555">
        <f>'04 Ventes'!I1480</f>
        <v>15761566.559999999</v>
      </c>
    </row>
    <row r="241" spans="1:10" ht="66" customHeight="1" x14ac:dyDescent="0.3">
      <c r="A241" s="969" t="s">
        <v>103</v>
      </c>
      <c r="B241" s="573" t="s">
        <v>221</v>
      </c>
      <c r="C241" s="556">
        <v>195500</v>
      </c>
      <c r="D241" s="557">
        <f>'01 Prod Physique Boites'!K1790</f>
        <v>192621</v>
      </c>
      <c r="E241" s="558">
        <f t="shared" ref="E241:E249" si="165">IFERROR(D241/C241,"-")</f>
        <v>0.98527365728900251</v>
      </c>
      <c r="F241" s="559">
        <f>'02 Prod Valorisée Boites'!G1796</f>
        <v>4284957.0060000001</v>
      </c>
      <c r="G241" s="557">
        <f>'03 Prod Accessoires'!K979</f>
        <v>381640</v>
      </c>
      <c r="H241" s="556">
        <f>'03 Prod Accessoires'!Q979</f>
        <v>2199185.8840000001</v>
      </c>
      <c r="I241" s="560">
        <f>'02 Prod Valorisée Boites'!J1796</f>
        <v>5197500</v>
      </c>
      <c r="J241" s="561">
        <f>'04 Ventes'!I1487</f>
        <v>4681534.96</v>
      </c>
    </row>
    <row r="242" spans="1:10" ht="31.2" thickBot="1" x14ac:dyDescent="0.35">
      <c r="A242" s="274" t="s">
        <v>103</v>
      </c>
      <c r="B242" s="275" t="s">
        <v>222</v>
      </c>
      <c r="C242" s="556"/>
      <c r="D242" s="557"/>
      <c r="E242" s="558" t="str">
        <f t="shared" si="165"/>
        <v>-</v>
      </c>
      <c r="F242" s="559"/>
      <c r="G242" s="557"/>
      <c r="H242" s="560"/>
      <c r="I242" s="560"/>
      <c r="J242" s="561">
        <f>'04 Ventes'!I1492</f>
        <v>12500</v>
      </c>
    </row>
    <row r="243" spans="1:10" ht="46.5" customHeight="1" thickBot="1" x14ac:dyDescent="0.35">
      <c r="A243" s="318" t="s">
        <v>103</v>
      </c>
      <c r="B243" s="433" t="s">
        <v>223</v>
      </c>
      <c r="C243" s="562">
        <f>SUM(C240:C242)</f>
        <v>3965500</v>
      </c>
      <c r="D243" s="563">
        <f t="shared" ref="D243" si="166">SUM(D240:D242)</f>
        <v>3216752</v>
      </c>
      <c r="E243" s="564">
        <f t="shared" si="165"/>
        <v>0.81118446601941752</v>
      </c>
      <c r="F243" s="565">
        <f>SUM(F240:F242)</f>
        <v>44031118.619199991</v>
      </c>
      <c r="G243" s="563">
        <f t="shared" ref="G243:H243" si="167">SUM(G240:G242)</f>
        <v>2427160</v>
      </c>
      <c r="H243" s="565">
        <f t="shared" si="167"/>
        <v>12516572.286999999</v>
      </c>
      <c r="I243" s="565">
        <f>SUM(I240:I242)</f>
        <v>49789443.920000002</v>
      </c>
      <c r="J243" s="758">
        <f t="shared" ref="J243" si="168">SUM(J240:J242)</f>
        <v>20455601.52</v>
      </c>
    </row>
    <row r="244" spans="1:10" ht="47.25" customHeight="1" x14ac:dyDescent="0.3">
      <c r="A244" s="268" t="s">
        <v>101</v>
      </c>
      <c r="B244" s="572" t="s">
        <v>220</v>
      </c>
      <c r="C244" s="550">
        <v>2215664</v>
      </c>
      <c r="D244" s="551">
        <f>'01 Prod Physique Boites'!K1826</f>
        <v>1995210</v>
      </c>
      <c r="E244" s="552">
        <f t="shared" si="165"/>
        <v>0.90050206168444313</v>
      </c>
      <c r="F244" s="553">
        <f>'02 Prod Valorisée Boites'!G1832</f>
        <v>36547265.478</v>
      </c>
      <c r="G244" s="551">
        <f>'03 Prod Accessoires'!K988</f>
        <v>951500</v>
      </c>
      <c r="H244" s="554">
        <f>'03 Prod Accessoires'!Q988</f>
        <v>2138520.6500000004</v>
      </c>
      <c r="I244" s="550">
        <f>'02 Prod Valorisée Boites'!J1832</f>
        <v>53547689.340000004</v>
      </c>
      <c r="J244" s="566">
        <f>'04 Ventes'!I1524</f>
        <v>6594496.7400000002</v>
      </c>
    </row>
    <row r="245" spans="1:10" ht="49.5" customHeight="1" thickBot="1" x14ac:dyDescent="0.35">
      <c r="A245" s="969" t="s">
        <v>101</v>
      </c>
      <c r="B245" s="295" t="s">
        <v>222</v>
      </c>
      <c r="C245" s="567"/>
      <c r="D245" s="557"/>
      <c r="E245" s="558" t="str">
        <f t="shared" si="165"/>
        <v>-</v>
      </c>
      <c r="F245" s="559"/>
      <c r="G245" s="557"/>
      <c r="H245" s="560"/>
      <c r="I245" s="560"/>
      <c r="J245" s="568"/>
    </row>
    <row r="246" spans="1:10" ht="30" thickBot="1" x14ac:dyDescent="0.35">
      <c r="A246" s="318" t="s">
        <v>101</v>
      </c>
      <c r="B246" s="433" t="s">
        <v>224</v>
      </c>
      <c r="C246" s="562">
        <f>SUM(C244:C245)</f>
        <v>2215664</v>
      </c>
      <c r="D246" s="563">
        <f t="shared" ref="D246" si="169">SUM(D244:D245)</f>
        <v>1995210</v>
      </c>
      <c r="E246" s="564">
        <f t="shared" si="165"/>
        <v>0.90050206168444313</v>
      </c>
      <c r="F246" s="565">
        <f t="shared" ref="F246:J246" si="170">SUM(F244:F245)</f>
        <v>36547265.478</v>
      </c>
      <c r="G246" s="563">
        <f t="shared" si="170"/>
        <v>951500</v>
      </c>
      <c r="H246" s="565">
        <f t="shared" si="170"/>
        <v>2138520.6500000004</v>
      </c>
      <c r="I246" s="565">
        <f t="shared" si="170"/>
        <v>53547689.340000004</v>
      </c>
      <c r="J246" s="758">
        <f t="shared" si="170"/>
        <v>6594496.7400000002</v>
      </c>
    </row>
    <row r="247" spans="1:10" ht="49.5" customHeight="1" x14ac:dyDescent="0.3">
      <c r="A247" s="268" t="s">
        <v>102</v>
      </c>
      <c r="B247" s="574" t="s">
        <v>221</v>
      </c>
      <c r="C247" s="554">
        <v>1292400</v>
      </c>
      <c r="D247" s="551">
        <f>'01 Prod Physique Boites'!K1853</f>
        <v>488922</v>
      </c>
      <c r="E247" s="552">
        <f t="shared" si="165"/>
        <v>0.37830547818012999</v>
      </c>
      <c r="F247" s="553">
        <f>'02 Prod Valorisée Boites'!G1858</f>
        <v>26503576.360499997</v>
      </c>
      <c r="G247" s="551">
        <f>'03 Prod Accessoires'!K1025</f>
        <v>2140744</v>
      </c>
      <c r="H247" s="554">
        <f>'03 Prod Accessoires'!Q1025</f>
        <v>16481979.488700001</v>
      </c>
      <c r="I247" s="554">
        <f>'02 Prod Valorisée Boites'!J1858</f>
        <v>48584890.359999999</v>
      </c>
      <c r="J247" s="566">
        <f>'04 Ventes'!I1551</f>
        <v>45420397.299999997</v>
      </c>
    </row>
    <row r="248" spans="1:10" ht="48" customHeight="1" thickBot="1" x14ac:dyDescent="0.35">
      <c r="A248" s="969" t="s">
        <v>102</v>
      </c>
      <c r="B248" s="303" t="s">
        <v>222</v>
      </c>
      <c r="C248" s="560"/>
      <c r="D248" s="569"/>
      <c r="E248" s="570" t="str">
        <f t="shared" si="165"/>
        <v>-</v>
      </c>
      <c r="F248" s="571"/>
      <c r="G248" s="557"/>
      <c r="H248" s="560"/>
      <c r="I248" s="560"/>
      <c r="J248" s="568"/>
    </row>
    <row r="249" spans="1:10" ht="30" thickBot="1" x14ac:dyDescent="0.35">
      <c r="A249" s="318" t="s">
        <v>102</v>
      </c>
      <c r="B249" s="433" t="s">
        <v>225</v>
      </c>
      <c r="C249" s="562">
        <f>SUM(C247:C248)</f>
        <v>1292400</v>
      </c>
      <c r="D249" s="563">
        <f t="shared" ref="D249" si="171">SUM(D247:D248)</f>
        <v>488922</v>
      </c>
      <c r="E249" s="564">
        <f t="shared" si="165"/>
        <v>0.37830547818012999</v>
      </c>
      <c r="F249" s="565">
        <f t="shared" ref="F249:J249" si="172">SUM(F247:F248)</f>
        <v>26503576.360499997</v>
      </c>
      <c r="G249" s="563">
        <f t="shared" si="172"/>
        <v>2140744</v>
      </c>
      <c r="H249" s="565">
        <f t="shared" si="172"/>
        <v>16481979.488700001</v>
      </c>
      <c r="I249" s="565">
        <f t="shared" si="172"/>
        <v>48584890.359999999</v>
      </c>
      <c r="J249" s="758">
        <f t="shared" si="172"/>
        <v>45420397.299999997</v>
      </c>
    </row>
    <row r="250" spans="1:10" ht="31.8" thickBot="1" x14ac:dyDescent="0.35">
      <c r="A250" s="630"/>
      <c r="B250" s="548" t="s">
        <v>174</v>
      </c>
      <c r="C250" s="549">
        <f>+C243+C246+C249</f>
        <v>7473564</v>
      </c>
      <c r="D250" s="575">
        <f t="shared" ref="D250" si="173">+D243+D246+D249</f>
        <v>5700884</v>
      </c>
      <c r="E250" s="576">
        <f>IFERROR(D250/C250,"-")</f>
        <v>0.76280660739641759</v>
      </c>
      <c r="F250" s="575">
        <f>+F243+F246+F249</f>
        <v>107081960.45769998</v>
      </c>
      <c r="G250" s="575">
        <f t="shared" ref="G250:H250" si="174">+G243+G246+G249</f>
        <v>5519404</v>
      </c>
      <c r="H250" s="575">
        <f t="shared" si="174"/>
        <v>31137072.425700001</v>
      </c>
      <c r="I250" s="575">
        <f>+I243+I246+I249</f>
        <v>151922023.62</v>
      </c>
      <c r="J250" s="631">
        <f t="shared" ref="J250" si="175">+J243+J246+J249</f>
        <v>72470495.560000002</v>
      </c>
    </row>
    <row r="251" spans="1:10" ht="49.5" customHeight="1" x14ac:dyDescent="0.3">
      <c r="A251" s="1057" t="s">
        <v>1</v>
      </c>
      <c r="B251" s="1063" t="s">
        <v>396</v>
      </c>
      <c r="C251" s="1063" t="s">
        <v>226</v>
      </c>
      <c r="D251" s="1154" t="s">
        <v>578</v>
      </c>
      <c r="E251" s="1155"/>
      <c r="F251" s="1155"/>
      <c r="G251" s="1155"/>
      <c r="H251" s="1156"/>
      <c r="I251" s="1157" t="s">
        <v>417</v>
      </c>
      <c r="J251" s="1157" t="s">
        <v>418</v>
      </c>
    </row>
    <row r="252" spans="1:10" ht="51" customHeight="1" x14ac:dyDescent="0.3">
      <c r="A252" s="1136"/>
      <c r="B252" s="1153"/>
      <c r="C252" s="1153"/>
      <c r="D252" s="1160" t="s">
        <v>229</v>
      </c>
      <c r="E252" s="1161"/>
      <c r="F252" s="1162"/>
      <c r="G252" s="1160" t="s">
        <v>227</v>
      </c>
      <c r="H252" s="1162"/>
      <c r="I252" s="1158"/>
      <c r="J252" s="1158"/>
    </row>
    <row r="253" spans="1:10" x14ac:dyDescent="0.3">
      <c r="A253" s="1058"/>
      <c r="B253" s="1064"/>
      <c r="C253" s="1064"/>
      <c r="D253" s="1163" t="s">
        <v>415</v>
      </c>
      <c r="E253" s="1165" t="s">
        <v>9</v>
      </c>
      <c r="F253" s="1167" t="s">
        <v>416</v>
      </c>
      <c r="G253" s="1169" t="s">
        <v>228</v>
      </c>
      <c r="H253" s="1171" t="s">
        <v>416</v>
      </c>
      <c r="I253" s="1158"/>
      <c r="J253" s="1158"/>
    </row>
    <row r="254" spans="1:10" ht="44.25" customHeight="1" thickBot="1" x14ac:dyDescent="0.35">
      <c r="A254" s="1059"/>
      <c r="B254" s="1065"/>
      <c r="C254" s="1065"/>
      <c r="D254" s="1164"/>
      <c r="E254" s="1166"/>
      <c r="F254" s="1168"/>
      <c r="G254" s="1170"/>
      <c r="H254" s="1172"/>
      <c r="I254" s="1159"/>
      <c r="J254" s="1159"/>
    </row>
    <row r="255" spans="1:10" ht="49.5" customHeight="1" x14ac:dyDescent="0.3">
      <c r="A255" s="268" t="s">
        <v>103</v>
      </c>
      <c r="B255" s="572" t="s">
        <v>220</v>
      </c>
      <c r="C255" s="550">
        <v>3770000</v>
      </c>
      <c r="D255" s="551">
        <f>'01 Prod Physique Boites'!K1891</f>
        <v>3166521</v>
      </c>
      <c r="E255" s="552">
        <f>IFERROR(D255/C255,"-")</f>
        <v>0.83992599469496021</v>
      </c>
      <c r="F255" s="553">
        <f>'02 Prod Valorisée Boites'!G1897</f>
        <v>41677623.993200004</v>
      </c>
      <c r="G255" s="551">
        <f>'03 Prod Accessoires'!K1037</f>
        <v>2122620</v>
      </c>
      <c r="H255" s="550">
        <f>'03 Prod Accessoires'!Q1037</f>
        <v>10612026.393000001</v>
      </c>
      <c r="I255" s="550">
        <f>'02 Prod Valorisée Boites'!J1897</f>
        <v>46970543.120000005</v>
      </c>
      <c r="J255" s="555">
        <f>'04 Ventes'!I1574</f>
        <v>15761566.559999999</v>
      </c>
    </row>
    <row r="256" spans="1:10" ht="45" customHeight="1" x14ac:dyDescent="0.3">
      <c r="A256" s="977" t="s">
        <v>103</v>
      </c>
      <c r="B256" s="573" t="s">
        <v>221</v>
      </c>
      <c r="C256" s="556">
        <v>195500</v>
      </c>
      <c r="D256" s="557">
        <f>'01 Prod Physique Boites'!K1907</f>
        <v>216452</v>
      </c>
      <c r="E256" s="558">
        <f t="shared" ref="E256:E264" si="176">IFERROR(D256/C256,"-")</f>
        <v>1.1071713554987213</v>
      </c>
      <c r="F256" s="559">
        <f>'02 Prod Valorisée Boites'!G1913</f>
        <v>4827174.4619999994</v>
      </c>
      <c r="G256" s="557">
        <f>'03 Prod Accessoires'!K1045</f>
        <v>390280</v>
      </c>
      <c r="H256" s="556">
        <f>'03 Prod Accessoires'!Q1045</f>
        <v>2356706.9079999998</v>
      </c>
      <c r="I256" s="560">
        <f>'02 Prod Valorisée Boites'!J1913</f>
        <v>5850900</v>
      </c>
      <c r="J256" s="561">
        <f>'04 Ventes'!I1581</f>
        <v>4681534.96</v>
      </c>
    </row>
    <row r="257" spans="1:10" ht="44.25" customHeight="1" thickBot="1" x14ac:dyDescent="0.35">
      <c r="A257" s="274" t="s">
        <v>103</v>
      </c>
      <c r="B257" s="275" t="s">
        <v>222</v>
      </c>
      <c r="C257" s="556"/>
      <c r="D257" s="557"/>
      <c r="E257" s="558" t="str">
        <f t="shared" si="176"/>
        <v>-</v>
      </c>
      <c r="F257" s="559"/>
      <c r="G257" s="557"/>
      <c r="H257" s="560"/>
      <c r="I257" s="560"/>
      <c r="J257" s="561">
        <f>'04 Ventes'!I1586</f>
        <v>12500</v>
      </c>
    </row>
    <row r="258" spans="1:10" ht="30" thickBot="1" x14ac:dyDescent="0.35">
      <c r="A258" s="318" t="s">
        <v>103</v>
      </c>
      <c r="B258" s="433" t="s">
        <v>223</v>
      </c>
      <c r="C258" s="562">
        <f>SUM(C255:C257)</f>
        <v>3965500</v>
      </c>
      <c r="D258" s="563">
        <f t="shared" ref="D258" si="177">SUM(D255:D257)</f>
        <v>3382973</v>
      </c>
      <c r="E258" s="564">
        <f t="shared" si="176"/>
        <v>0.85310124826629685</v>
      </c>
      <c r="F258" s="565">
        <f>SUM(F255:F257)</f>
        <v>46504798.455200002</v>
      </c>
      <c r="G258" s="563">
        <f t="shared" ref="G258:H258" si="178">SUM(G255:G257)</f>
        <v>2512900</v>
      </c>
      <c r="H258" s="565">
        <f t="shared" si="178"/>
        <v>12968733.301000001</v>
      </c>
      <c r="I258" s="565">
        <f>SUM(I255:I257)</f>
        <v>52821443.120000005</v>
      </c>
      <c r="J258" s="758">
        <f t="shared" ref="J258" si="179">SUM(J255:J257)</f>
        <v>20455601.52</v>
      </c>
    </row>
    <row r="259" spans="1:10" ht="45" customHeight="1" x14ac:dyDescent="0.3">
      <c r="A259" s="268" t="s">
        <v>101</v>
      </c>
      <c r="B259" s="572" t="s">
        <v>220</v>
      </c>
      <c r="C259" s="550">
        <v>2215664</v>
      </c>
      <c r="D259" s="551">
        <f>'01 Prod Physique Boites'!K1943</f>
        <v>2094154</v>
      </c>
      <c r="E259" s="552">
        <f t="shared" si="176"/>
        <v>0.9451586522144152</v>
      </c>
      <c r="F259" s="553">
        <f>'02 Prod Valorisée Boites'!G1949</f>
        <v>38455163.4648</v>
      </c>
      <c r="G259" s="551">
        <f>'03 Prod Accessoires'!K1054</f>
        <v>951500</v>
      </c>
      <c r="H259" s="554">
        <f>'03 Prod Accessoires'!Q1055</f>
        <v>2138520.6500000004</v>
      </c>
      <c r="I259" s="550">
        <f>'02 Prod Valorisée Boites'!J1949</f>
        <v>56363081.400000006</v>
      </c>
      <c r="J259" s="566">
        <f>'04 Ventes'!I1618</f>
        <v>6594496.7400000002</v>
      </c>
    </row>
    <row r="260" spans="1:10" ht="45.75" customHeight="1" thickBot="1" x14ac:dyDescent="0.35">
      <c r="A260" s="977" t="s">
        <v>101</v>
      </c>
      <c r="B260" s="295" t="s">
        <v>222</v>
      </c>
      <c r="C260" s="567"/>
      <c r="D260" s="557"/>
      <c r="E260" s="558" t="str">
        <f t="shared" si="176"/>
        <v>-</v>
      </c>
      <c r="F260" s="559"/>
      <c r="G260" s="557"/>
      <c r="H260" s="560"/>
      <c r="I260" s="560"/>
      <c r="J260" s="568"/>
    </row>
    <row r="261" spans="1:10" ht="30" thickBot="1" x14ac:dyDescent="0.35">
      <c r="A261" s="318" t="s">
        <v>101</v>
      </c>
      <c r="B261" s="433" t="s">
        <v>224</v>
      </c>
      <c r="C261" s="562">
        <f>SUM(C259:C260)</f>
        <v>2215664</v>
      </c>
      <c r="D261" s="563">
        <f t="shared" ref="D261" si="180">SUM(D259:D260)</f>
        <v>2094154</v>
      </c>
      <c r="E261" s="564">
        <f t="shared" si="176"/>
        <v>0.9451586522144152</v>
      </c>
      <c r="F261" s="565">
        <f t="shared" ref="F261:J261" si="181">SUM(F259:F260)</f>
        <v>38455163.4648</v>
      </c>
      <c r="G261" s="563">
        <f t="shared" si="181"/>
        <v>951500</v>
      </c>
      <c r="H261" s="565">
        <f t="shared" si="181"/>
        <v>2138520.6500000004</v>
      </c>
      <c r="I261" s="565">
        <f t="shared" si="181"/>
        <v>56363081.400000006</v>
      </c>
      <c r="J261" s="758">
        <f t="shared" si="181"/>
        <v>6594496.7400000002</v>
      </c>
    </row>
    <row r="262" spans="1:10" ht="46.5" customHeight="1" x14ac:dyDescent="0.3">
      <c r="A262" s="268" t="s">
        <v>102</v>
      </c>
      <c r="B262" s="574" t="s">
        <v>221</v>
      </c>
      <c r="C262" s="554">
        <v>1292400</v>
      </c>
      <c r="D262" s="551">
        <f>'01 Prod Physique Boites'!K1970</f>
        <v>524000</v>
      </c>
      <c r="E262" s="552">
        <f t="shared" si="176"/>
        <v>0.40544722995976479</v>
      </c>
      <c r="F262" s="553">
        <f>'02 Prod Valorisée Boites'!G1974</f>
        <v>29401177.059299998</v>
      </c>
      <c r="G262" s="551">
        <f>'03 Prod Accessoires'!K1091</f>
        <v>2251304</v>
      </c>
      <c r="H262" s="554">
        <f>'03 Prod Accessoires'!Q1091</f>
        <v>17152189.365700003</v>
      </c>
      <c r="I262" s="554">
        <f>'02 Prod Valorisée Boites'!J1975</f>
        <v>53813752.120000005</v>
      </c>
      <c r="J262" s="999">
        <f>'04 Ventes'!I1645</f>
        <v>49175243.700000003</v>
      </c>
    </row>
    <row r="263" spans="1:10" ht="36.75" customHeight="1" thickBot="1" x14ac:dyDescent="0.35">
      <c r="A263" s="977" t="s">
        <v>102</v>
      </c>
      <c r="B263" s="303" t="s">
        <v>222</v>
      </c>
      <c r="C263" s="560"/>
      <c r="D263" s="569"/>
      <c r="E263" s="570" t="str">
        <f t="shared" si="176"/>
        <v>-</v>
      </c>
      <c r="F263" s="571"/>
      <c r="G263" s="557"/>
      <c r="H263" s="560"/>
      <c r="I263" s="560"/>
      <c r="J263" s="568"/>
    </row>
    <row r="264" spans="1:10" ht="30" thickBot="1" x14ac:dyDescent="0.35">
      <c r="A264" s="318" t="s">
        <v>102</v>
      </c>
      <c r="B264" s="433" t="s">
        <v>225</v>
      </c>
      <c r="C264" s="562">
        <f>SUM(C262:C263)</f>
        <v>1292400</v>
      </c>
      <c r="D264" s="563">
        <f t="shared" ref="D264" si="182">SUM(D262:D263)</f>
        <v>524000</v>
      </c>
      <c r="E264" s="564">
        <f t="shared" si="176"/>
        <v>0.40544722995976479</v>
      </c>
      <c r="F264" s="565">
        <f t="shared" ref="F264:J264" si="183">SUM(F262:F263)</f>
        <v>29401177.059299998</v>
      </c>
      <c r="G264" s="563">
        <f t="shared" si="183"/>
        <v>2251304</v>
      </c>
      <c r="H264" s="565">
        <f t="shared" si="183"/>
        <v>17152189.365700003</v>
      </c>
      <c r="I264" s="565">
        <f t="shared" si="183"/>
        <v>53813752.120000005</v>
      </c>
      <c r="J264" s="758">
        <f t="shared" si="183"/>
        <v>49175243.700000003</v>
      </c>
    </row>
    <row r="265" spans="1:10" ht="31.8" thickBot="1" x14ac:dyDescent="0.35">
      <c r="A265" s="630"/>
      <c r="B265" s="548" t="s">
        <v>174</v>
      </c>
      <c r="C265" s="549">
        <f>+C258+C261+C264</f>
        <v>7473564</v>
      </c>
      <c r="D265" s="575">
        <f t="shared" ref="D265" si="184">+D258+D261+D264</f>
        <v>6001127</v>
      </c>
      <c r="E265" s="576">
        <f>IFERROR(D265/C265,"-")</f>
        <v>0.80298061273041887</v>
      </c>
      <c r="F265" s="575">
        <f>+F258+F261+F264</f>
        <v>114361138.97929999</v>
      </c>
      <c r="G265" s="575">
        <f t="shared" ref="G265:H265" si="185">+G258+G261+G264</f>
        <v>5715704</v>
      </c>
      <c r="H265" s="575">
        <f t="shared" si="185"/>
        <v>32259443.316700004</v>
      </c>
      <c r="I265" s="575">
        <f>+I258+I261+I264</f>
        <v>162998276.64000002</v>
      </c>
      <c r="J265" s="631">
        <f t="shared" ref="J265" si="186">+J258+J261+J264</f>
        <v>76225341.960000008</v>
      </c>
    </row>
    <row r="266" spans="1:10" ht="49.5" customHeight="1" x14ac:dyDescent="0.3">
      <c r="A266" s="1057" t="s">
        <v>1</v>
      </c>
      <c r="B266" s="1063" t="s">
        <v>396</v>
      </c>
      <c r="C266" s="1063" t="s">
        <v>226</v>
      </c>
      <c r="D266" s="1154" t="s">
        <v>581</v>
      </c>
      <c r="E266" s="1155"/>
      <c r="F266" s="1155"/>
      <c r="G266" s="1155"/>
      <c r="H266" s="1156"/>
      <c r="I266" s="1157" t="s">
        <v>417</v>
      </c>
      <c r="J266" s="1157" t="s">
        <v>418</v>
      </c>
    </row>
    <row r="267" spans="1:10" ht="51" customHeight="1" x14ac:dyDescent="0.3">
      <c r="A267" s="1136"/>
      <c r="B267" s="1153"/>
      <c r="C267" s="1153"/>
      <c r="D267" s="1160" t="s">
        <v>229</v>
      </c>
      <c r="E267" s="1161"/>
      <c r="F267" s="1162"/>
      <c r="G267" s="1160" t="s">
        <v>227</v>
      </c>
      <c r="H267" s="1162"/>
      <c r="I267" s="1158"/>
      <c r="J267" s="1158"/>
    </row>
    <row r="268" spans="1:10" x14ac:dyDescent="0.3">
      <c r="A268" s="1058"/>
      <c r="B268" s="1064"/>
      <c r="C268" s="1064"/>
      <c r="D268" s="1163" t="s">
        <v>415</v>
      </c>
      <c r="E268" s="1165" t="s">
        <v>9</v>
      </c>
      <c r="F268" s="1167" t="s">
        <v>416</v>
      </c>
      <c r="G268" s="1169" t="s">
        <v>228</v>
      </c>
      <c r="H268" s="1171" t="s">
        <v>416</v>
      </c>
      <c r="I268" s="1158"/>
      <c r="J268" s="1158"/>
    </row>
    <row r="269" spans="1:10" ht="44.25" customHeight="1" thickBot="1" x14ac:dyDescent="0.35">
      <c r="A269" s="1059"/>
      <c r="B269" s="1065"/>
      <c r="C269" s="1065"/>
      <c r="D269" s="1164"/>
      <c r="E269" s="1166"/>
      <c r="F269" s="1168"/>
      <c r="G269" s="1170"/>
      <c r="H269" s="1172"/>
      <c r="I269" s="1159"/>
      <c r="J269" s="1159"/>
    </row>
    <row r="270" spans="1:10" ht="49.5" customHeight="1" x14ac:dyDescent="0.3">
      <c r="A270" s="268" t="s">
        <v>103</v>
      </c>
      <c r="B270" s="572" t="s">
        <v>220</v>
      </c>
      <c r="C270" s="550">
        <v>3770000</v>
      </c>
      <c r="D270" s="551">
        <f>+'01 Prod Physique Boites'!K2008</f>
        <v>3265693</v>
      </c>
      <c r="E270" s="552">
        <f>IFERROR(D270/C270,"-")</f>
        <v>0.86623156498673737</v>
      </c>
      <c r="F270" s="553">
        <f>+'02 Prod Valorisée Boites'!G2014</f>
        <v>43015326.929199994</v>
      </c>
      <c r="G270" s="551">
        <f>+'03 Prod Accessoires'!K1103</f>
        <v>2242424</v>
      </c>
      <c r="H270" s="550">
        <f>+'03 Prod Accessoires'!Q1103</f>
        <v>11083321.3806</v>
      </c>
      <c r="I270" s="550">
        <f>+'02 Prod Valorisée Boites'!J2014</f>
        <v>48346005.200000003</v>
      </c>
      <c r="J270" s="555">
        <f>+'04 Ventes'!I1668</f>
        <v>19634890.079999998</v>
      </c>
    </row>
    <row r="271" spans="1:10" ht="45" customHeight="1" x14ac:dyDescent="0.3">
      <c r="A271" s="985" t="s">
        <v>103</v>
      </c>
      <c r="B271" s="573" t="s">
        <v>221</v>
      </c>
      <c r="C271" s="556">
        <v>195500</v>
      </c>
      <c r="D271" s="557">
        <f>+'01 Prod Physique Boites'!K2024</f>
        <v>220642</v>
      </c>
      <c r="E271" s="558">
        <f t="shared" ref="E271:E279" si="187">IFERROR(D271/C271,"-")</f>
        <v>1.1286035805626597</v>
      </c>
      <c r="F271" s="559">
        <f>+'02 Prod Valorisée Boites'!G2030</f>
        <v>4915238.9220000003</v>
      </c>
      <c r="G271" s="557">
        <f>+'03 Prod Accessoires'!K1111</f>
        <v>467920</v>
      </c>
      <c r="H271" s="556">
        <f>+'03 Prod Accessoires'!Q1111</f>
        <v>2699437.432</v>
      </c>
      <c r="I271" s="560">
        <f>+'02 Prod Valorisée Boites'!J2030</f>
        <v>5957820</v>
      </c>
      <c r="J271" s="561">
        <f>+'04 Ventes'!I1675</f>
        <v>5571701.96</v>
      </c>
    </row>
    <row r="272" spans="1:10" ht="44.25" customHeight="1" thickBot="1" x14ac:dyDescent="0.35">
      <c r="A272" s="274" t="s">
        <v>103</v>
      </c>
      <c r="B272" s="275" t="s">
        <v>222</v>
      </c>
      <c r="C272" s="556"/>
      <c r="D272" s="557"/>
      <c r="E272" s="558" t="str">
        <f t="shared" si="187"/>
        <v>-</v>
      </c>
      <c r="F272" s="559"/>
      <c r="G272" s="557"/>
      <c r="H272" s="560"/>
      <c r="I272" s="560"/>
      <c r="J272" s="561">
        <f>+'04 Ventes'!I1680</f>
        <v>22500</v>
      </c>
    </row>
    <row r="273" spans="1:10" ht="30" thickBot="1" x14ac:dyDescent="0.35">
      <c r="A273" s="318" t="s">
        <v>103</v>
      </c>
      <c r="B273" s="433" t="s">
        <v>223</v>
      </c>
      <c r="C273" s="562">
        <f>SUM(C270:C272)</f>
        <v>3965500</v>
      </c>
      <c r="D273" s="563">
        <f t="shared" ref="D273" si="188">SUM(D270:D272)</f>
        <v>3486335</v>
      </c>
      <c r="E273" s="564">
        <f t="shared" si="187"/>
        <v>0.87916656159374607</v>
      </c>
      <c r="F273" s="565">
        <f>SUM(F270:F272)</f>
        <v>47930565.851199992</v>
      </c>
      <c r="G273" s="563">
        <f t="shared" ref="G273:H273" si="189">SUM(G270:G272)</f>
        <v>2710344</v>
      </c>
      <c r="H273" s="565">
        <f t="shared" si="189"/>
        <v>13782758.8126</v>
      </c>
      <c r="I273" s="565">
        <f>SUM(I270:I272)</f>
        <v>54303825.200000003</v>
      </c>
      <c r="J273" s="758">
        <f t="shared" ref="J273" si="190">SUM(J270:J272)</f>
        <v>25229092.039999999</v>
      </c>
    </row>
    <row r="274" spans="1:10" ht="45" customHeight="1" x14ac:dyDescent="0.3">
      <c r="A274" s="268" t="s">
        <v>101</v>
      </c>
      <c r="B274" s="572" t="s">
        <v>220</v>
      </c>
      <c r="C274" s="550">
        <v>2215664</v>
      </c>
      <c r="D274" s="551">
        <f>+'01 Prod Physique Boites'!K2060</f>
        <v>2439703</v>
      </c>
      <c r="E274" s="552">
        <f t="shared" si="187"/>
        <v>1.1011159634312784</v>
      </c>
      <c r="F274" s="553">
        <f>+'02 Prod Valorisée Boites'!G2066</f>
        <v>44213141.935200006</v>
      </c>
      <c r="G274" s="551">
        <f>+'03 Prod Accessoires'!K1121</f>
        <v>1002000</v>
      </c>
      <c r="H274" s="550">
        <f>+'03 Prod Accessoires'!Q1121</f>
        <v>2250332.7000000002</v>
      </c>
      <c r="I274" s="550">
        <f>+'02 Prod Valorisée Boites'!J2066</f>
        <v>65126706.659999996</v>
      </c>
      <c r="J274" s="1001">
        <f>+'04 Ventes'!I1712</f>
        <v>17988031.220000003</v>
      </c>
    </row>
    <row r="275" spans="1:10" ht="45.75" customHeight="1" thickBot="1" x14ac:dyDescent="0.35">
      <c r="A275" s="985" t="s">
        <v>101</v>
      </c>
      <c r="B275" s="295" t="s">
        <v>222</v>
      </c>
      <c r="C275" s="567"/>
      <c r="D275" s="557"/>
      <c r="E275" s="558" t="str">
        <f t="shared" si="187"/>
        <v>-</v>
      </c>
      <c r="F275" s="559"/>
      <c r="G275" s="557"/>
      <c r="H275" s="560"/>
      <c r="I275" s="560"/>
      <c r="J275" s="568"/>
    </row>
    <row r="276" spans="1:10" ht="30" thickBot="1" x14ac:dyDescent="0.35">
      <c r="A276" s="318" t="s">
        <v>101</v>
      </c>
      <c r="B276" s="433" t="s">
        <v>224</v>
      </c>
      <c r="C276" s="562">
        <f>SUM(C274:C275)</f>
        <v>2215664</v>
      </c>
      <c r="D276" s="563">
        <f t="shared" ref="D276" si="191">SUM(D274:D275)</f>
        <v>2439703</v>
      </c>
      <c r="E276" s="564">
        <f t="shared" si="187"/>
        <v>1.1011159634312784</v>
      </c>
      <c r="F276" s="565">
        <f t="shared" ref="F276:J276" si="192">SUM(F274:F275)</f>
        <v>44213141.935200006</v>
      </c>
      <c r="G276" s="563">
        <f t="shared" si="192"/>
        <v>1002000</v>
      </c>
      <c r="H276" s="565">
        <f t="shared" si="192"/>
        <v>2250332.7000000002</v>
      </c>
      <c r="I276" s="565">
        <f t="shared" si="192"/>
        <v>65126706.659999996</v>
      </c>
      <c r="J276" s="758">
        <f t="shared" si="192"/>
        <v>17988031.220000003</v>
      </c>
    </row>
    <row r="277" spans="1:10" ht="46.5" customHeight="1" x14ac:dyDescent="0.3">
      <c r="A277" s="268" t="s">
        <v>102</v>
      </c>
      <c r="B277" s="574" t="s">
        <v>221</v>
      </c>
      <c r="C277" s="554">
        <v>1292400</v>
      </c>
      <c r="D277" s="551">
        <f>+'01 Prod Physique Boites'!K2087</f>
        <v>575458</v>
      </c>
      <c r="E277" s="552">
        <f t="shared" si="187"/>
        <v>0.44526307644692048</v>
      </c>
      <c r="F277" s="553">
        <f>+'02 Prod Valorisée Boites'!G2092</f>
        <v>32044021.923299998</v>
      </c>
      <c r="G277" s="551">
        <f>+'03 Prod Accessoires'!K1157</f>
        <v>2421064</v>
      </c>
      <c r="H277" s="550">
        <f>+'03 Prod Accessoires'!Q1157</f>
        <v>18476578.049699999</v>
      </c>
      <c r="I277" s="554">
        <f>+'02 Prod Valorisée Boites'!J2092</f>
        <v>58686577.719999999</v>
      </c>
      <c r="J277" s="1001">
        <f>+'04 Ventes'!I1739</f>
        <v>55809307.099999994</v>
      </c>
    </row>
    <row r="278" spans="1:10" ht="36.75" customHeight="1" thickBot="1" x14ac:dyDescent="0.35">
      <c r="A278" s="985" t="s">
        <v>102</v>
      </c>
      <c r="B278" s="303" t="s">
        <v>222</v>
      </c>
      <c r="C278" s="560"/>
      <c r="D278" s="569"/>
      <c r="E278" s="570" t="str">
        <f t="shared" si="187"/>
        <v>-</v>
      </c>
      <c r="F278" s="571"/>
      <c r="G278" s="557"/>
      <c r="H278" s="560"/>
      <c r="I278" s="560"/>
      <c r="J278" s="568"/>
    </row>
    <row r="279" spans="1:10" ht="30" thickBot="1" x14ac:dyDescent="0.35">
      <c r="A279" s="318" t="s">
        <v>102</v>
      </c>
      <c r="B279" s="433" t="s">
        <v>225</v>
      </c>
      <c r="C279" s="562">
        <f>SUM(C277:C278)</f>
        <v>1292400</v>
      </c>
      <c r="D279" s="563">
        <f t="shared" ref="D279" si="193">SUM(D277:D278)</f>
        <v>575458</v>
      </c>
      <c r="E279" s="564">
        <f t="shared" si="187"/>
        <v>0.44526307644692048</v>
      </c>
      <c r="F279" s="565">
        <f t="shared" ref="F279:J279" si="194">SUM(F277:F278)</f>
        <v>32044021.923299998</v>
      </c>
      <c r="G279" s="563">
        <f t="shared" si="194"/>
        <v>2421064</v>
      </c>
      <c r="H279" s="565">
        <f t="shared" si="194"/>
        <v>18476578.049699999</v>
      </c>
      <c r="I279" s="565">
        <f t="shared" si="194"/>
        <v>58686577.719999999</v>
      </c>
      <c r="J279" s="758">
        <f t="shared" si="194"/>
        <v>55809307.099999994</v>
      </c>
    </row>
    <row r="280" spans="1:10" ht="31.8" thickBot="1" x14ac:dyDescent="0.35">
      <c r="A280" s="630"/>
      <c r="B280" s="548" t="s">
        <v>174</v>
      </c>
      <c r="C280" s="549">
        <f>+C273+C276+C279</f>
        <v>7473564</v>
      </c>
      <c r="D280" s="575">
        <f t="shared" ref="D280" si="195">+D273+D276+D279</f>
        <v>6501496</v>
      </c>
      <c r="E280" s="576">
        <f>IFERROR(D280/C280,"-")</f>
        <v>0.86993247130820051</v>
      </c>
      <c r="F280" s="575">
        <f>+F273+F276+F279</f>
        <v>124187729.70969999</v>
      </c>
      <c r="G280" s="575">
        <f t="shared" ref="G280:H280" si="196">+G273+G276+G279</f>
        <v>6133408</v>
      </c>
      <c r="H280" s="575">
        <f t="shared" si="196"/>
        <v>34509669.562299997</v>
      </c>
      <c r="I280" s="575">
        <f>+I273+I276+I279</f>
        <v>178117109.57999998</v>
      </c>
      <c r="J280" s="631">
        <f t="shared" ref="J280" si="197">+J273+J276+J279</f>
        <v>99026430.359999999</v>
      </c>
    </row>
    <row r="281" spans="1:10" ht="49.5" customHeight="1" x14ac:dyDescent="0.3">
      <c r="A281" s="1057" t="s">
        <v>1</v>
      </c>
      <c r="B281" s="1063" t="s">
        <v>396</v>
      </c>
      <c r="C281" s="1063" t="s">
        <v>226</v>
      </c>
      <c r="D281" s="1154" t="s">
        <v>592</v>
      </c>
      <c r="E281" s="1155"/>
      <c r="F281" s="1155"/>
      <c r="G281" s="1155"/>
      <c r="H281" s="1156"/>
      <c r="I281" s="1157" t="s">
        <v>417</v>
      </c>
      <c r="J281" s="1157" t="s">
        <v>418</v>
      </c>
    </row>
    <row r="282" spans="1:10" ht="51" customHeight="1" x14ac:dyDescent="0.3">
      <c r="A282" s="1136"/>
      <c r="B282" s="1153"/>
      <c r="C282" s="1153"/>
      <c r="D282" s="1160" t="s">
        <v>229</v>
      </c>
      <c r="E282" s="1161"/>
      <c r="F282" s="1162"/>
      <c r="G282" s="1160" t="s">
        <v>227</v>
      </c>
      <c r="H282" s="1162"/>
      <c r="I282" s="1158"/>
      <c r="J282" s="1158"/>
    </row>
    <row r="283" spans="1:10" x14ac:dyDescent="0.3">
      <c r="A283" s="1058"/>
      <c r="B283" s="1064"/>
      <c r="C283" s="1064"/>
      <c r="D283" s="1163" t="s">
        <v>415</v>
      </c>
      <c r="E283" s="1165" t="s">
        <v>9</v>
      </c>
      <c r="F283" s="1167" t="s">
        <v>416</v>
      </c>
      <c r="G283" s="1169" t="s">
        <v>228</v>
      </c>
      <c r="H283" s="1171" t="s">
        <v>416</v>
      </c>
      <c r="I283" s="1158"/>
      <c r="J283" s="1158"/>
    </row>
    <row r="284" spans="1:10" ht="44.25" customHeight="1" thickBot="1" x14ac:dyDescent="0.35">
      <c r="A284" s="1059"/>
      <c r="B284" s="1065"/>
      <c r="C284" s="1065"/>
      <c r="D284" s="1164"/>
      <c r="E284" s="1166"/>
      <c r="F284" s="1168"/>
      <c r="G284" s="1170"/>
      <c r="H284" s="1172"/>
      <c r="I284" s="1159"/>
      <c r="J284" s="1159"/>
    </row>
    <row r="285" spans="1:10" ht="49.5" customHeight="1" x14ac:dyDescent="0.3">
      <c r="A285" s="268" t="s">
        <v>103</v>
      </c>
      <c r="B285" s="572" t="s">
        <v>220</v>
      </c>
      <c r="C285" s="550">
        <v>3770000</v>
      </c>
      <c r="D285" s="551">
        <f>+'01 Prod Physique Boites'!K2125</f>
        <v>3350366</v>
      </c>
      <c r="E285" s="552">
        <f>IFERROR(D285/C285,"-")</f>
        <v>0.88869124668435018</v>
      </c>
      <c r="F285" s="553">
        <f>+'02 Prod Valorisée Boites'!G2131</f>
        <v>44254201.560399994</v>
      </c>
      <c r="G285" s="551">
        <f>+'03 Prod Accessoires'!K1169</f>
        <v>2310924</v>
      </c>
      <c r="H285" s="550">
        <f>+'03 Prod Accessoires'!Q1169</f>
        <v>11974240.830599999</v>
      </c>
      <c r="I285" s="550">
        <f>+'02 Prod Valorisée Boites'!J2131</f>
        <v>49716898.160000004</v>
      </c>
      <c r="J285" s="555">
        <f>+'04 Ventes'!I1762</f>
        <v>20406837.539999999</v>
      </c>
    </row>
    <row r="286" spans="1:10" ht="45" customHeight="1" x14ac:dyDescent="0.3">
      <c r="A286" s="994" t="s">
        <v>103</v>
      </c>
      <c r="B286" s="573" t="s">
        <v>221</v>
      </c>
      <c r="C286" s="556">
        <v>195500</v>
      </c>
      <c r="D286" s="557">
        <f>+'01 Prod Physique Boites'!K2141</f>
        <v>220642</v>
      </c>
      <c r="E286" s="558">
        <f t="shared" ref="E286:E294" si="198">IFERROR(D286/C286,"-")</f>
        <v>1.1286035805626597</v>
      </c>
      <c r="F286" s="559">
        <f>+'02 Prod Valorisée Boites'!G2147</f>
        <v>4915238.9220000003</v>
      </c>
      <c r="G286" s="557">
        <f>+'03 Prod Accessoires'!K1177</f>
        <v>481240</v>
      </c>
      <c r="H286" s="556">
        <f>+'03 Prod Accessoires'!Q1177</f>
        <v>2886463.4440000001</v>
      </c>
      <c r="I286" s="560">
        <f>+'02 Prod Valorisée Boites'!J2147</f>
        <v>5957820</v>
      </c>
      <c r="J286" s="561">
        <f>+'04 Ventes'!I1769</f>
        <v>7603181.96</v>
      </c>
    </row>
    <row r="287" spans="1:10" ht="44.25" customHeight="1" thickBot="1" x14ac:dyDescent="0.35">
      <c r="A287" s="274" t="s">
        <v>103</v>
      </c>
      <c r="B287" s="275" t="s">
        <v>222</v>
      </c>
      <c r="C287" s="556"/>
      <c r="D287" s="557"/>
      <c r="E287" s="558" t="str">
        <f t="shared" si="198"/>
        <v>-</v>
      </c>
      <c r="F287" s="559"/>
      <c r="G287" s="557"/>
      <c r="H287" s="560"/>
      <c r="I287" s="560"/>
      <c r="J287" s="561">
        <f>+'04 Ventes'!I1774</f>
        <v>30000</v>
      </c>
    </row>
    <row r="288" spans="1:10" ht="30" thickBot="1" x14ac:dyDescent="0.35">
      <c r="A288" s="318" t="s">
        <v>103</v>
      </c>
      <c r="B288" s="433" t="s">
        <v>223</v>
      </c>
      <c r="C288" s="562">
        <f>SUM(C285:C287)</f>
        <v>3965500</v>
      </c>
      <c r="D288" s="563">
        <f t="shared" ref="D288" si="199">SUM(D285:D287)</f>
        <v>3571008</v>
      </c>
      <c r="E288" s="564">
        <f t="shared" si="198"/>
        <v>0.90051897616946164</v>
      </c>
      <c r="F288" s="565">
        <f>SUM(F285:F287)</f>
        <v>49169440.482399993</v>
      </c>
      <c r="G288" s="563">
        <f t="shared" ref="G288:H288" si="200">SUM(G285:G287)</f>
        <v>2792164</v>
      </c>
      <c r="H288" s="565">
        <f t="shared" si="200"/>
        <v>14860704.274599999</v>
      </c>
      <c r="I288" s="565">
        <f>SUM(I285:I287)</f>
        <v>55674718.160000004</v>
      </c>
      <c r="J288" s="758">
        <f t="shared" ref="J288" si="201">SUM(J285:J287)</f>
        <v>28040019.5</v>
      </c>
    </row>
    <row r="289" spans="1:10" ht="45" customHeight="1" x14ac:dyDescent="0.3">
      <c r="A289" s="268" t="s">
        <v>101</v>
      </c>
      <c r="B289" s="572" t="s">
        <v>220</v>
      </c>
      <c r="C289" s="550">
        <v>2215664</v>
      </c>
      <c r="D289" s="551">
        <f>+'01 Prod Physique Boites'!K2176</f>
        <v>2621741</v>
      </c>
      <c r="E289" s="552">
        <f t="shared" si="198"/>
        <v>1.1832755327522584</v>
      </c>
      <c r="F289" s="553">
        <f>+'02 Prod Valorisée Boites'!G2183</f>
        <v>47692026.487200007</v>
      </c>
      <c r="G289" s="551">
        <f>+'03 Prod Accessoires'!K1186</f>
        <v>1002000</v>
      </c>
      <c r="H289" s="550">
        <f>+'03 Prod Accessoires'!Q1186</f>
        <v>2250332.7000000002</v>
      </c>
      <c r="I289" s="550">
        <f>+'02 Prod Valorisée Boites'!J2183</f>
        <v>70416938.88000001</v>
      </c>
      <c r="J289" s="1001">
        <f>+'04 Ventes'!I1806</f>
        <v>21272693.699999996</v>
      </c>
    </row>
    <row r="290" spans="1:10" ht="45.75" customHeight="1" thickBot="1" x14ac:dyDescent="0.35">
      <c r="A290" s="994" t="s">
        <v>101</v>
      </c>
      <c r="B290" s="295" t="s">
        <v>222</v>
      </c>
      <c r="C290" s="567"/>
      <c r="D290" s="557"/>
      <c r="E290" s="558" t="str">
        <f t="shared" si="198"/>
        <v>-</v>
      </c>
      <c r="F290" s="559"/>
      <c r="G290" s="557"/>
      <c r="H290" s="560"/>
      <c r="I290" s="560"/>
      <c r="J290" s="568"/>
    </row>
    <row r="291" spans="1:10" ht="30" thickBot="1" x14ac:dyDescent="0.35">
      <c r="A291" s="318" t="s">
        <v>101</v>
      </c>
      <c r="B291" s="433" t="s">
        <v>224</v>
      </c>
      <c r="C291" s="562">
        <f>SUM(C289:C290)</f>
        <v>2215664</v>
      </c>
      <c r="D291" s="563">
        <f t="shared" ref="D291" si="202">SUM(D289:D290)</f>
        <v>2621741</v>
      </c>
      <c r="E291" s="564">
        <f t="shared" si="198"/>
        <v>1.1832755327522584</v>
      </c>
      <c r="F291" s="565">
        <f t="shared" ref="F291:J291" si="203">SUM(F289:F290)</f>
        <v>47692026.487200007</v>
      </c>
      <c r="G291" s="563">
        <f t="shared" si="203"/>
        <v>1002000</v>
      </c>
      <c r="H291" s="565">
        <f t="shared" si="203"/>
        <v>2250332.7000000002</v>
      </c>
      <c r="I291" s="565">
        <f t="shared" si="203"/>
        <v>70416938.88000001</v>
      </c>
      <c r="J291" s="758">
        <f t="shared" si="203"/>
        <v>21272693.699999996</v>
      </c>
    </row>
    <row r="292" spans="1:10" ht="46.5" customHeight="1" x14ac:dyDescent="0.3">
      <c r="A292" s="268" t="s">
        <v>102</v>
      </c>
      <c r="B292" s="574" t="s">
        <v>221</v>
      </c>
      <c r="C292" s="554">
        <v>1292400</v>
      </c>
      <c r="D292" s="551">
        <f>+'01 Prod Physique Boites'!K2203</f>
        <v>601813</v>
      </c>
      <c r="E292" s="552">
        <f t="shared" si="198"/>
        <v>0.46565536985453421</v>
      </c>
      <c r="F292" s="553">
        <f>+'02 Prod Valorisée Boites'!G2209</f>
        <v>33672842.307300001</v>
      </c>
      <c r="G292" s="551">
        <f>+'03 Prod Accessoires'!K1223</f>
        <v>2581884</v>
      </c>
      <c r="H292" s="550">
        <f>+'03 Prod Accessoires'!Q1223</f>
        <v>19506421.326699998</v>
      </c>
      <c r="I292" s="554">
        <f>+'02 Prod Valorisée Boites'!J2209</f>
        <v>61356030.519999996</v>
      </c>
      <c r="J292" s="1001">
        <f>+'04 Ventes'!I1833</f>
        <v>60614950.099999994</v>
      </c>
    </row>
    <row r="293" spans="1:10" ht="36.75" customHeight="1" thickBot="1" x14ac:dyDescent="0.35">
      <c r="A293" s="994" t="s">
        <v>102</v>
      </c>
      <c r="B293" s="303" t="s">
        <v>222</v>
      </c>
      <c r="C293" s="560"/>
      <c r="D293" s="569"/>
      <c r="E293" s="570" t="str">
        <f t="shared" si="198"/>
        <v>-</v>
      </c>
      <c r="F293" s="571"/>
      <c r="G293" s="557"/>
      <c r="H293" s="560"/>
      <c r="I293" s="560"/>
      <c r="J293" s="568"/>
    </row>
    <row r="294" spans="1:10" ht="30" thickBot="1" x14ac:dyDescent="0.35">
      <c r="A294" s="318" t="s">
        <v>102</v>
      </c>
      <c r="B294" s="433" t="s">
        <v>225</v>
      </c>
      <c r="C294" s="562">
        <f>SUM(C292:C293)</f>
        <v>1292400</v>
      </c>
      <c r="D294" s="563">
        <f t="shared" ref="D294" si="204">SUM(D292:D293)</f>
        <v>601813</v>
      </c>
      <c r="E294" s="564">
        <f t="shared" si="198"/>
        <v>0.46565536985453421</v>
      </c>
      <c r="F294" s="565">
        <f t="shared" ref="F294:J294" si="205">SUM(F292:F293)</f>
        <v>33672842.307300001</v>
      </c>
      <c r="G294" s="563">
        <f t="shared" si="205"/>
        <v>2581884</v>
      </c>
      <c r="H294" s="565">
        <f t="shared" si="205"/>
        <v>19506421.326699998</v>
      </c>
      <c r="I294" s="565">
        <f t="shared" si="205"/>
        <v>61356030.519999996</v>
      </c>
      <c r="J294" s="758">
        <f t="shared" si="205"/>
        <v>60614950.099999994</v>
      </c>
    </row>
    <row r="295" spans="1:10" ht="31.8" thickBot="1" x14ac:dyDescent="0.35">
      <c r="A295" s="630"/>
      <c r="B295" s="548" t="s">
        <v>174</v>
      </c>
      <c r="C295" s="549">
        <f>+C288+C291+C294</f>
        <v>7473564</v>
      </c>
      <c r="D295" s="575">
        <f t="shared" ref="D295" si="206">+D288+D291+D294</f>
        <v>6794562</v>
      </c>
      <c r="E295" s="576">
        <f>IFERROR(D295/C295,"-")</f>
        <v>0.90914615837905444</v>
      </c>
      <c r="F295" s="575">
        <f>+F288+F291+F294</f>
        <v>130534309.27689999</v>
      </c>
      <c r="G295" s="575">
        <f t="shared" ref="G295:H295" si="207">+G288+G291+G294</f>
        <v>6376048</v>
      </c>
      <c r="H295" s="575">
        <f t="shared" si="207"/>
        <v>36617458.301299997</v>
      </c>
      <c r="I295" s="575">
        <f>+I288+I291+I294</f>
        <v>187447687.56</v>
      </c>
      <c r="J295" s="631">
        <f t="shared" ref="J295" si="208">+J288+J291+J294</f>
        <v>109927663.29999998</v>
      </c>
    </row>
    <row r="296" spans="1:10" ht="49.5" customHeight="1" x14ac:dyDescent="0.3">
      <c r="A296" s="1057" t="s">
        <v>1</v>
      </c>
      <c r="B296" s="1063" t="s">
        <v>396</v>
      </c>
      <c r="C296" s="1063" t="s">
        <v>226</v>
      </c>
      <c r="D296" s="1154" t="s">
        <v>596</v>
      </c>
      <c r="E296" s="1155"/>
      <c r="F296" s="1155"/>
      <c r="G296" s="1155"/>
      <c r="H296" s="1156"/>
      <c r="I296" s="1157" t="s">
        <v>417</v>
      </c>
      <c r="J296" s="1157" t="s">
        <v>418</v>
      </c>
    </row>
    <row r="297" spans="1:10" ht="51" customHeight="1" x14ac:dyDescent="0.3">
      <c r="A297" s="1136"/>
      <c r="B297" s="1153"/>
      <c r="C297" s="1153"/>
      <c r="D297" s="1160" t="s">
        <v>229</v>
      </c>
      <c r="E297" s="1161"/>
      <c r="F297" s="1162"/>
      <c r="G297" s="1160" t="s">
        <v>227</v>
      </c>
      <c r="H297" s="1162"/>
      <c r="I297" s="1158"/>
      <c r="J297" s="1158"/>
    </row>
    <row r="298" spans="1:10" x14ac:dyDescent="0.3">
      <c r="A298" s="1058"/>
      <c r="B298" s="1064"/>
      <c r="C298" s="1064"/>
      <c r="D298" s="1163" t="s">
        <v>415</v>
      </c>
      <c r="E298" s="1165" t="s">
        <v>9</v>
      </c>
      <c r="F298" s="1167" t="s">
        <v>416</v>
      </c>
      <c r="G298" s="1169" t="s">
        <v>228</v>
      </c>
      <c r="H298" s="1171" t="s">
        <v>416</v>
      </c>
      <c r="I298" s="1158"/>
      <c r="J298" s="1158"/>
    </row>
    <row r="299" spans="1:10" ht="44.25" customHeight="1" thickBot="1" x14ac:dyDescent="0.35">
      <c r="A299" s="1059"/>
      <c r="B299" s="1065"/>
      <c r="C299" s="1065"/>
      <c r="D299" s="1164"/>
      <c r="E299" s="1166"/>
      <c r="F299" s="1168"/>
      <c r="G299" s="1170"/>
      <c r="H299" s="1172"/>
      <c r="I299" s="1159"/>
      <c r="J299" s="1159"/>
    </row>
    <row r="300" spans="1:10" ht="49.5" customHeight="1" x14ac:dyDescent="0.3">
      <c r="A300" s="268" t="s">
        <v>103</v>
      </c>
      <c r="B300" s="572" t="s">
        <v>220</v>
      </c>
      <c r="C300" s="550">
        <v>3770000</v>
      </c>
      <c r="D300" s="551">
        <f>+'01 Prod Physique Boites'!K2242</f>
        <v>3454321</v>
      </c>
      <c r="E300" s="552">
        <f>IFERROR(D300/C300,"-")</f>
        <v>0.91626551724137928</v>
      </c>
      <c r="F300" s="553">
        <f>+'02 Prod Valorisée Boites'!G2248</f>
        <v>45478270.857199997</v>
      </c>
      <c r="G300" s="551">
        <f>+'03 Prod Accessoires'!K1235</f>
        <v>2330924</v>
      </c>
      <c r="H300" s="550">
        <f>+'03 Prod Accessoires'!Q1235</f>
        <v>12059290.830599999</v>
      </c>
      <c r="I300" s="550">
        <f>+'02 Prod Valorisée Boites'!J2248</f>
        <v>62027025.200000003</v>
      </c>
      <c r="J300" s="555">
        <f>+'04 Ventes'!I1859</f>
        <v>33894514.299999997</v>
      </c>
    </row>
    <row r="301" spans="1:10" ht="45" customHeight="1" x14ac:dyDescent="0.3">
      <c r="A301" s="1018" t="s">
        <v>103</v>
      </c>
      <c r="B301" s="573" t="s">
        <v>221</v>
      </c>
      <c r="C301" s="556">
        <v>195500</v>
      </c>
      <c r="D301" s="557">
        <f>+'01 Prod Physique Boites'!K2258</f>
        <v>226950</v>
      </c>
      <c r="E301" s="558">
        <f t="shared" ref="E301:E309" si="209">IFERROR(D301/C301,"-")</f>
        <v>1.1608695652173913</v>
      </c>
      <c r="F301" s="559">
        <f>+'02 Prod Valorisée Boites'!G2264</f>
        <v>5049640.7280000001</v>
      </c>
      <c r="G301" s="557">
        <f>+'03 Prod Accessoires'!K1243</f>
        <v>481240</v>
      </c>
      <c r="H301" s="556">
        <f>+'03 Prod Accessoires'!Q1243</f>
        <v>2886463.4440000001</v>
      </c>
      <c r="I301" s="560">
        <f>+'02 Prod Valorisée Boites'!J2264</f>
        <v>6120180</v>
      </c>
      <c r="J301" s="561">
        <f>+'04 Ventes'!I1866</f>
        <v>7603181.96</v>
      </c>
    </row>
    <row r="302" spans="1:10" ht="44.25" customHeight="1" thickBot="1" x14ac:dyDescent="0.35">
      <c r="A302" s="274" t="s">
        <v>103</v>
      </c>
      <c r="B302" s="275" t="s">
        <v>222</v>
      </c>
      <c r="C302" s="556"/>
      <c r="D302" s="557"/>
      <c r="E302" s="558" t="str">
        <f t="shared" si="209"/>
        <v>-</v>
      </c>
      <c r="F302" s="559"/>
      <c r="G302" s="557"/>
      <c r="H302" s="560"/>
      <c r="I302" s="560"/>
      <c r="J302" s="561">
        <f>+'04 Ventes'!I1871</f>
        <v>30000</v>
      </c>
    </row>
    <row r="303" spans="1:10" ht="30" thickBot="1" x14ac:dyDescent="0.35">
      <c r="A303" s="318" t="s">
        <v>103</v>
      </c>
      <c r="B303" s="433" t="s">
        <v>223</v>
      </c>
      <c r="C303" s="562">
        <f>SUM(C300:C302)</f>
        <v>3965500</v>
      </c>
      <c r="D303" s="563">
        <f t="shared" ref="D303" si="210">SUM(D300:D302)</f>
        <v>3681271</v>
      </c>
      <c r="E303" s="564">
        <f t="shared" si="209"/>
        <v>0.92832454923717056</v>
      </c>
      <c r="F303" s="565">
        <f>SUM(F300:F302)</f>
        <v>50527911.585199997</v>
      </c>
      <c r="G303" s="563">
        <f t="shared" ref="G303:H303" si="211">SUM(G300:G302)</f>
        <v>2812164</v>
      </c>
      <c r="H303" s="565">
        <f t="shared" si="211"/>
        <v>14945754.274599999</v>
      </c>
      <c r="I303" s="565">
        <f>SUM(I300:I302)</f>
        <v>68147205.200000003</v>
      </c>
      <c r="J303" s="758">
        <f t="shared" ref="J303" si="212">SUM(J300:J302)</f>
        <v>41527696.259999998</v>
      </c>
    </row>
    <row r="304" spans="1:10" ht="45" customHeight="1" x14ac:dyDescent="0.3">
      <c r="A304" s="268" t="s">
        <v>101</v>
      </c>
      <c r="B304" s="572" t="s">
        <v>220</v>
      </c>
      <c r="C304" s="550">
        <v>2215664</v>
      </c>
      <c r="D304" s="551">
        <f>+'01 Prod Physique Boites'!K2294</f>
        <v>2967469</v>
      </c>
      <c r="E304" s="552">
        <f t="shared" si="209"/>
        <v>1.339313632391915</v>
      </c>
      <c r="F304" s="553">
        <f>+'02 Prod Valorisée Boites'!G2300</f>
        <v>53904167.976000004</v>
      </c>
      <c r="G304" s="551">
        <f>+'03 Prod Accessoires'!K1253</f>
        <v>1102000</v>
      </c>
      <c r="H304" s="550">
        <f>+'03 Prod Accessoires'!Q1253</f>
        <v>2471742.7000000002</v>
      </c>
      <c r="I304" s="550">
        <f>+'02 Prod Valorisée Boites'!J2300</f>
        <v>79722045.578160003</v>
      </c>
      <c r="J304" s="1001">
        <f>+'04 Ventes'!I1903</f>
        <v>73414403.37999998</v>
      </c>
    </row>
    <row r="305" spans="1:11" ht="45.75" customHeight="1" thickBot="1" x14ac:dyDescent="0.35">
      <c r="A305" s="1018" t="s">
        <v>101</v>
      </c>
      <c r="B305" s="295" t="s">
        <v>222</v>
      </c>
      <c r="C305" s="567"/>
      <c r="D305" s="557"/>
      <c r="E305" s="558" t="str">
        <f t="shared" si="209"/>
        <v>-</v>
      </c>
      <c r="F305" s="559"/>
      <c r="G305" s="557"/>
      <c r="H305" s="560"/>
      <c r="I305" s="560"/>
      <c r="J305" s="568"/>
    </row>
    <row r="306" spans="1:11" ht="30" thickBot="1" x14ac:dyDescent="0.35">
      <c r="A306" s="318" t="s">
        <v>101</v>
      </c>
      <c r="B306" s="433" t="s">
        <v>224</v>
      </c>
      <c r="C306" s="562">
        <f>SUM(C304:C305)</f>
        <v>2215664</v>
      </c>
      <c r="D306" s="563">
        <f t="shared" ref="D306" si="213">SUM(D304:D305)</f>
        <v>2967469</v>
      </c>
      <c r="E306" s="564">
        <f t="shared" si="209"/>
        <v>1.339313632391915</v>
      </c>
      <c r="F306" s="565">
        <f t="shared" ref="F306:J306" si="214">SUM(F304:F305)</f>
        <v>53904167.976000004</v>
      </c>
      <c r="G306" s="563">
        <f t="shared" si="214"/>
        <v>1102000</v>
      </c>
      <c r="H306" s="565">
        <f t="shared" si="214"/>
        <v>2471742.7000000002</v>
      </c>
      <c r="I306" s="565">
        <f t="shared" si="214"/>
        <v>79722045.578160003</v>
      </c>
      <c r="J306" s="758">
        <f t="shared" si="214"/>
        <v>73414403.37999998</v>
      </c>
    </row>
    <row r="307" spans="1:11" ht="46.5" customHeight="1" x14ac:dyDescent="0.3">
      <c r="A307" s="268" t="s">
        <v>102</v>
      </c>
      <c r="B307" s="574" t="s">
        <v>221</v>
      </c>
      <c r="C307" s="554">
        <v>1292400</v>
      </c>
      <c r="D307" s="551">
        <f>+'01 Prod Physique Boites'!K2321</f>
        <v>627876</v>
      </c>
      <c r="E307" s="552">
        <f t="shared" si="209"/>
        <v>0.48582172701949861</v>
      </c>
      <c r="F307" s="553">
        <f>+'02 Prod Valorisée Boites'!G2326</f>
        <v>35250880.8279</v>
      </c>
      <c r="G307" s="551">
        <f>+'03 Prod Accessoires'!K1289</f>
        <v>2806754</v>
      </c>
      <c r="H307" s="550">
        <f>+'03 Prod Accessoires'!Q1289</f>
        <v>20746382.544700004</v>
      </c>
      <c r="I307" s="554">
        <f>+'02 Prod Valorisée Boites'!J2326</f>
        <v>63936899.199999996</v>
      </c>
      <c r="J307" s="1001">
        <f>+'04 Ventes'!I1930</f>
        <v>83652484.839990005</v>
      </c>
    </row>
    <row r="308" spans="1:11" ht="36.75" customHeight="1" thickBot="1" x14ac:dyDescent="0.35">
      <c r="A308" s="1018" t="s">
        <v>102</v>
      </c>
      <c r="B308" s="303" t="s">
        <v>222</v>
      </c>
      <c r="C308" s="560"/>
      <c r="D308" s="569"/>
      <c r="E308" s="570" t="str">
        <f t="shared" si="209"/>
        <v>-</v>
      </c>
      <c r="F308" s="571"/>
      <c r="G308" s="557"/>
      <c r="H308" s="560"/>
      <c r="I308" s="560"/>
      <c r="J308" s="568"/>
    </row>
    <row r="309" spans="1:11" ht="30" thickBot="1" x14ac:dyDescent="0.35">
      <c r="A309" s="318" t="s">
        <v>102</v>
      </c>
      <c r="B309" s="433" t="s">
        <v>225</v>
      </c>
      <c r="C309" s="562">
        <f>SUM(C307:C308)</f>
        <v>1292400</v>
      </c>
      <c r="D309" s="563">
        <f t="shared" ref="D309" si="215">SUM(D307:D308)</f>
        <v>627876</v>
      </c>
      <c r="E309" s="564">
        <f t="shared" si="209"/>
        <v>0.48582172701949861</v>
      </c>
      <c r="F309" s="565">
        <f t="shared" ref="F309:J309" si="216">SUM(F307:F308)</f>
        <v>35250880.8279</v>
      </c>
      <c r="G309" s="563">
        <f t="shared" si="216"/>
        <v>2806754</v>
      </c>
      <c r="H309" s="565">
        <f t="shared" si="216"/>
        <v>20746382.544700004</v>
      </c>
      <c r="I309" s="565">
        <f t="shared" si="216"/>
        <v>63936899.199999996</v>
      </c>
      <c r="J309" s="758">
        <f t="shared" si="216"/>
        <v>83652484.839990005</v>
      </c>
    </row>
    <row r="310" spans="1:11" ht="31.8" thickBot="1" x14ac:dyDescent="0.35">
      <c r="A310" s="630"/>
      <c r="B310" s="548" t="s">
        <v>174</v>
      </c>
      <c r="C310" s="549">
        <f>+C303+C306+C309</f>
        <v>7473564</v>
      </c>
      <c r="D310" s="575">
        <f t="shared" ref="D310" si="217">+D303+D306+D309</f>
        <v>7276616</v>
      </c>
      <c r="E310" s="576">
        <f>IFERROR(D310/C310,"-")</f>
        <v>0.97364737894798248</v>
      </c>
      <c r="F310" s="575">
        <f>+F303+F306+F309</f>
        <v>139682960.38909999</v>
      </c>
      <c r="G310" s="575">
        <f t="shared" ref="G310:H310" si="218">+G303+G306+G309</f>
        <v>6720918</v>
      </c>
      <c r="H310" s="575">
        <f t="shared" si="218"/>
        <v>38163879.519299999</v>
      </c>
      <c r="I310" s="575">
        <f>+I303+I306+I309</f>
        <v>211806149.97815999</v>
      </c>
      <c r="J310" s="631">
        <f t="shared" ref="J310" si="219">+J303+J306+J309</f>
        <v>198594584.47999001</v>
      </c>
    </row>
    <row r="312" spans="1:11" x14ac:dyDescent="0.3">
      <c r="C312" s="704"/>
      <c r="D312" s="704"/>
      <c r="E312" s="704"/>
      <c r="F312" s="704"/>
      <c r="G312" s="704"/>
      <c r="H312" s="704"/>
      <c r="I312" s="704"/>
      <c r="J312" s="704"/>
      <c r="K312" s="704"/>
    </row>
  </sheetData>
  <mergeCells count="261">
    <mergeCell ref="A296:A299"/>
    <mergeCell ref="B296:B299"/>
    <mergeCell ref="C296:C299"/>
    <mergeCell ref="D296:H296"/>
    <mergeCell ref="I296:I299"/>
    <mergeCell ref="J296:J299"/>
    <mergeCell ref="D297:F297"/>
    <mergeCell ref="G297:H297"/>
    <mergeCell ref="D298:D299"/>
    <mergeCell ref="E298:E299"/>
    <mergeCell ref="F298:F299"/>
    <mergeCell ref="G298:G299"/>
    <mergeCell ref="H298:H299"/>
    <mergeCell ref="A251:A254"/>
    <mergeCell ref="B251:B254"/>
    <mergeCell ref="C251:C254"/>
    <mergeCell ref="D251:H251"/>
    <mergeCell ref="I251:I254"/>
    <mergeCell ref="J251:J254"/>
    <mergeCell ref="D252:F252"/>
    <mergeCell ref="G252:H252"/>
    <mergeCell ref="D253:D254"/>
    <mergeCell ref="E253:E254"/>
    <mergeCell ref="F253:F254"/>
    <mergeCell ref="G253:G254"/>
    <mergeCell ref="H253:H254"/>
    <mergeCell ref="A236:A239"/>
    <mergeCell ref="B236:B239"/>
    <mergeCell ref="C236:C239"/>
    <mergeCell ref="D236:H236"/>
    <mergeCell ref="I236:I239"/>
    <mergeCell ref="J236:J239"/>
    <mergeCell ref="D237:F237"/>
    <mergeCell ref="G237:H237"/>
    <mergeCell ref="D238:D239"/>
    <mergeCell ref="E238:E239"/>
    <mergeCell ref="F238:F239"/>
    <mergeCell ref="G238:G239"/>
    <mergeCell ref="H238:H239"/>
    <mergeCell ref="A191:A194"/>
    <mergeCell ref="B191:B194"/>
    <mergeCell ref="C191:C194"/>
    <mergeCell ref="D191:H191"/>
    <mergeCell ref="I191:I194"/>
    <mergeCell ref="J191:J194"/>
    <mergeCell ref="D192:F192"/>
    <mergeCell ref="G192:H192"/>
    <mergeCell ref="D193:D194"/>
    <mergeCell ref="E193:E194"/>
    <mergeCell ref="F193:F194"/>
    <mergeCell ref="G193:G194"/>
    <mergeCell ref="H193:H194"/>
    <mergeCell ref="A176:A179"/>
    <mergeCell ref="B176:B179"/>
    <mergeCell ref="C176:C179"/>
    <mergeCell ref="D176:H176"/>
    <mergeCell ref="I176:I179"/>
    <mergeCell ref="J176:J179"/>
    <mergeCell ref="D177:F177"/>
    <mergeCell ref="G177:H177"/>
    <mergeCell ref="D178:D179"/>
    <mergeCell ref="E178:E179"/>
    <mergeCell ref="F178:F179"/>
    <mergeCell ref="G178:G179"/>
    <mergeCell ref="H178:H179"/>
    <mergeCell ref="A161:A164"/>
    <mergeCell ref="B161:B164"/>
    <mergeCell ref="C161:C164"/>
    <mergeCell ref="D161:H161"/>
    <mergeCell ref="I161:I164"/>
    <mergeCell ref="J161:J164"/>
    <mergeCell ref="D162:F162"/>
    <mergeCell ref="G162:H162"/>
    <mergeCell ref="D163:D164"/>
    <mergeCell ref="E163:E164"/>
    <mergeCell ref="F163:F164"/>
    <mergeCell ref="G163:G164"/>
    <mergeCell ref="H163:H164"/>
    <mergeCell ref="A131:A134"/>
    <mergeCell ref="B131:B134"/>
    <mergeCell ref="C131:C134"/>
    <mergeCell ref="D131:H131"/>
    <mergeCell ref="I131:I134"/>
    <mergeCell ref="J131:J134"/>
    <mergeCell ref="D132:F132"/>
    <mergeCell ref="G132:H132"/>
    <mergeCell ref="D133:D134"/>
    <mergeCell ref="E133:E134"/>
    <mergeCell ref="F133:F134"/>
    <mergeCell ref="G133:G134"/>
    <mergeCell ref="H133:H134"/>
    <mergeCell ref="J116:J119"/>
    <mergeCell ref="D117:F117"/>
    <mergeCell ref="G117:H117"/>
    <mergeCell ref="D118:D119"/>
    <mergeCell ref="E118:E119"/>
    <mergeCell ref="F118:F119"/>
    <mergeCell ref="G118:G119"/>
    <mergeCell ref="H118:H119"/>
    <mergeCell ref="A116:A119"/>
    <mergeCell ref="B116:B119"/>
    <mergeCell ref="C116:C119"/>
    <mergeCell ref="D116:H116"/>
    <mergeCell ref="I116:I119"/>
    <mergeCell ref="J101:J104"/>
    <mergeCell ref="D102:F102"/>
    <mergeCell ref="G102:H102"/>
    <mergeCell ref="D103:D104"/>
    <mergeCell ref="E103:E104"/>
    <mergeCell ref="F103:F104"/>
    <mergeCell ref="G103:G104"/>
    <mergeCell ref="H103:H104"/>
    <mergeCell ref="A101:A104"/>
    <mergeCell ref="B101:B104"/>
    <mergeCell ref="C101:C104"/>
    <mergeCell ref="D101:H101"/>
    <mergeCell ref="I101:I104"/>
    <mergeCell ref="J86:J89"/>
    <mergeCell ref="D87:F87"/>
    <mergeCell ref="G87:H87"/>
    <mergeCell ref="D88:D89"/>
    <mergeCell ref="E88:E89"/>
    <mergeCell ref="F88:F89"/>
    <mergeCell ref="G88:G89"/>
    <mergeCell ref="H88:H89"/>
    <mergeCell ref="A86:A89"/>
    <mergeCell ref="B86:B89"/>
    <mergeCell ref="C86:C89"/>
    <mergeCell ref="D86:H86"/>
    <mergeCell ref="I86:I89"/>
    <mergeCell ref="J71:J74"/>
    <mergeCell ref="D72:F72"/>
    <mergeCell ref="G72:H72"/>
    <mergeCell ref="D73:D74"/>
    <mergeCell ref="E73:E74"/>
    <mergeCell ref="F73:F74"/>
    <mergeCell ref="G73:G74"/>
    <mergeCell ref="H73:H74"/>
    <mergeCell ref="A71:A74"/>
    <mergeCell ref="B71:B74"/>
    <mergeCell ref="C71:C74"/>
    <mergeCell ref="D71:H71"/>
    <mergeCell ref="I71:I74"/>
    <mergeCell ref="J56:J59"/>
    <mergeCell ref="D57:F57"/>
    <mergeCell ref="G57:H57"/>
    <mergeCell ref="D58:D59"/>
    <mergeCell ref="E58:E59"/>
    <mergeCell ref="F58:F59"/>
    <mergeCell ref="G58:G59"/>
    <mergeCell ref="H58:H59"/>
    <mergeCell ref="A56:A59"/>
    <mergeCell ref="B56:B59"/>
    <mergeCell ref="C56:C59"/>
    <mergeCell ref="D56:H56"/>
    <mergeCell ref="I56:I59"/>
    <mergeCell ref="A9:J9"/>
    <mergeCell ref="A11:A14"/>
    <mergeCell ref="B11:B14"/>
    <mergeCell ref="C11:C14"/>
    <mergeCell ref="D11:H11"/>
    <mergeCell ref="I11:I14"/>
    <mergeCell ref="J11:J14"/>
    <mergeCell ref="D12:F12"/>
    <mergeCell ref="G12:H12"/>
    <mergeCell ref="D13:D14"/>
    <mergeCell ref="E13:E14"/>
    <mergeCell ref="F13:F14"/>
    <mergeCell ref="G13:G14"/>
    <mergeCell ref="H13:H14"/>
    <mergeCell ref="A26:A29"/>
    <mergeCell ref="B26:B29"/>
    <mergeCell ref="C26:C29"/>
    <mergeCell ref="D26:H26"/>
    <mergeCell ref="I26:I29"/>
    <mergeCell ref="J26:J29"/>
    <mergeCell ref="D27:F27"/>
    <mergeCell ref="G27:H27"/>
    <mergeCell ref="D28:D29"/>
    <mergeCell ref="E28:E29"/>
    <mergeCell ref="F28:F29"/>
    <mergeCell ref="G28:G29"/>
    <mergeCell ref="H28:H29"/>
    <mergeCell ref="A41:A44"/>
    <mergeCell ref="B41:B44"/>
    <mergeCell ref="C41:C44"/>
    <mergeCell ref="D41:H41"/>
    <mergeCell ref="I41:I44"/>
    <mergeCell ref="J41:J44"/>
    <mergeCell ref="D42:F42"/>
    <mergeCell ref="G42:H42"/>
    <mergeCell ref="D43:D44"/>
    <mergeCell ref="E43:E44"/>
    <mergeCell ref="F43:F44"/>
    <mergeCell ref="G43:G44"/>
    <mergeCell ref="H43:H44"/>
    <mergeCell ref="A146:A149"/>
    <mergeCell ref="B146:B149"/>
    <mergeCell ref="C146:C149"/>
    <mergeCell ref="D146:H146"/>
    <mergeCell ref="I146:I149"/>
    <mergeCell ref="J146:J149"/>
    <mergeCell ref="D147:F147"/>
    <mergeCell ref="G147:H147"/>
    <mergeCell ref="D148:D149"/>
    <mergeCell ref="E148:E149"/>
    <mergeCell ref="F148:F149"/>
    <mergeCell ref="G148:G149"/>
    <mergeCell ref="H148:H149"/>
    <mergeCell ref="A206:A209"/>
    <mergeCell ref="B206:B209"/>
    <mergeCell ref="C206:C209"/>
    <mergeCell ref="D206:H206"/>
    <mergeCell ref="I206:I209"/>
    <mergeCell ref="J206:J209"/>
    <mergeCell ref="D207:F207"/>
    <mergeCell ref="G207:H207"/>
    <mergeCell ref="D208:D209"/>
    <mergeCell ref="E208:E209"/>
    <mergeCell ref="F208:F209"/>
    <mergeCell ref="G208:G209"/>
    <mergeCell ref="H208:H209"/>
    <mergeCell ref="A221:A224"/>
    <mergeCell ref="B221:B224"/>
    <mergeCell ref="C221:C224"/>
    <mergeCell ref="D221:H221"/>
    <mergeCell ref="I221:I224"/>
    <mergeCell ref="J221:J224"/>
    <mergeCell ref="D222:F222"/>
    <mergeCell ref="G222:H222"/>
    <mergeCell ref="D223:D224"/>
    <mergeCell ref="E223:E224"/>
    <mergeCell ref="F223:F224"/>
    <mergeCell ref="G223:G224"/>
    <mergeCell ref="H223:H224"/>
    <mergeCell ref="A266:A269"/>
    <mergeCell ref="B266:B269"/>
    <mergeCell ref="C266:C269"/>
    <mergeCell ref="D266:H266"/>
    <mergeCell ref="I266:I269"/>
    <mergeCell ref="J266:J269"/>
    <mergeCell ref="D267:F267"/>
    <mergeCell ref="G267:H267"/>
    <mergeCell ref="D268:D269"/>
    <mergeCell ref="E268:E269"/>
    <mergeCell ref="F268:F269"/>
    <mergeCell ref="G268:G269"/>
    <mergeCell ref="H268:H269"/>
    <mergeCell ref="A281:A284"/>
    <mergeCell ref="B281:B284"/>
    <mergeCell ref="C281:C284"/>
    <mergeCell ref="D281:H281"/>
    <mergeCell ref="I281:I284"/>
    <mergeCell ref="J281:J284"/>
    <mergeCell ref="D282:F282"/>
    <mergeCell ref="G282:H282"/>
    <mergeCell ref="D283:D284"/>
    <mergeCell ref="E283:E284"/>
    <mergeCell ref="F283:F284"/>
    <mergeCell ref="G283:G284"/>
    <mergeCell ref="H283:H284"/>
  </mergeCells>
  <pageMargins left="0.19685039370078741" right="0.19685039370078741" top="0.19685039370078741" bottom="0.19685039370078741" header="0.19685039370078741" footer="0.19685039370078741"/>
  <pageSetup paperSize="9" scale="10" orientation="landscape" verticalDpi="300" r:id="rId1"/>
  <rowBreaks count="2" manualBreakCount="2">
    <brk id="220" max="9" man="1"/>
    <brk id="280" max="9" man="1"/>
  </row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0000"/>
  </sheetPr>
  <dimension ref="A7:T347"/>
  <sheetViews>
    <sheetView view="pageBreakPreview" topLeftCell="A10" zoomScale="50" zoomScaleNormal="70" zoomScaleSheetLayoutView="50" workbookViewId="0">
      <selection activeCell="D22" sqref="D22"/>
    </sheetView>
  </sheetViews>
  <sheetFormatPr defaultColWidth="9.109375" defaultRowHeight="13.8" x14ac:dyDescent="0.3"/>
  <cols>
    <col min="1" max="1" width="10.109375" style="229" customWidth="1"/>
    <col min="2" max="2" width="32.44140625" style="221" customWidth="1"/>
    <col min="3" max="3" width="32.33203125" style="222" customWidth="1"/>
    <col min="4" max="4" width="33.109375" style="222" customWidth="1"/>
    <col min="5" max="5" width="32.33203125" style="223" customWidth="1"/>
    <col min="6" max="7" width="24.6640625" style="222" customWidth="1"/>
    <col min="8" max="8" width="24.6640625" style="224" customWidth="1"/>
    <col min="9" max="9" width="24.6640625" style="223" customWidth="1"/>
    <col min="10" max="10" width="21.109375" style="222" customWidth="1"/>
    <col min="11" max="12" width="15.6640625" style="222" customWidth="1"/>
    <col min="13" max="13" width="17.109375" style="262" customWidth="1"/>
    <col min="14" max="15" width="15.6640625" style="222" customWidth="1"/>
    <col min="16" max="16" width="20.6640625" style="262" customWidth="1"/>
    <col min="17" max="18" width="15.6640625" style="222" customWidth="1"/>
    <col min="19" max="19" width="16.109375" style="224" customWidth="1"/>
    <col min="20" max="20" width="23.33203125" style="224" bestFit="1" customWidth="1"/>
    <col min="21" max="16384" width="9.109375" style="229"/>
  </cols>
  <sheetData>
    <row r="7" spans="1:20" ht="67.2" customHeight="1" x14ac:dyDescent="0.3">
      <c r="A7" s="220" t="s">
        <v>0</v>
      </c>
      <c r="K7" s="225"/>
      <c r="L7" s="225"/>
      <c r="M7" s="226"/>
      <c r="N7" s="227"/>
      <c r="O7" s="227"/>
      <c r="P7" s="227"/>
      <c r="Q7" s="227"/>
      <c r="R7" s="225"/>
      <c r="S7" s="228"/>
    </row>
    <row r="9" spans="1:20" ht="81" customHeight="1" x14ac:dyDescent="0.3">
      <c r="A9" s="1088" t="s">
        <v>482</v>
      </c>
      <c r="B9" s="1089"/>
      <c r="C9" s="1089"/>
      <c r="D9" s="1089"/>
      <c r="E9" s="1089"/>
      <c r="F9" s="1089"/>
      <c r="G9" s="1089"/>
      <c r="H9" s="1089"/>
      <c r="I9" s="1089"/>
      <c r="J9" s="1089"/>
      <c r="K9" s="1089"/>
      <c r="L9" s="1089"/>
      <c r="M9" s="1089"/>
      <c r="N9" s="1089"/>
      <c r="O9" s="1089"/>
      <c r="P9" s="1089"/>
      <c r="Q9" s="1089"/>
      <c r="R9" s="1089"/>
      <c r="S9" s="1089"/>
      <c r="T9" s="1089"/>
    </row>
    <row r="10" spans="1:20" ht="24.6" customHeight="1" x14ac:dyDescent="0.3">
      <c r="A10" s="230"/>
      <c r="B10" s="231"/>
      <c r="C10" s="232"/>
      <c r="D10" s="232"/>
      <c r="E10" s="232"/>
      <c r="F10" s="232"/>
      <c r="G10" s="233"/>
      <c r="H10" s="234"/>
      <c r="I10" s="232"/>
      <c r="J10" s="232"/>
      <c r="K10" s="232"/>
      <c r="L10" s="232"/>
      <c r="M10" s="234"/>
      <c r="N10" s="232"/>
      <c r="O10" s="232"/>
      <c r="P10" s="234"/>
      <c r="Q10" s="232"/>
      <c r="R10" s="232"/>
      <c r="S10" s="234"/>
      <c r="T10" s="234"/>
    </row>
    <row r="11" spans="1:20" ht="24.6" customHeight="1" thickBot="1" x14ac:dyDescent="0.35">
      <c r="A11" s="230"/>
      <c r="B11" s="231"/>
      <c r="C11" s="232"/>
      <c r="D11" s="232"/>
      <c r="E11" s="232"/>
      <c r="F11" s="232"/>
      <c r="G11" s="233"/>
      <c r="H11" s="234"/>
      <c r="I11" s="232"/>
      <c r="J11" s="232"/>
      <c r="K11" s="232"/>
      <c r="L11" s="232"/>
      <c r="M11" s="234"/>
      <c r="N11" s="232"/>
      <c r="O11" s="232"/>
      <c r="P11" s="234"/>
      <c r="Q11" s="232"/>
      <c r="R11" s="232"/>
      <c r="S11" s="234"/>
      <c r="T11" s="234"/>
    </row>
    <row r="12" spans="1:20" ht="28.5" customHeight="1" x14ac:dyDescent="0.3">
      <c r="A12" s="1115" t="s">
        <v>1</v>
      </c>
      <c r="B12" s="1115" t="s">
        <v>2</v>
      </c>
      <c r="C12" s="1066" t="s">
        <v>207</v>
      </c>
      <c r="D12" s="1067"/>
      <c r="E12" s="1068"/>
      <c r="F12" s="1066" t="s">
        <v>597</v>
      </c>
      <c r="G12" s="1067"/>
      <c r="H12" s="1067"/>
      <c r="I12" s="1068"/>
      <c r="J12" s="1115" t="s">
        <v>204</v>
      </c>
      <c r="K12" s="1066" t="s">
        <v>192</v>
      </c>
      <c r="L12" s="1067"/>
      <c r="M12" s="1068"/>
      <c r="N12" s="1066" t="s">
        <v>193</v>
      </c>
      <c r="O12" s="1067"/>
      <c r="P12" s="1068"/>
      <c r="Q12" s="1066" t="s">
        <v>194</v>
      </c>
      <c r="R12" s="1067"/>
      <c r="S12" s="1068"/>
      <c r="T12" s="1173" t="s">
        <v>191</v>
      </c>
    </row>
    <row r="13" spans="1:20" ht="91.5" customHeight="1" thickBot="1" x14ac:dyDescent="0.35">
      <c r="A13" s="1117"/>
      <c r="B13" s="1117"/>
      <c r="C13" s="235" t="s">
        <v>208</v>
      </c>
      <c r="D13" s="236" t="s">
        <v>205</v>
      </c>
      <c r="E13" s="237" t="s">
        <v>206</v>
      </c>
      <c r="F13" s="238" t="s">
        <v>326</v>
      </c>
      <c r="G13" s="236" t="s">
        <v>201</v>
      </c>
      <c r="H13" s="239" t="s">
        <v>202</v>
      </c>
      <c r="I13" s="240" t="s">
        <v>203</v>
      </c>
      <c r="J13" s="1117"/>
      <c r="K13" s="235" t="s">
        <v>195</v>
      </c>
      <c r="L13" s="239" t="s">
        <v>196</v>
      </c>
      <c r="M13" s="241" t="s">
        <v>209</v>
      </c>
      <c r="N13" s="242" t="s">
        <v>197</v>
      </c>
      <c r="O13" s="239" t="s">
        <v>198</v>
      </c>
      <c r="P13" s="241" t="s">
        <v>210</v>
      </c>
      <c r="Q13" s="235" t="s">
        <v>199</v>
      </c>
      <c r="R13" s="239" t="s">
        <v>200</v>
      </c>
      <c r="S13" s="243" t="s">
        <v>211</v>
      </c>
      <c r="T13" s="1174"/>
    </row>
    <row r="14" spans="1:20" ht="24.6" customHeight="1" x14ac:dyDescent="0.3">
      <c r="A14" s="244" t="s">
        <v>103</v>
      </c>
      <c r="B14" s="245" t="s">
        <v>16</v>
      </c>
      <c r="C14" s="463">
        <f>+D14+E14</f>
        <v>30</v>
      </c>
      <c r="D14" s="246">
        <v>30</v>
      </c>
      <c r="E14" s="247"/>
      <c r="F14" s="600">
        <v>15000</v>
      </c>
      <c r="G14" s="464">
        <f>+H14+I14</f>
        <v>1384</v>
      </c>
      <c r="H14" s="604">
        <v>1280</v>
      </c>
      <c r="I14" s="935">
        <v>104</v>
      </c>
      <c r="J14" s="934">
        <v>480</v>
      </c>
      <c r="K14" s="463">
        <f>+L14-E14</f>
        <v>450</v>
      </c>
      <c r="L14" s="464">
        <f>+J14-D14</f>
        <v>450</v>
      </c>
      <c r="M14" s="465">
        <f>IFERROR(K14/L14,"-")</f>
        <v>1</v>
      </c>
      <c r="N14" s="466">
        <f>+O14-C14</f>
        <v>420</v>
      </c>
      <c r="O14" s="464">
        <f>+K14</f>
        <v>450</v>
      </c>
      <c r="P14" s="467">
        <f>IFERROR(N14/O14,"-")</f>
        <v>0.93333333333333335</v>
      </c>
      <c r="Q14" s="464">
        <f>IFERROR(N14-(J14-(J14*H14/G14)),"-")</f>
        <v>383.93063583815029</v>
      </c>
      <c r="R14" s="464">
        <f>+N14</f>
        <v>420</v>
      </c>
      <c r="S14" s="468">
        <f>IFERROR(Q14/R14,"-")</f>
        <v>0.91412056151940546</v>
      </c>
      <c r="T14" s="469">
        <f>IFERROR(M14*P14*S14,"-")</f>
        <v>0.8531791907514451</v>
      </c>
    </row>
    <row r="15" spans="1:20" ht="24.6" customHeight="1" x14ac:dyDescent="0.3">
      <c r="A15" s="248" t="s">
        <v>103</v>
      </c>
      <c r="B15" s="249" t="s">
        <v>215</v>
      </c>
      <c r="C15" s="470">
        <f t="shared" ref="C15:C29" si="0">+D15+E15</f>
        <v>180</v>
      </c>
      <c r="D15" s="250">
        <v>30</v>
      </c>
      <c r="E15" s="251">
        <v>150</v>
      </c>
      <c r="F15" s="601">
        <v>100000</v>
      </c>
      <c r="G15" s="472">
        <f t="shared" ref="G15:G20" si="1">+H15+I15</f>
        <v>55245</v>
      </c>
      <c r="H15" s="254">
        <v>55080</v>
      </c>
      <c r="I15" s="936">
        <v>165</v>
      </c>
      <c r="J15" s="928">
        <v>480</v>
      </c>
      <c r="K15" s="470">
        <f t="shared" ref="K15:K18" si="2">+L15-E15</f>
        <v>300</v>
      </c>
      <c r="L15" s="472">
        <f t="shared" ref="L15:L30" si="3">+J15-D15</f>
        <v>450</v>
      </c>
      <c r="M15" s="473">
        <f t="shared" ref="M15:M18" si="4">IFERROR(K15/L15,"-")</f>
        <v>0.66666666666666663</v>
      </c>
      <c r="N15" s="474">
        <f>+O15-C15</f>
        <v>120</v>
      </c>
      <c r="O15" s="472">
        <f t="shared" ref="O15:O30" si="5">+K15</f>
        <v>300</v>
      </c>
      <c r="P15" s="475">
        <f>IFERROR(N15/O15,"-")</f>
        <v>0.4</v>
      </c>
      <c r="Q15" s="472">
        <f t="shared" ref="Q15:Q29" si="6">IFERROR(N15-(J15-(J15*H15/G15)),"-")</f>
        <v>118.56638609828946</v>
      </c>
      <c r="R15" s="472">
        <f t="shared" ref="R15:R29" si="7">+N15</f>
        <v>120</v>
      </c>
      <c r="S15" s="476">
        <f t="shared" ref="S15:S29" si="8">IFERROR(Q15/R15,"-")</f>
        <v>0.98805321748574548</v>
      </c>
      <c r="T15" s="477">
        <f t="shared" ref="T15:T29" si="9">IFERROR(M15*P15*S15,"-")</f>
        <v>0.2634808579961988</v>
      </c>
    </row>
    <row r="16" spans="1:20" ht="24.6" customHeight="1" x14ac:dyDescent="0.3">
      <c r="A16" s="248" t="s">
        <v>103</v>
      </c>
      <c r="B16" s="249" t="s">
        <v>214</v>
      </c>
      <c r="C16" s="470">
        <f t="shared" si="0"/>
        <v>0</v>
      </c>
      <c r="D16" s="250"/>
      <c r="E16" s="251"/>
      <c r="F16" s="601">
        <v>80000</v>
      </c>
      <c r="G16" s="472">
        <f t="shared" si="1"/>
        <v>0</v>
      </c>
      <c r="H16" s="254"/>
      <c r="I16" s="936"/>
      <c r="J16" s="928"/>
      <c r="K16" s="470">
        <f t="shared" si="2"/>
        <v>0</v>
      </c>
      <c r="L16" s="472">
        <f t="shared" si="3"/>
        <v>0</v>
      </c>
      <c r="M16" s="473" t="str">
        <f t="shared" si="4"/>
        <v>-</v>
      </c>
      <c r="N16" s="474">
        <f t="shared" ref="N16:N29" si="10">+O16-C16</f>
        <v>0</v>
      </c>
      <c r="O16" s="472">
        <f t="shared" si="5"/>
        <v>0</v>
      </c>
      <c r="P16" s="475" t="str">
        <f t="shared" ref="P16:P29" si="11">IFERROR(N16/O16,"-")</f>
        <v>-</v>
      </c>
      <c r="Q16" s="472" t="str">
        <f t="shared" si="6"/>
        <v>-</v>
      </c>
      <c r="R16" s="472">
        <f t="shared" si="7"/>
        <v>0</v>
      </c>
      <c r="S16" s="476" t="str">
        <f t="shared" si="8"/>
        <v>-</v>
      </c>
      <c r="T16" s="477" t="str">
        <f t="shared" si="9"/>
        <v>-</v>
      </c>
    </row>
    <row r="17" spans="1:20" ht="24.6" customHeight="1" x14ac:dyDescent="0.3">
      <c r="A17" s="252" t="s">
        <v>103</v>
      </c>
      <c r="B17" s="249" t="s">
        <v>217</v>
      </c>
      <c r="C17" s="470">
        <f t="shared" si="0"/>
        <v>210</v>
      </c>
      <c r="D17" s="250">
        <v>30</v>
      </c>
      <c r="E17" s="251">
        <v>180</v>
      </c>
      <c r="F17" s="601">
        <v>220000</v>
      </c>
      <c r="G17" s="472">
        <f t="shared" si="1"/>
        <v>34007</v>
      </c>
      <c r="H17" s="254">
        <v>33792</v>
      </c>
      <c r="I17" s="936">
        <v>215</v>
      </c>
      <c r="J17" s="928">
        <v>480</v>
      </c>
      <c r="K17" s="470">
        <f t="shared" si="2"/>
        <v>270</v>
      </c>
      <c r="L17" s="472">
        <f t="shared" si="3"/>
        <v>450</v>
      </c>
      <c r="M17" s="473">
        <f t="shared" si="4"/>
        <v>0.6</v>
      </c>
      <c r="N17" s="474">
        <f t="shared" si="10"/>
        <v>60</v>
      </c>
      <c r="O17" s="472">
        <f t="shared" si="5"/>
        <v>270</v>
      </c>
      <c r="P17" s="475">
        <f t="shared" si="11"/>
        <v>0.22222222222222221</v>
      </c>
      <c r="Q17" s="472">
        <f t="shared" si="6"/>
        <v>56.965330667215596</v>
      </c>
      <c r="R17" s="472">
        <f t="shared" si="7"/>
        <v>60</v>
      </c>
      <c r="S17" s="476">
        <f t="shared" si="8"/>
        <v>0.94942217778692661</v>
      </c>
      <c r="T17" s="477">
        <f t="shared" si="9"/>
        <v>0.12658962370492355</v>
      </c>
    </row>
    <row r="18" spans="1:20" ht="24.6" customHeight="1" x14ac:dyDescent="0.3">
      <c r="A18" s="248" t="s">
        <v>103</v>
      </c>
      <c r="B18" s="249" t="s">
        <v>216</v>
      </c>
      <c r="C18" s="470">
        <f t="shared" si="0"/>
        <v>270</v>
      </c>
      <c r="D18" s="250">
        <v>30</v>
      </c>
      <c r="E18" s="251">
        <v>240</v>
      </c>
      <c r="F18" s="601">
        <v>50000</v>
      </c>
      <c r="G18" s="472">
        <f t="shared" si="1"/>
        <v>13319</v>
      </c>
      <c r="H18" s="254">
        <v>13104</v>
      </c>
      <c r="I18" s="936">
        <v>215</v>
      </c>
      <c r="J18" s="928">
        <v>480</v>
      </c>
      <c r="K18" s="470">
        <f t="shared" si="2"/>
        <v>210</v>
      </c>
      <c r="L18" s="472">
        <f t="shared" si="3"/>
        <v>450</v>
      </c>
      <c r="M18" s="473">
        <f t="shared" si="4"/>
        <v>0.46666666666666667</v>
      </c>
      <c r="N18" s="474">
        <f t="shared" si="10"/>
        <v>-60</v>
      </c>
      <c r="O18" s="472">
        <f t="shared" si="5"/>
        <v>210</v>
      </c>
      <c r="P18" s="475">
        <f t="shared" si="11"/>
        <v>-0.2857142857142857</v>
      </c>
      <c r="Q18" s="472">
        <f t="shared" si="6"/>
        <v>-67.74832945416324</v>
      </c>
      <c r="R18" s="472">
        <f t="shared" si="7"/>
        <v>-60</v>
      </c>
      <c r="S18" s="476">
        <f t="shared" si="8"/>
        <v>1.1291388242360541</v>
      </c>
      <c r="T18" s="477">
        <f t="shared" si="9"/>
        <v>-0.15055184323147386</v>
      </c>
    </row>
    <row r="19" spans="1:20" ht="24.6" customHeight="1" x14ac:dyDescent="0.3">
      <c r="A19" s="248">
        <v>5</v>
      </c>
      <c r="B19" s="249" t="s">
        <v>22</v>
      </c>
      <c r="C19" s="470">
        <f t="shared" si="0"/>
        <v>0</v>
      </c>
      <c r="D19" s="250"/>
      <c r="E19" s="251"/>
      <c r="F19" s="601">
        <v>80000</v>
      </c>
      <c r="G19" s="472">
        <f t="shared" si="1"/>
        <v>0</v>
      </c>
      <c r="H19" s="471"/>
      <c r="I19" s="937"/>
      <c r="J19" s="928"/>
      <c r="K19" s="470">
        <f>+L19-E19</f>
        <v>0</v>
      </c>
      <c r="L19" s="472">
        <f t="shared" si="3"/>
        <v>0</v>
      </c>
      <c r="M19" s="473" t="str">
        <f>IFERROR(K19/L19,"-")</f>
        <v>-</v>
      </c>
      <c r="N19" s="474">
        <f t="shared" si="10"/>
        <v>0</v>
      </c>
      <c r="O19" s="472">
        <f t="shared" si="5"/>
        <v>0</v>
      </c>
      <c r="P19" s="475" t="str">
        <f t="shared" si="11"/>
        <v>-</v>
      </c>
      <c r="Q19" s="472" t="str">
        <f t="shared" si="6"/>
        <v>-</v>
      </c>
      <c r="R19" s="472">
        <f t="shared" si="7"/>
        <v>0</v>
      </c>
      <c r="S19" s="476" t="str">
        <f t="shared" si="8"/>
        <v>-</v>
      </c>
      <c r="T19" s="477" t="str">
        <f t="shared" si="9"/>
        <v>-</v>
      </c>
    </row>
    <row r="20" spans="1:20" ht="24.6" customHeight="1" x14ac:dyDescent="0.3">
      <c r="A20" s="248" t="s">
        <v>103</v>
      </c>
      <c r="B20" s="249" t="s">
        <v>23</v>
      </c>
      <c r="C20" s="470">
        <f t="shared" si="0"/>
        <v>0</v>
      </c>
      <c r="D20" s="250"/>
      <c r="E20" s="251"/>
      <c r="F20" s="601">
        <v>14000</v>
      </c>
      <c r="G20" s="472">
        <f t="shared" si="1"/>
        <v>0</v>
      </c>
      <c r="H20" s="254"/>
      <c r="I20" s="936"/>
      <c r="J20" s="928"/>
      <c r="K20" s="470">
        <f t="shared" ref="K20:K30" si="12">+L20-E20</f>
        <v>0</v>
      </c>
      <c r="L20" s="472">
        <f t="shared" si="3"/>
        <v>0</v>
      </c>
      <c r="M20" s="473" t="str">
        <f t="shared" ref="M20:M30" si="13">IFERROR(K20/L20,"-")</f>
        <v>-</v>
      </c>
      <c r="N20" s="474">
        <f t="shared" si="10"/>
        <v>0</v>
      </c>
      <c r="O20" s="472">
        <f t="shared" si="5"/>
        <v>0</v>
      </c>
      <c r="P20" s="475" t="str">
        <f t="shared" si="11"/>
        <v>-</v>
      </c>
      <c r="Q20" s="472" t="str">
        <f t="shared" si="6"/>
        <v>-</v>
      </c>
      <c r="R20" s="472">
        <f t="shared" si="7"/>
        <v>0</v>
      </c>
      <c r="S20" s="476" t="str">
        <f t="shared" si="8"/>
        <v>-</v>
      </c>
      <c r="T20" s="477" t="str">
        <f t="shared" si="9"/>
        <v>-</v>
      </c>
    </row>
    <row r="21" spans="1:20" ht="24.6" customHeight="1" x14ac:dyDescent="0.3">
      <c r="A21" s="248" t="s">
        <v>103</v>
      </c>
      <c r="B21" s="253" t="s">
        <v>212</v>
      </c>
      <c r="C21" s="478">
        <f t="shared" si="0"/>
        <v>960</v>
      </c>
      <c r="D21" s="250"/>
      <c r="E21" s="251">
        <v>960</v>
      </c>
      <c r="F21" s="601">
        <v>4500</v>
      </c>
      <c r="G21" s="472">
        <f>+H21+I21</f>
        <v>0</v>
      </c>
      <c r="H21" s="254">
        <v>0</v>
      </c>
      <c r="I21" s="251">
        <v>0</v>
      </c>
      <c r="J21" s="928">
        <v>960</v>
      </c>
      <c r="K21" s="478">
        <f t="shared" si="12"/>
        <v>0</v>
      </c>
      <c r="L21" s="250">
        <f t="shared" si="3"/>
        <v>960</v>
      </c>
      <c r="M21" s="479">
        <f t="shared" si="13"/>
        <v>0</v>
      </c>
      <c r="N21" s="480">
        <f t="shared" si="10"/>
        <v>-960</v>
      </c>
      <c r="O21" s="250">
        <f t="shared" si="5"/>
        <v>0</v>
      </c>
      <c r="P21" s="481" t="str">
        <f t="shared" si="11"/>
        <v>-</v>
      </c>
      <c r="Q21" s="250" t="str">
        <f t="shared" si="6"/>
        <v>-</v>
      </c>
      <c r="R21" s="250">
        <f t="shared" si="7"/>
        <v>-960</v>
      </c>
      <c r="S21" s="482" t="str">
        <f t="shared" si="8"/>
        <v>-</v>
      </c>
      <c r="T21" s="483" t="str">
        <f t="shared" si="9"/>
        <v>-</v>
      </c>
    </row>
    <row r="22" spans="1:20" ht="24.6" customHeight="1" thickBot="1" x14ac:dyDescent="0.35">
      <c r="A22" s="255" t="s">
        <v>103</v>
      </c>
      <c r="B22" s="256" t="s">
        <v>213</v>
      </c>
      <c r="C22" s="484">
        <f t="shared" si="0"/>
        <v>520</v>
      </c>
      <c r="D22" s="257">
        <f>30+30+60+15+135</f>
        <v>270</v>
      </c>
      <c r="E22" s="258">
        <v>250</v>
      </c>
      <c r="F22" s="605">
        <v>5000</v>
      </c>
      <c r="G22" s="494">
        <f t="shared" ref="G22:G29" si="14">+H22+I22</f>
        <v>15509</v>
      </c>
      <c r="H22" s="259">
        <v>15475</v>
      </c>
      <c r="I22" s="258">
        <v>34</v>
      </c>
      <c r="J22" s="929">
        <v>960</v>
      </c>
      <c r="K22" s="484">
        <f t="shared" si="12"/>
        <v>440</v>
      </c>
      <c r="L22" s="257">
        <f t="shared" si="3"/>
        <v>690</v>
      </c>
      <c r="M22" s="485">
        <f t="shared" si="13"/>
        <v>0.6376811594202898</v>
      </c>
      <c r="N22" s="486">
        <f t="shared" si="10"/>
        <v>-80</v>
      </c>
      <c r="O22" s="257">
        <f t="shared" si="5"/>
        <v>440</v>
      </c>
      <c r="P22" s="487">
        <f t="shared" si="11"/>
        <v>-0.18181818181818182</v>
      </c>
      <c r="Q22" s="257">
        <f t="shared" si="6"/>
        <v>-82.104584434844242</v>
      </c>
      <c r="R22" s="257">
        <f t="shared" si="7"/>
        <v>-80</v>
      </c>
      <c r="S22" s="488">
        <f t="shared" si="8"/>
        <v>1.0263073054355529</v>
      </c>
      <c r="T22" s="489">
        <f t="shared" si="9"/>
        <v>-0.1189921513548467</v>
      </c>
    </row>
    <row r="23" spans="1:20" ht="24.6" customHeight="1" x14ac:dyDescent="0.3">
      <c r="A23" s="252" t="s">
        <v>101</v>
      </c>
      <c r="B23" s="260" t="s">
        <v>29</v>
      </c>
      <c r="C23" s="470">
        <f t="shared" si="0"/>
        <v>0</v>
      </c>
      <c r="D23" s="250"/>
      <c r="E23" s="251"/>
      <c r="F23" s="930">
        <v>160000</v>
      </c>
      <c r="G23" s="932">
        <f t="shared" si="14"/>
        <v>0</v>
      </c>
      <c r="H23" s="930"/>
      <c r="I23" s="931"/>
      <c r="J23" s="933"/>
      <c r="K23" s="470">
        <f t="shared" si="12"/>
        <v>0</v>
      </c>
      <c r="L23" s="472">
        <f t="shared" si="3"/>
        <v>0</v>
      </c>
      <c r="M23" s="473" t="str">
        <f t="shared" si="13"/>
        <v>-</v>
      </c>
      <c r="N23" s="474">
        <f t="shared" si="10"/>
        <v>0</v>
      </c>
      <c r="O23" s="472">
        <f t="shared" si="5"/>
        <v>0</v>
      </c>
      <c r="P23" s="475" t="str">
        <f t="shared" si="11"/>
        <v>-</v>
      </c>
      <c r="Q23" s="472" t="str">
        <f t="shared" si="6"/>
        <v>-</v>
      </c>
      <c r="R23" s="472">
        <f t="shared" si="7"/>
        <v>0</v>
      </c>
      <c r="S23" s="490" t="str">
        <f t="shared" si="8"/>
        <v>-</v>
      </c>
      <c r="T23" s="491" t="str">
        <f t="shared" si="9"/>
        <v>-</v>
      </c>
    </row>
    <row r="24" spans="1:20" ht="24.6" customHeight="1" x14ac:dyDescent="0.3">
      <c r="A24" s="248" t="s">
        <v>101</v>
      </c>
      <c r="B24" s="260" t="s">
        <v>31</v>
      </c>
      <c r="C24" s="470">
        <f t="shared" si="0"/>
        <v>0</v>
      </c>
      <c r="D24" s="707"/>
      <c r="E24" s="251"/>
      <c r="F24" s="471">
        <v>50000</v>
      </c>
      <c r="G24" s="472">
        <f t="shared" si="14"/>
        <v>0</v>
      </c>
      <c r="H24" s="471"/>
      <c r="I24" s="611"/>
      <c r="J24" s="610"/>
      <c r="K24" s="470">
        <f t="shared" si="12"/>
        <v>0</v>
      </c>
      <c r="L24" s="472">
        <f t="shared" si="3"/>
        <v>0</v>
      </c>
      <c r="M24" s="473" t="str">
        <f t="shared" si="13"/>
        <v>-</v>
      </c>
      <c r="N24" s="474">
        <f t="shared" si="10"/>
        <v>0</v>
      </c>
      <c r="O24" s="472">
        <f t="shared" si="5"/>
        <v>0</v>
      </c>
      <c r="P24" s="475" t="str">
        <f t="shared" si="11"/>
        <v>-</v>
      </c>
      <c r="Q24" s="472" t="str">
        <f t="shared" si="6"/>
        <v>-</v>
      </c>
      <c r="R24" s="472">
        <f t="shared" si="7"/>
        <v>0</v>
      </c>
      <c r="S24" s="490" t="str">
        <f t="shared" si="8"/>
        <v>-</v>
      </c>
      <c r="T24" s="491" t="str">
        <f t="shared" si="9"/>
        <v>-</v>
      </c>
    </row>
    <row r="25" spans="1:20" ht="24.6" customHeight="1" thickBot="1" x14ac:dyDescent="0.35">
      <c r="A25" s="255" t="s">
        <v>101</v>
      </c>
      <c r="B25" s="261" t="s">
        <v>32</v>
      </c>
      <c r="C25" s="492">
        <f t="shared" si="0"/>
        <v>0</v>
      </c>
      <c r="D25" s="257"/>
      <c r="E25" s="258"/>
      <c r="F25" s="493">
        <v>110000</v>
      </c>
      <c r="G25" s="494">
        <f t="shared" si="14"/>
        <v>0</v>
      </c>
      <c r="H25" s="493"/>
      <c r="I25" s="612"/>
      <c r="J25" s="613"/>
      <c r="K25" s="492">
        <f t="shared" si="12"/>
        <v>0</v>
      </c>
      <c r="L25" s="494">
        <f t="shared" si="3"/>
        <v>0</v>
      </c>
      <c r="M25" s="495" t="str">
        <f t="shared" si="13"/>
        <v>-</v>
      </c>
      <c r="N25" s="496">
        <f t="shared" si="10"/>
        <v>0</v>
      </c>
      <c r="O25" s="494">
        <f t="shared" si="5"/>
        <v>0</v>
      </c>
      <c r="P25" s="497" t="str">
        <f t="shared" si="11"/>
        <v>-</v>
      </c>
      <c r="Q25" s="494" t="str">
        <f t="shared" si="6"/>
        <v>-</v>
      </c>
      <c r="R25" s="494">
        <f t="shared" si="7"/>
        <v>0</v>
      </c>
      <c r="S25" s="498" t="str">
        <f t="shared" si="8"/>
        <v>-</v>
      </c>
      <c r="T25" s="499" t="str">
        <f t="shared" si="9"/>
        <v>-</v>
      </c>
    </row>
    <row r="26" spans="1:20" ht="24.6" customHeight="1" x14ac:dyDescent="0.3">
      <c r="A26" s="248" t="s">
        <v>102</v>
      </c>
      <c r="B26" s="249" t="s">
        <v>219</v>
      </c>
      <c r="C26" s="470">
        <f t="shared" si="0"/>
        <v>30</v>
      </c>
      <c r="D26" s="250">
        <v>30</v>
      </c>
      <c r="E26" s="251"/>
      <c r="F26" s="471">
        <v>6500</v>
      </c>
      <c r="G26" s="472">
        <f t="shared" si="14"/>
        <v>3071</v>
      </c>
      <c r="H26" s="471">
        <v>2994</v>
      </c>
      <c r="I26" s="611">
        <v>77</v>
      </c>
      <c r="J26" s="610">
        <v>480</v>
      </c>
      <c r="K26" s="470">
        <f t="shared" si="12"/>
        <v>450</v>
      </c>
      <c r="L26" s="472">
        <f t="shared" si="3"/>
        <v>450</v>
      </c>
      <c r="M26" s="473">
        <f t="shared" si="13"/>
        <v>1</v>
      </c>
      <c r="N26" s="474">
        <f t="shared" si="10"/>
        <v>420</v>
      </c>
      <c r="O26" s="472">
        <f t="shared" si="5"/>
        <v>450</v>
      </c>
      <c r="P26" s="475">
        <f t="shared" si="11"/>
        <v>0.93333333333333335</v>
      </c>
      <c r="Q26" s="472">
        <f t="shared" si="6"/>
        <v>407.96483230218172</v>
      </c>
      <c r="R26" s="472">
        <f t="shared" si="7"/>
        <v>420</v>
      </c>
      <c r="S26" s="490">
        <f t="shared" si="8"/>
        <v>0.97134483881471834</v>
      </c>
      <c r="T26" s="491">
        <f t="shared" si="9"/>
        <v>0.90658851622707048</v>
      </c>
    </row>
    <row r="27" spans="1:20" ht="24.6" customHeight="1" x14ac:dyDescent="0.3">
      <c r="A27" s="252" t="s">
        <v>102</v>
      </c>
      <c r="B27" s="249" t="s">
        <v>38</v>
      </c>
      <c r="C27" s="470">
        <f t="shared" si="0"/>
        <v>0</v>
      </c>
      <c r="D27" s="250"/>
      <c r="E27" s="251"/>
      <c r="F27" s="471">
        <v>2800</v>
      </c>
      <c r="G27" s="472">
        <f t="shared" si="14"/>
        <v>0</v>
      </c>
      <c r="H27" s="471"/>
      <c r="I27" s="611"/>
      <c r="J27" s="610"/>
      <c r="K27" s="470">
        <f t="shared" si="12"/>
        <v>0</v>
      </c>
      <c r="L27" s="472">
        <f t="shared" si="3"/>
        <v>0</v>
      </c>
      <c r="M27" s="473" t="str">
        <f t="shared" si="13"/>
        <v>-</v>
      </c>
      <c r="N27" s="474">
        <f t="shared" si="10"/>
        <v>0</v>
      </c>
      <c r="O27" s="472">
        <f t="shared" si="5"/>
        <v>0</v>
      </c>
      <c r="P27" s="475" t="str">
        <f t="shared" si="11"/>
        <v>-</v>
      </c>
      <c r="Q27" s="472" t="str">
        <f t="shared" si="6"/>
        <v>-</v>
      </c>
      <c r="R27" s="472">
        <f t="shared" si="7"/>
        <v>0</v>
      </c>
      <c r="S27" s="490" t="str">
        <f t="shared" si="8"/>
        <v>-</v>
      </c>
      <c r="T27" s="491" t="str">
        <f t="shared" si="9"/>
        <v>-</v>
      </c>
    </row>
    <row r="28" spans="1:20" ht="24.6" customHeight="1" x14ac:dyDescent="0.3">
      <c r="A28" s="248" t="s">
        <v>102</v>
      </c>
      <c r="B28" s="249" t="s">
        <v>39</v>
      </c>
      <c r="C28" s="470">
        <f t="shared" si="0"/>
        <v>30</v>
      </c>
      <c r="D28" s="250">
        <v>30</v>
      </c>
      <c r="E28" s="251"/>
      <c r="F28" s="471">
        <v>25000</v>
      </c>
      <c r="G28" s="472">
        <f t="shared" si="14"/>
        <v>11589</v>
      </c>
      <c r="H28" s="471">
        <v>11520</v>
      </c>
      <c r="I28" s="611">
        <v>69</v>
      </c>
      <c r="J28" s="610">
        <v>480</v>
      </c>
      <c r="K28" s="470">
        <f t="shared" si="12"/>
        <v>450</v>
      </c>
      <c r="L28" s="472">
        <f t="shared" si="3"/>
        <v>450</v>
      </c>
      <c r="M28" s="473">
        <f t="shared" si="13"/>
        <v>1</v>
      </c>
      <c r="N28" s="474">
        <f t="shared" si="10"/>
        <v>420</v>
      </c>
      <c r="O28" s="472">
        <f t="shared" si="5"/>
        <v>450</v>
      </c>
      <c r="P28" s="475">
        <f t="shared" si="11"/>
        <v>0.93333333333333335</v>
      </c>
      <c r="Q28" s="472">
        <f t="shared" si="6"/>
        <v>417.14211752523943</v>
      </c>
      <c r="R28" s="472">
        <f t="shared" si="7"/>
        <v>420</v>
      </c>
      <c r="S28" s="490">
        <f t="shared" si="8"/>
        <v>0.9931955179172367</v>
      </c>
      <c r="T28" s="491">
        <f t="shared" si="9"/>
        <v>0.92698248338942091</v>
      </c>
    </row>
    <row r="29" spans="1:20" ht="45" customHeight="1" thickBot="1" x14ac:dyDescent="0.35">
      <c r="A29" s="615" t="s">
        <v>102</v>
      </c>
      <c r="B29" s="261" t="s">
        <v>218</v>
      </c>
      <c r="C29" s="616">
        <f t="shared" si="0"/>
        <v>30</v>
      </c>
      <c r="D29" s="617">
        <v>30</v>
      </c>
      <c r="E29" s="618"/>
      <c r="F29" s="619">
        <v>25000</v>
      </c>
      <c r="G29" s="620">
        <f t="shared" si="14"/>
        <v>11403</v>
      </c>
      <c r="H29" s="619">
        <v>11200</v>
      </c>
      <c r="I29" s="621">
        <v>203</v>
      </c>
      <c r="J29" s="614">
        <v>480</v>
      </c>
      <c r="K29" s="616">
        <f t="shared" si="12"/>
        <v>450</v>
      </c>
      <c r="L29" s="620">
        <f t="shared" si="3"/>
        <v>450</v>
      </c>
      <c r="M29" s="622">
        <f t="shared" si="13"/>
        <v>1</v>
      </c>
      <c r="N29" s="623">
        <f t="shared" si="10"/>
        <v>420</v>
      </c>
      <c r="O29" s="620">
        <f t="shared" si="5"/>
        <v>450</v>
      </c>
      <c r="P29" s="624">
        <f t="shared" si="11"/>
        <v>0.93333333333333335</v>
      </c>
      <c r="Q29" s="620">
        <f t="shared" si="6"/>
        <v>411.45488029465929</v>
      </c>
      <c r="R29" s="620">
        <f t="shared" si="7"/>
        <v>420</v>
      </c>
      <c r="S29" s="625">
        <f t="shared" si="8"/>
        <v>0.97965447689204588</v>
      </c>
      <c r="T29" s="626">
        <f t="shared" si="9"/>
        <v>0.9143441784325762</v>
      </c>
    </row>
    <row r="30" spans="1:20" ht="24.6" customHeight="1" x14ac:dyDescent="0.3">
      <c r="A30" s="230"/>
      <c r="B30" s="231"/>
      <c r="C30" s="232"/>
      <c r="D30" s="232"/>
      <c r="E30" s="232"/>
      <c r="F30" s="232"/>
      <c r="G30" s="233"/>
      <c r="H30" s="234"/>
      <c r="I30" s="232"/>
      <c r="J30" s="232"/>
      <c r="K30" s="232">
        <f t="shared" si="12"/>
        <v>0</v>
      </c>
      <c r="L30" s="232">
        <f t="shared" si="3"/>
        <v>0</v>
      </c>
      <c r="M30" s="234" t="str">
        <f t="shared" si="13"/>
        <v>-</v>
      </c>
      <c r="N30" s="232"/>
      <c r="O30" s="232">
        <f t="shared" si="5"/>
        <v>0</v>
      </c>
      <c r="P30" s="234"/>
      <c r="Q30" s="232"/>
      <c r="R30" s="232"/>
      <c r="S30" s="234"/>
      <c r="T30" s="234"/>
    </row>
    <row r="31" spans="1:20" ht="24.6" customHeight="1" x14ac:dyDescent="0.3">
      <c r="A31" s="230"/>
      <c r="B31" s="231"/>
      <c r="C31" s="232"/>
      <c r="D31" s="232"/>
      <c r="E31" s="232"/>
      <c r="F31" s="232"/>
      <c r="G31" s="233"/>
      <c r="H31" s="234"/>
      <c r="I31" s="232"/>
      <c r="J31" s="232"/>
      <c r="K31" s="232"/>
      <c r="L31" s="232"/>
      <c r="M31" s="234"/>
      <c r="N31" s="232"/>
      <c r="O31" s="232"/>
      <c r="P31" s="234"/>
      <c r="Q31" s="232"/>
      <c r="R31" s="232"/>
      <c r="S31" s="234"/>
      <c r="T31" s="234"/>
    </row>
    <row r="32" spans="1:20" ht="24.6" customHeight="1" x14ac:dyDescent="0.3">
      <c r="A32" s="230"/>
      <c r="B32" s="231"/>
      <c r="C32" s="232"/>
      <c r="D32" s="232"/>
      <c r="E32" s="232"/>
      <c r="F32" s="232"/>
      <c r="G32" s="233"/>
      <c r="H32" s="234"/>
      <c r="I32" s="232"/>
      <c r="J32" s="232"/>
      <c r="K32" s="232"/>
      <c r="L32" s="232"/>
      <c r="M32" s="234"/>
      <c r="N32" s="232"/>
      <c r="O32" s="232"/>
      <c r="P32" s="234"/>
      <c r="Q32" s="232"/>
      <c r="R32" s="232"/>
      <c r="S32" s="234"/>
      <c r="T32" s="234"/>
    </row>
    <row r="33" spans="1:20" ht="24.6" customHeight="1" x14ac:dyDescent="0.3">
      <c r="A33" s="230"/>
      <c r="B33" s="231"/>
      <c r="C33" s="232"/>
      <c r="D33" s="232"/>
      <c r="E33" s="232"/>
      <c r="F33" s="232"/>
      <c r="G33" s="233"/>
      <c r="H33" s="234"/>
      <c r="I33" s="232"/>
      <c r="J33" s="232"/>
      <c r="K33" s="232"/>
      <c r="L33" s="232"/>
      <c r="M33" s="234"/>
      <c r="N33" s="232"/>
      <c r="O33" s="232"/>
      <c r="P33" s="234"/>
      <c r="Q33" s="232"/>
      <c r="R33" s="232"/>
      <c r="S33" s="234"/>
      <c r="T33" s="234"/>
    </row>
    <row r="34" spans="1:20" ht="24.6" customHeight="1" x14ac:dyDescent="0.3">
      <c r="A34" s="230"/>
      <c r="B34" s="231"/>
      <c r="C34" s="232"/>
      <c r="D34" s="232"/>
      <c r="E34" s="232"/>
      <c r="F34" s="232"/>
      <c r="G34" s="233"/>
      <c r="H34" s="234"/>
      <c r="I34" s="232"/>
      <c r="J34" s="232"/>
      <c r="K34" s="232"/>
      <c r="L34" s="232"/>
      <c r="M34" s="234"/>
      <c r="N34" s="232"/>
      <c r="O34" s="232"/>
      <c r="P34" s="234"/>
      <c r="Q34" s="232"/>
      <c r="R34" s="232"/>
      <c r="S34" s="234"/>
      <c r="T34" s="234"/>
    </row>
    <row r="35" spans="1:20" ht="24.6" customHeight="1" thickBot="1" x14ac:dyDescent="0.35">
      <c r="A35" s="230"/>
      <c r="B35" s="231"/>
      <c r="C35" s="232"/>
      <c r="D35" s="232"/>
      <c r="E35" s="232"/>
      <c r="F35" s="232"/>
      <c r="G35" s="233"/>
      <c r="H35" s="234"/>
      <c r="I35" s="232"/>
      <c r="J35" s="232"/>
      <c r="K35" s="232"/>
      <c r="L35" s="232"/>
      <c r="M35" s="234"/>
      <c r="N35" s="232"/>
      <c r="O35" s="232"/>
      <c r="P35" s="234"/>
      <c r="Q35" s="232"/>
      <c r="R35" s="232"/>
      <c r="S35" s="234"/>
      <c r="T35" s="234"/>
    </row>
    <row r="36" spans="1:20" ht="28.5" customHeight="1" x14ac:dyDescent="0.3">
      <c r="A36" s="1115" t="s">
        <v>1</v>
      </c>
      <c r="B36" s="1115" t="s">
        <v>2</v>
      </c>
      <c r="C36" s="1066" t="s">
        <v>207</v>
      </c>
      <c r="D36" s="1067"/>
      <c r="E36" s="1068"/>
      <c r="F36" s="1066" t="s">
        <v>593</v>
      </c>
      <c r="G36" s="1067"/>
      <c r="H36" s="1067"/>
      <c r="I36" s="1068"/>
      <c r="J36" s="1115" t="s">
        <v>204</v>
      </c>
      <c r="K36" s="1066" t="s">
        <v>192</v>
      </c>
      <c r="L36" s="1067"/>
      <c r="M36" s="1068"/>
      <c r="N36" s="1066" t="s">
        <v>193</v>
      </c>
      <c r="O36" s="1067"/>
      <c r="P36" s="1068"/>
      <c r="Q36" s="1066" t="s">
        <v>194</v>
      </c>
      <c r="R36" s="1067"/>
      <c r="S36" s="1068"/>
      <c r="T36" s="1173" t="s">
        <v>191</v>
      </c>
    </row>
    <row r="37" spans="1:20" ht="91.5" customHeight="1" thickBot="1" x14ac:dyDescent="0.35">
      <c r="A37" s="1117"/>
      <c r="B37" s="1117"/>
      <c r="C37" s="235" t="s">
        <v>208</v>
      </c>
      <c r="D37" s="236" t="s">
        <v>205</v>
      </c>
      <c r="E37" s="237" t="s">
        <v>206</v>
      </c>
      <c r="F37" s="238" t="s">
        <v>326</v>
      </c>
      <c r="G37" s="236" t="s">
        <v>201</v>
      </c>
      <c r="H37" s="239" t="s">
        <v>202</v>
      </c>
      <c r="I37" s="240" t="s">
        <v>203</v>
      </c>
      <c r="J37" s="1117"/>
      <c r="K37" s="235" t="s">
        <v>195</v>
      </c>
      <c r="L37" s="239" t="s">
        <v>196</v>
      </c>
      <c r="M37" s="241" t="s">
        <v>209</v>
      </c>
      <c r="N37" s="242" t="s">
        <v>197</v>
      </c>
      <c r="O37" s="239" t="s">
        <v>198</v>
      </c>
      <c r="P37" s="241" t="s">
        <v>210</v>
      </c>
      <c r="Q37" s="235" t="s">
        <v>199</v>
      </c>
      <c r="R37" s="239" t="s">
        <v>200</v>
      </c>
      <c r="S37" s="243" t="s">
        <v>211</v>
      </c>
      <c r="T37" s="1174"/>
    </row>
    <row r="38" spans="1:20" ht="24.6" customHeight="1" x14ac:dyDescent="0.3">
      <c r="A38" s="244" t="s">
        <v>103</v>
      </c>
      <c r="B38" s="245" t="s">
        <v>16</v>
      </c>
      <c r="C38" s="463">
        <f>+D38+E38</f>
        <v>0</v>
      </c>
      <c r="D38" s="246"/>
      <c r="E38" s="247"/>
      <c r="F38" s="600">
        <v>15000</v>
      </c>
      <c r="G38" s="464">
        <f>+H38+I38</f>
        <v>2880</v>
      </c>
      <c r="H38" s="604">
        <v>2880</v>
      </c>
      <c r="I38" s="935"/>
      <c r="J38" s="934">
        <v>480</v>
      </c>
      <c r="K38" s="463">
        <f>+L38-E38</f>
        <v>480</v>
      </c>
      <c r="L38" s="464">
        <f>+J38-D38</f>
        <v>480</v>
      </c>
      <c r="M38" s="465">
        <f>IFERROR(K38/L38,"-")</f>
        <v>1</v>
      </c>
      <c r="N38" s="466">
        <f>+O38-C38</f>
        <v>480</v>
      </c>
      <c r="O38" s="464">
        <f>+K38</f>
        <v>480</v>
      </c>
      <c r="P38" s="467">
        <f>IFERROR(N38/O38,"-")</f>
        <v>1</v>
      </c>
      <c r="Q38" s="464">
        <f>IFERROR(N38-(J38-(J38*H38/G38)),"-")</f>
        <v>480</v>
      </c>
      <c r="R38" s="464">
        <f>+N38</f>
        <v>480</v>
      </c>
      <c r="S38" s="468">
        <f>IFERROR(Q38/R38,"-")</f>
        <v>1</v>
      </c>
      <c r="T38" s="469">
        <f>IFERROR(M38*P38*S38,"-")</f>
        <v>1</v>
      </c>
    </row>
    <row r="39" spans="1:20" ht="24.6" customHeight="1" x14ac:dyDescent="0.3">
      <c r="A39" s="248" t="s">
        <v>103</v>
      </c>
      <c r="B39" s="249" t="s">
        <v>215</v>
      </c>
      <c r="C39" s="470">
        <f t="shared" ref="C39:C53" si="15">+D39+E39</f>
        <v>190</v>
      </c>
      <c r="D39" s="250">
        <v>30</v>
      </c>
      <c r="E39" s="251">
        <v>160</v>
      </c>
      <c r="F39" s="601">
        <v>100000</v>
      </c>
      <c r="G39" s="472">
        <f t="shared" ref="G39:G44" si="16">+H39+I39</f>
        <v>30600</v>
      </c>
      <c r="H39" s="254">
        <v>30600</v>
      </c>
      <c r="I39" s="936"/>
      <c r="J39" s="928">
        <v>480</v>
      </c>
      <c r="K39" s="470">
        <f t="shared" ref="K39:K42" si="17">+L39-E39</f>
        <v>290</v>
      </c>
      <c r="L39" s="472">
        <f t="shared" ref="L39:L53" si="18">+J39-D39</f>
        <v>450</v>
      </c>
      <c r="M39" s="473">
        <f t="shared" ref="M39:M42" si="19">IFERROR(K39/L39,"-")</f>
        <v>0.64444444444444449</v>
      </c>
      <c r="N39" s="474">
        <f>+O39-C39</f>
        <v>100</v>
      </c>
      <c r="O39" s="472">
        <f t="shared" ref="O39:O53" si="20">+K39</f>
        <v>290</v>
      </c>
      <c r="P39" s="475">
        <f>IFERROR(N39/O39,"-")</f>
        <v>0.34482758620689657</v>
      </c>
      <c r="Q39" s="472">
        <f t="shared" ref="Q39:Q53" si="21">IFERROR(N39-(J39-(J39*H39/G39)),"-")</f>
        <v>100</v>
      </c>
      <c r="R39" s="472">
        <f t="shared" ref="R39:R53" si="22">+N39</f>
        <v>100</v>
      </c>
      <c r="S39" s="476">
        <f t="shared" ref="S39:S53" si="23">IFERROR(Q39/R39,"-")</f>
        <v>1</v>
      </c>
      <c r="T39" s="477">
        <f t="shared" ref="T39:T53" si="24">IFERROR(M39*P39*S39,"-")</f>
        <v>0.22222222222222224</v>
      </c>
    </row>
    <row r="40" spans="1:20" ht="24.6" customHeight="1" x14ac:dyDescent="0.3">
      <c r="A40" s="248" t="s">
        <v>103</v>
      </c>
      <c r="B40" s="249" t="s">
        <v>214</v>
      </c>
      <c r="C40" s="470">
        <f t="shared" si="15"/>
        <v>0</v>
      </c>
      <c r="D40" s="250"/>
      <c r="E40" s="251"/>
      <c r="F40" s="601">
        <v>80000</v>
      </c>
      <c r="G40" s="472">
        <f t="shared" si="16"/>
        <v>0</v>
      </c>
      <c r="H40" s="254"/>
      <c r="I40" s="936"/>
      <c r="J40" s="928"/>
      <c r="K40" s="470">
        <f t="shared" si="17"/>
        <v>0</v>
      </c>
      <c r="L40" s="472">
        <f t="shared" si="18"/>
        <v>0</v>
      </c>
      <c r="M40" s="473" t="str">
        <f t="shared" si="19"/>
        <v>-</v>
      </c>
      <c r="N40" s="474">
        <f t="shared" ref="N40:N53" si="25">+O40-C40</f>
        <v>0</v>
      </c>
      <c r="O40" s="472">
        <f t="shared" si="20"/>
        <v>0</v>
      </c>
      <c r="P40" s="475" t="str">
        <f t="shared" ref="P40:P53" si="26">IFERROR(N40/O40,"-")</f>
        <v>-</v>
      </c>
      <c r="Q40" s="472" t="str">
        <f t="shared" si="21"/>
        <v>-</v>
      </c>
      <c r="R40" s="472">
        <f t="shared" si="22"/>
        <v>0</v>
      </c>
      <c r="S40" s="476" t="str">
        <f t="shared" si="23"/>
        <v>-</v>
      </c>
      <c r="T40" s="477" t="str">
        <f t="shared" si="24"/>
        <v>-</v>
      </c>
    </row>
    <row r="41" spans="1:20" ht="24.6" customHeight="1" x14ac:dyDescent="0.3">
      <c r="A41" s="252" t="s">
        <v>103</v>
      </c>
      <c r="B41" s="249" t="s">
        <v>217</v>
      </c>
      <c r="C41" s="470">
        <f t="shared" si="15"/>
        <v>190</v>
      </c>
      <c r="D41" s="250">
        <v>30</v>
      </c>
      <c r="E41" s="251">
        <v>160</v>
      </c>
      <c r="F41" s="601">
        <v>220000</v>
      </c>
      <c r="G41" s="472">
        <f t="shared" si="16"/>
        <v>50688</v>
      </c>
      <c r="H41" s="254">
        <v>50688</v>
      </c>
      <c r="I41" s="936"/>
      <c r="J41" s="928">
        <v>480</v>
      </c>
      <c r="K41" s="470">
        <f t="shared" si="17"/>
        <v>290</v>
      </c>
      <c r="L41" s="472">
        <f t="shared" si="18"/>
        <v>450</v>
      </c>
      <c r="M41" s="473">
        <f t="shared" si="19"/>
        <v>0.64444444444444449</v>
      </c>
      <c r="N41" s="474">
        <f t="shared" si="25"/>
        <v>100</v>
      </c>
      <c r="O41" s="472">
        <f t="shared" si="20"/>
        <v>290</v>
      </c>
      <c r="P41" s="475">
        <f t="shared" si="26"/>
        <v>0.34482758620689657</v>
      </c>
      <c r="Q41" s="472">
        <f t="shared" si="21"/>
        <v>100</v>
      </c>
      <c r="R41" s="472">
        <f t="shared" si="22"/>
        <v>100</v>
      </c>
      <c r="S41" s="476">
        <f t="shared" si="23"/>
        <v>1</v>
      </c>
      <c r="T41" s="477">
        <f t="shared" si="24"/>
        <v>0.22222222222222224</v>
      </c>
    </row>
    <row r="42" spans="1:20" ht="24.6" customHeight="1" x14ac:dyDescent="0.3">
      <c r="A42" s="248" t="s">
        <v>103</v>
      </c>
      <c r="B42" s="249" t="s">
        <v>216</v>
      </c>
      <c r="C42" s="470">
        <f t="shared" si="15"/>
        <v>480</v>
      </c>
      <c r="D42" s="250">
        <v>30</v>
      </c>
      <c r="E42" s="251">
        <v>450</v>
      </c>
      <c r="F42" s="601">
        <v>50000</v>
      </c>
      <c r="G42" s="472">
        <f t="shared" si="16"/>
        <v>0</v>
      </c>
      <c r="H42" s="254">
        <v>0</v>
      </c>
      <c r="I42" s="936"/>
      <c r="J42" s="928">
        <v>480</v>
      </c>
      <c r="K42" s="470">
        <f t="shared" si="17"/>
        <v>0</v>
      </c>
      <c r="L42" s="472">
        <f t="shared" si="18"/>
        <v>450</v>
      </c>
      <c r="M42" s="473">
        <f t="shared" si="19"/>
        <v>0</v>
      </c>
      <c r="N42" s="474">
        <f t="shared" si="25"/>
        <v>-480</v>
      </c>
      <c r="O42" s="472">
        <f t="shared" si="20"/>
        <v>0</v>
      </c>
      <c r="P42" s="475" t="str">
        <f t="shared" si="26"/>
        <v>-</v>
      </c>
      <c r="Q42" s="472" t="str">
        <f t="shared" si="21"/>
        <v>-</v>
      </c>
      <c r="R42" s="472">
        <f t="shared" si="22"/>
        <v>-480</v>
      </c>
      <c r="S42" s="476" t="str">
        <f t="shared" si="23"/>
        <v>-</v>
      </c>
      <c r="T42" s="477" t="str">
        <f t="shared" si="24"/>
        <v>-</v>
      </c>
    </row>
    <row r="43" spans="1:20" ht="24.6" customHeight="1" x14ac:dyDescent="0.3">
      <c r="A43" s="248">
        <v>5</v>
      </c>
      <c r="B43" s="249" t="s">
        <v>22</v>
      </c>
      <c r="C43" s="470">
        <f t="shared" si="15"/>
        <v>0</v>
      </c>
      <c r="D43" s="250"/>
      <c r="E43" s="251"/>
      <c r="F43" s="601">
        <v>80000</v>
      </c>
      <c r="G43" s="472">
        <f t="shared" si="16"/>
        <v>0</v>
      </c>
      <c r="H43" s="471"/>
      <c r="I43" s="937"/>
      <c r="J43" s="928"/>
      <c r="K43" s="470">
        <f>+L43-E43</f>
        <v>0</v>
      </c>
      <c r="L43" s="472">
        <f t="shared" si="18"/>
        <v>0</v>
      </c>
      <c r="M43" s="473" t="str">
        <f>IFERROR(K43/L43,"-")</f>
        <v>-</v>
      </c>
      <c r="N43" s="474">
        <f t="shared" si="25"/>
        <v>0</v>
      </c>
      <c r="O43" s="472">
        <f t="shared" si="20"/>
        <v>0</v>
      </c>
      <c r="P43" s="475" t="str">
        <f t="shared" si="26"/>
        <v>-</v>
      </c>
      <c r="Q43" s="472" t="str">
        <f t="shared" si="21"/>
        <v>-</v>
      </c>
      <c r="R43" s="472">
        <f t="shared" si="22"/>
        <v>0</v>
      </c>
      <c r="S43" s="476" t="str">
        <f t="shared" si="23"/>
        <v>-</v>
      </c>
      <c r="T43" s="477" t="str">
        <f t="shared" si="24"/>
        <v>-</v>
      </c>
    </row>
    <row r="44" spans="1:20" ht="24.6" customHeight="1" x14ac:dyDescent="0.3">
      <c r="A44" s="248" t="s">
        <v>103</v>
      </c>
      <c r="B44" s="249" t="s">
        <v>23</v>
      </c>
      <c r="C44" s="470">
        <f t="shared" si="15"/>
        <v>0</v>
      </c>
      <c r="D44" s="250"/>
      <c r="E44" s="251"/>
      <c r="F44" s="601">
        <v>14000</v>
      </c>
      <c r="G44" s="472">
        <f t="shared" si="16"/>
        <v>0</v>
      </c>
      <c r="H44" s="254"/>
      <c r="I44" s="936"/>
      <c r="J44" s="928"/>
      <c r="K44" s="470">
        <f t="shared" ref="K44:K53" si="27">+L44-E44</f>
        <v>0</v>
      </c>
      <c r="L44" s="472">
        <f t="shared" si="18"/>
        <v>0</v>
      </c>
      <c r="M44" s="473" t="str">
        <f t="shared" ref="M44:M53" si="28">IFERROR(K44/L44,"-")</f>
        <v>-</v>
      </c>
      <c r="N44" s="474">
        <f t="shared" si="25"/>
        <v>0</v>
      </c>
      <c r="O44" s="472">
        <f t="shared" si="20"/>
        <v>0</v>
      </c>
      <c r="P44" s="475" t="str">
        <f t="shared" si="26"/>
        <v>-</v>
      </c>
      <c r="Q44" s="472" t="str">
        <f t="shared" si="21"/>
        <v>-</v>
      </c>
      <c r="R44" s="472">
        <f t="shared" si="22"/>
        <v>0</v>
      </c>
      <c r="S44" s="476" t="str">
        <f t="shared" si="23"/>
        <v>-</v>
      </c>
      <c r="T44" s="477" t="str">
        <f t="shared" si="24"/>
        <v>-</v>
      </c>
    </row>
    <row r="45" spans="1:20" ht="24.6" customHeight="1" x14ac:dyDescent="0.3">
      <c r="A45" s="248" t="s">
        <v>103</v>
      </c>
      <c r="B45" s="253" t="s">
        <v>212</v>
      </c>
      <c r="C45" s="478">
        <f t="shared" si="15"/>
        <v>800</v>
      </c>
      <c r="D45" s="250">
        <f>30+30+30+100</f>
        <v>190</v>
      </c>
      <c r="E45" s="251">
        <v>610</v>
      </c>
      <c r="F45" s="601">
        <v>4500</v>
      </c>
      <c r="G45" s="472">
        <f>+H45+I45</f>
        <v>7548</v>
      </c>
      <c r="H45" s="254">
        <v>7429</v>
      </c>
      <c r="I45" s="251">
        <v>119</v>
      </c>
      <c r="J45" s="928">
        <v>1440</v>
      </c>
      <c r="K45" s="478">
        <f t="shared" si="27"/>
        <v>640</v>
      </c>
      <c r="L45" s="250">
        <f t="shared" si="18"/>
        <v>1250</v>
      </c>
      <c r="M45" s="479">
        <f t="shared" si="28"/>
        <v>0.51200000000000001</v>
      </c>
      <c r="N45" s="480">
        <f t="shared" si="25"/>
        <v>-160</v>
      </c>
      <c r="O45" s="250">
        <f t="shared" si="20"/>
        <v>640</v>
      </c>
      <c r="P45" s="481">
        <f t="shared" si="26"/>
        <v>-0.25</v>
      </c>
      <c r="Q45" s="250">
        <f t="shared" si="21"/>
        <v>-182.70270270270271</v>
      </c>
      <c r="R45" s="250">
        <f t="shared" si="22"/>
        <v>-160</v>
      </c>
      <c r="S45" s="482">
        <f t="shared" si="23"/>
        <v>1.1418918918918919</v>
      </c>
      <c r="T45" s="483">
        <f t="shared" si="24"/>
        <v>-0.14616216216216216</v>
      </c>
    </row>
    <row r="46" spans="1:20" ht="24.6" customHeight="1" thickBot="1" x14ac:dyDescent="0.35">
      <c r="A46" s="255" t="s">
        <v>103</v>
      </c>
      <c r="B46" s="256" t="s">
        <v>213</v>
      </c>
      <c r="C46" s="484">
        <f t="shared" si="15"/>
        <v>295</v>
      </c>
      <c r="D46" s="257">
        <f>60+60+115</f>
        <v>235</v>
      </c>
      <c r="E46" s="258">
        <v>60</v>
      </c>
      <c r="F46" s="605">
        <v>5000</v>
      </c>
      <c r="G46" s="494">
        <f t="shared" ref="G46:G53" si="29">+H46+I46</f>
        <v>25978</v>
      </c>
      <c r="H46" s="259">
        <v>25945</v>
      </c>
      <c r="I46" s="258">
        <v>33</v>
      </c>
      <c r="J46" s="929">
        <v>960</v>
      </c>
      <c r="K46" s="484">
        <f t="shared" si="27"/>
        <v>665</v>
      </c>
      <c r="L46" s="257">
        <f t="shared" si="18"/>
        <v>725</v>
      </c>
      <c r="M46" s="485">
        <f t="shared" si="28"/>
        <v>0.91724137931034477</v>
      </c>
      <c r="N46" s="486">
        <f t="shared" si="25"/>
        <v>370</v>
      </c>
      <c r="O46" s="257">
        <f t="shared" si="20"/>
        <v>665</v>
      </c>
      <c r="P46" s="487">
        <f t="shared" si="26"/>
        <v>0.55639097744360899</v>
      </c>
      <c r="Q46" s="257">
        <f t="shared" si="21"/>
        <v>368.78050658249288</v>
      </c>
      <c r="R46" s="257">
        <f t="shared" si="22"/>
        <v>370</v>
      </c>
      <c r="S46" s="488">
        <f t="shared" si="23"/>
        <v>0.99670407184457532</v>
      </c>
      <c r="T46" s="489">
        <f t="shared" si="24"/>
        <v>0.50866276769999008</v>
      </c>
    </row>
    <row r="47" spans="1:20" ht="24.6" customHeight="1" x14ac:dyDescent="0.3">
      <c r="A47" s="252" t="s">
        <v>101</v>
      </c>
      <c r="B47" s="260" t="s">
        <v>29</v>
      </c>
      <c r="C47" s="470">
        <f t="shared" si="15"/>
        <v>185</v>
      </c>
      <c r="D47" s="250">
        <v>60</v>
      </c>
      <c r="E47" s="251">
        <v>125</v>
      </c>
      <c r="F47" s="930">
        <v>160000</v>
      </c>
      <c r="G47" s="932">
        <f t="shared" si="29"/>
        <v>140305</v>
      </c>
      <c r="H47" s="930">
        <v>139230</v>
      </c>
      <c r="I47" s="931">
        <v>1075</v>
      </c>
      <c r="J47" s="933">
        <v>960</v>
      </c>
      <c r="K47" s="470">
        <f t="shared" si="27"/>
        <v>775</v>
      </c>
      <c r="L47" s="472">
        <f t="shared" si="18"/>
        <v>900</v>
      </c>
      <c r="M47" s="473">
        <f t="shared" si="28"/>
        <v>0.86111111111111116</v>
      </c>
      <c r="N47" s="474">
        <f t="shared" si="25"/>
        <v>590</v>
      </c>
      <c r="O47" s="472">
        <f t="shared" si="20"/>
        <v>775</v>
      </c>
      <c r="P47" s="475">
        <f t="shared" si="26"/>
        <v>0.76129032258064511</v>
      </c>
      <c r="Q47" s="472">
        <f t="shared" si="21"/>
        <v>582.64459570222016</v>
      </c>
      <c r="R47" s="472">
        <f t="shared" si="22"/>
        <v>590</v>
      </c>
      <c r="S47" s="490">
        <f t="shared" si="23"/>
        <v>0.98753321305461039</v>
      </c>
      <c r="T47" s="491">
        <f t="shared" si="24"/>
        <v>0.64738288411357792</v>
      </c>
    </row>
    <row r="48" spans="1:20" ht="24.6" customHeight="1" x14ac:dyDescent="0.3">
      <c r="A48" s="248" t="s">
        <v>101</v>
      </c>
      <c r="B48" s="260" t="s">
        <v>31</v>
      </c>
      <c r="C48" s="470">
        <f t="shared" si="15"/>
        <v>100</v>
      </c>
      <c r="D48" s="707">
        <v>60</v>
      </c>
      <c r="E48" s="251">
        <v>40</v>
      </c>
      <c r="F48" s="471">
        <v>50000</v>
      </c>
      <c r="G48" s="472">
        <f t="shared" si="29"/>
        <v>41733</v>
      </c>
      <c r="H48" s="471">
        <v>41184</v>
      </c>
      <c r="I48" s="611">
        <v>549</v>
      </c>
      <c r="J48" s="610">
        <v>480</v>
      </c>
      <c r="K48" s="470">
        <f t="shared" si="27"/>
        <v>380</v>
      </c>
      <c r="L48" s="472">
        <f t="shared" si="18"/>
        <v>420</v>
      </c>
      <c r="M48" s="473">
        <f t="shared" si="28"/>
        <v>0.90476190476190477</v>
      </c>
      <c r="N48" s="474">
        <f t="shared" si="25"/>
        <v>280</v>
      </c>
      <c r="O48" s="472">
        <f t="shared" si="20"/>
        <v>380</v>
      </c>
      <c r="P48" s="475">
        <f t="shared" si="26"/>
        <v>0.73684210526315785</v>
      </c>
      <c r="Q48" s="472">
        <f t="shared" si="21"/>
        <v>273.685572568471</v>
      </c>
      <c r="R48" s="472">
        <f t="shared" si="22"/>
        <v>280</v>
      </c>
      <c r="S48" s="490">
        <f t="shared" si="23"/>
        <v>0.97744847345882502</v>
      </c>
      <c r="T48" s="491">
        <f t="shared" si="24"/>
        <v>0.65163231563921664</v>
      </c>
    </row>
    <row r="49" spans="1:20" ht="24.6" customHeight="1" thickBot="1" x14ac:dyDescent="0.35">
      <c r="A49" s="255" t="s">
        <v>101</v>
      </c>
      <c r="B49" s="261" t="s">
        <v>32</v>
      </c>
      <c r="C49" s="492">
        <f t="shared" si="15"/>
        <v>0</v>
      </c>
      <c r="D49" s="257"/>
      <c r="E49" s="258"/>
      <c r="F49" s="493">
        <v>110000</v>
      </c>
      <c r="G49" s="494">
        <f t="shared" si="29"/>
        <v>0</v>
      </c>
      <c r="H49" s="493"/>
      <c r="I49" s="612"/>
      <c r="J49" s="613"/>
      <c r="K49" s="492">
        <f t="shared" si="27"/>
        <v>0</v>
      </c>
      <c r="L49" s="494">
        <f t="shared" si="18"/>
        <v>0</v>
      </c>
      <c r="M49" s="495" t="str">
        <f t="shared" si="28"/>
        <v>-</v>
      </c>
      <c r="N49" s="496">
        <f t="shared" si="25"/>
        <v>0</v>
      </c>
      <c r="O49" s="494">
        <f t="shared" si="20"/>
        <v>0</v>
      </c>
      <c r="P49" s="497" t="str">
        <f t="shared" si="26"/>
        <v>-</v>
      </c>
      <c r="Q49" s="494" t="str">
        <f t="shared" si="21"/>
        <v>-</v>
      </c>
      <c r="R49" s="494">
        <f t="shared" si="22"/>
        <v>0</v>
      </c>
      <c r="S49" s="498" t="str">
        <f t="shared" si="23"/>
        <v>-</v>
      </c>
      <c r="T49" s="499" t="str">
        <f t="shared" si="24"/>
        <v>-</v>
      </c>
    </row>
    <row r="50" spans="1:20" ht="24.6" customHeight="1" x14ac:dyDescent="0.3">
      <c r="A50" s="248" t="s">
        <v>102</v>
      </c>
      <c r="B50" s="249" t="s">
        <v>219</v>
      </c>
      <c r="C50" s="470">
        <f t="shared" si="15"/>
        <v>30</v>
      </c>
      <c r="D50" s="250">
        <v>30</v>
      </c>
      <c r="E50" s="251"/>
      <c r="F50" s="471">
        <v>6500</v>
      </c>
      <c r="G50" s="472">
        <f t="shared" si="29"/>
        <v>3602</v>
      </c>
      <c r="H50" s="471">
        <v>3200</v>
      </c>
      <c r="I50" s="611">
        <v>402</v>
      </c>
      <c r="J50" s="610">
        <v>480</v>
      </c>
      <c r="K50" s="470">
        <f t="shared" si="27"/>
        <v>450</v>
      </c>
      <c r="L50" s="472">
        <f t="shared" si="18"/>
        <v>450</v>
      </c>
      <c r="M50" s="473">
        <f t="shared" si="28"/>
        <v>1</v>
      </c>
      <c r="N50" s="474">
        <f t="shared" si="25"/>
        <v>420</v>
      </c>
      <c r="O50" s="472">
        <f t="shared" si="20"/>
        <v>450</v>
      </c>
      <c r="P50" s="475">
        <f t="shared" si="26"/>
        <v>0.93333333333333335</v>
      </c>
      <c r="Q50" s="472">
        <f t="shared" si="21"/>
        <v>366.42976124375349</v>
      </c>
      <c r="R50" s="472">
        <f t="shared" si="22"/>
        <v>420</v>
      </c>
      <c r="S50" s="490">
        <f t="shared" si="23"/>
        <v>0.87245181248512738</v>
      </c>
      <c r="T50" s="491">
        <f t="shared" si="24"/>
        <v>0.81428835831945223</v>
      </c>
    </row>
    <row r="51" spans="1:20" ht="24.6" customHeight="1" x14ac:dyDescent="0.3">
      <c r="A51" s="252" t="s">
        <v>102</v>
      </c>
      <c r="B51" s="249" t="s">
        <v>38</v>
      </c>
      <c r="C51" s="470">
        <f t="shared" si="15"/>
        <v>0</v>
      </c>
      <c r="D51" s="250"/>
      <c r="E51" s="251"/>
      <c r="F51" s="471">
        <v>2800</v>
      </c>
      <c r="G51" s="472">
        <f t="shared" si="29"/>
        <v>0</v>
      </c>
      <c r="H51" s="471"/>
      <c r="I51" s="611"/>
      <c r="J51" s="610"/>
      <c r="K51" s="470">
        <f t="shared" si="27"/>
        <v>0</v>
      </c>
      <c r="L51" s="472">
        <f t="shared" si="18"/>
        <v>0</v>
      </c>
      <c r="M51" s="473" t="str">
        <f t="shared" si="28"/>
        <v>-</v>
      </c>
      <c r="N51" s="474">
        <f t="shared" si="25"/>
        <v>0</v>
      </c>
      <c r="O51" s="472">
        <f t="shared" si="20"/>
        <v>0</v>
      </c>
      <c r="P51" s="475" t="str">
        <f t="shared" si="26"/>
        <v>-</v>
      </c>
      <c r="Q51" s="472" t="str">
        <f t="shared" si="21"/>
        <v>-</v>
      </c>
      <c r="R51" s="472">
        <f t="shared" si="22"/>
        <v>0</v>
      </c>
      <c r="S51" s="490" t="str">
        <f t="shared" si="23"/>
        <v>-</v>
      </c>
      <c r="T51" s="491" t="str">
        <f t="shared" si="24"/>
        <v>-</v>
      </c>
    </row>
    <row r="52" spans="1:20" ht="24.6" customHeight="1" x14ac:dyDescent="0.3">
      <c r="A52" s="248" t="s">
        <v>102</v>
      </c>
      <c r="B52" s="249" t="s">
        <v>39</v>
      </c>
      <c r="C52" s="470">
        <f t="shared" si="15"/>
        <v>30</v>
      </c>
      <c r="D52" s="250">
        <v>30</v>
      </c>
      <c r="E52" s="251"/>
      <c r="F52" s="471">
        <v>25000</v>
      </c>
      <c r="G52" s="472">
        <f t="shared" si="29"/>
        <v>11665</v>
      </c>
      <c r="H52" s="471">
        <v>11520</v>
      </c>
      <c r="I52" s="611">
        <v>145</v>
      </c>
      <c r="J52" s="610">
        <v>480</v>
      </c>
      <c r="K52" s="470">
        <f t="shared" si="27"/>
        <v>450</v>
      </c>
      <c r="L52" s="472">
        <f t="shared" si="18"/>
        <v>450</v>
      </c>
      <c r="M52" s="473">
        <f t="shared" si="28"/>
        <v>1</v>
      </c>
      <c r="N52" s="474">
        <f t="shared" si="25"/>
        <v>420</v>
      </c>
      <c r="O52" s="472">
        <f t="shared" si="20"/>
        <v>450</v>
      </c>
      <c r="P52" s="475">
        <f t="shared" si="26"/>
        <v>0.93333333333333335</v>
      </c>
      <c r="Q52" s="472">
        <f t="shared" si="21"/>
        <v>414.0334333476211</v>
      </c>
      <c r="R52" s="472">
        <f t="shared" si="22"/>
        <v>420</v>
      </c>
      <c r="S52" s="490">
        <f t="shared" si="23"/>
        <v>0.98579388892290742</v>
      </c>
      <c r="T52" s="491">
        <f t="shared" si="24"/>
        <v>0.92007429632804694</v>
      </c>
    </row>
    <row r="53" spans="1:20" ht="45" customHeight="1" thickBot="1" x14ac:dyDescent="0.35">
      <c r="A53" s="615" t="s">
        <v>102</v>
      </c>
      <c r="B53" s="261" t="s">
        <v>218</v>
      </c>
      <c r="C53" s="616">
        <f t="shared" si="15"/>
        <v>30</v>
      </c>
      <c r="D53" s="617">
        <v>30</v>
      </c>
      <c r="E53" s="618"/>
      <c r="F53" s="619">
        <v>25000</v>
      </c>
      <c r="G53" s="620">
        <f t="shared" si="29"/>
        <v>11388</v>
      </c>
      <c r="H53" s="619">
        <v>11200</v>
      </c>
      <c r="I53" s="621">
        <v>188</v>
      </c>
      <c r="J53" s="614">
        <v>480</v>
      </c>
      <c r="K53" s="616">
        <f t="shared" si="27"/>
        <v>450</v>
      </c>
      <c r="L53" s="620">
        <f t="shared" si="18"/>
        <v>450</v>
      </c>
      <c r="M53" s="622">
        <f t="shared" si="28"/>
        <v>1</v>
      </c>
      <c r="N53" s="623">
        <f t="shared" si="25"/>
        <v>420</v>
      </c>
      <c r="O53" s="620">
        <f t="shared" si="20"/>
        <v>450</v>
      </c>
      <c r="P53" s="624">
        <f t="shared" si="26"/>
        <v>0.93333333333333335</v>
      </c>
      <c r="Q53" s="620">
        <f t="shared" si="21"/>
        <v>412.07586933614328</v>
      </c>
      <c r="R53" s="620">
        <f t="shared" si="22"/>
        <v>420</v>
      </c>
      <c r="S53" s="625">
        <f t="shared" si="23"/>
        <v>0.98113302222891263</v>
      </c>
      <c r="T53" s="626">
        <f t="shared" si="24"/>
        <v>0.91572415408031849</v>
      </c>
    </row>
    <row r="54" spans="1:20" ht="24.6" customHeight="1" x14ac:dyDescent="0.3">
      <c r="A54" s="230"/>
      <c r="B54" s="231"/>
      <c r="C54" s="232"/>
      <c r="D54" s="232"/>
      <c r="E54" s="232"/>
      <c r="F54" s="232"/>
      <c r="G54" s="233"/>
      <c r="H54" s="234"/>
      <c r="I54" s="232"/>
      <c r="J54" s="232"/>
      <c r="K54" s="232"/>
      <c r="L54" s="232"/>
      <c r="M54" s="234"/>
      <c r="N54" s="232"/>
      <c r="O54" s="232"/>
      <c r="P54" s="234"/>
      <c r="Q54" s="232"/>
      <c r="R54" s="232"/>
      <c r="S54" s="234"/>
      <c r="T54" s="234"/>
    </row>
    <row r="55" spans="1:20" ht="24.6" customHeight="1" x14ac:dyDescent="0.3">
      <c r="A55" s="230"/>
      <c r="B55" s="231"/>
      <c r="C55" s="232"/>
      <c r="D55" s="232"/>
      <c r="E55" s="232"/>
      <c r="F55" s="232"/>
      <c r="G55" s="233"/>
      <c r="H55" s="234"/>
      <c r="I55" s="232"/>
      <c r="J55" s="232"/>
      <c r="K55" s="232"/>
      <c r="L55" s="232"/>
      <c r="M55" s="234"/>
      <c r="N55" s="232"/>
      <c r="O55" s="232"/>
      <c r="P55" s="234"/>
      <c r="Q55" s="232"/>
      <c r="R55" s="232"/>
      <c r="S55" s="234"/>
      <c r="T55" s="234"/>
    </row>
    <row r="56" spans="1:20" ht="24.6" customHeight="1" x14ac:dyDescent="0.3">
      <c r="A56" s="230"/>
      <c r="B56" s="231"/>
      <c r="C56" s="232"/>
      <c r="D56" s="232"/>
      <c r="E56" s="232"/>
      <c r="F56" s="232"/>
      <c r="G56" s="233"/>
      <c r="H56" s="234"/>
      <c r="I56" s="232"/>
      <c r="J56" s="232"/>
      <c r="K56" s="232"/>
      <c r="L56" s="232"/>
      <c r="M56" s="234"/>
      <c r="N56" s="232"/>
      <c r="O56" s="232"/>
      <c r="P56" s="234"/>
      <c r="Q56" s="232"/>
      <c r="R56" s="232"/>
      <c r="S56" s="234"/>
      <c r="T56" s="234"/>
    </row>
    <row r="57" spans="1:20" ht="24.6" customHeight="1" x14ac:dyDescent="0.3">
      <c r="A57" s="230"/>
      <c r="B57" s="231"/>
      <c r="C57" s="232"/>
      <c r="D57" s="232"/>
      <c r="E57" s="232"/>
      <c r="F57" s="232"/>
      <c r="G57" s="233"/>
      <c r="H57" s="234"/>
      <c r="I57" s="232"/>
      <c r="J57" s="232"/>
      <c r="K57" s="232"/>
      <c r="L57" s="232"/>
      <c r="M57" s="234"/>
      <c r="N57" s="232"/>
      <c r="O57" s="232"/>
      <c r="P57" s="234"/>
      <c r="Q57" s="232"/>
      <c r="R57" s="232"/>
      <c r="S57" s="234"/>
      <c r="T57" s="234"/>
    </row>
    <row r="58" spans="1:20" ht="24.6" customHeight="1" thickBot="1" x14ac:dyDescent="0.35">
      <c r="A58" s="230"/>
      <c r="B58" s="231"/>
      <c r="C58" s="232"/>
      <c r="D58" s="232"/>
      <c r="E58" s="232"/>
      <c r="F58" s="232"/>
      <c r="G58" s="233"/>
      <c r="H58" s="234"/>
      <c r="I58" s="232"/>
      <c r="J58" s="232"/>
      <c r="K58" s="232"/>
      <c r="L58" s="232"/>
      <c r="M58" s="234"/>
      <c r="N58" s="232"/>
      <c r="O58" s="232"/>
      <c r="P58" s="234"/>
      <c r="Q58" s="232"/>
      <c r="R58" s="232"/>
      <c r="S58" s="234"/>
      <c r="T58" s="234"/>
    </row>
    <row r="59" spans="1:20" ht="28.5" customHeight="1" x14ac:dyDescent="0.3">
      <c r="A59" s="1115" t="s">
        <v>1</v>
      </c>
      <c r="B59" s="1115" t="s">
        <v>2</v>
      </c>
      <c r="C59" s="1066" t="s">
        <v>207</v>
      </c>
      <c r="D59" s="1067"/>
      <c r="E59" s="1068"/>
      <c r="F59" s="1066" t="s">
        <v>582</v>
      </c>
      <c r="G59" s="1067"/>
      <c r="H59" s="1067"/>
      <c r="I59" s="1068"/>
      <c r="J59" s="1115" t="s">
        <v>204</v>
      </c>
      <c r="K59" s="1066" t="s">
        <v>192</v>
      </c>
      <c r="L59" s="1067"/>
      <c r="M59" s="1068"/>
      <c r="N59" s="1066" t="s">
        <v>193</v>
      </c>
      <c r="O59" s="1067"/>
      <c r="P59" s="1068"/>
      <c r="Q59" s="1066" t="s">
        <v>194</v>
      </c>
      <c r="R59" s="1067"/>
      <c r="S59" s="1068"/>
      <c r="T59" s="1173" t="s">
        <v>191</v>
      </c>
    </row>
    <row r="60" spans="1:20" ht="91.5" customHeight="1" thickBot="1" x14ac:dyDescent="0.35">
      <c r="A60" s="1117"/>
      <c r="B60" s="1117"/>
      <c r="C60" s="235" t="s">
        <v>208</v>
      </c>
      <c r="D60" s="236" t="s">
        <v>205</v>
      </c>
      <c r="E60" s="237" t="s">
        <v>206</v>
      </c>
      <c r="F60" s="238" t="s">
        <v>326</v>
      </c>
      <c r="G60" s="236" t="s">
        <v>201</v>
      </c>
      <c r="H60" s="239" t="s">
        <v>202</v>
      </c>
      <c r="I60" s="240" t="s">
        <v>203</v>
      </c>
      <c r="J60" s="1117"/>
      <c r="K60" s="235" t="s">
        <v>195</v>
      </c>
      <c r="L60" s="239" t="s">
        <v>196</v>
      </c>
      <c r="M60" s="241" t="s">
        <v>209</v>
      </c>
      <c r="N60" s="242" t="s">
        <v>197</v>
      </c>
      <c r="O60" s="239" t="s">
        <v>198</v>
      </c>
      <c r="P60" s="241" t="s">
        <v>210</v>
      </c>
      <c r="Q60" s="235" t="s">
        <v>199</v>
      </c>
      <c r="R60" s="239" t="s">
        <v>200</v>
      </c>
      <c r="S60" s="243" t="s">
        <v>211</v>
      </c>
      <c r="T60" s="1174"/>
    </row>
    <row r="61" spans="1:20" ht="24.6" customHeight="1" x14ac:dyDescent="0.3">
      <c r="A61" s="244" t="s">
        <v>103</v>
      </c>
      <c r="B61" s="245" t="s">
        <v>16</v>
      </c>
      <c r="C61" s="463">
        <f>+D61+E61</f>
        <v>30</v>
      </c>
      <c r="D61" s="246">
        <v>30</v>
      </c>
      <c r="E61" s="247"/>
      <c r="F61" s="600">
        <v>15000</v>
      </c>
      <c r="G61" s="464">
        <f>+H61+I61</f>
        <v>4630</v>
      </c>
      <c r="H61" s="604">
        <v>4480</v>
      </c>
      <c r="I61" s="935">
        <v>150</v>
      </c>
      <c r="J61" s="934">
        <v>480</v>
      </c>
      <c r="K61" s="463">
        <f>+L61-E61</f>
        <v>450</v>
      </c>
      <c r="L61" s="464">
        <f>+J61-D61</f>
        <v>450</v>
      </c>
      <c r="M61" s="465">
        <f>IFERROR(K61/L61,"-")</f>
        <v>1</v>
      </c>
      <c r="N61" s="466">
        <f>+O61-C61</f>
        <v>420</v>
      </c>
      <c r="O61" s="464">
        <f>+K61</f>
        <v>450</v>
      </c>
      <c r="P61" s="467">
        <f>IFERROR(N61/O61,"-")</f>
        <v>0.93333333333333335</v>
      </c>
      <c r="Q61" s="464">
        <f>IFERROR(N61-(J61-(J61*H61/G61)),"-")</f>
        <v>404.44924406047517</v>
      </c>
      <c r="R61" s="464">
        <f>+N61</f>
        <v>420</v>
      </c>
      <c r="S61" s="468">
        <f>IFERROR(Q61/R61,"-")</f>
        <v>0.96297439062017898</v>
      </c>
      <c r="T61" s="469">
        <f>IFERROR(M61*P61*S61,"-")</f>
        <v>0.89877609791216706</v>
      </c>
    </row>
    <row r="62" spans="1:20" ht="24.6" customHeight="1" x14ac:dyDescent="0.3">
      <c r="A62" s="248" t="s">
        <v>103</v>
      </c>
      <c r="B62" s="249" t="s">
        <v>215</v>
      </c>
      <c r="C62" s="470">
        <f t="shared" ref="C62:C76" si="30">+D62+E62</f>
        <v>210</v>
      </c>
      <c r="D62" s="250">
        <v>30</v>
      </c>
      <c r="E62" s="251">
        <v>180</v>
      </c>
      <c r="F62" s="601">
        <v>100000</v>
      </c>
      <c r="G62" s="472">
        <f t="shared" ref="G62:G67" si="31">+H62+I62</f>
        <v>36915</v>
      </c>
      <c r="H62" s="254">
        <v>36720</v>
      </c>
      <c r="I62" s="936">
        <v>195</v>
      </c>
      <c r="J62" s="928">
        <v>480</v>
      </c>
      <c r="K62" s="470">
        <f t="shared" ref="K62:K65" si="32">+L62-E62</f>
        <v>270</v>
      </c>
      <c r="L62" s="472">
        <f t="shared" ref="L62:L76" si="33">+J62-D62</f>
        <v>450</v>
      </c>
      <c r="M62" s="473">
        <f t="shared" ref="M62:M65" si="34">IFERROR(K62/L62,"-")</f>
        <v>0.6</v>
      </c>
      <c r="N62" s="474">
        <f>+O62-C62</f>
        <v>60</v>
      </c>
      <c r="O62" s="472">
        <f t="shared" ref="O62:O76" si="35">+K62</f>
        <v>270</v>
      </c>
      <c r="P62" s="475">
        <f>IFERROR(N62/O62,"-")</f>
        <v>0.22222222222222221</v>
      </c>
      <c r="Q62" s="472">
        <f t="shared" ref="Q62:Q76" si="36">IFERROR(N62-(J62-(J62*H62/G62)),"-")</f>
        <v>57.464445347419769</v>
      </c>
      <c r="R62" s="472">
        <f t="shared" ref="R62:R76" si="37">+N62</f>
        <v>60</v>
      </c>
      <c r="S62" s="476">
        <f t="shared" ref="S62:S76" si="38">IFERROR(Q62/R62,"-")</f>
        <v>0.95774075579032947</v>
      </c>
      <c r="T62" s="477">
        <f t="shared" ref="T62:T76" si="39">IFERROR(M62*P62*S62,"-")</f>
        <v>0.12769876743871059</v>
      </c>
    </row>
    <row r="63" spans="1:20" ht="24.6" customHeight="1" x14ac:dyDescent="0.3">
      <c r="A63" s="248" t="s">
        <v>103</v>
      </c>
      <c r="B63" s="249" t="s">
        <v>214</v>
      </c>
      <c r="C63" s="470">
        <f t="shared" si="30"/>
        <v>0</v>
      </c>
      <c r="D63" s="250"/>
      <c r="E63" s="251"/>
      <c r="F63" s="601">
        <v>80000</v>
      </c>
      <c r="G63" s="472">
        <f t="shared" si="31"/>
        <v>0</v>
      </c>
      <c r="H63" s="254"/>
      <c r="I63" s="936"/>
      <c r="J63" s="928"/>
      <c r="K63" s="470">
        <f t="shared" si="32"/>
        <v>0</v>
      </c>
      <c r="L63" s="472">
        <f t="shared" si="33"/>
        <v>0</v>
      </c>
      <c r="M63" s="473" t="str">
        <f t="shared" si="34"/>
        <v>-</v>
      </c>
      <c r="N63" s="474">
        <f t="shared" ref="N63:N76" si="40">+O63-C63</f>
        <v>0</v>
      </c>
      <c r="O63" s="472">
        <f t="shared" si="35"/>
        <v>0</v>
      </c>
      <c r="P63" s="475" t="str">
        <f t="shared" ref="P63:P76" si="41">IFERROR(N63/O63,"-")</f>
        <v>-</v>
      </c>
      <c r="Q63" s="472" t="str">
        <f t="shared" si="36"/>
        <v>-</v>
      </c>
      <c r="R63" s="472">
        <f t="shared" si="37"/>
        <v>0</v>
      </c>
      <c r="S63" s="476" t="str">
        <f t="shared" si="38"/>
        <v>-</v>
      </c>
      <c r="T63" s="477" t="str">
        <f t="shared" si="39"/>
        <v>-</v>
      </c>
    </row>
    <row r="64" spans="1:20" ht="24.6" customHeight="1" x14ac:dyDescent="0.3">
      <c r="A64" s="252" t="s">
        <v>103</v>
      </c>
      <c r="B64" s="249" t="s">
        <v>217</v>
      </c>
      <c r="C64" s="470">
        <f t="shared" si="30"/>
        <v>270</v>
      </c>
      <c r="D64" s="250">
        <v>30</v>
      </c>
      <c r="E64" s="251">
        <v>240</v>
      </c>
      <c r="F64" s="601">
        <v>220000</v>
      </c>
      <c r="G64" s="472">
        <f t="shared" si="31"/>
        <v>42490</v>
      </c>
      <c r="H64" s="254">
        <v>42240</v>
      </c>
      <c r="I64" s="936">
        <v>250</v>
      </c>
      <c r="J64" s="928">
        <v>480</v>
      </c>
      <c r="K64" s="470">
        <f t="shared" si="32"/>
        <v>210</v>
      </c>
      <c r="L64" s="472">
        <f t="shared" si="33"/>
        <v>450</v>
      </c>
      <c r="M64" s="473">
        <f t="shared" si="34"/>
        <v>0.46666666666666667</v>
      </c>
      <c r="N64" s="474">
        <f t="shared" si="40"/>
        <v>-60</v>
      </c>
      <c r="O64" s="472">
        <f t="shared" si="35"/>
        <v>210</v>
      </c>
      <c r="P64" s="475">
        <f t="shared" si="41"/>
        <v>-0.2857142857142857</v>
      </c>
      <c r="Q64" s="472">
        <f t="shared" si="36"/>
        <v>-62.82419392798306</v>
      </c>
      <c r="R64" s="472">
        <f t="shared" si="37"/>
        <v>-60</v>
      </c>
      <c r="S64" s="476">
        <f t="shared" si="38"/>
        <v>1.0470698987997176</v>
      </c>
      <c r="T64" s="477">
        <f t="shared" si="39"/>
        <v>-0.13960931983996233</v>
      </c>
    </row>
    <row r="65" spans="1:20" ht="24.6" customHeight="1" x14ac:dyDescent="0.3">
      <c r="A65" s="248" t="s">
        <v>103</v>
      </c>
      <c r="B65" s="249" t="s">
        <v>216</v>
      </c>
      <c r="C65" s="470">
        <f t="shared" si="30"/>
        <v>0</v>
      </c>
      <c r="D65" s="250"/>
      <c r="E65" s="251"/>
      <c r="F65" s="601">
        <v>50000</v>
      </c>
      <c r="G65" s="472">
        <f t="shared" si="31"/>
        <v>15134</v>
      </c>
      <c r="H65" s="254">
        <v>14976</v>
      </c>
      <c r="I65" s="936">
        <v>158</v>
      </c>
      <c r="J65" s="928"/>
      <c r="K65" s="470">
        <f t="shared" si="32"/>
        <v>0</v>
      </c>
      <c r="L65" s="472">
        <f t="shared" si="33"/>
        <v>0</v>
      </c>
      <c r="M65" s="473" t="str">
        <f t="shared" si="34"/>
        <v>-</v>
      </c>
      <c r="N65" s="474">
        <f t="shared" si="40"/>
        <v>0</v>
      </c>
      <c r="O65" s="472">
        <f t="shared" si="35"/>
        <v>0</v>
      </c>
      <c r="P65" s="475" t="str">
        <f t="shared" si="41"/>
        <v>-</v>
      </c>
      <c r="Q65" s="472">
        <f t="shared" si="36"/>
        <v>0</v>
      </c>
      <c r="R65" s="472">
        <f t="shared" si="37"/>
        <v>0</v>
      </c>
      <c r="S65" s="476" t="str">
        <f t="shared" si="38"/>
        <v>-</v>
      </c>
      <c r="T65" s="477" t="str">
        <f t="shared" si="39"/>
        <v>-</v>
      </c>
    </row>
    <row r="66" spans="1:20" ht="24.6" customHeight="1" x14ac:dyDescent="0.3">
      <c r="A66" s="248">
        <v>5</v>
      </c>
      <c r="B66" s="249" t="s">
        <v>22</v>
      </c>
      <c r="C66" s="470">
        <f t="shared" si="30"/>
        <v>0</v>
      </c>
      <c r="D66" s="250"/>
      <c r="E66" s="251"/>
      <c r="F66" s="601">
        <v>80000</v>
      </c>
      <c r="G66" s="472">
        <f t="shared" si="31"/>
        <v>0</v>
      </c>
      <c r="H66" s="471"/>
      <c r="I66" s="937"/>
      <c r="J66" s="928"/>
      <c r="K66" s="470">
        <f>+L66-E66</f>
        <v>0</v>
      </c>
      <c r="L66" s="472">
        <f t="shared" si="33"/>
        <v>0</v>
      </c>
      <c r="M66" s="473" t="str">
        <f>IFERROR(K66/L66,"-")</f>
        <v>-</v>
      </c>
      <c r="N66" s="474">
        <f t="shared" si="40"/>
        <v>0</v>
      </c>
      <c r="O66" s="472">
        <f t="shared" si="35"/>
        <v>0</v>
      </c>
      <c r="P66" s="475" t="str">
        <f t="shared" si="41"/>
        <v>-</v>
      </c>
      <c r="Q66" s="472" t="str">
        <f t="shared" si="36"/>
        <v>-</v>
      </c>
      <c r="R66" s="472">
        <f t="shared" si="37"/>
        <v>0</v>
      </c>
      <c r="S66" s="476" t="str">
        <f t="shared" si="38"/>
        <v>-</v>
      </c>
      <c r="T66" s="477" t="str">
        <f t="shared" si="39"/>
        <v>-</v>
      </c>
    </row>
    <row r="67" spans="1:20" ht="24.6" customHeight="1" x14ac:dyDescent="0.3">
      <c r="A67" s="248" t="s">
        <v>103</v>
      </c>
      <c r="B67" s="249" t="s">
        <v>23</v>
      </c>
      <c r="C67" s="470">
        <f t="shared" si="30"/>
        <v>0</v>
      </c>
      <c r="D67" s="250"/>
      <c r="E67" s="251"/>
      <c r="F67" s="601">
        <v>14000</v>
      </c>
      <c r="G67" s="472">
        <f t="shared" si="31"/>
        <v>0</v>
      </c>
      <c r="H67" s="254"/>
      <c r="I67" s="936"/>
      <c r="J67" s="928"/>
      <c r="K67" s="470">
        <f t="shared" ref="K67:K76" si="42">+L67-E67</f>
        <v>0</v>
      </c>
      <c r="L67" s="472">
        <f t="shared" si="33"/>
        <v>0</v>
      </c>
      <c r="M67" s="473" t="str">
        <f t="shared" ref="M67:M76" si="43">IFERROR(K67/L67,"-")</f>
        <v>-</v>
      </c>
      <c r="N67" s="474">
        <f t="shared" si="40"/>
        <v>0</v>
      </c>
      <c r="O67" s="472">
        <f t="shared" si="35"/>
        <v>0</v>
      </c>
      <c r="P67" s="475" t="str">
        <f t="shared" si="41"/>
        <v>-</v>
      </c>
      <c r="Q67" s="472" t="str">
        <f t="shared" si="36"/>
        <v>-</v>
      </c>
      <c r="R67" s="472">
        <f t="shared" si="37"/>
        <v>0</v>
      </c>
      <c r="S67" s="476" t="str">
        <f t="shared" si="38"/>
        <v>-</v>
      </c>
      <c r="T67" s="477" t="str">
        <f t="shared" si="39"/>
        <v>-</v>
      </c>
    </row>
    <row r="68" spans="1:20" ht="24.6" customHeight="1" x14ac:dyDescent="0.3">
      <c r="A68" s="248" t="s">
        <v>103</v>
      </c>
      <c r="B68" s="253" t="s">
        <v>212</v>
      </c>
      <c r="C68" s="478">
        <f t="shared" si="30"/>
        <v>480</v>
      </c>
      <c r="D68" s="250">
        <f>30+30+30+330</f>
        <v>420</v>
      </c>
      <c r="E68" s="251">
        <v>60</v>
      </c>
      <c r="F68" s="601">
        <v>4500</v>
      </c>
      <c r="G68" s="472">
        <f>+H68+I68</f>
        <v>30209</v>
      </c>
      <c r="H68" s="254">
        <v>30077</v>
      </c>
      <c r="I68" s="251">
        <v>132</v>
      </c>
      <c r="J68" s="928">
        <v>1440</v>
      </c>
      <c r="K68" s="478">
        <f t="shared" si="42"/>
        <v>960</v>
      </c>
      <c r="L68" s="250">
        <f t="shared" si="33"/>
        <v>1020</v>
      </c>
      <c r="M68" s="479">
        <f t="shared" si="43"/>
        <v>0.94117647058823528</v>
      </c>
      <c r="N68" s="480">
        <f t="shared" si="40"/>
        <v>480</v>
      </c>
      <c r="O68" s="250">
        <f t="shared" si="35"/>
        <v>960</v>
      </c>
      <c r="P68" s="481">
        <f t="shared" si="41"/>
        <v>0.5</v>
      </c>
      <c r="Q68" s="250">
        <f t="shared" si="36"/>
        <v>473.70783541328751</v>
      </c>
      <c r="R68" s="250">
        <f t="shared" si="37"/>
        <v>480</v>
      </c>
      <c r="S68" s="482">
        <f t="shared" si="38"/>
        <v>0.98689132377768229</v>
      </c>
      <c r="T68" s="483">
        <f t="shared" si="39"/>
        <v>0.46441944648361522</v>
      </c>
    </row>
    <row r="69" spans="1:20" ht="24.6" customHeight="1" thickBot="1" x14ac:dyDescent="0.35">
      <c r="A69" s="255" t="s">
        <v>103</v>
      </c>
      <c r="B69" s="256" t="s">
        <v>213</v>
      </c>
      <c r="C69" s="484">
        <f t="shared" si="30"/>
        <v>120</v>
      </c>
      <c r="D69" s="257">
        <f>30+30+60</f>
        <v>120</v>
      </c>
      <c r="E69" s="258"/>
      <c r="F69" s="605">
        <v>5000</v>
      </c>
      <c r="G69" s="494">
        <f t="shared" ref="G69:G76" si="44">+H69+I69</f>
        <v>36654</v>
      </c>
      <c r="H69" s="259">
        <v>36632</v>
      </c>
      <c r="I69" s="258">
        <v>22</v>
      </c>
      <c r="J69" s="929">
        <v>960</v>
      </c>
      <c r="K69" s="484">
        <f t="shared" si="42"/>
        <v>840</v>
      </c>
      <c r="L69" s="257">
        <f t="shared" si="33"/>
        <v>840</v>
      </c>
      <c r="M69" s="485">
        <f t="shared" si="43"/>
        <v>1</v>
      </c>
      <c r="N69" s="486">
        <f t="shared" si="40"/>
        <v>720</v>
      </c>
      <c r="O69" s="257">
        <f t="shared" si="35"/>
        <v>840</v>
      </c>
      <c r="P69" s="487">
        <f t="shared" si="41"/>
        <v>0.8571428571428571</v>
      </c>
      <c r="Q69" s="257">
        <f t="shared" si="36"/>
        <v>719.42380094941893</v>
      </c>
      <c r="R69" s="257">
        <f t="shared" si="37"/>
        <v>720</v>
      </c>
      <c r="S69" s="488">
        <f t="shared" si="38"/>
        <v>0.99919972354085962</v>
      </c>
      <c r="T69" s="489">
        <f t="shared" si="39"/>
        <v>0.85645690589216539</v>
      </c>
    </row>
    <row r="70" spans="1:20" ht="24.6" customHeight="1" x14ac:dyDescent="0.3">
      <c r="A70" s="252" t="s">
        <v>101</v>
      </c>
      <c r="B70" s="260" t="s">
        <v>29</v>
      </c>
      <c r="C70" s="470">
        <f t="shared" si="30"/>
        <v>0</v>
      </c>
      <c r="D70" s="250"/>
      <c r="E70" s="251"/>
      <c r="F70" s="930">
        <v>160000</v>
      </c>
      <c r="G70" s="932">
        <f t="shared" si="44"/>
        <v>0</v>
      </c>
      <c r="H70" s="930"/>
      <c r="I70" s="931"/>
      <c r="J70" s="933"/>
      <c r="K70" s="470">
        <f t="shared" si="42"/>
        <v>0</v>
      </c>
      <c r="L70" s="472">
        <f t="shared" si="33"/>
        <v>0</v>
      </c>
      <c r="M70" s="473" t="str">
        <f t="shared" si="43"/>
        <v>-</v>
      </c>
      <c r="N70" s="474">
        <f t="shared" si="40"/>
        <v>0</v>
      </c>
      <c r="O70" s="472">
        <f t="shared" si="35"/>
        <v>0</v>
      </c>
      <c r="P70" s="475" t="str">
        <f t="shared" si="41"/>
        <v>-</v>
      </c>
      <c r="Q70" s="472" t="str">
        <f t="shared" si="36"/>
        <v>-</v>
      </c>
      <c r="R70" s="472">
        <f t="shared" si="37"/>
        <v>0</v>
      </c>
      <c r="S70" s="490" t="str">
        <f t="shared" si="38"/>
        <v>-</v>
      </c>
      <c r="T70" s="491" t="str">
        <f t="shared" si="39"/>
        <v>-</v>
      </c>
    </row>
    <row r="71" spans="1:20" ht="24.6" customHeight="1" x14ac:dyDescent="0.3">
      <c r="A71" s="248" t="s">
        <v>101</v>
      </c>
      <c r="B71" s="260" t="s">
        <v>31</v>
      </c>
      <c r="C71" s="470">
        <f t="shared" si="30"/>
        <v>0</v>
      </c>
      <c r="D71" s="707"/>
      <c r="E71" s="251"/>
      <c r="F71" s="471">
        <v>50000</v>
      </c>
      <c r="G71" s="472">
        <f t="shared" si="44"/>
        <v>0</v>
      </c>
      <c r="H71" s="471"/>
      <c r="I71" s="611"/>
      <c r="J71" s="610"/>
      <c r="K71" s="470">
        <f t="shared" si="42"/>
        <v>0</v>
      </c>
      <c r="L71" s="472">
        <f t="shared" si="33"/>
        <v>0</v>
      </c>
      <c r="M71" s="473" t="str">
        <f t="shared" si="43"/>
        <v>-</v>
      </c>
      <c r="N71" s="474">
        <f t="shared" si="40"/>
        <v>0</v>
      </c>
      <c r="O71" s="472">
        <f t="shared" si="35"/>
        <v>0</v>
      </c>
      <c r="P71" s="475" t="str">
        <f t="shared" si="41"/>
        <v>-</v>
      </c>
      <c r="Q71" s="472" t="str">
        <f t="shared" si="36"/>
        <v>-</v>
      </c>
      <c r="R71" s="472">
        <f t="shared" si="37"/>
        <v>0</v>
      </c>
      <c r="S71" s="490" t="str">
        <f t="shared" si="38"/>
        <v>-</v>
      </c>
      <c r="T71" s="491" t="str">
        <f t="shared" si="39"/>
        <v>-</v>
      </c>
    </row>
    <row r="72" spans="1:20" ht="24.6" customHeight="1" thickBot="1" x14ac:dyDescent="0.35">
      <c r="A72" s="255" t="s">
        <v>101</v>
      </c>
      <c r="B72" s="261" t="s">
        <v>32</v>
      </c>
      <c r="C72" s="492">
        <f t="shared" si="30"/>
        <v>0</v>
      </c>
      <c r="D72" s="257"/>
      <c r="E72" s="258"/>
      <c r="F72" s="493">
        <v>110000</v>
      </c>
      <c r="G72" s="494">
        <f t="shared" si="44"/>
        <v>0</v>
      </c>
      <c r="H72" s="493"/>
      <c r="I72" s="612"/>
      <c r="J72" s="613"/>
      <c r="K72" s="492">
        <f t="shared" si="42"/>
        <v>0</v>
      </c>
      <c r="L72" s="494">
        <f t="shared" si="33"/>
        <v>0</v>
      </c>
      <c r="M72" s="495" t="str">
        <f t="shared" si="43"/>
        <v>-</v>
      </c>
      <c r="N72" s="496">
        <f t="shared" si="40"/>
        <v>0</v>
      </c>
      <c r="O72" s="494">
        <f t="shared" si="35"/>
        <v>0</v>
      </c>
      <c r="P72" s="497" t="str">
        <f t="shared" si="41"/>
        <v>-</v>
      </c>
      <c r="Q72" s="494" t="str">
        <f t="shared" si="36"/>
        <v>-</v>
      </c>
      <c r="R72" s="494">
        <f t="shared" si="37"/>
        <v>0</v>
      </c>
      <c r="S72" s="498" t="str">
        <f t="shared" si="38"/>
        <v>-</v>
      </c>
      <c r="T72" s="499" t="str">
        <f t="shared" si="39"/>
        <v>-</v>
      </c>
    </row>
    <row r="73" spans="1:20" ht="24.6" customHeight="1" x14ac:dyDescent="0.3">
      <c r="A73" s="248" t="s">
        <v>102</v>
      </c>
      <c r="B73" s="249" t="s">
        <v>219</v>
      </c>
      <c r="C73" s="470">
        <f t="shared" si="30"/>
        <v>0</v>
      </c>
      <c r="D73" s="250"/>
      <c r="E73" s="251"/>
      <c r="F73" s="471">
        <v>6500</v>
      </c>
      <c r="G73" s="472">
        <f t="shared" si="44"/>
        <v>0</v>
      </c>
      <c r="H73" s="471"/>
      <c r="I73" s="611"/>
      <c r="J73" s="610"/>
      <c r="K73" s="470">
        <f t="shared" si="42"/>
        <v>0</v>
      </c>
      <c r="L73" s="472">
        <f t="shared" si="33"/>
        <v>0</v>
      </c>
      <c r="M73" s="473" t="str">
        <f t="shared" si="43"/>
        <v>-</v>
      </c>
      <c r="N73" s="474">
        <f t="shared" si="40"/>
        <v>0</v>
      </c>
      <c r="O73" s="472">
        <f t="shared" si="35"/>
        <v>0</v>
      </c>
      <c r="P73" s="475" t="str">
        <f t="shared" si="41"/>
        <v>-</v>
      </c>
      <c r="Q73" s="472" t="str">
        <f t="shared" si="36"/>
        <v>-</v>
      </c>
      <c r="R73" s="472">
        <f t="shared" si="37"/>
        <v>0</v>
      </c>
      <c r="S73" s="490" t="str">
        <f t="shared" si="38"/>
        <v>-</v>
      </c>
      <c r="T73" s="491" t="str">
        <f t="shared" si="39"/>
        <v>-</v>
      </c>
    </row>
    <row r="74" spans="1:20" ht="24.6" customHeight="1" x14ac:dyDescent="0.3">
      <c r="A74" s="252" t="s">
        <v>102</v>
      </c>
      <c r="B74" s="249" t="s">
        <v>38</v>
      </c>
      <c r="C74" s="470">
        <f t="shared" si="30"/>
        <v>0</v>
      </c>
      <c r="D74" s="250"/>
      <c r="E74" s="251"/>
      <c r="F74" s="471">
        <v>2800</v>
      </c>
      <c r="G74" s="472">
        <f t="shared" si="44"/>
        <v>0</v>
      </c>
      <c r="H74" s="471"/>
      <c r="I74" s="611"/>
      <c r="J74" s="610"/>
      <c r="K74" s="470">
        <f t="shared" si="42"/>
        <v>0</v>
      </c>
      <c r="L74" s="472">
        <f t="shared" si="33"/>
        <v>0</v>
      </c>
      <c r="M74" s="473" t="str">
        <f t="shared" si="43"/>
        <v>-</v>
      </c>
      <c r="N74" s="474">
        <f t="shared" si="40"/>
        <v>0</v>
      </c>
      <c r="O74" s="472">
        <f t="shared" si="35"/>
        <v>0</v>
      </c>
      <c r="P74" s="475" t="str">
        <f t="shared" si="41"/>
        <v>-</v>
      </c>
      <c r="Q74" s="472" t="str">
        <f t="shared" si="36"/>
        <v>-</v>
      </c>
      <c r="R74" s="472">
        <f t="shared" si="37"/>
        <v>0</v>
      </c>
      <c r="S74" s="490" t="str">
        <f t="shared" si="38"/>
        <v>-</v>
      </c>
      <c r="T74" s="491" t="str">
        <f t="shared" si="39"/>
        <v>-</v>
      </c>
    </row>
    <row r="75" spans="1:20" ht="24.6" customHeight="1" x14ac:dyDescent="0.3">
      <c r="A75" s="248" t="s">
        <v>102</v>
      </c>
      <c r="B75" s="249" t="s">
        <v>39</v>
      </c>
      <c r="C75" s="470">
        <f t="shared" si="30"/>
        <v>0</v>
      </c>
      <c r="D75" s="250"/>
      <c r="E75" s="251"/>
      <c r="F75" s="471">
        <v>25000</v>
      </c>
      <c r="G75" s="472">
        <f t="shared" si="44"/>
        <v>0</v>
      </c>
      <c r="H75" s="471"/>
      <c r="I75" s="611"/>
      <c r="J75" s="610"/>
      <c r="K75" s="470">
        <f t="shared" si="42"/>
        <v>0</v>
      </c>
      <c r="L75" s="472">
        <f t="shared" si="33"/>
        <v>0</v>
      </c>
      <c r="M75" s="473" t="str">
        <f t="shared" si="43"/>
        <v>-</v>
      </c>
      <c r="N75" s="474">
        <f t="shared" si="40"/>
        <v>0</v>
      </c>
      <c r="O75" s="472">
        <f t="shared" si="35"/>
        <v>0</v>
      </c>
      <c r="P75" s="475" t="str">
        <f t="shared" si="41"/>
        <v>-</v>
      </c>
      <c r="Q75" s="472" t="str">
        <f t="shared" si="36"/>
        <v>-</v>
      </c>
      <c r="R75" s="472">
        <f t="shared" si="37"/>
        <v>0</v>
      </c>
      <c r="S75" s="490" t="str">
        <f t="shared" si="38"/>
        <v>-</v>
      </c>
      <c r="T75" s="491" t="str">
        <f t="shared" si="39"/>
        <v>-</v>
      </c>
    </row>
    <row r="76" spans="1:20" ht="45" customHeight="1" thickBot="1" x14ac:dyDescent="0.35">
      <c r="A76" s="615" t="s">
        <v>102</v>
      </c>
      <c r="B76" s="261" t="s">
        <v>218</v>
      </c>
      <c r="C76" s="616">
        <f t="shared" si="30"/>
        <v>0</v>
      </c>
      <c r="D76" s="617"/>
      <c r="E76" s="618"/>
      <c r="F76" s="619">
        <v>25000</v>
      </c>
      <c r="G76" s="620">
        <f t="shared" si="44"/>
        <v>0</v>
      </c>
      <c r="H76" s="619"/>
      <c r="I76" s="621"/>
      <c r="J76" s="614"/>
      <c r="K76" s="616">
        <f t="shared" si="42"/>
        <v>0</v>
      </c>
      <c r="L76" s="620">
        <f t="shared" si="33"/>
        <v>0</v>
      </c>
      <c r="M76" s="622" t="str">
        <f t="shared" si="43"/>
        <v>-</v>
      </c>
      <c r="N76" s="623">
        <f t="shared" si="40"/>
        <v>0</v>
      </c>
      <c r="O76" s="620">
        <f t="shared" si="35"/>
        <v>0</v>
      </c>
      <c r="P76" s="624" t="str">
        <f t="shared" si="41"/>
        <v>-</v>
      </c>
      <c r="Q76" s="620" t="str">
        <f t="shared" si="36"/>
        <v>-</v>
      </c>
      <c r="R76" s="620">
        <f t="shared" si="37"/>
        <v>0</v>
      </c>
      <c r="S76" s="625" t="str">
        <f t="shared" si="38"/>
        <v>-</v>
      </c>
      <c r="T76" s="626" t="str">
        <f t="shared" si="39"/>
        <v>-</v>
      </c>
    </row>
    <row r="77" spans="1:20" ht="24.6" customHeight="1" x14ac:dyDescent="0.3">
      <c r="A77" s="230"/>
      <c r="B77" s="231"/>
      <c r="C77" s="232"/>
      <c r="D77" s="232"/>
      <c r="E77" s="232"/>
      <c r="F77" s="232"/>
      <c r="G77" s="233"/>
      <c r="H77" s="234"/>
      <c r="I77" s="232"/>
      <c r="J77" s="232"/>
      <c r="K77" s="232"/>
      <c r="L77" s="232"/>
      <c r="M77" s="234"/>
      <c r="N77" s="232"/>
      <c r="O77" s="232"/>
      <c r="P77" s="234"/>
      <c r="Q77" s="232"/>
      <c r="R77" s="232"/>
      <c r="S77" s="234"/>
      <c r="T77" s="234"/>
    </row>
    <row r="78" spans="1:20" ht="24.6" customHeight="1" x14ac:dyDescent="0.3">
      <c r="A78" s="230"/>
      <c r="B78" s="231"/>
      <c r="C78" s="232"/>
      <c r="D78" s="232"/>
      <c r="E78" s="232"/>
      <c r="F78" s="232"/>
      <c r="G78" s="233"/>
      <c r="H78" s="234"/>
      <c r="I78" s="232"/>
      <c r="J78" s="232"/>
      <c r="K78" s="232"/>
      <c r="L78" s="232"/>
      <c r="M78" s="234"/>
      <c r="N78" s="232"/>
      <c r="O78" s="232"/>
      <c r="P78" s="234"/>
      <c r="Q78" s="232"/>
      <c r="R78" s="232"/>
      <c r="S78" s="234"/>
      <c r="T78" s="234"/>
    </row>
    <row r="79" spans="1:20" ht="24.6" customHeight="1" thickBot="1" x14ac:dyDescent="0.35">
      <c r="A79" s="230"/>
      <c r="B79" s="231"/>
      <c r="C79" s="232"/>
      <c r="D79" s="232"/>
      <c r="E79" s="232"/>
      <c r="F79" s="232"/>
      <c r="G79" s="233"/>
      <c r="H79" s="234"/>
      <c r="I79" s="232"/>
      <c r="J79" s="232"/>
      <c r="K79" s="232"/>
      <c r="L79" s="232"/>
      <c r="M79" s="234"/>
      <c r="N79" s="232"/>
      <c r="O79" s="232"/>
      <c r="P79" s="234"/>
      <c r="Q79" s="232"/>
      <c r="R79" s="232"/>
      <c r="S79" s="234"/>
      <c r="T79" s="234"/>
    </row>
    <row r="80" spans="1:20" ht="28.5" customHeight="1" x14ac:dyDescent="0.3">
      <c r="A80" s="1115" t="s">
        <v>1</v>
      </c>
      <c r="B80" s="1115" t="s">
        <v>2</v>
      </c>
      <c r="C80" s="1066" t="s">
        <v>207</v>
      </c>
      <c r="D80" s="1067"/>
      <c r="E80" s="1068"/>
      <c r="F80" s="1066" t="s">
        <v>560</v>
      </c>
      <c r="G80" s="1067"/>
      <c r="H80" s="1067"/>
      <c r="I80" s="1068"/>
      <c r="J80" s="1115" t="s">
        <v>204</v>
      </c>
      <c r="K80" s="1066" t="s">
        <v>192</v>
      </c>
      <c r="L80" s="1067"/>
      <c r="M80" s="1068"/>
      <c r="N80" s="1066" t="s">
        <v>193</v>
      </c>
      <c r="O80" s="1067"/>
      <c r="P80" s="1068"/>
      <c r="Q80" s="1066" t="s">
        <v>194</v>
      </c>
      <c r="R80" s="1067"/>
      <c r="S80" s="1068"/>
      <c r="T80" s="1173" t="s">
        <v>191</v>
      </c>
    </row>
    <row r="81" spans="1:20" ht="91.5" customHeight="1" thickBot="1" x14ac:dyDescent="0.35">
      <c r="A81" s="1117"/>
      <c r="B81" s="1117"/>
      <c r="C81" s="235" t="s">
        <v>208</v>
      </c>
      <c r="D81" s="236" t="s">
        <v>205</v>
      </c>
      <c r="E81" s="237" t="s">
        <v>206</v>
      </c>
      <c r="F81" s="238" t="s">
        <v>326</v>
      </c>
      <c r="G81" s="236" t="s">
        <v>201</v>
      </c>
      <c r="H81" s="239" t="s">
        <v>202</v>
      </c>
      <c r="I81" s="240" t="s">
        <v>203</v>
      </c>
      <c r="J81" s="1117"/>
      <c r="K81" s="235" t="s">
        <v>195</v>
      </c>
      <c r="L81" s="239" t="s">
        <v>196</v>
      </c>
      <c r="M81" s="241" t="s">
        <v>209</v>
      </c>
      <c r="N81" s="242" t="s">
        <v>197</v>
      </c>
      <c r="O81" s="239" t="s">
        <v>198</v>
      </c>
      <c r="P81" s="241" t="s">
        <v>210</v>
      </c>
      <c r="Q81" s="235" t="s">
        <v>199</v>
      </c>
      <c r="R81" s="239" t="s">
        <v>200</v>
      </c>
      <c r="S81" s="243" t="s">
        <v>211</v>
      </c>
      <c r="T81" s="1174"/>
    </row>
    <row r="82" spans="1:20" ht="24.6" customHeight="1" x14ac:dyDescent="0.3">
      <c r="A82" s="244" t="s">
        <v>103</v>
      </c>
      <c r="B82" s="245" t="s">
        <v>16</v>
      </c>
      <c r="C82" s="463">
        <f>+D82+E82</f>
        <v>30</v>
      </c>
      <c r="D82" s="246">
        <v>30</v>
      </c>
      <c r="E82" s="247"/>
      <c r="F82" s="600">
        <v>15000</v>
      </c>
      <c r="G82" s="464">
        <f>+H82+I82</f>
        <v>7539</v>
      </c>
      <c r="H82" s="604">
        <v>7360</v>
      </c>
      <c r="I82" s="935">
        <v>179</v>
      </c>
      <c r="J82" s="934">
        <v>480</v>
      </c>
      <c r="K82" s="463">
        <f>+L82-E82</f>
        <v>450</v>
      </c>
      <c r="L82" s="464">
        <f>+J82-D82</f>
        <v>450</v>
      </c>
      <c r="M82" s="465">
        <f>IFERROR(K82/L82,"-")</f>
        <v>1</v>
      </c>
      <c r="N82" s="466">
        <f>+O82-C82</f>
        <v>420</v>
      </c>
      <c r="O82" s="464">
        <f>+K82</f>
        <v>450</v>
      </c>
      <c r="P82" s="467">
        <f>IFERROR(N82/O82,"-")</f>
        <v>0.93333333333333335</v>
      </c>
      <c r="Q82" s="464">
        <f>IFERROR(N82-(J82-(J82*H82/G82)),"-")</f>
        <v>408.60326303223241</v>
      </c>
      <c r="R82" s="464">
        <f>+N82</f>
        <v>420</v>
      </c>
      <c r="S82" s="468">
        <f>IFERROR(Q82/R82,"-")</f>
        <v>0.97286491198150571</v>
      </c>
      <c r="T82" s="469">
        <f>IFERROR(M82*P82*S82,"-")</f>
        <v>0.90800725118273873</v>
      </c>
    </row>
    <row r="83" spans="1:20" ht="24.6" customHeight="1" x14ac:dyDescent="0.3">
      <c r="A83" s="248" t="s">
        <v>103</v>
      </c>
      <c r="B83" s="249" t="s">
        <v>215</v>
      </c>
      <c r="C83" s="470">
        <f t="shared" ref="C83:C97" si="45">+D83+E83</f>
        <v>165</v>
      </c>
      <c r="D83" s="250">
        <v>30</v>
      </c>
      <c r="E83" s="251">
        <f>120+15</f>
        <v>135</v>
      </c>
      <c r="F83" s="601">
        <v>100000</v>
      </c>
      <c r="G83" s="472">
        <f t="shared" ref="G83:G88" si="46">+H83+I83</f>
        <v>61524</v>
      </c>
      <c r="H83" s="254">
        <v>61200</v>
      </c>
      <c r="I83" s="936">
        <v>324</v>
      </c>
      <c r="J83" s="928">
        <v>480</v>
      </c>
      <c r="K83" s="470">
        <f t="shared" ref="K83:K86" si="47">+L83-E83</f>
        <v>315</v>
      </c>
      <c r="L83" s="472">
        <f t="shared" ref="L83:L97" si="48">+J83-D83</f>
        <v>450</v>
      </c>
      <c r="M83" s="473">
        <f t="shared" ref="M83:M86" si="49">IFERROR(K83/L83,"-")</f>
        <v>0.7</v>
      </c>
      <c r="N83" s="474">
        <f>+O83-C83</f>
        <v>150</v>
      </c>
      <c r="O83" s="472">
        <f t="shared" ref="O83:O97" si="50">+K83</f>
        <v>315</v>
      </c>
      <c r="P83" s="475">
        <f>IFERROR(N83/O83,"-")</f>
        <v>0.47619047619047616</v>
      </c>
      <c r="Q83" s="472">
        <f t="shared" ref="Q83:Q97" si="51">IFERROR(N83-(J83-(J83*H83/G83)),"-")</f>
        <v>147.47220596840259</v>
      </c>
      <c r="R83" s="472">
        <f t="shared" ref="R83:R97" si="52">+N83</f>
        <v>150</v>
      </c>
      <c r="S83" s="476">
        <f t="shared" ref="S83:S97" si="53">IFERROR(Q83/R83,"-")</f>
        <v>0.98314803978935061</v>
      </c>
      <c r="T83" s="477">
        <f t="shared" ref="T83:T97" si="54">IFERROR(M83*P83*S83,"-")</f>
        <v>0.32771601326311683</v>
      </c>
    </row>
    <row r="84" spans="1:20" ht="24.6" customHeight="1" x14ac:dyDescent="0.3">
      <c r="A84" s="248" t="s">
        <v>103</v>
      </c>
      <c r="B84" s="249" t="s">
        <v>214</v>
      </c>
      <c r="C84" s="470">
        <f t="shared" si="45"/>
        <v>0</v>
      </c>
      <c r="D84" s="250"/>
      <c r="E84" s="251"/>
      <c r="F84" s="601">
        <v>80000</v>
      </c>
      <c r="G84" s="472">
        <f t="shared" si="46"/>
        <v>0</v>
      </c>
      <c r="H84" s="254"/>
      <c r="I84" s="936"/>
      <c r="J84" s="928"/>
      <c r="K84" s="470">
        <f t="shared" si="47"/>
        <v>0</v>
      </c>
      <c r="L84" s="472">
        <f t="shared" si="48"/>
        <v>0</v>
      </c>
      <c r="M84" s="473" t="str">
        <f t="shared" si="49"/>
        <v>-</v>
      </c>
      <c r="N84" s="474">
        <f t="shared" ref="N84:N97" si="55">+O84-C84</f>
        <v>0</v>
      </c>
      <c r="O84" s="472">
        <f t="shared" si="50"/>
        <v>0</v>
      </c>
      <c r="P84" s="475" t="str">
        <f t="shared" ref="P84:P97" si="56">IFERROR(N84/O84,"-")</f>
        <v>-</v>
      </c>
      <c r="Q84" s="472" t="str">
        <f t="shared" si="51"/>
        <v>-</v>
      </c>
      <c r="R84" s="472">
        <f t="shared" si="52"/>
        <v>0</v>
      </c>
      <c r="S84" s="476" t="str">
        <f t="shared" si="53"/>
        <v>-</v>
      </c>
      <c r="T84" s="477" t="str">
        <f t="shared" si="54"/>
        <v>-</v>
      </c>
    </row>
    <row r="85" spans="1:20" ht="24.6" customHeight="1" x14ac:dyDescent="0.3">
      <c r="A85" s="252" t="s">
        <v>103</v>
      </c>
      <c r="B85" s="249" t="s">
        <v>217</v>
      </c>
      <c r="C85" s="470">
        <f t="shared" si="45"/>
        <v>60</v>
      </c>
      <c r="D85" s="250">
        <v>60</v>
      </c>
      <c r="E85" s="251">
        <v>0</v>
      </c>
      <c r="F85" s="601">
        <v>220000</v>
      </c>
      <c r="G85" s="472">
        <f t="shared" si="46"/>
        <v>134087</v>
      </c>
      <c r="H85" s="254">
        <v>133056</v>
      </c>
      <c r="I85" s="936">
        <v>1031</v>
      </c>
      <c r="J85" s="928">
        <v>960</v>
      </c>
      <c r="K85" s="470">
        <f t="shared" si="47"/>
        <v>900</v>
      </c>
      <c r="L85" s="472">
        <f t="shared" si="48"/>
        <v>900</v>
      </c>
      <c r="M85" s="473">
        <f t="shared" si="49"/>
        <v>1</v>
      </c>
      <c r="N85" s="474">
        <f t="shared" si="55"/>
        <v>840</v>
      </c>
      <c r="O85" s="472">
        <f t="shared" si="50"/>
        <v>900</v>
      </c>
      <c r="P85" s="475">
        <f t="shared" si="56"/>
        <v>0.93333333333333335</v>
      </c>
      <c r="Q85" s="472">
        <f t="shared" si="51"/>
        <v>832.61852379425295</v>
      </c>
      <c r="R85" s="472">
        <f t="shared" si="52"/>
        <v>840</v>
      </c>
      <c r="S85" s="476">
        <f t="shared" si="53"/>
        <v>0.99121252832649165</v>
      </c>
      <c r="T85" s="477">
        <f t="shared" si="54"/>
        <v>0.92513169310472554</v>
      </c>
    </row>
    <row r="86" spans="1:20" ht="24.6" customHeight="1" x14ac:dyDescent="0.3">
      <c r="A86" s="248" t="s">
        <v>103</v>
      </c>
      <c r="B86" s="249" t="s">
        <v>216</v>
      </c>
      <c r="C86" s="470">
        <f t="shared" si="45"/>
        <v>0</v>
      </c>
      <c r="D86" s="250"/>
      <c r="E86" s="251"/>
      <c r="F86" s="601">
        <v>50000</v>
      </c>
      <c r="G86" s="472">
        <f t="shared" si="46"/>
        <v>0</v>
      </c>
      <c r="H86" s="254"/>
      <c r="I86" s="936"/>
      <c r="J86" s="928"/>
      <c r="K86" s="470">
        <f t="shared" si="47"/>
        <v>0</v>
      </c>
      <c r="L86" s="472">
        <f t="shared" si="48"/>
        <v>0</v>
      </c>
      <c r="M86" s="473" t="str">
        <f t="shared" si="49"/>
        <v>-</v>
      </c>
      <c r="N86" s="474">
        <f t="shared" si="55"/>
        <v>0</v>
      </c>
      <c r="O86" s="472">
        <f t="shared" si="50"/>
        <v>0</v>
      </c>
      <c r="P86" s="475" t="str">
        <f t="shared" si="56"/>
        <v>-</v>
      </c>
      <c r="Q86" s="472" t="str">
        <f t="shared" si="51"/>
        <v>-</v>
      </c>
      <c r="R86" s="472">
        <f t="shared" si="52"/>
        <v>0</v>
      </c>
      <c r="S86" s="476" t="str">
        <f t="shared" si="53"/>
        <v>-</v>
      </c>
      <c r="T86" s="477" t="str">
        <f t="shared" si="54"/>
        <v>-</v>
      </c>
    </row>
    <row r="87" spans="1:20" ht="24.6" customHeight="1" x14ac:dyDescent="0.3">
      <c r="A87" s="248">
        <v>5</v>
      </c>
      <c r="B87" s="249" t="s">
        <v>22</v>
      </c>
      <c r="C87" s="470">
        <f t="shared" si="45"/>
        <v>165</v>
      </c>
      <c r="D87" s="250">
        <v>30</v>
      </c>
      <c r="E87" s="251">
        <f>30+60+15+30</f>
        <v>135</v>
      </c>
      <c r="F87" s="601">
        <v>80000</v>
      </c>
      <c r="G87" s="472">
        <f t="shared" si="46"/>
        <v>33750</v>
      </c>
      <c r="H87" s="471">
        <v>33660</v>
      </c>
      <c r="I87" s="937">
        <v>90</v>
      </c>
      <c r="J87" s="928">
        <v>480</v>
      </c>
      <c r="K87" s="470">
        <f>+L87-E87</f>
        <v>315</v>
      </c>
      <c r="L87" s="472">
        <f t="shared" si="48"/>
        <v>450</v>
      </c>
      <c r="M87" s="473">
        <f>IFERROR(K87/L87,"-")</f>
        <v>0.7</v>
      </c>
      <c r="N87" s="474">
        <f t="shared" si="55"/>
        <v>150</v>
      </c>
      <c r="O87" s="472">
        <f t="shared" si="50"/>
        <v>315</v>
      </c>
      <c r="P87" s="475">
        <f t="shared" si="56"/>
        <v>0.47619047619047616</v>
      </c>
      <c r="Q87" s="472">
        <f t="shared" si="51"/>
        <v>148.72000000000003</v>
      </c>
      <c r="R87" s="472">
        <f t="shared" si="52"/>
        <v>150</v>
      </c>
      <c r="S87" s="476">
        <f t="shared" si="53"/>
        <v>0.99146666666666683</v>
      </c>
      <c r="T87" s="477">
        <f t="shared" si="54"/>
        <v>0.33048888888888894</v>
      </c>
    </row>
    <row r="88" spans="1:20" ht="24.6" customHeight="1" x14ac:dyDescent="0.3">
      <c r="A88" s="248" t="s">
        <v>103</v>
      </c>
      <c r="B88" s="249" t="s">
        <v>23</v>
      </c>
      <c r="C88" s="470">
        <f t="shared" si="45"/>
        <v>480</v>
      </c>
      <c r="D88" s="250">
        <v>30</v>
      </c>
      <c r="E88" s="251">
        <v>450</v>
      </c>
      <c r="F88" s="601">
        <v>14000</v>
      </c>
      <c r="G88" s="472">
        <f t="shared" si="46"/>
        <v>0</v>
      </c>
      <c r="H88" s="254"/>
      <c r="I88" s="936"/>
      <c r="J88" s="928">
        <v>480</v>
      </c>
      <c r="K88" s="470">
        <f t="shared" ref="K88:K97" si="57">+L88-E88</f>
        <v>0</v>
      </c>
      <c r="L88" s="472">
        <f t="shared" si="48"/>
        <v>450</v>
      </c>
      <c r="M88" s="473">
        <f t="shared" ref="M88:M97" si="58">IFERROR(K88/L88,"-")</f>
        <v>0</v>
      </c>
      <c r="N88" s="474">
        <f t="shared" si="55"/>
        <v>-480</v>
      </c>
      <c r="O88" s="472">
        <f t="shared" si="50"/>
        <v>0</v>
      </c>
      <c r="P88" s="475" t="str">
        <f t="shared" si="56"/>
        <v>-</v>
      </c>
      <c r="Q88" s="472" t="str">
        <f t="shared" si="51"/>
        <v>-</v>
      </c>
      <c r="R88" s="472">
        <f t="shared" si="52"/>
        <v>-480</v>
      </c>
      <c r="S88" s="476" t="str">
        <f t="shared" si="53"/>
        <v>-</v>
      </c>
      <c r="T88" s="477" t="str">
        <f t="shared" si="54"/>
        <v>-</v>
      </c>
    </row>
    <row r="89" spans="1:20" ht="24.6" customHeight="1" x14ac:dyDescent="0.3">
      <c r="A89" s="248" t="s">
        <v>103</v>
      </c>
      <c r="B89" s="253" t="s">
        <v>212</v>
      </c>
      <c r="C89" s="478">
        <f t="shared" si="45"/>
        <v>0</v>
      </c>
      <c r="D89" s="250">
        <v>0</v>
      </c>
      <c r="E89" s="251">
        <v>0</v>
      </c>
      <c r="F89" s="601">
        <v>4500</v>
      </c>
      <c r="G89" s="472">
        <f>+H89+I89</f>
        <v>0</v>
      </c>
      <c r="H89" s="254">
        <v>0</v>
      </c>
      <c r="I89" s="251">
        <v>0</v>
      </c>
      <c r="J89" s="928">
        <v>0</v>
      </c>
      <c r="K89" s="478">
        <f t="shared" si="57"/>
        <v>0</v>
      </c>
      <c r="L89" s="250">
        <f t="shared" si="48"/>
        <v>0</v>
      </c>
      <c r="M89" s="479" t="str">
        <f t="shared" si="58"/>
        <v>-</v>
      </c>
      <c r="N89" s="480">
        <f t="shared" si="55"/>
        <v>0</v>
      </c>
      <c r="O89" s="250">
        <f t="shared" si="50"/>
        <v>0</v>
      </c>
      <c r="P89" s="481" t="str">
        <f t="shared" si="56"/>
        <v>-</v>
      </c>
      <c r="Q89" s="250" t="str">
        <f t="shared" si="51"/>
        <v>-</v>
      </c>
      <c r="R89" s="250">
        <f t="shared" si="52"/>
        <v>0</v>
      </c>
      <c r="S89" s="482" t="str">
        <f t="shared" si="53"/>
        <v>-</v>
      </c>
      <c r="T89" s="483" t="str">
        <f t="shared" si="54"/>
        <v>-</v>
      </c>
    </row>
    <row r="90" spans="1:20" ht="24.6" customHeight="1" thickBot="1" x14ac:dyDescent="0.35">
      <c r="A90" s="255" t="s">
        <v>103</v>
      </c>
      <c r="B90" s="256" t="s">
        <v>213</v>
      </c>
      <c r="C90" s="484">
        <f t="shared" si="45"/>
        <v>0</v>
      </c>
      <c r="D90" s="257">
        <v>0</v>
      </c>
      <c r="E90" s="258"/>
      <c r="F90" s="605">
        <v>5000</v>
      </c>
      <c r="G90" s="494">
        <f t="shared" ref="G90:G97" si="59">+H90+I90</f>
        <v>0</v>
      </c>
      <c r="H90" s="259">
        <v>0</v>
      </c>
      <c r="I90" s="258">
        <v>0</v>
      </c>
      <c r="J90" s="929">
        <v>0</v>
      </c>
      <c r="K90" s="484">
        <f t="shared" si="57"/>
        <v>0</v>
      </c>
      <c r="L90" s="257">
        <f t="shared" si="48"/>
        <v>0</v>
      </c>
      <c r="M90" s="485" t="str">
        <f t="shared" si="58"/>
        <v>-</v>
      </c>
      <c r="N90" s="486">
        <f t="shared" si="55"/>
        <v>0</v>
      </c>
      <c r="O90" s="257">
        <f t="shared" si="50"/>
        <v>0</v>
      </c>
      <c r="P90" s="487" t="str">
        <f t="shared" si="56"/>
        <v>-</v>
      </c>
      <c r="Q90" s="257" t="str">
        <f t="shared" si="51"/>
        <v>-</v>
      </c>
      <c r="R90" s="257">
        <f t="shared" si="52"/>
        <v>0</v>
      </c>
      <c r="S90" s="488" t="str">
        <f t="shared" si="53"/>
        <v>-</v>
      </c>
      <c r="T90" s="489" t="str">
        <f t="shared" si="54"/>
        <v>-</v>
      </c>
    </row>
    <row r="91" spans="1:20" ht="24.6" customHeight="1" x14ac:dyDescent="0.3">
      <c r="A91" s="252" t="s">
        <v>101</v>
      </c>
      <c r="B91" s="260" t="s">
        <v>29</v>
      </c>
      <c r="C91" s="470">
        <f t="shared" si="45"/>
        <v>430</v>
      </c>
      <c r="D91" s="250">
        <v>60</v>
      </c>
      <c r="E91" s="251">
        <v>370</v>
      </c>
      <c r="F91" s="930">
        <v>160000</v>
      </c>
      <c r="G91" s="932">
        <f t="shared" si="59"/>
        <v>8420</v>
      </c>
      <c r="H91" s="930">
        <v>7956</v>
      </c>
      <c r="I91" s="931">
        <v>464</v>
      </c>
      <c r="J91" s="933">
        <v>660</v>
      </c>
      <c r="K91" s="470">
        <f t="shared" si="57"/>
        <v>230</v>
      </c>
      <c r="L91" s="472">
        <f t="shared" si="48"/>
        <v>600</v>
      </c>
      <c r="M91" s="473">
        <f t="shared" si="58"/>
        <v>0.38333333333333336</v>
      </c>
      <c r="N91" s="474">
        <f t="shared" si="55"/>
        <v>-200</v>
      </c>
      <c r="O91" s="472">
        <f t="shared" si="50"/>
        <v>230</v>
      </c>
      <c r="P91" s="475">
        <f t="shared" si="56"/>
        <v>-0.86956521739130432</v>
      </c>
      <c r="Q91" s="472">
        <f t="shared" si="51"/>
        <v>-236.37054631828983</v>
      </c>
      <c r="R91" s="472">
        <f t="shared" si="52"/>
        <v>-200</v>
      </c>
      <c r="S91" s="490">
        <f t="shared" si="53"/>
        <v>1.1818527315914491</v>
      </c>
      <c r="T91" s="491">
        <f t="shared" si="54"/>
        <v>-0.39395091053048309</v>
      </c>
    </row>
    <row r="92" spans="1:20" ht="24.6" customHeight="1" x14ac:dyDescent="0.3">
      <c r="A92" s="248" t="s">
        <v>101</v>
      </c>
      <c r="B92" s="260" t="s">
        <v>31</v>
      </c>
      <c r="C92" s="470">
        <f t="shared" si="45"/>
        <v>450</v>
      </c>
      <c r="D92" s="707">
        <v>30</v>
      </c>
      <c r="E92" s="251">
        <v>420</v>
      </c>
      <c r="F92" s="471">
        <v>50000</v>
      </c>
      <c r="G92" s="472">
        <f t="shared" si="59"/>
        <v>51163</v>
      </c>
      <c r="H92" s="471">
        <v>50446</v>
      </c>
      <c r="I92" s="611">
        <v>717</v>
      </c>
      <c r="J92" s="610">
        <v>900</v>
      </c>
      <c r="K92" s="470">
        <f t="shared" si="57"/>
        <v>450</v>
      </c>
      <c r="L92" s="472">
        <f t="shared" si="48"/>
        <v>870</v>
      </c>
      <c r="M92" s="473">
        <f t="shared" si="58"/>
        <v>0.51724137931034486</v>
      </c>
      <c r="N92" s="474">
        <f t="shared" si="55"/>
        <v>0</v>
      </c>
      <c r="O92" s="472">
        <f t="shared" si="50"/>
        <v>450</v>
      </c>
      <c r="P92" s="475">
        <f t="shared" si="56"/>
        <v>0</v>
      </c>
      <c r="Q92" s="472">
        <f t="shared" si="51"/>
        <v>-12.612630221058225</v>
      </c>
      <c r="R92" s="472">
        <f t="shared" si="52"/>
        <v>0</v>
      </c>
      <c r="S92" s="490" t="str">
        <f t="shared" si="53"/>
        <v>-</v>
      </c>
      <c r="T92" s="491" t="str">
        <f t="shared" si="54"/>
        <v>-</v>
      </c>
    </row>
    <row r="93" spans="1:20" ht="24.6" customHeight="1" thickBot="1" x14ac:dyDescent="0.35">
      <c r="A93" s="255" t="s">
        <v>101</v>
      </c>
      <c r="B93" s="261" t="s">
        <v>32</v>
      </c>
      <c r="C93" s="492">
        <f t="shared" si="45"/>
        <v>0</v>
      </c>
      <c r="D93" s="257"/>
      <c r="E93" s="258"/>
      <c r="F93" s="493">
        <v>110000</v>
      </c>
      <c r="G93" s="494">
        <f t="shared" si="59"/>
        <v>0</v>
      </c>
      <c r="H93" s="493"/>
      <c r="I93" s="612"/>
      <c r="J93" s="613"/>
      <c r="K93" s="492">
        <f t="shared" si="57"/>
        <v>0</v>
      </c>
      <c r="L93" s="494">
        <f t="shared" si="48"/>
        <v>0</v>
      </c>
      <c r="M93" s="495" t="str">
        <f t="shared" si="58"/>
        <v>-</v>
      </c>
      <c r="N93" s="496">
        <f t="shared" si="55"/>
        <v>0</v>
      </c>
      <c r="O93" s="494">
        <f t="shared" si="50"/>
        <v>0</v>
      </c>
      <c r="P93" s="497" t="str">
        <f t="shared" si="56"/>
        <v>-</v>
      </c>
      <c r="Q93" s="494" t="str">
        <f t="shared" si="51"/>
        <v>-</v>
      </c>
      <c r="R93" s="494">
        <f t="shared" si="52"/>
        <v>0</v>
      </c>
      <c r="S93" s="498" t="str">
        <f t="shared" si="53"/>
        <v>-</v>
      </c>
      <c r="T93" s="499" t="str">
        <f t="shared" si="54"/>
        <v>-</v>
      </c>
    </row>
    <row r="94" spans="1:20" ht="24.6" customHeight="1" x14ac:dyDescent="0.3">
      <c r="A94" s="248" t="s">
        <v>102</v>
      </c>
      <c r="B94" s="249" t="s">
        <v>219</v>
      </c>
      <c r="C94" s="470">
        <f t="shared" si="45"/>
        <v>0</v>
      </c>
      <c r="D94" s="250"/>
      <c r="E94" s="251"/>
      <c r="F94" s="471">
        <v>6500</v>
      </c>
      <c r="G94" s="472">
        <f t="shared" si="59"/>
        <v>0</v>
      </c>
      <c r="H94" s="471"/>
      <c r="I94" s="611"/>
      <c r="J94" s="610"/>
      <c r="K94" s="470">
        <f t="shared" si="57"/>
        <v>0</v>
      </c>
      <c r="L94" s="472">
        <f t="shared" si="48"/>
        <v>0</v>
      </c>
      <c r="M94" s="473" t="str">
        <f t="shared" si="58"/>
        <v>-</v>
      </c>
      <c r="N94" s="474">
        <f t="shared" si="55"/>
        <v>0</v>
      </c>
      <c r="O94" s="472">
        <f t="shared" si="50"/>
        <v>0</v>
      </c>
      <c r="P94" s="475" t="str">
        <f t="shared" si="56"/>
        <v>-</v>
      </c>
      <c r="Q94" s="472" t="str">
        <f t="shared" si="51"/>
        <v>-</v>
      </c>
      <c r="R94" s="472">
        <f t="shared" si="52"/>
        <v>0</v>
      </c>
      <c r="S94" s="490" t="str">
        <f t="shared" si="53"/>
        <v>-</v>
      </c>
      <c r="T94" s="491" t="str">
        <f t="shared" si="54"/>
        <v>-</v>
      </c>
    </row>
    <row r="95" spans="1:20" ht="24.6" customHeight="1" x14ac:dyDescent="0.3">
      <c r="A95" s="252" t="s">
        <v>102</v>
      </c>
      <c r="B95" s="249" t="s">
        <v>38</v>
      </c>
      <c r="C95" s="470">
        <f t="shared" si="45"/>
        <v>0</v>
      </c>
      <c r="D95" s="250"/>
      <c r="E95" s="251"/>
      <c r="F95" s="471">
        <v>2800</v>
      </c>
      <c r="G95" s="472">
        <f t="shared" si="59"/>
        <v>0</v>
      </c>
      <c r="H95" s="471"/>
      <c r="I95" s="611"/>
      <c r="J95" s="610"/>
      <c r="K95" s="470">
        <f t="shared" si="57"/>
        <v>0</v>
      </c>
      <c r="L95" s="472">
        <f t="shared" si="48"/>
        <v>0</v>
      </c>
      <c r="M95" s="473" t="str">
        <f t="shared" si="58"/>
        <v>-</v>
      </c>
      <c r="N95" s="474">
        <f t="shared" si="55"/>
        <v>0</v>
      </c>
      <c r="O95" s="472">
        <f t="shared" si="50"/>
        <v>0</v>
      </c>
      <c r="P95" s="475" t="str">
        <f t="shared" si="56"/>
        <v>-</v>
      </c>
      <c r="Q95" s="472" t="str">
        <f t="shared" si="51"/>
        <v>-</v>
      </c>
      <c r="R95" s="472">
        <f t="shared" si="52"/>
        <v>0</v>
      </c>
      <c r="S95" s="490" t="str">
        <f t="shared" si="53"/>
        <v>-</v>
      </c>
      <c r="T95" s="491" t="str">
        <f t="shared" si="54"/>
        <v>-</v>
      </c>
    </row>
    <row r="96" spans="1:20" ht="24.6" customHeight="1" x14ac:dyDescent="0.3">
      <c r="A96" s="248" t="s">
        <v>102</v>
      </c>
      <c r="B96" s="249" t="s">
        <v>39</v>
      </c>
      <c r="C96" s="470">
        <f t="shared" si="45"/>
        <v>30</v>
      </c>
      <c r="D96" s="250">
        <v>30</v>
      </c>
      <c r="E96" s="251"/>
      <c r="F96" s="471">
        <v>25000</v>
      </c>
      <c r="G96" s="472">
        <f t="shared" si="59"/>
        <v>40727</v>
      </c>
      <c r="H96" s="471">
        <v>40320</v>
      </c>
      <c r="I96" s="611">
        <v>407</v>
      </c>
      <c r="J96" s="610">
        <v>480</v>
      </c>
      <c r="K96" s="470">
        <f t="shared" si="57"/>
        <v>450</v>
      </c>
      <c r="L96" s="472">
        <f t="shared" si="48"/>
        <v>450</v>
      </c>
      <c r="M96" s="473">
        <f t="shared" si="58"/>
        <v>1</v>
      </c>
      <c r="N96" s="474">
        <f t="shared" si="55"/>
        <v>420</v>
      </c>
      <c r="O96" s="472">
        <f t="shared" si="50"/>
        <v>450</v>
      </c>
      <c r="P96" s="475">
        <f t="shared" si="56"/>
        <v>0.93333333333333335</v>
      </c>
      <c r="Q96" s="472">
        <f t="shared" si="51"/>
        <v>415.20318216416626</v>
      </c>
      <c r="R96" s="472">
        <f t="shared" si="52"/>
        <v>420</v>
      </c>
      <c r="S96" s="490">
        <f t="shared" si="53"/>
        <v>0.98857900515277686</v>
      </c>
      <c r="T96" s="491">
        <f t="shared" si="54"/>
        <v>0.92267373814259179</v>
      </c>
    </row>
    <row r="97" spans="1:20" ht="45" customHeight="1" thickBot="1" x14ac:dyDescent="0.35">
      <c r="A97" s="615" t="s">
        <v>102</v>
      </c>
      <c r="B97" s="261" t="s">
        <v>218</v>
      </c>
      <c r="C97" s="616">
        <f t="shared" si="45"/>
        <v>0</v>
      </c>
      <c r="D97" s="617"/>
      <c r="E97" s="618"/>
      <c r="F97" s="619">
        <v>25000</v>
      </c>
      <c r="G97" s="620">
        <f t="shared" si="59"/>
        <v>0</v>
      </c>
      <c r="H97" s="619"/>
      <c r="I97" s="621"/>
      <c r="J97" s="614"/>
      <c r="K97" s="616">
        <f t="shared" si="57"/>
        <v>0</v>
      </c>
      <c r="L97" s="620">
        <f t="shared" si="48"/>
        <v>0</v>
      </c>
      <c r="M97" s="622" t="str">
        <f t="shared" si="58"/>
        <v>-</v>
      </c>
      <c r="N97" s="623">
        <f t="shared" si="55"/>
        <v>0</v>
      </c>
      <c r="O97" s="620">
        <f t="shared" si="50"/>
        <v>0</v>
      </c>
      <c r="P97" s="624" t="str">
        <f t="shared" si="56"/>
        <v>-</v>
      </c>
      <c r="Q97" s="620" t="str">
        <f t="shared" si="51"/>
        <v>-</v>
      </c>
      <c r="R97" s="620">
        <f t="shared" si="52"/>
        <v>0</v>
      </c>
      <c r="S97" s="625" t="str">
        <f t="shared" si="53"/>
        <v>-</v>
      </c>
      <c r="T97" s="626" t="str">
        <f t="shared" si="54"/>
        <v>-</v>
      </c>
    </row>
    <row r="98" spans="1:20" ht="24.6" customHeight="1" x14ac:dyDescent="0.3">
      <c r="A98" s="230"/>
      <c r="B98" s="231"/>
      <c r="C98" s="232"/>
      <c r="D98" s="232"/>
      <c r="E98" s="232"/>
      <c r="F98" s="232"/>
      <c r="G98" s="233"/>
      <c r="H98" s="234"/>
      <c r="I98" s="232"/>
      <c r="J98" s="232"/>
      <c r="K98" s="232"/>
      <c r="L98" s="232"/>
      <c r="M98" s="234"/>
      <c r="N98" s="232"/>
      <c r="O98" s="232"/>
      <c r="P98" s="234"/>
      <c r="Q98" s="232"/>
      <c r="R98" s="232"/>
      <c r="S98" s="234"/>
      <c r="T98" s="234"/>
    </row>
    <row r="99" spans="1:20" ht="24.6" customHeight="1" x14ac:dyDescent="0.3">
      <c r="A99" s="230"/>
      <c r="B99" s="231"/>
      <c r="C99" s="232"/>
      <c r="D99" s="232"/>
      <c r="E99" s="232"/>
      <c r="F99" s="232"/>
      <c r="G99" s="233"/>
      <c r="H99" s="234"/>
      <c r="I99" s="232"/>
      <c r="J99" s="232"/>
      <c r="K99" s="232"/>
      <c r="L99" s="232"/>
      <c r="M99" s="234"/>
      <c r="N99" s="232"/>
      <c r="O99" s="232"/>
      <c r="P99" s="234"/>
      <c r="Q99" s="232"/>
      <c r="R99" s="232"/>
      <c r="S99" s="234"/>
      <c r="T99" s="234"/>
    </row>
    <row r="100" spans="1:20" ht="24.6" customHeight="1" x14ac:dyDescent="0.3">
      <c r="A100" s="230"/>
      <c r="B100" s="231"/>
      <c r="C100" s="232"/>
      <c r="D100" s="232"/>
      <c r="E100" s="232"/>
      <c r="F100" s="232"/>
      <c r="G100" s="233"/>
      <c r="H100" s="234"/>
      <c r="I100" s="232"/>
      <c r="J100" s="232"/>
      <c r="K100" s="232"/>
      <c r="L100" s="232"/>
      <c r="M100" s="234"/>
      <c r="N100" s="232"/>
      <c r="O100" s="232"/>
      <c r="P100" s="234"/>
      <c r="Q100" s="232"/>
      <c r="R100" s="232"/>
      <c r="S100" s="234"/>
      <c r="T100" s="234"/>
    </row>
    <row r="101" spans="1:20" ht="24.6" customHeight="1" x14ac:dyDescent="0.3">
      <c r="A101" s="230"/>
      <c r="B101" s="231"/>
      <c r="C101" s="232"/>
      <c r="D101" s="232"/>
      <c r="E101" s="232"/>
      <c r="F101" s="232"/>
      <c r="G101" s="233"/>
      <c r="H101" s="234"/>
      <c r="I101" s="232"/>
      <c r="J101" s="232"/>
      <c r="K101" s="232"/>
      <c r="L101" s="232"/>
      <c r="M101" s="234"/>
      <c r="N101" s="232"/>
      <c r="O101" s="232"/>
      <c r="P101" s="234"/>
      <c r="Q101" s="232"/>
      <c r="R101" s="232"/>
      <c r="S101" s="234"/>
      <c r="T101" s="234"/>
    </row>
    <row r="102" spans="1:20" ht="24.6" customHeight="1" thickBot="1" x14ac:dyDescent="0.35">
      <c r="A102" s="230"/>
      <c r="B102" s="231"/>
      <c r="C102" s="232"/>
      <c r="D102" s="232"/>
      <c r="E102" s="232"/>
      <c r="F102" s="232"/>
      <c r="G102" s="233"/>
      <c r="H102" s="234"/>
      <c r="I102" s="232"/>
      <c r="J102" s="232"/>
      <c r="K102" s="232"/>
      <c r="L102" s="232"/>
      <c r="M102" s="234"/>
      <c r="N102" s="232"/>
      <c r="O102" s="232"/>
      <c r="P102" s="234"/>
      <c r="Q102" s="232"/>
      <c r="R102" s="232"/>
      <c r="S102" s="234"/>
      <c r="T102" s="234"/>
    </row>
    <row r="103" spans="1:20" ht="22.5" customHeight="1" x14ac:dyDescent="0.3">
      <c r="A103" s="1115" t="s">
        <v>1</v>
      </c>
      <c r="B103" s="1115" t="s">
        <v>2</v>
      </c>
      <c r="C103" s="1066" t="s">
        <v>207</v>
      </c>
      <c r="D103" s="1067"/>
      <c r="E103" s="1068"/>
      <c r="F103" s="1066" t="s">
        <v>555</v>
      </c>
      <c r="G103" s="1067"/>
      <c r="H103" s="1067"/>
      <c r="I103" s="1068"/>
      <c r="J103" s="1115" t="s">
        <v>204</v>
      </c>
      <c r="K103" s="1066" t="s">
        <v>192</v>
      </c>
      <c r="L103" s="1067"/>
      <c r="M103" s="1068"/>
      <c r="N103" s="1066" t="s">
        <v>193</v>
      </c>
      <c r="O103" s="1067"/>
      <c r="P103" s="1068"/>
      <c r="Q103" s="1066" t="s">
        <v>194</v>
      </c>
      <c r="R103" s="1067"/>
      <c r="S103" s="1068"/>
      <c r="T103" s="1173" t="s">
        <v>191</v>
      </c>
    </row>
    <row r="104" spans="1:20" ht="87.6" thickBot="1" x14ac:dyDescent="0.35">
      <c r="A104" s="1117"/>
      <c r="B104" s="1117"/>
      <c r="C104" s="235" t="s">
        <v>208</v>
      </c>
      <c r="D104" s="236" t="s">
        <v>205</v>
      </c>
      <c r="E104" s="237" t="s">
        <v>206</v>
      </c>
      <c r="F104" s="238" t="s">
        <v>326</v>
      </c>
      <c r="G104" s="236" t="s">
        <v>201</v>
      </c>
      <c r="H104" s="239" t="s">
        <v>202</v>
      </c>
      <c r="I104" s="240" t="s">
        <v>203</v>
      </c>
      <c r="J104" s="1117"/>
      <c r="K104" s="235" t="s">
        <v>195</v>
      </c>
      <c r="L104" s="239" t="s">
        <v>196</v>
      </c>
      <c r="M104" s="241" t="s">
        <v>209</v>
      </c>
      <c r="N104" s="242" t="s">
        <v>197</v>
      </c>
      <c r="O104" s="239" t="s">
        <v>198</v>
      </c>
      <c r="P104" s="241" t="s">
        <v>210</v>
      </c>
      <c r="Q104" s="235" t="s">
        <v>199</v>
      </c>
      <c r="R104" s="239" t="s">
        <v>200</v>
      </c>
      <c r="S104" s="243" t="s">
        <v>211</v>
      </c>
      <c r="T104" s="1174"/>
    </row>
    <row r="105" spans="1:20" ht="25.5" customHeight="1" x14ac:dyDescent="0.3">
      <c r="A105" s="244" t="s">
        <v>103</v>
      </c>
      <c r="B105" s="245" t="s">
        <v>16</v>
      </c>
      <c r="C105" s="463">
        <f>+D105+E105</f>
        <v>0</v>
      </c>
      <c r="D105" s="246"/>
      <c r="E105" s="247"/>
      <c r="F105" s="600">
        <v>15000</v>
      </c>
      <c r="G105" s="464">
        <f>+H105+I105</f>
        <v>0</v>
      </c>
      <c r="H105" s="604"/>
      <c r="I105" s="606"/>
      <c r="J105" s="609"/>
      <c r="K105" s="463">
        <f>+L105-E105</f>
        <v>0</v>
      </c>
      <c r="L105" s="464">
        <f>+J105-D105</f>
        <v>0</v>
      </c>
      <c r="M105" s="465" t="str">
        <f>IFERROR(K105/L105,"-")</f>
        <v>-</v>
      </c>
      <c r="N105" s="466">
        <f>+O105-C105</f>
        <v>0</v>
      </c>
      <c r="O105" s="464">
        <f>+K105</f>
        <v>0</v>
      </c>
      <c r="P105" s="467" t="str">
        <f>IFERROR(N105/O105,"-")</f>
        <v>-</v>
      </c>
      <c r="Q105" s="464" t="str">
        <f>IFERROR(N105-(J105-(J105*H105/G105)),"-")</f>
        <v>-</v>
      </c>
      <c r="R105" s="464">
        <f>+N105</f>
        <v>0</v>
      </c>
      <c r="S105" s="468" t="str">
        <f>IFERROR(Q105/R105,"-")</f>
        <v>-</v>
      </c>
      <c r="T105" s="469" t="str">
        <f>IFERROR(M105*P105*S105,"-")</f>
        <v>-</v>
      </c>
    </row>
    <row r="106" spans="1:20" ht="25.5" customHeight="1" x14ac:dyDescent="0.3">
      <c r="A106" s="248" t="s">
        <v>103</v>
      </c>
      <c r="B106" s="249" t="s">
        <v>215</v>
      </c>
      <c r="C106" s="470">
        <f t="shared" ref="C106:C120" si="60">+D106+E106</f>
        <v>30</v>
      </c>
      <c r="D106" s="250">
        <v>30</v>
      </c>
      <c r="E106" s="251"/>
      <c r="F106" s="601">
        <v>100000</v>
      </c>
      <c r="G106" s="472">
        <f t="shared" ref="G106:G111" si="61">+H106+I106</f>
        <v>106394</v>
      </c>
      <c r="H106" s="254">
        <v>104040</v>
      </c>
      <c r="I106" s="607">
        <v>2354</v>
      </c>
      <c r="J106" s="610">
        <v>480</v>
      </c>
      <c r="K106" s="470">
        <f t="shared" ref="K106:K109" si="62">+L106-E106</f>
        <v>450</v>
      </c>
      <c r="L106" s="472">
        <f t="shared" ref="L106:L120" si="63">+J106-D106</f>
        <v>450</v>
      </c>
      <c r="M106" s="473">
        <f t="shared" ref="M106:M109" si="64">IFERROR(K106/L106,"-")</f>
        <v>1</v>
      </c>
      <c r="N106" s="474">
        <f>+O106-C106</f>
        <v>420</v>
      </c>
      <c r="O106" s="472">
        <f t="shared" ref="O106:O120" si="65">+K106</f>
        <v>450</v>
      </c>
      <c r="P106" s="475">
        <f>IFERROR(N106/O106,"-")</f>
        <v>0.93333333333333335</v>
      </c>
      <c r="Q106" s="472">
        <f t="shared" ref="Q106:Q120" si="66">IFERROR(N106-(J106-(J106*H106/G106)),"-")</f>
        <v>409.37985224730716</v>
      </c>
      <c r="R106" s="472">
        <f t="shared" ref="R106:R120" si="67">+N106</f>
        <v>420</v>
      </c>
      <c r="S106" s="476">
        <f t="shared" ref="S106:S120" si="68">IFERROR(Q106/R106,"-")</f>
        <v>0.97471393392215988</v>
      </c>
      <c r="T106" s="477">
        <f t="shared" ref="T106:T120" si="69">IFERROR(M106*P106*S106,"-")</f>
        <v>0.90973300499401588</v>
      </c>
    </row>
    <row r="107" spans="1:20" ht="23.4" x14ac:dyDescent="0.3">
      <c r="A107" s="248" t="s">
        <v>103</v>
      </c>
      <c r="B107" s="249" t="s">
        <v>214</v>
      </c>
      <c r="C107" s="470">
        <f t="shared" si="60"/>
        <v>0</v>
      </c>
      <c r="D107" s="250"/>
      <c r="E107" s="251"/>
      <c r="F107" s="601">
        <v>80000</v>
      </c>
      <c r="G107" s="472">
        <f t="shared" si="61"/>
        <v>0</v>
      </c>
      <c r="H107" s="254"/>
      <c r="I107" s="607"/>
      <c r="J107" s="610"/>
      <c r="K107" s="470">
        <f t="shared" si="62"/>
        <v>0</v>
      </c>
      <c r="L107" s="472">
        <f t="shared" si="63"/>
        <v>0</v>
      </c>
      <c r="M107" s="473" t="str">
        <f t="shared" si="64"/>
        <v>-</v>
      </c>
      <c r="N107" s="474">
        <f t="shared" ref="N107:N120" si="70">+O107-C107</f>
        <v>0</v>
      </c>
      <c r="O107" s="472">
        <f t="shared" si="65"/>
        <v>0</v>
      </c>
      <c r="P107" s="475" t="str">
        <f t="shared" ref="P107:P120" si="71">IFERROR(N107/O107,"-")</f>
        <v>-</v>
      </c>
      <c r="Q107" s="472" t="str">
        <f t="shared" si="66"/>
        <v>-</v>
      </c>
      <c r="R107" s="472">
        <f t="shared" si="67"/>
        <v>0</v>
      </c>
      <c r="S107" s="476" t="str">
        <f t="shared" si="68"/>
        <v>-</v>
      </c>
      <c r="T107" s="477" t="str">
        <f t="shared" si="69"/>
        <v>-</v>
      </c>
    </row>
    <row r="108" spans="1:20" ht="23.4" x14ac:dyDescent="0.3">
      <c r="A108" s="252" t="s">
        <v>103</v>
      </c>
      <c r="B108" s="249" t="s">
        <v>217</v>
      </c>
      <c r="C108" s="470">
        <f t="shared" si="60"/>
        <v>60</v>
      </c>
      <c r="D108" s="250">
        <v>60</v>
      </c>
      <c r="E108" s="251"/>
      <c r="F108" s="601">
        <v>220000</v>
      </c>
      <c r="G108" s="472">
        <f t="shared" si="61"/>
        <v>115587</v>
      </c>
      <c r="H108" s="254">
        <v>114976</v>
      </c>
      <c r="I108" s="607">
        <v>611</v>
      </c>
      <c r="J108" s="610">
        <v>960</v>
      </c>
      <c r="K108" s="470">
        <f t="shared" si="62"/>
        <v>900</v>
      </c>
      <c r="L108" s="472">
        <f t="shared" si="63"/>
        <v>900</v>
      </c>
      <c r="M108" s="473">
        <f t="shared" si="64"/>
        <v>1</v>
      </c>
      <c r="N108" s="474">
        <f t="shared" si="70"/>
        <v>840</v>
      </c>
      <c r="O108" s="472">
        <f t="shared" si="65"/>
        <v>900</v>
      </c>
      <c r="P108" s="475">
        <f t="shared" si="71"/>
        <v>0.93333333333333335</v>
      </c>
      <c r="Q108" s="472">
        <f t="shared" si="66"/>
        <v>834.92538088193305</v>
      </c>
      <c r="R108" s="472">
        <f t="shared" si="67"/>
        <v>840</v>
      </c>
      <c r="S108" s="476">
        <f t="shared" si="68"/>
        <v>0.99395878676420601</v>
      </c>
      <c r="T108" s="477">
        <f t="shared" si="69"/>
        <v>0.92769486764659226</v>
      </c>
    </row>
    <row r="109" spans="1:20" ht="23.4" x14ac:dyDescent="0.3">
      <c r="A109" s="248" t="s">
        <v>103</v>
      </c>
      <c r="B109" s="249" t="s">
        <v>216</v>
      </c>
      <c r="C109" s="470">
        <f t="shared" si="60"/>
        <v>0</v>
      </c>
      <c r="D109" s="250"/>
      <c r="E109" s="251"/>
      <c r="F109" s="601">
        <v>50000</v>
      </c>
      <c r="G109" s="472">
        <f t="shared" si="61"/>
        <v>0</v>
      </c>
      <c r="H109" s="254"/>
      <c r="I109" s="607"/>
      <c r="J109" s="610"/>
      <c r="K109" s="470">
        <f t="shared" si="62"/>
        <v>0</v>
      </c>
      <c r="L109" s="472">
        <f t="shared" si="63"/>
        <v>0</v>
      </c>
      <c r="M109" s="473" t="str">
        <f t="shared" si="64"/>
        <v>-</v>
      </c>
      <c r="N109" s="474">
        <f t="shared" si="70"/>
        <v>0</v>
      </c>
      <c r="O109" s="472">
        <f t="shared" si="65"/>
        <v>0</v>
      </c>
      <c r="P109" s="475" t="str">
        <f t="shared" si="71"/>
        <v>-</v>
      </c>
      <c r="Q109" s="472" t="str">
        <f t="shared" si="66"/>
        <v>-</v>
      </c>
      <c r="R109" s="472">
        <f t="shared" si="67"/>
        <v>0</v>
      </c>
      <c r="S109" s="476" t="str">
        <f t="shared" si="68"/>
        <v>-</v>
      </c>
      <c r="T109" s="477" t="str">
        <f t="shared" si="69"/>
        <v>-</v>
      </c>
    </row>
    <row r="110" spans="1:20" ht="23.4" x14ac:dyDescent="0.3">
      <c r="A110" s="248">
        <v>5</v>
      </c>
      <c r="B110" s="249" t="s">
        <v>22</v>
      </c>
      <c r="C110" s="470">
        <f t="shared" si="60"/>
        <v>130</v>
      </c>
      <c r="D110" s="250">
        <v>30</v>
      </c>
      <c r="E110" s="251">
        <v>100</v>
      </c>
      <c r="F110" s="601">
        <v>80000</v>
      </c>
      <c r="G110" s="472">
        <f t="shared" si="61"/>
        <v>45640</v>
      </c>
      <c r="H110" s="471">
        <v>45540</v>
      </c>
      <c r="I110" s="611">
        <v>100</v>
      </c>
      <c r="J110" s="610">
        <v>480</v>
      </c>
      <c r="K110" s="470">
        <f>+L110-E110</f>
        <v>350</v>
      </c>
      <c r="L110" s="472">
        <f t="shared" si="63"/>
        <v>450</v>
      </c>
      <c r="M110" s="473">
        <f>IFERROR(K110/L110,"-")</f>
        <v>0.77777777777777779</v>
      </c>
      <c r="N110" s="474">
        <f t="shared" si="70"/>
        <v>220</v>
      </c>
      <c r="O110" s="472">
        <f t="shared" si="65"/>
        <v>350</v>
      </c>
      <c r="P110" s="475">
        <f t="shared" si="71"/>
        <v>0.62857142857142856</v>
      </c>
      <c r="Q110" s="472">
        <f t="shared" si="66"/>
        <v>218.94829097283088</v>
      </c>
      <c r="R110" s="472">
        <f t="shared" si="67"/>
        <v>220</v>
      </c>
      <c r="S110" s="476">
        <f t="shared" si="68"/>
        <v>0.9952195044219585</v>
      </c>
      <c r="T110" s="477">
        <f t="shared" si="69"/>
        <v>0.48655175771740194</v>
      </c>
    </row>
    <row r="111" spans="1:20" ht="23.4" x14ac:dyDescent="0.3">
      <c r="A111" s="248" t="s">
        <v>103</v>
      </c>
      <c r="B111" s="249" t="s">
        <v>23</v>
      </c>
      <c r="C111" s="470">
        <f t="shared" si="60"/>
        <v>0</v>
      </c>
      <c r="D111" s="250"/>
      <c r="E111" s="251"/>
      <c r="F111" s="601">
        <v>14000</v>
      </c>
      <c r="G111" s="472">
        <f t="shared" si="61"/>
        <v>0</v>
      </c>
      <c r="H111" s="254"/>
      <c r="I111" s="607"/>
      <c r="J111" s="610"/>
      <c r="K111" s="470">
        <f t="shared" ref="K111:K120" si="72">+L111-E111</f>
        <v>0</v>
      </c>
      <c r="L111" s="472">
        <f t="shared" si="63"/>
        <v>0</v>
      </c>
      <c r="M111" s="473" t="str">
        <f t="shared" ref="M111:M120" si="73">IFERROR(K111/L111,"-")</f>
        <v>-</v>
      </c>
      <c r="N111" s="474">
        <f t="shared" si="70"/>
        <v>0</v>
      </c>
      <c r="O111" s="472">
        <f t="shared" si="65"/>
        <v>0</v>
      </c>
      <c r="P111" s="475" t="str">
        <f t="shared" si="71"/>
        <v>-</v>
      </c>
      <c r="Q111" s="472" t="str">
        <f t="shared" si="66"/>
        <v>-</v>
      </c>
      <c r="R111" s="472">
        <f t="shared" si="67"/>
        <v>0</v>
      </c>
      <c r="S111" s="476" t="str">
        <f t="shared" si="68"/>
        <v>-</v>
      </c>
      <c r="T111" s="477" t="str">
        <f t="shared" si="69"/>
        <v>-</v>
      </c>
    </row>
    <row r="112" spans="1:20" ht="24" thickBot="1" x14ac:dyDescent="0.35">
      <c r="A112" s="248" t="s">
        <v>103</v>
      </c>
      <c r="B112" s="253" t="s">
        <v>212</v>
      </c>
      <c r="C112" s="478">
        <f t="shared" si="60"/>
        <v>760</v>
      </c>
      <c r="D112" s="250">
        <f>60+60+160</f>
        <v>280</v>
      </c>
      <c r="E112" s="251">
        <v>480</v>
      </c>
      <c r="F112" s="601">
        <v>4500</v>
      </c>
      <c r="G112" s="472">
        <f>+H112+I112</f>
        <v>14015</v>
      </c>
      <c r="H112" s="259">
        <v>13906</v>
      </c>
      <c r="I112" s="608">
        <v>109</v>
      </c>
      <c r="J112" s="610">
        <v>960</v>
      </c>
      <c r="K112" s="478">
        <f t="shared" si="72"/>
        <v>200</v>
      </c>
      <c r="L112" s="250">
        <f t="shared" si="63"/>
        <v>680</v>
      </c>
      <c r="M112" s="479">
        <f t="shared" si="73"/>
        <v>0.29411764705882354</v>
      </c>
      <c r="N112" s="480">
        <f t="shared" si="70"/>
        <v>-560</v>
      </c>
      <c r="O112" s="250">
        <f t="shared" si="65"/>
        <v>200</v>
      </c>
      <c r="P112" s="481">
        <f t="shared" si="71"/>
        <v>-2.8</v>
      </c>
      <c r="Q112" s="250">
        <f t="shared" si="66"/>
        <v>-567.46628612201209</v>
      </c>
      <c r="R112" s="250">
        <f t="shared" si="67"/>
        <v>-560</v>
      </c>
      <c r="S112" s="482">
        <f t="shared" si="68"/>
        <v>1.0133326537893073</v>
      </c>
      <c r="T112" s="483">
        <f t="shared" si="69"/>
        <v>-0.83450924429707651</v>
      </c>
    </row>
    <row r="113" spans="1:20" ht="24" thickBot="1" x14ac:dyDescent="0.35">
      <c r="A113" s="255" t="s">
        <v>103</v>
      </c>
      <c r="B113" s="256" t="s">
        <v>213</v>
      </c>
      <c r="C113" s="484">
        <f t="shared" si="60"/>
        <v>90</v>
      </c>
      <c r="D113" s="257">
        <f>30+60</f>
        <v>90</v>
      </c>
      <c r="E113" s="258"/>
      <c r="F113" s="605">
        <v>5000</v>
      </c>
      <c r="G113" s="494">
        <f t="shared" ref="G113:G120" si="74">+H113+I113</f>
        <v>9774</v>
      </c>
      <c r="H113" s="259">
        <v>9747</v>
      </c>
      <c r="I113" s="608">
        <v>27</v>
      </c>
      <c r="J113" s="613">
        <v>480</v>
      </c>
      <c r="K113" s="484">
        <f t="shared" si="72"/>
        <v>390</v>
      </c>
      <c r="L113" s="257">
        <f t="shared" si="63"/>
        <v>390</v>
      </c>
      <c r="M113" s="485">
        <f t="shared" si="73"/>
        <v>1</v>
      </c>
      <c r="N113" s="486">
        <f t="shared" si="70"/>
        <v>300</v>
      </c>
      <c r="O113" s="257">
        <f t="shared" si="65"/>
        <v>390</v>
      </c>
      <c r="P113" s="487">
        <f t="shared" si="71"/>
        <v>0.76923076923076927</v>
      </c>
      <c r="Q113" s="257">
        <f t="shared" si="66"/>
        <v>298.67403314917129</v>
      </c>
      <c r="R113" s="257">
        <f t="shared" si="67"/>
        <v>300</v>
      </c>
      <c r="S113" s="488">
        <f t="shared" si="68"/>
        <v>0.9955801104972376</v>
      </c>
      <c r="T113" s="489">
        <f t="shared" si="69"/>
        <v>0.76583085422864439</v>
      </c>
    </row>
    <row r="114" spans="1:20" ht="23.4" x14ac:dyDescent="0.3">
      <c r="A114" s="252" t="s">
        <v>101</v>
      </c>
      <c r="B114" s="260" t="s">
        <v>29</v>
      </c>
      <c r="C114" s="470">
        <f t="shared" si="60"/>
        <v>100</v>
      </c>
      <c r="D114" s="250">
        <v>30</v>
      </c>
      <c r="E114" s="251">
        <v>70</v>
      </c>
      <c r="F114" s="471">
        <v>160000</v>
      </c>
      <c r="G114" s="472">
        <f t="shared" si="74"/>
        <v>104564</v>
      </c>
      <c r="H114" s="471">
        <v>103428</v>
      </c>
      <c r="I114" s="611">
        <v>1136</v>
      </c>
      <c r="J114" s="703">
        <v>960</v>
      </c>
      <c r="K114" s="470">
        <f t="shared" si="72"/>
        <v>860</v>
      </c>
      <c r="L114" s="472">
        <f t="shared" si="63"/>
        <v>930</v>
      </c>
      <c r="M114" s="473">
        <f t="shared" si="73"/>
        <v>0.92473118279569888</v>
      </c>
      <c r="N114" s="474">
        <f t="shared" si="70"/>
        <v>760</v>
      </c>
      <c r="O114" s="472">
        <f t="shared" si="65"/>
        <v>860</v>
      </c>
      <c r="P114" s="475">
        <f t="shared" si="71"/>
        <v>0.88372093023255816</v>
      </c>
      <c r="Q114" s="472">
        <f t="shared" si="66"/>
        <v>749.57040664090891</v>
      </c>
      <c r="R114" s="472">
        <f t="shared" si="67"/>
        <v>760</v>
      </c>
      <c r="S114" s="490">
        <f t="shared" si="68"/>
        <v>0.98627685084330119</v>
      </c>
      <c r="T114" s="491">
        <f t="shared" si="69"/>
        <v>0.80598968456011699</v>
      </c>
    </row>
    <row r="115" spans="1:20" ht="22.5" customHeight="1" x14ac:dyDescent="0.3">
      <c r="A115" s="248" t="s">
        <v>101</v>
      </c>
      <c r="B115" s="260" t="s">
        <v>31</v>
      </c>
      <c r="C115" s="470">
        <f t="shared" si="60"/>
        <v>155</v>
      </c>
      <c r="D115" s="707">
        <v>60</v>
      </c>
      <c r="E115" s="251">
        <v>95</v>
      </c>
      <c r="F115" s="471">
        <v>50000</v>
      </c>
      <c r="G115" s="472">
        <f t="shared" si="74"/>
        <v>51611</v>
      </c>
      <c r="H115" s="471">
        <v>50544</v>
      </c>
      <c r="I115" s="611">
        <v>1067</v>
      </c>
      <c r="J115" s="610">
        <v>480</v>
      </c>
      <c r="K115" s="470">
        <f t="shared" si="72"/>
        <v>325</v>
      </c>
      <c r="L115" s="472">
        <f t="shared" si="63"/>
        <v>420</v>
      </c>
      <c r="M115" s="473">
        <f t="shared" si="73"/>
        <v>0.77380952380952384</v>
      </c>
      <c r="N115" s="474">
        <f t="shared" si="70"/>
        <v>170</v>
      </c>
      <c r="O115" s="472">
        <f t="shared" si="65"/>
        <v>325</v>
      </c>
      <c r="P115" s="475">
        <f t="shared" si="71"/>
        <v>0.52307692307692311</v>
      </c>
      <c r="Q115" s="472">
        <f t="shared" si="66"/>
        <v>160.07653407219391</v>
      </c>
      <c r="R115" s="472">
        <f t="shared" si="67"/>
        <v>170</v>
      </c>
      <c r="S115" s="490">
        <f t="shared" si="68"/>
        <v>0.94162667101290531</v>
      </c>
      <c r="T115" s="491">
        <f t="shared" si="69"/>
        <v>0.38113460493379508</v>
      </c>
    </row>
    <row r="116" spans="1:20" ht="24" thickBot="1" x14ac:dyDescent="0.35">
      <c r="A116" s="255" t="s">
        <v>101</v>
      </c>
      <c r="B116" s="261" t="s">
        <v>32</v>
      </c>
      <c r="C116" s="492">
        <f t="shared" si="60"/>
        <v>0</v>
      </c>
      <c r="D116" s="257"/>
      <c r="E116" s="258"/>
      <c r="F116" s="493">
        <v>110000</v>
      </c>
      <c r="G116" s="494">
        <f t="shared" si="74"/>
        <v>0</v>
      </c>
      <c r="H116" s="493"/>
      <c r="I116" s="612"/>
      <c r="J116" s="613"/>
      <c r="K116" s="492">
        <f t="shared" si="72"/>
        <v>0</v>
      </c>
      <c r="L116" s="494">
        <f t="shared" si="63"/>
        <v>0</v>
      </c>
      <c r="M116" s="495" t="str">
        <f t="shared" si="73"/>
        <v>-</v>
      </c>
      <c r="N116" s="496">
        <f t="shared" si="70"/>
        <v>0</v>
      </c>
      <c r="O116" s="494">
        <f t="shared" si="65"/>
        <v>0</v>
      </c>
      <c r="P116" s="497" t="str">
        <f t="shared" si="71"/>
        <v>-</v>
      </c>
      <c r="Q116" s="494" t="str">
        <f t="shared" si="66"/>
        <v>-</v>
      </c>
      <c r="R116" s="494">
        <f t="shared" si="67"/>
        <v>0</v>
      </c>
      <c r="S116" s="498" t="str">
        <f t="shared" si="68"/>
        <v>-</v>
      </c>
      <c r="T116" s="499" t="str">
        <f t="shared" si="69"/>
        <v>-</v>
      </c>
    </row>
    <row r="117" spans="1:20" ht="23.4" x14ac:dyDescent="0.3">
      <c r="A117" s="248" t="s">
        <v>102</v>
      </c>
      <c r="B117" s="249" t="s">
        <v>219</v>
      </c>
      <c r="C117" s="470">
        <f t="shared" si="60"/>
        <v>0</v>
      </c>
      <c r="D117" s="250"/>
      <c r="E117" s="251"/>
      <c r="F117" s="471">
        <v>6500</v>
      </c>
      <c r="G117" s="472">
        <f t="shared" si="74"/>
        <v>0</v>
      </c>
      <c r="H117" s="471"/>
      <c r="I117" s="611"/>
      <c r="J117" s="610"/>
      <c r="K117" s="470">
        <f t="shared" si="72"/>
        <v>0</v>
      </c>
      <c r="L117" s="472">
        <f t="shared" si="63"/>
        <v>0</v>
      </c>
      <c r="M117" s="473" t="str">
        <f t="shared" si="73"/>
        <v>-</v>
      </c>
      <c r="N117" s="474">
        <f t="shared" si="70"/>
        <v>0</v>
      </c>
      <c r="O117" s="472">
        <f t="shared" si="65"/>
        <v>0</v>
      </c>
      <c r="P117" s="475" t="str">
        <f t="shared" si="71"/>
        <v>-</v>
      </c>
      <c r="Q117" s="472" t="str">
        <f t="shared" si="66"/>
        <v>-</v>
      </c>
      <c r="R117" s="472">
        <f t="shared" si="67"/>
        <v>0</v>
      </c>
      <c r="S117" s="490" t="str">
        <f t="shared" si="68"/>
        <v>-</v>
      </c>
      <c r="T117" s="491" t="str">
        <f t="shared" si="69"/>
        <v>-</v>
      </c>
    </row>
    <row r="118" spans="1:20" ht="23.4" x14ac:dyDescent="0.3">
      <c r="A118" s="252" t="s">
        <v>102</v>
      </c>
      <c r="B118" s="249" t="s">
        <v>38</v>
      </c>
      <c r="C118" s="470">
        <f t="shared" si="60"/>
        <v>0</v>
      </c>
      <c r="D118" s="250"/>
      <c r="E118" s="251"/>
      <c r="F118" s="471">
        <v>2800</v>
      </c>
      <c r="G118" s="472">
        <f t="shared" si="74"/>
        <v>0</v>
      </c>
      <c r="H118" s="471"/>
      <c r="I118" s="611"/>
      <c r="J118" s="610"/>
      <c r="K118" s="470">
        <f t="shared" si="72"/>
        <v>0</v>
      </c>
      <c r="L118" s="472">
        <f t="shared" si="63"/>
        <v>0</v>
      </c>
      <c r="M118" s="473" t="str">
        <f t="shared" si="73"/>
        <v>-</v>
      </c>
      <c r="N118" s="474">
        <f t="shared" si="70"/>
        <v>0</v>
      </c>
      <c r="O118" s="472">
        <f t="shared" si="65"/>
        <v>0</v>
      </c>
      <c r="P118" s="475" t="str">
        <f t="shared" si="71"/>
        <v>-</v>
      </c>
      <c r="Q118" s="472" t="str">
        <f t="shared" si="66"/>
        <v>-</v>
      </c>
      <c r="R118" s="472">
        <f t="shared" si="67"/>
        <v>0</v>
      </c>
      <c r="S118" s="490" t="str">
        <f t="shared" si="68"/>
        <v>-</v>
      </c>
      <c r="T118" s="491" t="str">
        <f t="shared" si="69"/>
        <v>-</v>
      </c>
    </row>
    <row r="119" spans="1:20" ht="23.4" x14ac:dyDescent="0.3">
      <c r="A119" s="248" t="s">
        <v>102</v>
      </c>
      <c r="B119" s="249" t="s">
        <v>39</v>
      </c>
      <c r="C119" s="470">
        <f t="shared" si="60"/>
        <v>30</v>
      </c>
      <c r="D119" s="250">
        <v>30</v>
      </c>
      <c r="E119" s="251"/>
      <c r="F119" s="471">
        <v>25000</v>
      </c>
      <c r="G119" s="472">
        <f t="shared" si="74"/>
        <v>48159</v>
      </c>
      <c r="H119" s="471">
        <v>47856</v>
      </c>
      <c r="I119" s="611">
        <v>303</v>
      </c>
      <c r="J119" s="610">
        <v>480</v>
      </c>
      <c r="K119" s="470">
        <f t="shared" si="72"/>
        <v>450</v>
      </c>
      <c r="L119" s="472">
        <f t="shared" si="63"/>
        <v>450</v>
      </c>
      <c r="M119" s="473">
        <f t="shared" si="73"/>
        <v>1</v>
      </c>
      <c r="N119" s="474">
        <f t="shared" si="70"/>
        <v>420</v>
      </c>
      <c r="O119" s="472">
        <f t="shared" si="65"/>
        <v>450</v>
      </c>
      <c r="P119" s="475">
        <f t="shared" si="71"/>
        <v>0.93333333333333335</v>
      </c>
      <c r="Q119" s="472">
        <f t="shared" si="66"/>
        <v>416.98000373761914</v>
      </c>
      <c r="R119" s="472">
        <f t="shared" si="67"/>
        <v>420</v>
      </c>
      <c r="S119" s="490">
        <f t="shared" si="68"/>
        <v>0.99280953270861705</v>
      </c>
      <c r="T119" s="491">
        <f t="shared" si="69"/>
        <v>0.9266222305280426</v>
      </c>
    </row>
    <row r="120" spans="1:20" ht="47.4" thickBot="1" x14ac:dyDescent="0.35">
      <c r="A120" s="615" t="s">
        <v>102</v>
      </c>
      <c r="B120" s="261" t="s">
        <v>218</v>
      </c>
      <c r="C120" s="616">
        <f t="shared" si="60"/>
        <v>0</v>
      </c>
      <c r="D120" s="617"/>
      <c r="E120" s="618"/>
      <c r="F120" s="619">
        <v>25000</v>
      </c>
      <c r="G120" s="620">
        <f t="shared" si="74"/>
        <v>0</v>
      </c>
      <c r="H120" s="619"/>
      <c r="I120" s="621"/>
      <c r="J120" s="614"/>
      <c r="K120" s="616">
        <f t="shared" si="72"/>
        <v>0</v>
      </c>
      <c r="L120" s="620">
        <f t="shared" si="63"/>
        <v>0</v>
      </c>
      <c r="M120" s="622" t="str">
        <f t="shared" si="73"/>
        <v>-</v>
      </c>
      <c r="N120" s="623">
        <f t="shared" si="70"/>
        <v>0</v>
      </c>
      <c r="O120" s="620">
        <f t="shared" si="65"/>
        <v>0</v>
      </c>
      <c r="P120" s="624" t="str">
        <f t="shared" si="71"/>
        <v>-</v>
      </c>
      <c r="Q120" s="620" t="str">
        <f t="shared" si="66"/>
        <v>-</v>
      </c>
      <c r="R120" s="620">
        <f t="shared" si="67"/>
        <v>0</v>
      </c>
      <c r="S120" s="625" t="str">
        <f t="shared" si="68"/>
        <v>-</v>
      </c>
      <c r="T120" s="626" t="str">
        <f t="shared" si="69"/>
        <v>-</v>
      </c>
    </row>
    <row r="121" spans="1:20" ht="24.6" customHeight="1" x14ac:dyDescent="0.3">
      <c r="A121" s="230"/>
      <c r="B121" s="231"/>
      <c r="C121" s="232"/>
      <c r="D121" s="232"/>
      <c r="E121" s="232"/>
      <c r="F121" s="232"/>
      <c r="G121" s="233"/>
      <c r="H121" s="234"/>
      <c r="I121" s="232"/>
      <c r="J121" s="232"/>
      <c r="K121" s="232"/>
      <c r="L121" s="232"/>
      <c r="M121" s="234"/>
      <c r="N121" s="232"/>
      <c r="O121" s="232"/>
      <c r="P121" s="234"/>
      <c r="Q121" s="232"/>
      <c r="R121" s="232"/>
      <c r="S121" s="234"/>
      <c r="T121" s="234"/>
    </row>
    <row r="122" spans="1:20" ht="24.6" customHeight="1" x14ac:dyDescent="0.3">
      <c r="A122" s="230"/>
      <c r="B122" s="231"/>
      <c r="C122" s="232"/>
      <c r="D122" s="232"/>
      <c r="E122" s="232"/>
      <c r="F122" s="232"/>
      <c r="G122" s="233"/>
      <c r="H122" s="234"/>
      <c r="I122" s="232"/>
      <c r="J122" s="232"/>
      <c r="K122" s="232"/>
      <c r="L122" s="232"/>
      <c r="M122" s="234"/>
      <c r="N122" s="232"/>
      <c r="O122" s="232"/>
      <c r="P122" s="234"/>
      <c r="Q122" s="232"/>
      <c r="R122" s="232"/>
      <c r="S122" s="234"/>
      <c r="T122" s="234"/>
    </row>
    <row r="123" spans="1:20" ht="24.6" customHeight="1" x14ac:dyDescent="0.3">
      <c r="A123" s="230"/>
      <c r="B123" s="231"/>
      <c r="C123" s="232"/>
      <c r="D123" s="232"/>
      <c r="E123" s="232"/>
      <c r="F123" s="232"/>
      <c r="G123" s="233"/>
      <c r="H123" s="234"/>
      <c r="I123" s="232"/>
      <c r="J123" s="232"/>
      <c r="K123" s="232"/>
      <c r="L123" s="232"/>
      <c r="M123" s="234"/>
      <c r="N123" s="232"/>
      <c r="O123" s="232"/>
      <c r="P123" s="234"/>
      <c r="Q123" s="232"/>
      <c r="R123" s="232"/>
      <c r="S123" s="234"/>
      <c r="T123" s="234"/>
    </row>
    <row r="124" spans="1:20" ht="24.6" customHeight="1" x14ac:dyDescent="0.3">
      <c r="A124" s="230"/>
      <c r="B124" s="231"/>
      <c r="C124" s="232"/>
      <c r="D124" s="232"/>
      <c r="E124" s="232"/>
      <c r="F124" s="232"/>
      <c r="G124" s="233"/>
      <c r="H124" s="234"/>
      <c r="I124" s="232"/>
      <c r="J124" s="232"/>
      <c r="K124" s="232"/>
      <c r="L124" s="232"/>
      <c r="M124" s="234"/>
      <c r="N124" s="232"/>
      <c r="O124" s="232"/>
      <c r="P124" s="234"/>
      <c r="Q124" s="232"/>
      <c r="R124" s="232"/>
      <c r="S124" s="234"/>
      <c r="T124" s="234"/>
    </row>
    <row r="125" spans="1:20" ht="24.6" customHeight="1" x14ac:dyDescent="0.3">
      <c r="A125" s="230"/>
      <c r="B125" s="231"/>
      <c r="C125" s="232"/>
      <c r="D125" s="232"/>
      <c r="E125" s="232"/>
      <c r="F125" s="232"/>
      <c r="G125" s="233"/>
      <c r="H125" s="234"/>
      <c r="I125" s="232"/>
      <c r="J125" s="232"/>
      <c r="K125" s="232"/>
      <c r="L125" s="232"/>
      <c r="M125" s="234"/>
      <c r="N125" s="232"/>
      <c r="O125" s="232"/>
      <c r="P125" s="234"/>
      <c r="Q125" s="232"/>
      <c r="R125" s="232"/>
      <c r="S125" s="234"/>
      <c r="T125" s="234"/>
    </row>
    <row r="126" spans="1:20" ht="24.6" customHeight="1" thickBot="1" x14ac:dyDescent="0.35">
      <c r="A126" s="230"/>
      <c r="B126" s="231"/>
      <c r="C126" s="232"/>
      <c r="D126" s="232"/>
      <c r="E126" s="232"/>
      <c r="F126" s="232"/>
      <c r="G126" s="233"/>
      <c r="H126" s="234"/>
      <c r="I126" s="232"/>
      <c r="J126" s="232"/>
      <c r="K126" s="232"/>
      <c r="L126" s="232"/>
      <c r="M126" s="234"/>
      <c r="N126" s="232"/>
      <c r="O126" s="232"/>
      <c r="P126" s="234"/>
      <c r="Q126" s="232"/>
      <c r="R126" s="232"/>
      <c r="S126" s="234"/>
      <c r="T126" s="234"/>
    </row>
    <row r="127" spans="1:20" ht="22.5" customHeight="1" x14ac:dyDescent="0.3">
      <c r="A127" s="1115" t="s">
        <v>1</v>
      </c>
      <c r="B127" s="1115" t="s">
        <v>2</v>
      </c>
      <c r="C127" s="1066" t="s">
        <v>207</v>
      </c>
      <c r="D127" s="1067"/>
      <c r="E127" s="1068"/>
      <c r="F127" s="1066" t="s">
        <v>545</v>
      </c>
      <c r="G127" s="1067"/>
      <c r="H127" s="1067"/>
      <c r="I127" s="1068"/>
      <c r="J127" s="1115" t="s">
        <v>204</v>
      </c>
      <c r="K127" s="1066" t="s">
        <v>192</v>
      </c>
      <c r="L127" s="1067"/>
      <c r="M127" s="1068"/>
      <c r="N127" s="1066" t="s">
        <v>193</v>
      </c>
      <c r="O127" s="1067"/>
      <c r="P127" s="1068"/>
      <c r="Q127" s="1066" t="s">
        <v>194</v>
      </c>
      <c r="R127" s="1067"/>
      <c r="S127" s="1068"/>
      <c r="T127" s="1173" t="s">
        <v>191</v>
      </c>
    </row>
    <row r="128" spans="1:20" ht="87.6" thickBot="1" x14ac:dyDescent="0.35">
      <c r="A128" s="1117"/>
      <c r="B128" s="1117"/>
      <c r="C128" s="235" t="s">
        <v>208</v>
      </c>
      <c r="D128" s="236" t="s">
        <v>205</v>
      </c>
      <c r="E128" s="237" t="s">
        <v>206</v>
      </c>
      <c r="F128" s="238" t="s">
        <v>326</v>
      </c>
      <c r="G128" s="236" t="s">
        <v>201</v>
      </c>
      <c r="H128" s="239" t="s">
        <v>202</v>
      </c>
      <c r="I128" s="240" t="s">
        <v>203</v>
      </c>
      <c r="J128" s="1117"/>
      <c r="K128" s="235" t="s">
        <v>195</v>
      </c>
      <c r="L128" s="239" t="s">
        <v>196</v>
      </c>
      <c r="M128" s="241" t="s">
        <v>209</v>
      </c>
      <c r="N128" s="242" t="s">
        <v>197</v>
      </c>
      <c r="O128" s="239" t="s">
        <v>198</v>
      </c>
      <c r="P128" s="241" t="s">
        <v>210</v>
      </c>
      <c r="Q128" s="235" t="s">
        <v>199</v>
      </c>
      <c r="R128" s="239" t="s">
        <v>200</v>
      </c>
      <c r="S128" s="243" t="s">
        <v>211</v>
      </c>
      <c r="T128" s="1174"/>
    </row>
    <row r="129" spans="1:20" ht="25.5" customHeight="1" x14ac:dyDescent="0.3">
      <c r="A129" s="244" t="s">
        <v>103</v>
      </c>
      <c r="B129" s="245" t="s">
        <v>16</v>
      </c>
      <c r="C129" s="463">
        <f>+D129+E129</f>
        <v>0</v>
      </c>
      <c r="D129" s="246"/>
      <c r="E129" s="247"/>
      <c r="F129" s="600">
        <v>15000</v>
      </c>
      <c r="G129" s="464">
        <f>+H129+I129</f>
        <v>0</v>
      </c>
      <c r="H129" s="604"/>
      <c r="I129" s="606"/>
      <c r="J129" s="609"/>
      <c r="K129" s="463">
        <f>+L129-E129</f>
        <v>0</v>
      </c>
      <c r="L129" s="464">
        <f>+J129-D129</f>
        <v>0</v>
      </c>
      <c r="M129" s="465" t="str">
        <f>IFERROR(K129/L129,"-")</f>
        <v>-</v>
      </c>
      <c r="N129" s="466">
        <f>+O129-C129</f>
        <v>0</v>
      </c>
      <c r="O129" s="464">
        <f>+K129</f>
        <v>0</v>
      </c>
      <c r="P129" s="467" t="str">
        <f>IFERROR(N129/O129,"-")</f>
        <v>-</v>
      </c>
      <c r="Q129" s="464" t="str">
        <f>IFERROR(N129-(J129-(J129*H129/G129)),"-")</f>
        <v>-</v>
      </c>
      <c r="R129" s="464">
        <f>+N129</f>
        <v>0</v>
      </c>
      <c r="S129" s="468" t="str">
        <f>IFERROR(Q129/R129,"-")</f>
        <v>-</v>
      </c>
      <c r="T129" s="469" t="str">
        <f>IFERROR(M129*P129*S129,"-")</f>
        <v>-</v>
      </c>
    </row>
    <row r="130" spans="1:20" ht="25.5" customHeight="1" x14ac:dyDescent="0.3">
      <c r="A130" s="248" t="s">
        <v>103</v>
      </c>
      <c r="B130" s="249" t="s">
        <v>215</v>
      </c>
      <c r="C130" s="470">
        <f t="shared" ref="C130:C144" si="75">+D130+E130</f>
        <v>90</v>
      </c>
      <c r="D130" s="250">
        <v>30</v>
      </c>
      <c r="E130" s="251">
        <v>60</v>
      </c>
      <c r="F130" s="601">
        <v>100000</v>
      </c>
      <c r="G130" s="472">
        <f t="shared" ref="G130:G135" si="76">+H130+I130</f>
        <v>110782</v>
      </c>
      <c r="H130" s="254">
        <v>110160</v>
      </c>
      <c r="I130" s="607">
        <v>622</v>
      </c>
      <c r="J130" s="610">
        <v>600</v>
      </c>
      <c r="K130" s="470">
        <f t="shared" ref="K130:K133" si="77">+L130-E130</f>
        <v>510</v>
      </c>
      <c r="L130" s="472">
        <f t="shared" ref="L130:L144" si="78">+J130-D130</f>
        <v>570</v>
      </c>
      <c r="M130" s="473">
        <f t="shared" ref="M130:M133" si="79">IFERROR(K130/L130,"-")</f>
        <v>0.89473684210526316</v>
      </c>
      <c r="N130" s="474">
        <f>+O130-C130</f>
        <v>420</v>
      </c>
      <c r="O130" s="472">
        <f t="shared" ref="O130:O144" si="80">+K130</f>
        <v>510</v>
      </c>
      <c r="P130" s="475">
        <f>IFERROR(N130/O130,"-")</f>
        <v>0.82352941176470584</v>
      </c>
      <c r="Q130" s="472">
        <f t="shared" ref="Q130:Q144" si="81">IFERROR(N130-(J130-(J130*H130/G130)),"-")</f>
        <v>416.63122167861206</v>
      </c>
      <c r="R130" s="472">
        <f t="shared" ref="R130:R144" si="82">+N130</f>
        <v>420</v>
      </c>
      <c r="S130" s="476">
        <f t="shared" ref="S130:S144" si="83">IFERROR(Q130/R130,"-")</f>
        <v>0.99197909923479066</v>
      </c>
      <c r="T130" s="477">
        <f t="shared" ref="T130:T144" si="84">IFERROR(M130*P130*S130,"-")</f>
        <v>0.73093196785721415</v>
      </c>
    </row>
    <row r="131" spans="1:20" ht="23.4" x14ac:dyDescent="0.3">
      <c r="A131" s="248" t="s">
        <v>103</v>
      </c>
      <c r="B131" s="249" t="s">
        <v>214</v>
      </c>
      <c r="C131" s="470">
        <f t="shared" si="75"/>
        <v>0</v>
      </c>
      <c r="D131" s="250"/>
      <c r="E131" s="251"/>
      <c r="F131" s="601">
        <v>80000</v>
      </c>
      <c r="G131" s="472">
        <f t="shared" si="76"/>
        <v>0</v>
      </c>
      <c r="H131" s="254"/>
      <c r="I131" s="607"/>
      <c r="J131" s="610"/>
      <c r="K131" s="470">
        <f t="shared" si="77"/>
        <v>0</v>
      </c>
      <c r="L131" s="472">
        <f t="shared" si="78"/>
        <v>0</v>
      </c>
      <c r="M131" s="473" t="str">
        <f t="shared" si="79"/>
        <v>-</v>
      </c>
      <c r="N131" s="474">
        <f t="shared" ref="N131:N144" si="85">+O131-C131</f>
        <v>0</v>
      </c>
      <c r="O131" s="472">
        <f t="shared" si="80"/>
        <v>0</v>
      </c>
      <c r="P131" s="475" t="str">
        <f t="shared" ref="P131:P144" si="86">IFERROR(N131/O131,"-")</f>
        <v>-</v>
      </c>
      <c r="Q131" s="472" t="str">
        <f t="shared" si="81"/>
        <v>-</v>
      </c>
      <c r="R131" s="472">
        <f t="shared" si="82"/>
        <v>0</v>
      </c>
      <c r="S131" s="476" t="str">
        <f t="shared" si="83"/>
        <v>-</v>
      </c>
      <c r="T131" s="477" t="str">
        <f t="shared" si="84"/>
        <v>-</v>
      </c>
    </row>
    <row r="132" spans="1:20" ht="23.4" x14ac:dyDescent="0.3">
      <c r="A132" s="252" t="s">
        <v>103</v>
      </c>
      <c r="B132" s="249" t="s">
        <v>217</v>
      </c>
      <c r="C132" s="470">
        <f t="shared" si="75"/>
        <v>300</v>
      </c>
      <c r="D132" s="250">
        <v>60</v>
      </c>
      <c r="E132" s="251">
        <v>240</v>
      </c>
      <c r="F132" s="601">
        <v>220000</v>
      </c>
      <c r="G132" s="472">
        <f t="shared" si="76"/>
        <v>68019</v>
      </c>
      <c r="H132" s="254">
        <v>67584</v>
      </c>
      <c r="I132" s="607">
        <v>435</v>
      </c>
      <c r="J132" s="610">
        <v>960</v>
      </c>
      <c r="K132" s="470">
        <f t="shared" si="77"/>
        <v>660</v>
      </c>
      <c r="L132" s="472">
        <f t="shared" si="78"/>
        <v>900</v>
      </c>
      <c r="M132" s="473">
        <f t="shared" si="79"/>
        <v>0.73333333333333328</v>
      </c>
      <c r="N132" s="474">
        <f t="shared" si="85"/>
        <v>360</v>
      </c>
      <c r="O132" s="472">
        <f t="shared" si="80"/>
        <v>660</v>
      </c>
      <c r="P132" s="475">
        <f t="shared" si="86"/>
        <v>0.54545454545454541</v>
      </c>
      <c r="Q132" s="472">
        <f t="shared" si="81"/>
        <v>353.86053896705334</v>
      </c>
      <c r="R132" s="472">
        <f t="shared" si="82"/>
        <v>360</v>
      </c>
      <c r="S132" s="476">
        <f t="shared" si="83"/>
        <v>0.98294594157514814</v>
      </c>
      <c r="T132" s="477">
        <f t="shared" si="84"/>
        <v>0.39317837663005922</v>
      </c>
    </row>
    <row r="133" spans="1:20" ht="23.4" x14ac:dyDescent="0.3">
      <c r="A133" s="248" t="s">
        <v>103</v>
      </c>
      <c r="B133" s="249" t="s">
        <v>216</v>
      </c>
      <c r="C133" s="470">
        <f t="shared" si="75"/>
        <v>0</v>
      </c>
      <c r="D133" s="250"/>
      <c r="E133" s="251"/>
      <c r="F133" s="601">
        <v>50000</v>
      </c>
      <c r="G133" s="472">
        <f t="shared" si="76"/>
        <v>0</v>
      </c>
      <c r="H133" s="254"/>
      <c r="I133" s="607"/>
      <c r="J133" s="610"/>
      <c r="K133" s="470">
        <f t="shared" si="77"/>
        <v>0</v>
      </c>
      <c r="L133" s="472">
        <f t="shared" si="78"/>
        <v>0</v>
      </c>
      <c r="M133" s="473" t="str">
        <f t="shared" si="79"/>
        <v>-</v>
      </c>
      <c r="N133" s="474">
        <f t="shared" si="85"/>
        <v>0</v>
      </c>
      <c r="O133" s="472">
        <f t="shared" si="80"/>
        <v>0</v>
      </c>
      <c r="P133" s="475" t="str">
        <f t="shared" si="86"/>
        <v>-</v>
      </c>
      <c r="Q133" s="472" t="str">
        <f t="shared" si="81"/>
        <v>-</v>
      </c>
      <c r="R133" s="472">
        <f t="shared" si="82"/>
        <v>0</v>
      </c>
      <c r="S133" s="476" t="str">
        <f t="shared" si="83"/>
        <v>-</v>
      </c>
      <c r="T133" s="477" t="str">
        <f t="shared" si="84"/>
        <v>-</v>
      </c>
    </row>
    <row r="134" spans="1:20" ht="23.4" x14ac:dyDescent="0.3">
      <c r="A134" s="248">
        <v>5</v>
      </c>
      <c r="B134" s="249" t="s">
        <v>22</v>
      </c>
      <c r="C134" s="470">
        <f t="shared" si="75"/>
        <v>0</v>
      </c>
      <c r="D134" s="250"/>
      <c r="E134" s="251"/>
      <c r="F134" s="601">
        <v>80000</v>
      </c>
      <c r="G134" s="472">
        <f t="shared" si="76"/>
        <v>0</v>
      </c>
      <c r="H134" s="471"/>
      <c r="I134" s="611"/>
      <c r="J134" s="610"/>
      <c r="K134" s="470">
        <f>+L134-E134</f>
        <v>0</v>
      </c>
      <c r="L134" s="472">
        <f t="shared" si="78"/>
        <v>0</v>
      </c>
      <c r="M134" s="473" t="str">
        <f>IFERROR(K134/L134,"-")</f>
        <v>-</v>
      </c>
      <c r="N134" s="474">
        <f t="shared" si="85"/>
        <v>0</v>
      </c>
      <c r="O134" s="472">
        <f t="shared" si="80"/>
        <v>0</v>
      </c>
      <c r="P134" s="475" t="str">
        <f t="shared" si="86"/>
        <v>-</v>
      </c>
      <c r="Q134" s="472" t="str">
        <f t="shared" si="81"/>
        <v>-</v>
      </c>
      <c r="R134" s="472">
        <f t="shared" si="82"/>
        <v>0</v>
      </c>
      <c r="S134" s="476" t="str">
        <f t="shared" si="83"/>
        <v>-</v>
      </c>
      <c r="T134" s="477" t="str">
        <f t="shared" si="84"/>
        <v>-</v>
      </c>
    </row>
    <row r="135" spans="1:20" ht="23.4" x14ac:dyDescent="0.3">
      <c r="A135" s="248" t="s">
        <v>103</v>
      </c>
      <c r="B135" s="249" t="s">
        <v>23</v>
      </c>
      <c r="C135" s="470">
        <f t="shared" si="75"/>
        <v>0</v>
      </c>
      <c r="D135" s="250"/>
      <c r="E135" s="251"/>
      <c r="F135" s="601">
        <v>14000</v>
      </c>
      <c r="G135" s="472">
        <f t="shared" si="76"/>
        <v>0</v>
      </c>
      <c r="H135" s="254"/>
      <c r="I135" s="607"/>
      <c r="J135" s="610"/>
      <c r="K135" s="470">
        <f t="shared" ref="K135:K144" si="87">+L135-E135</f>
        <v>0</v>
      </c>
      <c r="L135" s="472">
        <f t="shared" si="78"/>
        <v>0</v>
      </c>
      <c r="M135" s="473" t="str">
        <f t="shared" ref="M135:M144" si="88">IFERROR(K135/L135,"-")</f>
        <v>-</v>
      </c>
      <c r="N135" s="474">
        <f t="shared" si="85"/>
        <v>0</v>
      </c>
      <c r="O135" s="472">
        <f t="shared" si="80"/>
        <v>0</v>
      </c>
      <c r="P135" s="475" t="str">
        <f t="shared" si="86"/>
        <v>-</v>
      </c>
      <c r="Q135" s="472" t="str">
        <f t="shared" si="81"/>
        <v>-</v>
      </c>
      <c r="R135" s="472">
        <f t="shared" si="82"/>
        <v>0</v>
      </c>
      <c r="S135" s="476" t="str">
        <f t="shared" si="83"/>
        <v>-</v>
      </c>
      <c r="T135" s="477" t="str">
        <f t="shared" si="84"/>
        <v>-</v>
      </c>
    </row>
    <row r="136" spans="1:20" ht="24" thickBot="1" x14ac:dyDescent="0.35">
      <c r="A136" s="248" t="s">
        <v>103</v>
      </c>
      <c r="B136" s="253" t="s">
        <v>212</v>
      </c>
      <c r="C136" s="478">
        <f t="shared" si="75"/>
        <v>425</v>
      </c>
      <c r="D136" s="250">
        <v>60</v>
      </c>
      <c r="E136" s="251">
        <v>365</v>
      </c>
      <c r="F136" s="601">
        <v>4500</v>
      </c>
      <c r="G136" s="472">
        <f>+H136+I136</f>
        <v>9091</v>
      </c>
      <c r="H136" s="259">
        <v>8899</v>
      </c>
      <c r="I136" s="608">
        <v>192</v>
      </c>
      <c r="J136" s="610">
        <v>960</v>
      </c>
      <c r="K136" s="478">
        <f t="shared" si="87"/>
        <v>535</v>
      </c>
      <c r="L136" s="250">
        <f t="shared" si="78"/>
        <v>900</v>
      </c>
      <c r="M136" s="479">
        <f t="shared" si="88"/>
        <v>0.59444444444444444</v>
      </c>
      <c r="N136" s="480">
        <f t="shared" si="85"/>
        <v>110</v>
      </c>
      <c r="O136" s="250">
        <f t="shared" si="80"/>
        <v>535</v>
      </c>
      <c r="P136" s="481">
        <f t="shared" si="86"/>
        <v>0.20560747663551401</v>
      </c>
      <c r="Q136" s="250">
        <f t="shared" si="81"/>
        <v>89.725002749972532</v>
      </c>
      <c r="R136" s="250">
        <f t="shared" si="82"/>
        <v>110</v>
      </c>
      <c r="S136" s="482">
        <f t="shared" si="83"/>
        <v>0.81568184318156844</v>
      </c>
      <c r="T136" s="483">
        <f t="shared" si="84"/>
        <v>9.9694447499969474E-2</v>
      </c>
    </row>
    <row r="137" spans="1:20" ht="24" thickBot="1" x14ac:dyDescent="0.35">
      <c r="A137" s="255" t="s">
        <v>103</v>
      </c>
      <c r="B137" s="256" t="s">
        <v>213</v>
      </c>
      <c r="C137" s="484">
        <f t="shared" si="75"/>
        <v>180</v>
      </c>
      <c r="D137" s="257">
        <v>30</v>
      </c>
      <c r="E137" s="258">
        <v>150</v>
      </c>
      <c r="F137" s="605">
        <v>5000</v>
      </c>
      <c r="G137" s="494">
        <f t="shared" ref="G137:G144" si="89">+H137+I137</f>
        <v>12834</v>
      </c>
      <c r="H137" s="259">
        <v>12810</v>
      </c>
      <c r="I137" s="608">
        <v>24</v>
      </c>
      <c r="J137" s="613">
        <v>480</v>
      </c>
      <c r="K137" s="484">
        <f t="shared" si="87"/>
        <v>300</v>
      </c>
      <c r="L137" s="257">
        <f t="shared" si="78"/>
        <v>450</v>
      </c>
      <c r="M137" s="485">
        <f t="shared" si="88"/>
        <v>0.66666666666666663</v>
      </c>
      <c r="N137" s="486">
        <f t="shared" si="85"/>
        <v>120</v>
      </c>
      <c r="O137" s="257">
        <f t="shared" si="80"/>
        <v>300</v>
      </c>
      <c r="P137" s="487">
        <f t="shared" si="86"/>
        <v>0.4</v>
      </c>
      <c r="Q137" s="257">
        <f t="shared" si="81"/>
        <v>119.10238429172512</v>
      </c>
      <c r="R137" s="257">
        <f t="shared" si="82"/>
        <v>120</v>
      </c>
      <c r="S137" s="488">
        <f t="shared" si="83"/>
        <v>0.99251986909770928</v>
      </c>
      <c r="T137" s="489">
        <f t="shared" si="84"/>
        <v>0.26467196509272245</v>
      </c>
    </row>
    <row r="138" spans="1:20" ht="23.4" x14ac:dyDescent="0.3">
      <c r="A138" s="252" t="s">
        <v>101</v>
      </c>
      <c r="B138" s="260" t="s">
        <v>29</v>
      </c>
      <c r="C138" s="470">
        <f t="shared" si="75"/>
        <v>205</v>
      </c>
      <c r="D138" s="250">
        <v>90</v>
      </c>
      <c r="E138" s="251">
        <v>115</v>
      </c>
      <c r="F138" s="471">
        <v>160000</v>
      </c>
      <c r="G138" s="472">
        <f t="shared" si="89"/>
        <v>217603</v>
      </c>
      <c r="H138" s="471">
        <v>214812</v>
      </c>
      <c r="I138" s="611">
        <v>2791</v>
      </c>
      <c r="J138" s="703">
        <v>1380</v>
      </c>
      <c r="K138" s="470">
        <f t="shared" si="87"/>
        <v>1175</v>
      </c>
      <c r="L138" s="472">
        <f t="shared" si="78"/>
        <v>1290</v>
      </c>
      <c r="M138" s="473">
        <f t="shared" si="88"/>
        <v>0.91085271317829453</v>
      </c>
      <c r="N138" s="474">
        <f t="shared" si="85"/>
        <v>970</v>
      </c>
      <c r="O138" s="472">
        <f t="shared" si="80"/>
        <v>1175</v>
      </c>
      <c r="P138" s="475">
        <f t="shared" si="86"/>
        <v>0.82553191489361699</v>
      </c>
      <c r="Q138" s="472">
        <f t="shared" si="81"/>
        <v>952.29996829087827</v>
      </c>
      <c r="R138" s="472">
        <f t="shared" si="82"/>
        <v>970</v>
      </c>
      <c r="S138" s="490">
        <f t="shared" si="83"/>
        <v>0.98175254462977146</v>
      </c>
      <c r="T138" s="491">
        <f t="shared" si="84"/>
        <v>0.7382170296828513</v>
      </c>
    </row>
    <row r="139" spans="1:20" ht="22.5" customHeight="1" x14ac:dyDescent="0.3">
      <c r="A139" s="248" t="s">
        <v>101</v>
      </c>
      <c r="B139" s="260" t="s">
        <v>31</v>
      </c>
      <c r="C139" s="470">
        <f t="shared" si="75"/>
        <v>0</v>
      </c>
      <c r="D139" s="707"/>
      <c r="E139" s="251"/>
      <c r="F139" s="471">
        <v>50000</v>
      </c>
      <c r="G139" s="472">
        <f t="shared" si="89"/>
        <v>0</v>
      </c>
      <c r="H139" s="471"/>
      <c r="I139" s="611"/>
      <c r="J139" s="610"/>
      <c r="K139" s="470">
        <f t="shared" si="87"/>
        <v>0</v>
      </c>
      <c r="L139" s="472">
        <f t="shared" si="78"/>
        <v>0</v>
      </c>
      <c r="M139" s="473" t="str">
        <f t="shared" si="88"/>
        <v>-</v>
      </c>
      <c r="N139" s="474">
        <f t="shared" si="85"/>
        <v>0</v>
      </c>
      <c r="O139" s="472">
        <f t="shared" si="80"/>
        <v>0</v>
      </c>
      <c r="P139" s="475" t="str">
        <f t="shared" si="86"/>
        <v>-</v>
      </c>
      <c r="Q139" s="472" t="str">
        <f t="shared" si="81"/>
        <v>-</v>
      </c>
      <c r="R139" s="472">
        <f t="shared" si="82"/>
        <v>0</v>
      </c>
      <c r="S139" s="490" t="str">
        <f t="shared" si="83"/>
        <v>-</v>
      </c>
      <c r="T139" s="491" t="str">
        <f t="shared" si="84"/>
        <v>-</v>
      </c>
    </row>
    <row r="140" spans="1:20" ht="24" thickBot="1" x14ac:dyDescent="0.35">
      <c r="A140" s="255" t="s">
        <v>101</v>
      </c>
      <c r="B140" s="261" t="s">
        <v>32</v>
      </c>
      <c r="C140" s="492">
        <f t="shared" si="75"/>
        <v>0</v>
      </c>
      <c r="D140" s="257"/>
      <c r="E140" s="258"/>
      <c r="F140" s="493">
        <v>110000</v>
      </c>
      <c r="G140" s="494">
        <f t="shared" si="89"/>
        <v>0</v>
      </c>
      <c r="H140" s="493"/>
      <c r="I140" s="612"/>
      <c r="J140" s="613"/>
      <c r="K140" s="492">
        <f t="shared" si="87"/>
        <v>0</v>
      </c>
      <c r="L140" s="494">
        <f t="shared" si="78"/>
        <v>0</v>
      </c>
      <c r="M140" s="495" t="str">
        <f t="shared" si="88"/>
        <v>-</v>
      </c>
      <c r="N140" s="496">
        <f t="shared" si="85"/>
        <v>0</v>
      </c>
      <c r="O140" s="494">
        <f t="shared" si="80"/>
        <v>0</v>
      </c>
      <c r="P140" s="497" t="str">
        <f t="shared" si="86"/>
        <v>-</v>
      </c>
      <c r="Q140" s="494" t="str">
        <f t="shared" si="81"/>
        <v>-</v>
      </c>
      <c r="R140" s="494">
        <f t="shared" si="82"/>
        <v>0</v>
      </c>
      <c r="S140" s="498" t="str">
        <f t="shared" si="83"/>
        <v>-</v>
      </c>
      <c r="T140" s="499" t="str">
        <f t="shared" si="84"/>
        <v>-</v>
      </c>
    </row>
    <row r="141" spans="1:20" ht="23.4" x14ac:dyDescent="0.3">
      <c r="A141" s="248" t="s">
        <v>102</v>
      </c>
      <c r="B141" s="249" t="s">
        <v>219</v>
      </c>
      <c r="C141" s="470">
        <f t="shared" si="75"/>
        <v>0</v>
      </c>
      <c r="D141" s="250"/>
      <c r="E141" s="251"/>
      <c r="F141" s="471">
        <v>6500</v>
      </c>
      <c r="G141" s="472">
        <f t="shared" si="89"/>
        <v>0</v>
      </c>
      <c r="H141" s="471"/>
      <c r="I141" s="611"/>
      <c r="J141" s="610"/>
      <c r="K141" s="470">
        <f t="shared" si="87"/>
        <v>0</v>
      </c>
      <c r="L141" s="472">
        <f t="shared" si="78"/>
        <v>0</v>
      </c>
      <c r="M141" s="473" t="str">
        <f t="shared" si="88"/>
        <v>-</v>
      </c>
      <c r="N141" s="474">
        <f t="shared" si="85"/>
        <v>0</v>
      </c>
      <c r="O141" s="472">
        <f t="shared" si="80"/>
        <v>0</v>
      </c>
      <c r="P141" s="475" t="str">
        <f t="shared" si="86"/>
        <v>-</v>
      </c>
      <c r="Q141" s="472" t="str">
        <f t="shared" si="81"/>
        <v>-</v>
      </c>
      <c r="R141" s="472">
        <f t="shared" si="82"/>
        <v>0</v>
      </c>
      <c r="S141" s="490" t="str">
        <f t="shared" si="83"/>
        <v>-</v>
      </c>
      <c r="T141" s="491" t="str">
        <f t="shared" si="84"/>
        <v>-</v>
      </c>
    </row>
    <row r="142" spans="1:20" ht="23.4" x14ac:dyDescent="0.3">
      <c r="A142" s="252" t="s">
        <v>102</v>
      </c>
      <c r="B142" s="249" t="s">
        <v>38</v>
      </c>
      <c r="C142" s="470">
        <f t="shared" si="75"/>
        <v>30</v>
      </c>
      <c r="D142" s="250">
        <v>30</v>
      </c>
      <c r="E142" s="251"/>
      <c r="F142" s="471">
        <v>2800</v>
      </c>
      <c r="G142" s="472">
        <f t="shared" si="89"/>
        <v>2500</v>
      </c>
      <c r="H142" s="471">
        <v>2500</v>
      </c>
      <c r="I142" s="611"/>
      <c r="J142" s="610">
        <v>480</v>
      </c>
      <c r="K142" s="470">
        <f t="shared" si="87"/>
        <v>450</v>
      </c>
      <c r="L142" s="472">
        <f t="shared" si="78"/>
        <v>450</v>
      </c>
      <c r="M142" s="473">
        <f t="shared" si="88"/>
        <v>1</v>
      </c>
      <c r="N142" s="474">
        <f t="shared" si="85"/>
        <v>420</v>
      </c>
      <c r="O142" s="472">
        <f t="shared" si="80"/>
        <v>450</v>
      </c>
      <c r="P142" s="475">
        <f t="shared" si="86"/>
        <v>0.93333333333333335</v>
      </c>
      <c r="Q142" s="472">
        <f t="shared" si="81"/>
        <v>420</v>
      </c>
      <c r="R142" s="472">
        <f t="shared" si="82"/>
        <v>420</v>
      </c>
      <c r="S142" s="490">
        <f t="shared" si="83"/>
        <v>1</v>
      </c>
      <c r="T142" s="491">
        <f t="shared" si="84"/>
        <v>0.93333333333333335</v>
      </c>
    </row>
    <row r="143" spans="1:20" ht="23.4" x14ac:dyDescent="0.3">
      <c r="A143" s="248" t="s">
        <v>102</v>
      </c>
      <c r="B143" s="249" t="s">
        <v>39</v>
      </c>
      <c r="C143" s="470">
        <f t="shared" si="75"/>
        <v>30</v>
      </c>
      <c r="D143" s="250">
        <v>30</v>
      </c>
      <c r="E143" s="251"/>
      <c r="F143" s="471">
        <v>25000</v>
      </c>
      <c r="G143" s="472">
        <f t="shared" si="89"/>
        <v>47405</v>
      </c>
      <c r="H143" s="471">
        <v>47040</v>
      </c>
      <c r="I143" s="611">
        <v>365</v>
      </c>
      <c r="J143" s="610">
        <v>480</v>
      </c>
      <c r="K143" s="470">
        <f t="shared" si="87"/>
        <v>450</v>
      </c>
      <c r="L143" s="472">
        <f t="shared" si="78"/>
        <v>450</v>
      </c>
      <c r="M143" s="473">
        <f t="shared" si="88"/>
        <v>1</v>
      </c>
      <c r="N143" s="474">
        <f t="shared" si="85"/>
        <v>420</v>
      </c>
      <c r="O143" s="472">
        <f t="shared" si="80"/>
        <v>450</v>
      </c>
      <c r="P143" s="475">
        <f t="shared" si="86"/>
        <v>0.93333333333333335</v>
      </c>
      <c r="Q143" s="472">
        <f t="shared" si="81"/>
        <v>416.30418732201247</v>
      </c>
      <c r="R143" s="472">
        <f t="shared" si="82"/>
        <v>420</v>
      </c>
      <c r="S143" s="490">
        <f t="shared" si="83"/>
        <v>0.99120044600479162</v>
      </c>
      <c r="T143" s="491">
        <f t="shared" si="84"/>
        <v>0.92512041627113883</v>
      </c>
    </row>
    <row r="144" spans="1:20" ht="47.4" thickBot="1" x14ac:dyDescent="0.35">
      <c r="A144" s="615" t="s">
        <v>102</v>
      </c>
      <c r="B144" s="261" t="s">
        <v>218</v>
      </c>
      <c r="C144" s="616">
        <f t="shared" si="75"/>
        <v>30</v>
      </c>
      <c r="D144" s="617">
        <v>30</v>
      </c>
      <c r="E144" s="618"/>
      <c r="F144" s="619">
        <v>25000</v>
      </c>
      <c r="G144" s="620">
        <f t="shared" si="89"/>
        <v>0</v>
      </c>
      <c r="H144" s="619"/>
      <c r="I144" s="621"/>
      <c r="J144" s="614">
        <v>480</v>
      </c>
      <c r="K144" s="616">
        <f t="shared" si="87"/>
        <v>450</v>
      </c>
      <c r="L144" s="620">
        <f t="shared" si="78"/>
        <v>450</v>
      </c>
      <c r="M144" s="622">
        <f t="shared" si="88"/>
        <v>1</v>
      </c>
      <c r="N144" s="623">
        <f t="shared" si="85"/>
        <v>420</v>
      </c>
      <c r="O144" s="620">
        <f t="shared" si="80"/>
        <v>450</v>
      </c>
      <c r="P144" s="624">
        <f t="shared" si="86"/>
        <v>0.93333333333333335</v>
      </c>
      <c r="Q144" s="620" t="str">
        <f t="shared" si="81"/>
        <v>-</v>
      </c>
      <c r="R144" s="620">
        <f t="shared" si="82"/>
        <v>420</v>
      </c>
      <c r="S144" s="625" t="str">
        <f t="shared" si="83"/>
        <v>-</v>
      </c>
      <c r="T144" s="626" t="str">
        <f t="shared" si="84"/>
        <v>-</v>
      </c>
    </row>
    <row r="145" spans="1:20" ht="24.6" customHeight="1" x14ac:dyDescent="0.3">
      <c r="A145" s="230"/>
      <c r="B145" s="231"/>
      <c r="C145" s="232"/>
      <c r="D145" s="232"/>
      <c r="E145" s="232"/>
      <c r="F145" s="232"/>
      <c r="G145" s="233"/>
      <c r="H145" s="234"/>
      <c r="I145" s="232"/>
      <c r="J145" s="232"/>
      <c r="K145" s="232"/>
      <c r="L145" s="232"/>
      <c r="M145" s="234"/>
      <c r="N145" s="232"/>
      <c r="O145" s="232"/>
      <c r="P145" s="234"/>
      <c r="Q145" s="232"/>
      <c r="R145" s="232"/>
      <c r="S145" s="234"/>
      <c r="T145" s="234"/>
    </row>
    <row r="146" spans="1:20" ht="24.6" customHeight="1" x14ac:dyDescent="0.3">
      <c r="A146" s="230"/>
      <c r="B146" s="231"/>
      <c r="C146" s="232"/>
      <c r="D146" s="232"/>
      <c r="E146" s="232"/>
      <c r="F146" s="232"/>
      <c r="G146" s="233"/>
      <c r="H146" s="234"/>
      <c r="I146" s="232"/>
      <c r="J146" s="232"/>
      <c r="K146" s="232"/>
      <c r="L146" s="232"/>
      <c r="M146" s="234"/>
      <c r="N146" s="232"/>
      <c r="O146" s="232"/>
      <c r="P146" s="234"/>
      <c r="Q146" s="232"/>
      <c r="R146" s="232"/>
      <c r="S146" s="234"/>
      <c r="T146" s="234"/>
    </row>
    <row r="147" spans="1:20" ht="24.6" customHeight="1" x14ac:dyDescent="0.3">
      <c r="A147" s="230"/>
      <c r="B147" s="231"/>
      <c r="C147" s="232"/>
      <c r="D147" s="232"/>
      <c r="E147" s="232"/>
      <c r="F147" s="232"/>
      <c r="G147" s="233"/>
      <c r="H147" s="234"/>
      <c r="I147" s="232"/>
      <c r="J147" s="232"/>
      <c r="K147" s="232"/>
      <c r="L147" s="232"/>
      <c r="M147" s="234"/>
      <c r="N147" s="232"/>
      <c r="O147" s="232"/>
      <c r="P147" s="234"/>
      <c r="Q147" s="232"/>
      <c r="R147" s="232"/>
      <c r="S147" s="234"/>
      <c r="T147" s="234"/>
    </row>
    <row r="148" spans="1:20" ht="24.6" customHeight="1" x14ac:dyDescent="0.3">
      <c r="A148" s="230"/>
      <c r="B148" s="231"/>
      <c r="C148" s="232"/>
      <c r="D148" s="232"/>
      <c r="E148" s="232"/>
      <c r="F148" s="232"/>
      <c r="G148" s="233"/>
      <c r="H148" s="234"/>
      <c r="I148" s="232"/>
      <c r="J148" s="232"/>
      <c r="K148" s="232"/>
      <c r="L148" s="232"/>
      <c r="M148" s="234"/>
      <c r="N148" s="232"/>
      <c r="O148" s="232"/>
      <c r="P148" s="234"/>
      <c r="Q148" s="232"/>
      <c r="R148" s="232"/>
      <c r="S148" s="234"/>
      <c r="T148" s="234"/>
    </row>
    <row r="149" spans="1:20" ht="24.6" customHeight="1" x14ac:dyDescent="0.3">
      <c r="A149" s="230"/>
      <c r="B149" s="231"/>
      <c r="C149" s="232"/>
      <c r="D149" s="232"/>
      <c r="E149" s="232"/>
      <c r="F149" s="232"/>
      <c r="G149" s="233"/>
      <c r="H149" s="234"/>
      <c r="I149" s="232"/>
      <c r="J149" s="232"/>
      <c r="K149" s="232"/>
      <c r="L149" s="232"/>
      <c r="M149" s="234"/>
      <c r="N149" s="232"/>
      <c r="O149" s="232"/>
      <c r="P149" s="234"/>
      <c r="Q149" s="232"/>
      <c r="R149" s="232"/>
      <c r="S149" s="234"/>
      <c r="T149" s="234"/>
    </row>
    <row r="150" spans="1:20" ht="24.6" customHeight="1" thickBot="1" x14ac:dyDescent="0.35">
      <c r="A150" s="230"/>
      <c r="B150" s="231"/>
      <c r="C150" s="232"/>
      <c r="D150" s="232"/>
      <c r="E150" s="232"/>
      <c r="F150" s="232"/>
      <c r="G150" s="233"/>
      <c r="H150" s="234"/>
      <c r="I150" s="232"/>
      <c r="J150" s="232"/>
      <c r="K150" s="232"/>
      <c r="L150" s="232"/>
      <c r="M150" s="234"/>
      <c r="N150" s="232"/>
      <c r="O150" s="232"/>
      <c r="P150" s="234"/>
      <c r="Q150" s="232"/>
      <c r="R150" s="232"/>
      <c r="S150" s="234"/>
      <c r="T150" s="234"/>
    </row>
    <row r="151" spans="1:20" ht="22.5" customHeight="1" x14ac:dyDescent="0.3">
      <c r="A151" s="1115" t="s">
        <v>1</v>
      </c>
      <c r="B151" s="1115" t="s">
        <v>2</v>
      </c>
      <c r="C151" s="1066" t="s">
        <v>207</v>
      </c>
      <c r="D151" s="1067"/>
      <c r="E151" s="1068"/>
      <c r="F151" s="1066" t="s">
        <v>535</v>
      </c>
      <c r="G151" s="1067"/>
      <c r="H151" s="1067"/>
      <c r="I151" s="1068"/>
      <c r="J151" s="1115" t="s">
        <v>204</v>
      </c>
      <c r="K151" s="1066" t="s">
        <v>192</v>
      </c>
      <c r="L151" s="1067"/>
      <c r="M151" s="1068"/>
      <c r="N151" s="1066" t="s">
        <v>193</v>
      </c>
      <c r="O151" s="1067"/>
      <c r="P151" s="1068"/>
      <c r="Q151" s="1066" t="s">
        <v>194</v>
      </c>
      <c r="R151" s="1067"/>
      <c r="S151" s="1068"/>
      <c r="T151" s="1173" t="s">
        <v>191</v>
      </c>
    </row>
    <row r="152" spans="1:20" ht="87.6" thickBot="1" x14ac:dyDescent="0.35">
      <c r="A152" s="1117"/>
      <c r="B152" s="1117"/>
      <c r="C152" s="235" t="s">
        <v>208</v>
      </c>
      <c r="D152" s="236" t="s">
        <v>205</v>
      </c>
      <c r="E152" s="237" t="s">
        <v>206</v>
      </c>
      <c r="F152" s="238" t="s">
        <v>326</v>
      </c>
      <c r="G152" s="236" t="s">
        <v>201</v>
      </c>
      <c r="H152" s="239" t="s">
        <v>202</v>
      </c>
      <c r="I152" s="240" t="s">
        <v>203</v>
      </c>
      <c r="J152" s="1117"/>
      <c r="K152" s="235" t="s">
        <v>195</v>
      </c>
      <c r="L152" s="239" t="s">
        <v>196</v>
      </c>
      <c r="M152" s="241" t="s">
        <v>209</v>
      </c>
      <c r="N152" s="242" t="s">
        <v>197</v>
      </c>
      <c r="O152" s="239" t="s">
        <v>198</v>
      </c>
      <c r="P152" s="241" t="s">
        <v>210</v>
      </c>
      <c r="Q152" s="235" t="s">
        <v>199</v>
      </c>
      <c r="R152" s="239" t="s">
        <v>200</v>
      </c>
      <c r="S152" s="243" t="s">
        <v>211</v>
      </c>
      <c r="T152" s="1174"/>
    </row>
    <row r="153" spans="1:20" ht="25.5" customHeight="1" x14ac:dyDescent="0.3">
      <c r="A153" s="244" t="s">
        <v>103</v>
      </c>
      <c r="B153" s="245" t="s">
        <v>16</v>
      </c>
      <c r="C153" s="463">
        <f>+D153+E153</f>
        <v>0</v>
      </c>
      <c r="D153" s="246"/>
      <c r="E153" s="247"/>
      <c r="F153" s="600">
        <v>15000</v>
      </c>
      <c r="G153" s="464">
        <f>+H153+I153</f>
        <v>0</v>
      </c>
      <c r="H153" s="604"/>
      <c r="I153" s="606"/>
      <c r="J153" s="609"/>
      <c r="K153" s="463">
        <f>+L153-E153</f>
        <v>0</v>
      </c>
      <c r="L153" s="464">
        <f>+J153-D153</f>
        <v>0</v>
      </c>
      <c r="M153" s="465" t="str">
        <f>IFERROR(K153/L153,"-")</f>
        <v>-</v>
      </c>
      <c r="N153" s="466">
        <f>+O153-C153</f>
        <v>0</v>
      </c>
      <c r="O153" s="464">
        <f>+K153</f>
        <v>0</v>
      </c>
      <c r="P153" s="467" t="str">
        <f>IFERROR(N153/O153,"-")</f>
        <v>-</v>
      </c>
      <c r="Q153" s="464" t="str">
        <f>IFERROR(N153-(J153-(J153*H153/G153)),"-")</f>
        <v>-</v>
      </c>
      <c r="R153" s="464">
        <f>+N153</f>
        <v>0</v>
      </c>
      <c r="S153" s="468" t="str">
        <f>IFERROR(Q153/R153,"-")</f>
        <v>-</v>
      </c>
      <c r="T153" s="469" t="str">
        <f>IFERROR(M153*P153*S153,"-")</f>
        <v>-</v>
      </c>
    </row>
    <row r="154" spans="1:20" ht="25.5" customHeight="1" x14ac:dyDescent="0.3">
      <c r="A154" s="248" t="s">
        <v>103</v>
      </c>
      <c r="B154" s="249" t="s">
        <v>215</v>
      </c>
      <c r="C154" s="470">
        <f t="shared" ref="C154:C168" si="90">+D154+E154</f>
        <v>180</v>
      </c>
      <c r="D154" s="250">
        <v>30</v>
      </c>
      <c r="E154" s="251">
        <v>150</v>
      </c>
      <c r="F154" s="601">
        <v>100000</v>
      </c>
      <c r="G154" s="472">
        <f t="shared" ref="G154:G159" si="91">+H154+I154</f>
        <v>85884</v>
      </c>
      <c r="H154" s="254">
        <v>85680</v>
      </c>
      <c r="I154" s="607">
        <v>204</v>
      </c>
      <c r="J154" s="610">
        <v>480</v>
      </c>
      <c r="K154" s="470">
        <f t="shared" ref="K154:K157" si="92">+L154-E154</f>
        <v>300</v>
      </c>
      <c r="L154" s="472">
        <f t="shared" ref="L154:L168" si="93">+J154-D154</f>
        <v>450</v>
      </c>
      <c r="M154" s="473">
        <f t="shared" ref="M154:M157" si="94">IFERROR(K154/L154,"-")</f>
        <v>0.66666666666666663</v>
      </c>
      <c r="N154" s="474">
        <f>+O154-C154</f>
        <v>120</v>
      </c>
      <c r="O154" s="472">
        <f t="shared" ref="O154:O168" si="95">+K154</f>
        <v>300</v>
      </c>
      <c r="P154" s="475">
        <f>IFERROR(N154/O154,"-")</f>
        <v>0.4</v>
      </c>
      <c r="Q154" s="472">
        <f t="shared" ref="Q154:Q168" si="96">IFERROR(N154-(J154-(J154*H154/G154)),"-")</f>
        <v>118.85985748218525</v>
      </c>
      <c r="R154" s="472">
        <f t="shared" ref="R154:R168" si="97">+N154</f>
        <v>120</v>
      </c>
      <c r="S154" s="476">
        <f t="shared" ref="S154:S168" si="98">IFERROR(Q154/R154,"-")</f>
        <v>0.99049881235154369</v>
      </c>
      <c r="T154" s="477">
        <f t="shared" ref="T154:T168" si="99">IFERROR(M154*P154*S154,"-")</f>
        <v>0.26413301662707833</v>
      </c>
    </row>
    <row r="155" spans="1:20" ht="23.4" x14ac:dyDescent="0.3">
      <c r="A155" s="248" t="s">
        <v>103</v>
      </c>
      <c r="B155" s="249" t="s">
        <v>214</v>
      </c>
      <c r="C155" s="470">
        <f t="shared" si="90"/>
        <v>0</v>
      </c>
      <c r="D155" s="250"/>
      <c r="E155" s="251"/>
      <c r="F155" s="601">
        <v>80000</v>
      </c>
      <c r="G155" s="472">
        <f t="shared" si="91"/>
        <v>0</v>
      </c>
      <c r="H155" s="254"/>
      <c r="I155" s="607"/>
      <c r="J155" s="610"/>
      <c r="K155" s="470">
        <f t="shared" si="92"/>
        <v>0</v>
      </c>
      <c r="L155" s="472">
        <f t="shared" si="93"/>
        <v>0</v>
      </c>
      <c r="M155" s="473" t="str">
        <f t="shared" si="94"/>
        <v>-</v>
      </c>
      <c r="N155" s="474">
        <f t="shared" ref="N155:N168" si="100">+O155-C155</f>
        <v>0</v>
      </c>
      <c r="O155" s="472">
        <f t="shared" si="95"/>
        <v>0</v>
      </c>
      <c r="P155" s="475" t="str">
        <f t="shared" ref="P155:P168" si="101">IFERROR(N155/O155,"-")</f>
        <v>-</v>
      </c>
      <c r="Q155" s="472" t="str">
        <f t="shared" si="96"/>
        <v>-</v>
      </c>
      <c r="R155" s="472">
        <f t="shared" si="97"/>
        <v>0</v>
      </c>
      <c r="S155" s="476" t="str">
        <f t="shared" si="98"/>
        <v>-</v>
      </c>
      <c r="T155" s="477" t="str">
        <f t="shared" si="99"/>
        <v>-</v>
      </c>
    </row>
    <row r="156" spans="1:20" ht="23.4" x14ac:dyDescent="0.3">
      <c r="A156" s="252" t="s">
        <v>103</v>
      </c>
      <c r="B156" s="249" t="s">
        <v>217</v>
      </c>
      <c r="C156" s="470">
        <f t="shared" si="90"/>
        <v>300</v>
      </c>
      <c r="D156" s="250">
        <v>60</v>
      </c>
      <c r="E156" s="251">
        <v>240</v>
      </c>
      <c r="F156" s="601">
        <v>220000</v>
      </c>
      <c r="G156" s="472">
        <f t="shared" si="91"/>
        <v>17266</v>
      </c>
      <c r="H156" s="254">
        <v>16896</v>
      </c>
      <c r="I156" s="607">
        <v>370</v>
      </c>
      <c r="J156" s="610">
        <v>960</v>
      </c>
      <c r="K156" s="470">
        <f t="shared" si="92"/>
        <v>660</v>
      </c>
      <c r="L156" s="472">
        <f t="shared" si="93"/>
        <v>900</v>
      </c>
      <c r="M156" s="473">
        <f t="shared" si="94"/>
        <v>0.73333333333333328</v>
      </c>
      <c r="N156" s="474">
        <f t="shared" si="100"/>
        <v>360</v>
      </c>
      <c r="O156" s="472">
        <f t="shared" si="95"/>
        <v>660</v>
      </c>
      <c r="P156" s="475">
        <f t="shared" si="101"/>
        <v>0.54545454545454541</v>
      </c>
      <c r="Q156" s="472">
        <f t="shared" si="96"/>
        <v>339.42777713425232</v>
      </c>
      <c r="R156" s="472">
        <f t="shared" si="97"/>
        <v>360</v>
      </c>
      <c r="S156" s="476">
        <f t="shared" si="98"/>
        <v>0.94285493648403418</v>
      </c>
      <c r="T156" s="477">
        <f t="shared" si="99"/>
        <v>0.37714197459361365</v>
      </c>
    </row>
    <row r="157" spans="1:20" ht="23.4" x14ac:dyDescent="0.3">
      <c r="A157" s="248" t="s">
        <v>103</v>
      </c>
      <c r="B157" s="249" t="s">
        <v>216</v>
      </c>
      <c r="C157" s="470">
        <f t="shared" si="90"/>
        <v>0</v>
      </c>
      <c r="D157" s="250"/>
      <c r="E157" s="251"/>
      <c r="F157" s="601">
        <v>50000</v>
      </c>
      <c r="G157" s="472">
        <f t="shared" si="91"/>
        <v>0</v>
      </c>
      <c r="H157" s="254"/>
      <c r="I157" s="607"/>
      <c r="J157" s="610"/>
      <c r="K157" s="470">
        <f t="shared" si="92"/>
        <v>0</v>
      </c>
      <c r="L157" s="472">
        <f t="shared" si="93"/>
        <v>0</v>
      </c>
      <c r="M157" s="473" t="str">
        <f t="shared" si="94"/>
        <v>-</v>
      </c>
      <c r="N157" s="474">
        <f t="shared" si="100"/>
        <v>0</v>
      </c>
      <c r="O157" s="472">
        <f t="shared" si="95"/>
        <v>0</v>
      </c>
      <c r="P157" s="475" t="str">
        <f t="shared" si="101"/>
        <v>-</v>
      </c>
      <c r="Q157" s="472" t="str">
        <f t="shared" si="96"/>
        <v>-</v>
      </c>
      <c r="R157" s="472">
        <f t="shared" si="97"/>
        <v>0</v>
      </c>
      <c r="S157" s="476" t="str">
        <f t="shared" si="98"/>
        <v>-</v>
      </c>
      <c r="T157" s="477" t="str">
        <f t="shared" si="99"/>
        <v>-</v>
      </c>
    </row>
    <row r="158" spans="1:20" ht="23.4" x14ac:dyDescent="0.3">
      <c r="A158" s="248">
        <v>5</v>
      </c>
      <c r="B158" s="249" t="s">
        <v>22</v>
      </c>
      <c r="C158" s="470">
        <f t="shared" si="90"/>
        <v>0</v>
      </c>
      <c r="D158" s="250"/>
      <c r="E158" s="251"/>
      <c r="F158" s="601">
        <v>80000</v>
      </c>
      <c r="G158" s="472">
        <f t="shared" si="91"/>
        <v>0</v>
      </c>
      <c r="H158" s="471"/>
      <c r="I158" s="611"/>
      <c r="J158" s="610"/>
      <c r="K158" s="470">
        <f>+L158-E158</f>
        <v>0</v>
      </c>
      <c r="L158" s="472">
        <f t="shared" si="93"/>
        <v>0</v>
      </c>
      <c r="M158" s="473" t="str">
        <f>IFERROR(K158/L158,"-")</f>
        <v>-</v>
      </c>
      <c r="N158" s="474">
        <f t="shared" si="100"/>
        <v>0</v>
      </c>
      <c r="O158" s="472">
        <f t="shared" si="95"/>
        <v>0</v>
      </c>
      <c r="P158" s="475" t="str">
        <f t="shared" si="101"/>
        <v>-</v>
      </c>
      <c r="Q158" s="472" t="str">
        <f t="shared" si="96"/>
        <v>-</v>
      </c>
      <c r="R158" s="472">
        <f t="shared" si="97"/>
        <v>0</v>
      </c>
      <c r="S158" s="476" t="str">
        <f t="shared" si="98"/>
        <v>-</v>
      </c>
      <c r="T158" s="477" t="str">
        <f t="shared" si="99"/>
        <v>-</v>
      </c>
    </row>
    <row r="159" spans="1:20" ht="23.4" x14ac:dyDescent="0.3">
      <c r="A159" s="248" t="s">
        <v>103</v>
      </c>
      <c r="B159" s="249" t="s">
        <v>23</v>
      </c>
      <c r="C159" s="470">
        <f t="shared" si="90"/>
        <v>0</v>
      </c>
      <c r="D159" s="250"/>
      <c r="E159" s="251"/>
      <c r="F159" s="601">
        <v>14000</v>
      </c>
      <c r="G159" s="472">
        <f t="shared" si="91"/>
        <v>0</v>
      </c>
      <c r="H159" s="254"/>
      <c r="I159" s="607"/>
      <c r="J159" s="610"/>
      <c r="K159" s="470">
        <f t="shared" ref="K159:K168" si="102">+L159-E159</f>
        <v>0</v>
      </c>
      <c r="L159" s="472">
        <f t="shared" si="93"/>
        <v>0</v>
      </c>
      <c r="M159" s="473" t="str">
        <f t="shared" ref="M159:M168" si="103">IFERROR(K159/L159,"-")</f>
        <v>-</v>
      </c>
      <c r="N159" s="474">
        <f t="shared" si="100"/>
        <v>0</v>
      </c>
      <c r="O159" s="472">
        <f t="shared" si="95"/>
        <v>0</v>
      </c>
      <c r="P159" s="475" t="str">
        <f t="shared" si="101"/>
        <v>-</v>
      </c>
      <c r="Q159" s="472" t="str">
        <f t="shared" si="96"/>
        <v>-</v>
      </c>
      <c r="R159" s="472">
        <f t="shared" si="97"/>
        <v>0</v>
      </c>
      <c r="S159" s="476" t="str">
        <f t="shared" si="98"/>
        <v>-</v>
      </c>
      <c r="T159" s="477" t="str">
        <f t="shared" si="99"/>
        <v>-</v>
      </c>
    </row>
    <row r="160" spans="1:20" ht="24" thickBot="1" x14ac:dyDescent="0.35">
      <c r="A160" s="248" t="s">
        <v>103</v>
      </c>
      <c r="B160" s="253" t="s">
        <v>212</v>
      </c>
      <c r="C160" s="478">
        <f t="shared" si="90"/>
        <v>490</v>
      </c>
      <c r="D160" s="250">
        <f>30+30+60+280</f>
        <v>400</v>
      </c>
      <c r="E160" s="251">
        <v>90</v>
      </c>
      <c r="F160" s="601">
        <v>4500</v>
      </c>
      <c r="G160" s="472">
        <f>+H160+I160</f>
        <v>18180</v>
      </c>
      <c r="H160" s="259">
        <v>18122</v>
      </c>
      <c r="I160" s="608">
        <v>58</v>
      </c>
      <c r="J160" s="610">
        <v>960</v>
      </c>
      <c r="K160" s="478">
        <f t="shared" si="102"/>
        <v>470</v>
      </c>
      <c r="L160" s="250">
        <f t="shared" si="93"/>
        <v>560</v>
      </c>
      <c r="M160" s="479">
        <f t="shared" si="103"/>
        <v>0.8392857142857143</v>
      </c>
      <c r="N160" s="480">
        <f t="shared" si="100"/>
        <v>-20</v>
      </c>
      <c r="O160" s="250">
        <f t="shared" si="95"/>
        <v>470</v>
      </c>
      <c r="P160" s="481">
        <f t="shared" si="101"/>
        <v>-4.2553191489361701E-2</v>
      </c>
      <c r="Q160" s="250">
        <f t="shared" si="96"/>
        <v>-23.062706270627018</v>
      </c>
      <c r="R160" s="250">
        <f t="shared" si="97"/>
        <v>-20</v>
      </c>
      <c r="S160" s="482">
        <f t="shared" si="98"/>
        <v>1.1531353135313509</v>
      </c>
      <c r="T160" s="483">
        <f t="shared" si="99"/>
        <v>-4.1183404054691099E-2</v>
      </c>
    </row>
    <row r="161" spans="1:20" ht="24" thickBot="1" x14ac:dyDescent="0.35">
      <c r="A161" s="255" t="s">
        <v>103</v>
      </c>
      <c r="B161" s="256" t="s">
        <v>213</v>
      </c>
      <c r="C161" s="484">
        <f t="shared" si="90"/>
        <v>390</v>
      </c>
      <c r="D161" s="257">
        <f>30+60+90</f>
        <v>180</v>
      </c>
      <c r="E161" s="258">
        <v>210</v>
      </c>
      <c r="F161" s="605">
        <v>5000</v>
      </c>
      <c r="G161" s="494">
        <f t="shared" ref="G161:G168" si="104">+H161+I161</f>
        <v>1385</v>
      </c>
      <c r="H161" s="259">
        <v>1381</v>
      </c>
      <c r="I161" s="608">
        <v>4</v>
      </c>
      <c r="J161" s="613">
        <v>480</v>
      </c>
      <c r="K161" s="484">
        <f t="shared" si="102"/>
        <v>90</v>
      </c>
      <c r="L161" s="257">
        <f t="shared" si="93"/>
        <v>300</v>
      </c>
      <c r="M161" s="485">
        <f t="shared" si="103"/>
        <v>0.3</v>
      </c>
      <c r="N161" s="486">
        <f t="shared" si="100"/>
        <v>-300</v>
      </c>
      <c r="O161" s="257">
        <f t="shared" si="95"/>
        <v>90</v>
      </c>
      <c r="P161" s="487">
        <f t="shared" si="101"/>
        <v>-3.3333333333333335</v>
      </c>
      <c r="Q161" s="257">
        <f t="shared" si="96"/>
        <v>-301.38628158844767</v>
      </c>
      <c r="R161" s="257">
        <f t="shared" si="97"/>
        <v>-300</v>
      </c>
      <c r="S161" s="488">
        <f t="shared" si="98"/>
        <v>1.0046209386281588</v>
      </c>
      <c r="T161" s="489">
        <f t="shared" si="99"/>
        <v>-1.0046209386281588</v>
      </c>
    </row>
    <row r="162" spans="1:20" ht="23.4" x14ac:dyDescent="0.3">
      <c r="A162" s="252" t="s">
        <v>101</v>
      </c>
      <c r="B162" s="260" t="s">
        <v>29</v>
      </c>
      <c r="C162" s="470">
        <f t="shared" si="90"/>
        <v>510</v>
      </c>
      <c r="D162" s="250">
        <f>30+30+30</f>
        <v>90</v>
      </c>
      <c r="E162" s="251">
        <v>420</v>
      </c>
      <c r="F162" s="471">
        <v>160000</v>
      </c>
      <c r="G162" s="472">
        <f t="shared" si="104"/>
        <v>164587</v>
      </c>
      <c r="H162" s="471">
        <f>91494+71604</f>
        <v>163098</v>
      </c>
      <c r="I162" s="611">
        <f>1044+445</f>
        <v>1489</v>
      </c>
      <c r="J162" s="703">
        <v>1440</v>
      </c>
      <c r="K162" s="470">
        <f t="shared" si="102"/>
        <v>930</v>
      </c>
      <c r="L162" s="472">
        <f t="shared" si="93"/>
        <v>1350</v>
      </c>
      <c r="M162" s="473">
        <f t="shared" si="103"/>
        <v>0.68888888888888888</v>
      </c>
      <c r="N162" s="474">
        <f t="shared" si="100"/>
        <v>420</v>
      </c>
      <c r="O162" s="472">
        <f t="shared" si="95"/>
        <v>930</v>
      </c>
      <c r="P162" s="475">
        <f t="shared" si="101"/>
        <v>0.45161290322580644</v>
      </c>
      <c r="Q162" s="472">
        <f t="shared" si="96"/>
        <v>406.9724826383615</v>
      </c>
      <c r="R162" s="472">
        <f t="shared" si="97"/>
        <v>420</v>
      </c>
      <c r="S162" s="490">
        <f t="shared" si="98"/>
        <v>0.96898210151990838</v>
      </c>
      <c r="T162" s="491">
        <f t="shared" si="99"/>
        <v>0.30146109825063816</v>
      </c>
    </row>
    <row r="163" spans="1:20" ht="22.5" customHeight="1" x14ac:dyDescent="0.3">
      <c r="A163" s="248" t="s">
        <v>101</v>
      </c>
      <c r="B163" s="260" t="s">
        <v>31</v>
      </c>
      <c r="C163" s="470">
        <f t="shared" si="90"/>
        <v>0</v>
      </c>
      <c r="D163" s="707"/>
      <c r="E163" s="251"/>
      <c r="F163" s="471">
        <v>50000</v>
      </c>
      <c r="G163" s="472">
        <f t="shared" si="104"/>
        <v>0</v>
      </c>
      <c r="H163" s="471"/>
      <c r="I163" s="611"/>
      <c r="J163" s="610"/>
      <c r="K163" s="470">
        <f t="shared" si="102"/>
        <v>0</v>
      </c>
      <c r="L163" s="472">
        <f t="shared" si="93"/>
        <v>0</v>
      </c>
      <c r="M163" s="473" t="str">
        <f t="shared" si="103"/>
        <v>-</v>
      </c>
      <c r="N163" s="474">
        <f t="shared" si="100"/>
        <v>0</v>
      </c>
      <c r="O163" s="472">
        <f t="shared" si="95"/>
        <v>0</v>
      </c>
      <c r="P163" s="475" t="str">
        <f t="shared" si="101"/>
        <v>-</v>
      </c>
      <c r="Q163" s="472" t="str">
        <f t="shared" si="96"/>
        <v>-</v>
      </c>
      <c r="R163" s="472">
        <f t="shared" si="97"/>
        <v>0</v>
      </c>
      <c r="S163" s="490" t="str">
        <f t="shared" si="98"/>
        <v>-</v>
      </c>
      <c r="T163" s="491" t="str">
        <f t="shared" si="99"/>
        <v>-</v>
      </c>
    </row>
    <row r="164" spans="1:20" ht="24" thickBot="1" x14ac:dyDescent="0.35">
      <c r="A164" s="255" t="s">
        <v>101</v>
      </c>
      <c r="B164" s="261" t="s">
        <v>32</v>
      </c>
      <c r="C164" s="492">
        <f t="shared" si="90"/>
        <v>0</v>
      </c>
      <c r="D164" s="257"/>
      <c r="E164" s="258"/>
      <c r="F164" s="493">
        <v>110000</v>
      </c>
      <c r="G164" s="494">
        <f t="shared" si="104"/>
        <v>0</v>
      </c>
      <c r="H164" s="493"/>
      <c r="I164" s="612"/>
      <c r="J164" s="613"/>
      <c r="K164" s="492">
        <f t="shared" si="102"/>
        <v>0</v>
      </c>
      <c r="L164" s="494">
        <f t="shared" si="93"/>
        <v>0</v>
      </c>
      <c r="M164" s="495" t="str">
        <f t="shared" si="103"/>
        <v>-</v>
      </c>
      <c r="N164" s="496">
        <f t="shared" si="100"/>
        <v>0</v>
      </c>
      <c r="O164" s="494">
        <f t="shared" si="95"/>
        <v>0</v>
      </c>
      <c r="P164" s="497" t="str">
        <f t="shared" si="101"/>
        <v>-</v>
      </c>
      <c r="Q164" s="494" t="str">
        <f t="shared" si="96"/>
        <v>-</v>
      </c>
      <c r="R164" s="494">
        <f t="shared" si="97"/>
        <v>0</v>
      </c>
      <c r="S164" s="498" t="str">
        <f t="shared" si="98"/>
        <v>-</v>
      </c>
      <c r="T164" s="499" t="str">
        <f t="shared" si="99"/>
        <v>-</v>
      </c>
    </row>
    <row r="165" spans="1:20" ht="23.4" x14ac:dyDescent="0.3">
      <c r="A165" s="248" t="s">
        <v>102</v>
      </c>
      <c r="B165" s="249" t="s">
        <v>219</v>
      </c>
      <c r="C165" s="470">
        <f t="shared" si="90"/>
        <v>30</v>
      </c>
      <c r="D165" s="250">
        <v>30</v>
      </c>
      <c r="E165" s="251"/>
      <c r="F165" s="471">
        <v>6500</v>
      </c>
      <c r="G165" s="472">
        <f t="shared" si="104"/>
        <v>400</v>
      </c>
      <c r="H165" s="471">
        <v>349</v>
      </c>
      <c r="I165" s="611">
        <v>51</v>
      </c>
      <c r="J165" s="610">
        <v>480</v>
      </c>
      <c r="K165" s="470">
        <f t="shared" si="102"/>
        <v>450</v>
      </c>
      <c r="L165" s="472">
        <f t="shared" si="93"/>
        <v>450</v>
      </c>
      <c r="M165" s="473">
        <f t="shared" si="103"/>
        <v>1</v>
      </c>
      <c r="N165" s="474">
        <f t="shared" si="100"/>
        <v>420</v>
      </c>
      <c r="O165" s="472">
        <f t="shared" si="95"/>
        <v>450</v>
      </c>
      <c r="P165" s="475">
        <f t="shared" si="101"/>
        <v>0.93333333333333335</v>
      </c>
      <c r="Q165" s="472">
        <f t="shared" si="96"/>
        <v>358.8</v>
      </c>
      <c r="R165" s="472">
        <f t="shared" si="97"/>
        <v>420</v>
      </c>
      <c r="S165" s="490">
        <f t="shared" si="98"/>
        <v>0.85428571428571431</v>
      </c>
      <c r="T165" s="491">
        <f t="shared" si="99"/>
        <v>0.79733333333333334</v>
      </c>
    </row>
    <row r="166" spans="1:20" ht="23.4" x14ac:dyDescent="0.3">
      <c r="A166" s="252" t="s">
        <v>102</v>
      </c>
      <c r="B166" s="249" t="s">
        <v>38</v>
      </c>
      <c r="C166" s="470">
        <f t="shared" si="90"/>
        <v>30</v>
      </c>
      <c r="D166" s="250">
        <v>30</v>
      </c>
      <c r="E166" s="251"/>
      <c r="F166" s="471">
        <v>2800</v>
      </c>
      <c r="G166" s="472">
        <f t="shared" si="104"/>
        <v>3210</v>
      </c>
      <c r="H166" s="471">
        <v>3200</v>
      </c>
      <c r="I166" s="611">
        <v>10</v>
      </c>
      <c r="J166" s="610">
        <v>480</v>
      </c>
      <c r="K166" s="470">
        <f t="shared" si="102"/>
        <v>450</v>
      </c>
      <c r="L166" s="472">
        <f t="shared" si="93"/>
        <v>450</v>
      </c>
      <c r="M166" s="473">
        <f t="shared" si="103"/>
        <v>1</v>
      </c>
      <c r="N166" s="474">
        <f t="shared" si="100"/>
        <v>420</v>
      </c>
      <c r="O166" s="472">
        <f t="shared" si="95"/>
        <v>450</v>
      </c>
      <c r="P166" s="475">
        <f t="shared" si="101"/>
        <v>0.93333333333333335</v>
      </c>
      <c r="Q166" s="472">
        <f t="shared" si="96"/>
        <v>418.50467289719626</v>
      </c>
      <c r="R166" s="472">
        <f t="shared" si="97"/>
        <v>420</v>
      </c>
      <c r="S166" s="490">
        <f t="shared" si="98"/>
        <v>0.99643969737427684</v>
      </c>
      <c r="T166" s="491">
        <f t="shared" si="99"/>
        <v>0.93001038421599169</v>
      </c>
    </row>
    <row r="167" spans="1:20" ht="23.4" x14ac:dyDescent="0.3">
      <c r="A167" s="248" t="s">
        <v>102</v>
      </c>
      <c r="B167" s="249" t="s">
        <v>39</v>
      </c>
      <c r="C167" s="470">
        <f t="shared" si="90"/>
        <v>30</v>
      </c>
      <c r="D167" s="250">
        <v>30</v>
      </c>
      <c r="E167" s="251"/>
      <c r="F167" s="471">
        <v>25000</v>
      </c>
      <c r="G167" s="472">
        <f t="shared" si="104"/>
        <v>45083</v>
      </c>
      <c r="H167" s="471">
        <v>44904</v>
      </c>
      <c r="I167" s="611">
        <v>179</v>
      </c>
      <c r="J167" s="610">
        <v>480</v>
      </c>
      <c r="K167" s="470">
        <f t="shared" si="102"/>
        <v>450</v>
      </c>
      <c r="L167" s="472">
        <f t="shared" si="93"/>
        <v>450</v>
      </c>
      <c r="M167" s="473">
        <f t="shared" si="103"/>
        <v>1</v>
      </c>
      <c r="N167" s="474">
        <f t="shared" si="100"/>
        <v>420</v>
      </c>
      <c r="O167" s="472">
        <f t="shared" si="95"/>
        <v>450</v>
      </c>
      <c r="P167" s="475">
        <f t="shared" si="101"/>
        <v>0.93333333333333335</v>
      </c>
      <c r="Q167" s="472">
        <f t="shared" si="96"/>
        <v>418.09418184237961</v>
      </c>
      <c r="R167" s="472">
        <f t="shared" si="97"/>
        <v>420</v>
      </c>
      <c r="S167" s="490">
        <f t="shared" si="98"/>
        <v>0.99546233771995141</v>
      </c>
      <c r="T167" s="491">
        <f t="shared" si="99"/>
        <v>0.9290981818719547</v>
      </c>
    </row>
    <row r="168" spans="1:20" ht="47.4" thickBot="1" x14ac:dyDescent="0.35">
      <c r="A168" s="615" t="s">
        <v>102</v>
      </c>
      <c r="B168" s="261" t="s">
        <v>218</v>
      </c>
      <c r="C168" s="616">
        <f t="shared" si="90"/>
        <v>30</v>
      </c>
      <c r="D168" s="617">
        <v>30</v>
      </c>
      <c r="E168" s="618"/>
      <c r="F168" s="619">
        <v>25000</v>
      </c>
      <c r="G168" s="620">
        <f t="shared" si="104"/>
        <v>0</v>
      </c>
      <c r="H168" s="619"/>
      <c r="I168" s="621"/>
      <c r="J168" s="614">
        <v>480</v>
      </c>
      <c r="K168" s="616">
        <f t="shared" si="102"/>
        <v>450</v>
      </c>
      <c r="L168" s="620">
        <f t="shared" si="93"/>
        <v>450</v>
      </c>
      <c r="M168" s="622">
        <f t="shared" si="103"/>
        <v>1</v>
      </c>
      <c r="N168" s="623">
        <f t="shared" si="100"/>
        <v>420</v>
      </c>
      <c r="O168" s="620">
        <f t="shared" si="95"/>
        <v>450</v>
      </c>
      <c r="P168" s="624">
        <f t="shared" si="101"/>
        <v>0.93333333333333335</v>
      </c>
      <c r="Q168" s="620" t="str">
        <f t="shared" si="96"/>
        <v>-</v>
      </c>
      <c r="R168" s="620">
        <f t="shared" si="97"/>
        <v>420</v>
      </c>
      <c r="S168" s="625" t="str">
        <f t="shared" si="98"/>
        <v>-</v>
      </c>
      <c r="T168" s="626" t="str">
        <f t="shared" si="99"/>
        <v>-</v>
      </c>
    </row>
    <row r="169" spans="1:20" ht="24.6" customHeight="1" x14ac:dyDescent="0.3">
      <c r="A169" s="230"/>
      <c r="B169" s="231"/>
      <c r="C169" s="232"/>
      <c r="D169" s="232"/>
      <c r="E169" s="232"/>
      <c r="F169" s="232"/>
      <c r="G169" s="233"/>
      <c r="H169" s="234"/>
      <c r="I169" s="232"/>
      <c r="J169" s="232"/>
      <c r="K169" s="232"/>
      <c r="L169" s="232"/>
      <c r="M169" s="234"/>
      <c r="N169" s="232"/>
      <c r="O169" s="232"/>
      <c r="P169" s="234"/>
      <c r="Q169" s="232"/>
      <c r="R169" s="232"/>
      <c r="S169" s="234"/>
      <c r="T169" s="234"/>
    </row>
    <row r="170" spans="1:20" ht="24.6" customHeight="1" x14ac:dyDescent="0.3">
      <c r="A170" s="230"/>
      <c r="B170" s="231"/>
      <c r="C170" s="232"/>
      <c r="D170" s="232"/>
      <c r="E170" s="232"/>
      <c r="F170" s="232"/>
      <c r="G170" s="233"/>
      <c r="H170" s="234"/>
      <c r="I170" s="232"/>
      <c r="J170" s="232"/>
      <c r="K170" s="232"/>
      <c r="L170" s="232"/>
      <c r="M170" s="234"/>
      <c r="N170" s="232"/>
      <c r="O170" s="232"/>
      <c r="P170" s="234"/>
      <c r="Q170" s="232"/>
      <c r="R170" s="232"/>
      <c r="S170" s="234"/>
      <c r="T170" s="234"/>
    </row>
    <row r="171" spans="1:20" ht="24.6" customHeight="1" x14ac:dyDescent="0.3">
      <c r="A171" s="230"/>
      <c r="B171" s="231"/>
      <c r="C171" s="232"/>
      <c r="D171" s="232"/>
      <c r="E171" s="232"/>
      <c r="F171" s="232"/>
      <c r="G171" s="233"/>
      <c r="H171" s="234"/>
      <c r="I171" s="232"/>
      <c r="J171" s="232"/>
      <c r="K171" s="232"/>
      <c r="L171" s="232"/>
      <c r="M171" s="234"/>
      <c r="N171" s="232"/>
      <c r="O171" s="232"/>
      <c r="P171" s="234"/>
      <c r="Q171" s="232"/>
      <c r="R171" s="232"/>
      <c r="S171" s="234"/>
      <c r="T171" s="234"/>
    </row>
    <row r="172" spans="1:20" ht="24.6" customHeight="1" x14ac:dyDescent="0.3">
      <c r="A172" s="230"/>
      <c r="B172" s="231"/>
      <c r="C172" s="232"/>
      <c r="D172" s="232"/>
      <c r="E172" s="232"/>
      <c r="F172" s="232"/>
      <c r="G172" s="233"/>
      <c r="H172" s="234"/>
      <c r="I172" s="232"/>
      <c r="J172" s="232"/>
      <c r="K172" s="232"/>
      <c r="L172" s="232"/>
      <c r="M172" s="234"/>
      <c r="N172" s="232"/>
      <c r="O172" s="232"/>
      <c r="P172" s="234"/>
      <c r="Q172" s="232"/>
      <c r="R172" s="232"/>
      <c r="S172" s="234"/>
      <c r="T172" s="234"/>
    </row>
    <row r="173" spans="1:20" ht="24.6" customHeight="1" x14ac:dyDescent="0.3">
      <c r="A173" s="230"/>
      <c r="B173" s="231"/>
      <c r="C173" s="232"/>
      <c r="D173" s="232"/>
      <c r="E173" s="232"/>
      <c r="F173" s="232"/>
      <c r="G173" s="233"/>
      <c r="H173" s="234"/>
      <c r="I173" s="232"/>
      <c r="J173" s="232"/>
      <c r="K173" s="232"/>
      <c r="L173" s="232"/>
      <c r="M173" s="234"/>
      <c r="N173" s="232"/>
      <c r="O173" s="232"/>
      <c r="P173" s="234"/>
      <c r="Q173" s="232"/>
      <c r="R173" s="232"/>
      <c r="S173" s="234"/>
      <c r="T173" s="234"/>
    </row>
    <row r="174" spans="1:20" ht="24.6" customHeight="1" thickBot="1" x14ac:dyDescent="0.35">
      <c r="A174" s="230"/>
      <c r="B174" s="231"/>
      <c r="C174" s="232"/>
      <c r="D174" s="232"/>
      <c r="E174" s="232"/>
      <c r="F174" s="232"/>
      <c r="G174" s="233"/>
      <c r="H174" s="234"/>
      <c r="I174" s="232"/>
      <c r="J174" s="232"/>
      <c r="K174" s="232"/>
      <c r="L174" s="232"/>
      <c r="M174" s="234"/>
      <c r="N174" s="232"/>
      <c r="O174" s="232"/>
      <c r="P174" s="234"/>
      <c r="Q174" s="232"/>
      <c r="R174" s="232"/>
      <c r="S174" s="234"/>
      <c r="T174" s="234"/>
    </row>
    <row r="175" spans="1:20" ht="22.5" customHeight="1" x14ac:dyDescent="0.3">
      <c r="A175" s="1115" t="s">
        <v>1</v>
      </c>
      <c r="B175" s="1115" t="s">
        <v>2</v>
      </c>
      <c r="C175" s="1066" t="s">
        <v>207</v>
      </c>
      <c r="D175" s="1067"/>
      <c r="E175" s="1068"/>
      <c r="F175" s="1066" t="s">
        <v>524</v>
      </c>
      <c r="G175" s="1067"/>
      <c r="H175" s="1067"/>
      <c r="I175" s="1068"/>
      <c r="J175" s="1115" t="s">
        <v>204</v>
      </c>
      <c r="K175" s="1066" t="s">
        <v>192</v>
      </c>
      <c r="L175" s="1067"/>
      <c r="M175" s="1068"/>
      <c r="N175" s="1066" t="s">
        <v>193</v>
      </c>
      <c r="O175" s="1067"/>
      <c r="P175" s="1068"/>
      <c r="Q175" s="1066" t="s">
        <v>194</v>
      </c>
      <c r="R175" s="1067"/>
      <c r="S175" s="1068"/>
      <c r="T175" s="1173" t="s">
        <v>191</v>
      </c>
    </row>
    <row r="176" spans="1:20" ht="87.6" thickBot="1" x14ac:dyDescent="0.35">
      <c r="A176" s="1117"/>
      <c r="B176" s="1117"/>
      <c r="C176" s="235" t="s">
        <v>208</v>
      </c>
      <c r="D176" s="236" t="s">
        <v>205</v>
      </c>
      <c r="E176" s="237" t="s">
        <v>206</v>
      </c>
      <c r="F176" s="238" t="s">
        <v>326</v>
      </c>
      <c r="G176" s="236" t="s">
        <v>201</v>
      </c>
      <c r="H176" s="239" t="s">
        <v>202</v>
      </c>
      <c r="I176" s="240" t="s">
        <v>203</v>
      </c>
      <c r="J176" s="1117"/>
      <c r="K176" s="235" t="s">
        <v>195</v>
      </c>
      <c r="L176" s="239" t="s">
        <v>196</v>
      </c>
      <c r="M176" s="241" t="s">
        <v>209</v>
      </c>
      <c r="N176" s="242" t="s">
        <v>197</v>
      </c>
      <c r="O176" s="239" t="s">
        <v>198</v>
      </c>
      <c r="P176" s="241" t="s">
        <v>210</v>
      </c>
      <c r="Q176" s="235" t="s">
        <v>199</v>
      </c>
      <c r="R176" s="239" t="s">
        <v>200</v>
      </c>
      <c r="S176" s="243" t="s">
        <v>211</v>
      </c>
      <c r="T176" s="1174"/>
    </row>
    <row r="177" spans="1:20" ht="25.5" customHeight="1" x14ac:dyDescent="0.3">
      <c r="A177" s="244" t="s">
        <v>103</v>
      </c>
      <c r="B177" s="245" t="s">
        <v>16</v>
      </c>
      <c r="C177" s="463">
        <f>+D177+E177</f>
        <v>0</v>
      </c>
      <c r="D177" s="246"/>
      <c r="E177" s="247"/>
      <c r="F177" s="600">
        <v>15000</v>
      </c>
      <c r="G177" s="464">
        <f>+H177+I177</f>
        <v>0</v>
      </c>
      <c r="H177" s="604"/>
      <c r="I177" s="606"/>
      <c r="J177" s="609"/>
      <c r="K177" s="463">
        <f>+L177-E177</f>
        <v>0</v>
      </c>
      <c r="L177" s="464">
        <f>+J177-D177</f>
        <v>0</v>
      </c>
      <c r="M177" s="465" t="str">
        <f>IFERROR(K177/L177,"-")</f>
        <v>-</v>
      </c>
      <c r="N177" s="466">
        <f>+O177-C177</f>
        <v>0</v>
      </c>
      <c r="O177" s="464">
        <f>+K177</f>
        <v>0</v>
      </c>
      <c r="P177" s="467" t="str">
        <f>IFERROR(N177/O177,"-")</f>
        <v>-</v>
      </c>
      <c r="Q177" s="464" t="str">
        <f>IFERROR(N177-(J177-(J177*H177/G177)),"-")</f>
        <v>-</v>
      </c>
      <c r="R177" s="464">
        <f>+N177</f>
        <v>0</v>
      </c>
      <c r="S177" s="468" t="str">
        <f>IFERROR(Q177/R177,"-")</f>
        <v>-</v>
      </c>
      <c r="T177" s="469" t="str">
        <f>IFERROR(M177*P177*S177,"-")</f>
        <v>-</v>
      </c>
    </row>
    <row r="178" spans="1:20" ht="25.5" customHeight="1" x14ac:dyDescent="0.3">
      <c r="A178" s="248" t="s">
        <v>103</v>
      </c>
      <c r="B178" s="249" t="s">
        <v>215</v>
      </c>
      <c r="C178" s="470">
        <f t="shared" ref="C178:C192" si="105">+D178+E178</f>
        <v>30</v>
      </c>
      <c r="D178" s="250">
        <v>30</v>
      </c>
      <c r="E178" s="251"/>
      <c r="F178" s="601">
        <v>100000</v>
      </c>
      <c r="G178" s="472">
        <f t="shared" ref="G178:G183" si="106">+H178+I178</f>
        <v>82590</v>
      </c>
      <c r="H178" s="254">
        <v>82048</v>
      </c>
      <c r="I178" s="607">
        <v>542</v>
      </c>
      <c r="J178" s="610">
        <v>480</v>
      </c>
      <c r="K178" s="470">
        <f t="shared" ref="K178:K181" si="107">+L178-E178</f>
        <v>450</v>
      </c>
      <c r="L178" s="472">
        <f t="shared" ref="L178:L192" si="108">+J178-D178</f>
        <v>450</v>
      </c>
      <c r="M178" s="473">
        <f t="shared" ref="M178:M181" si="109">IFERROR(K178/L178,"-")</f>
        <v>1</v>
      </c>
      <c r="N178" s="474">
        <f>+O178-C178</f>
        <v>420</v>
      </c>
      <c r="O178" s="472">
        <f t="shared" ref="O178:O192" si="110">+K178</f>
        <v>450</v>
      </c>
      <c r="P178" s="475">
        <f>IFERROR(N178/O178,"-")</f>
        <v>0.93333333333333335</v>
      </c>
      <c r="Q178" s="472">
        <f t="shared" ref="Q178:Q192" si="111">IFERROR(N178-(J178-(J178*H178/G178)),"-")</f>
        <v>416.8499818379949</v>
      </c>
      <c r="R178" s="472">
        <f t="shared" ref="R178:R192" si="112">+N178</f>
        <v>420</v>
      </c>
      <c r="S178" s="476">
        <f t="shared" ref="S178:S192" si="113">IFERROR(Q178/R178,"-")</f>
        <v>0.99249995675713076</v>
      </c>
      <c r="T178" s="477">
        <f t="shared" ref="T178:T192" si="114">IFERROR(M178*P178*S178,"-")</f>
        <v>0.92633329297332201</v>
      </c>
    </row>
    <row r="179" spans="1:20" ht="23.4" x14ac:dyDescent="0.3">
      <c r="A179" s="248" t="s">
        <v>103</v>
      </c>
      <c r="B179" s="249" t="s">
        <v>214</v>
      </c>
      <c r="C179" s="470">
        <f t="shared" si="105"/>
        <v>0</v>
      </c>
      <c r="D179" s="250"/>
      <c r="E179" s="251"/>
      <c r="F179" s="601">
        <v>80000</v>
      </c>
      <c r="G179" s="472">
        <f t="shared" si="106"/>
        <v>0</v>
      </c>
      <c r="H179" s="254"/>
      <c r="I179" s="607"/>
      <c r="J179" s="610"/>
      <c r="K179" s="470">
        <f t="shared" si="107"/>
        <v>0</v>
      </c>
      <c r="L179" s="472">
        <f t="shared" si="108"/>
        <v>0</v>
      </c>
      <c r="M179" s="473" t="str">
        <f t="shared" si="109"/>
        <v>-</v>
      </c>
      <c r="N179" s="474">
        <f t="shared" ref="N179:N192" si="115">+O179-C179</f>
        <v>0</v>
      </c>
      <c r="O179" s="472">
        <f t="shared" si="110"/>
        <v>0</v>
      </c>
      <c r="P179" s="475" t="str">
        <f t="shared" ref="P179:P192" si="116">IFERROR(N179/O179,"-")</f>
        <v>-</v>
      </c>
      <c r="Q179" s="472" t="str">
        <f t="shared" si="111"/>
        <v>-</v>
      </c>
      <c r="R179" s="472">
        <f t="shared" si="112"/>
        <v>0</v>
      </c>
      <c r="S179" s="476" t="str">
        <f t="shared" si="113"/>
        <v>-</v>
      </c>
      <c r="T179" s="477" t="str">
        <f t="shared" si="114"/>
        <v>-</v>
      </c>
    </row>
    <row r="180" spans="1:20" ht="23.4" x14ac:dyDescent="0.3">
      <c r="A180" s="252" t="s">
        <v>103</v>
      </c>
      <c r="B180" s="249" t="s">
        <v>217</v>
      </c>
      <c r="C180" s="470">
        <f t="shared" si="105"/>
        <v>210</v>
      </c>
      <c r="D180" s="250">
        <v>60</v>
      </c>
      <c r="E180" s="251">
        <v>150</v>
      </c>
      <c r="F180" s="601">
        <v>220000</v>
      </c>
      <c r="G180" s="472">
        <f t="shared" si="106"/>
        <v>152412</v>
      </c>
      <c r="H180" s="254">
        <v>152064</v>
      </c>
      <c r="I180" s="607">
        <v>348</v>
      </c>
      <c r="J180" s="610">
        <f>480*2</f>
        <v>960</v>
      </c>
      <c r="K180" s="470">
        <f t="shared" si="107"/>
        <v>750</v>
      </c>
      <c r="L180" s="472">
        <f t="shared" si="108"/>
        <v>900</v>
      </c>
      <c r="M180" s="473">
        <f t="shared" si="109"/>
        <v>0.83333333333333337</v>
      </c>
      <c r="N180" s="474">
        <f t="shared" si="115"/>
        <v>540</v>
      </c>
      <c r="O180" s="472">
        <f t="shared" si="110"/>
        <v>750</v>
      </c>
      <c r="P180" s="475">
        <f t="shared" si="116"/>
        <v>0.72</v>
      </c>
      <c r="Q180" s="472">
        <f t="shared" si="111"/>
        <v>537.80804661050308</v>
      </c>
      <c r="R180" s="472">
        <f t="shared" si="112"/>
        <v>540</v>
      </c>
      <c r="S180" s="476">
        <f t="shared" si="113"/>
        <v>0.99594082705648723</v>
      </c>
      <c r="T180" s="477">
        <f t="shared" si="114"/>
        <v>0.59756449623389229</v>
      </c>
    </row>
    <row r="181" spans="1:20" ht="23.4" x14ac:dyDescent="0.3">
      <c r="A181" s="248" t="s">
        <v>103</v>
      </c>
      <c r="B181" s="249" t="s">
        <v>216</v>
      </c>
      <c r="C181" s="470">
        <f t="shared" si="105"/>
        <v>0</v>
      </c>
      <c r="D181" s="250"/>
      <c r="E181" s="251"/>
      <c r="F181" s="601">
        <v>50000</v>
      </c>
      <c r="G181" s="472">
        <f t="shared" si="106"/>
        <v>0</v>
      </c>
      <c r="H181" s="254"/>
      <c r="I181" s="607"/>
      <c r="J181" s="610"/>
      <c r="K181" s="470">
        <f t="shared" si="107"/>
        <v>0</v>
      </c>
      <c r="L181" s="472">
        <f t="shared" si="108"/>
        <v>0</v>
      </c>
      <c r="M181" s="473" t="str">
        <f t="shared" si="109"/>
        <v>-</v>
      </c>
      <c r="N181" s="474">
        <f t="shared" si="115"/>
        <v>0</v>
      </c>
      <c r="O181" s="472">
        <f t="shared" si="110"/>
        <v>0</v>
      </c>
      <c r="P181" s="475" t="str">
        <f t="shared" si="116"/>
        <v>-</v>
      </c>
      <c r="Q181" s="472" t="str">
        <f t="shared" si="111"/>
        <v>-</v>
      </c>
      <c r="R181" s="472">
        <f t="shared" si="112"/>
        <v>0</v>
      </c>
      <c r="S181" s="476" t="str">
        <f t="shared" si="113"/>
        <v>-</v>
      </c>
      <c r="T181" s="477" t="str">
        <f t="shared" si="114"/>
        <v>-</v>
      </c>
    </row>
    <row r="182" spans="1:20" ht="23.4" x14ac:dyDescent="0.3">
      <c r="A182" s="248">
        <v>5</v>
      </c>
      <c r="B182" s="249" t="s">
        <v>22</v>
      </c>
      <c r="C182" s="470">
        <f t="shared" si="105"/>
        <v>0</v>
      </c>
      <c r="D182" s="250"/>
      <c r="E182" s="251"/>
      <c r="F182" s="601">
        <v>80000</v>
      </c>
      <c r="G182" s="472">
        <f t="shared" si="106"/>
        <v>0</v>
      </c>
      <c r="H182" s="471"/>
      <c r="I182" s="611"/>
      <c r="J182" s="610"/>
      <c r="K182" s="470">
        <f>+L182-E182</f>
        <v>0</v>
      </c>
      <c r="L182" s="472">
        <f t="shared" si="108"/>
        <v>0</v>
      </c>
      <c r="M182" s="473" t="str">
        <f>IFERROR(K182/L182,"-")</f>
        <v>-</v>
      </c>
      <c r="N182" s="474">
        <f t="shared" si="115"/>
        <v>0</v>
      </c>
      <c r="O182" s="472">
        <f t="shared" si="110"/>
        <v>0</v>
      </c>
      <c r="P182" s="475" t="str">
        <f t="shared" si="116"/>
        <v>-</v>
      </c>
      <c r="Q182" s="472" t="str">
        <f t="shared" si="111"/>
        <v>-</v>
      </c>
      <c r="R182" s="472">
        <f t="shared" si="112"/>
        <v>0</v>
      </c>
      <c r="S182" s="476" t="str">
        <f t="shared" si="113"/>
        <v>-</v>
      </c>
      <c r="T182" s="477" t="str">
        <f t="shared" si="114"/>
        <v>-</v>
      </c>
    </row>
    <row r="183" spans="1:20" ht="23.4" x14ac:dyDescent="0.3">
      <c r="A183" s="248" t="s">
        <v>103</v>
      </c>
      <c r="B183" s="249" t="s">
        <v>23</v>
      </c>
      <c r="C183" s="470">
        <f t="shared" si="105"/>
        <v>0</v>
      </c>
      <c r="D183" s="250"/>
      <c r="E183" s="251"/>
      <c r="F183" s="601">
        <v>14000</v>
      </c>
      <c r="G183" s="472">
        <f t="shared" si="106"/>
        <v>0</v>
      </c>
      <c r="H183" s="254"/>
      <c r="I183" s="607"/>
      <c r="J183" s="610"/>
      <c r="K183" s="470">
        <f t="shared" ref="K183:K192" si="117">+L183-E183</f>
        <v>0</v>
      </c>
      <c r="L183" s="472">
        <f t="shared" si="108"/>
        <v>0</v>
      </c>
      <c r="M183" s="473" t="str">
        <f t="shared" ref="M183:M192" si="118">IFERROR(K183/L183,"-")</f>
        <v>-</v>
      </c>
      <c r="N183" s="474">
        <f t="shared" si="115"/>
        <v>0</v>
      </c>
      <c r="O183" s="472">
        <f t="shared" si="110"/>
        <v>0</v>
      </c>
      <c r="P183" s="475" t="str">
        <f t="shared" si="116"/>
        <v>-</v>
      </c>
      <c r="Q183" s="472" t="str">
        <f t="shared" si="111"/>
        <v>-</v>
      </c>
      <c r="R183" s="472">
        <f t="shared" si="112"/>
        <v>0</v>
      </c>
      <c r="S183" s="476" t="str">
        <f t="shared" si="113"/>
        <v>-</v>
      </c>
      <c r="T183" s="477" t="str">
        <f t="shared" si="114"/>
        <v>-</v>
      </c>
    </row>
    <row r="184" spans="1:20" ht="24" thickBot="1" x14ac:dyDescent="0.35">
      <c r="A184" s="248" t="s">
        <v>103</v>
      </c>
      <c r="B184" s="253" t="s">
        <v>212</v>
      </c>
      <c r="C184" s="478">
        <f t="shared" si="105"/>
        <v>570</v>
      </c>
      <c r="D184" s="250">
        <f>60+60+270+30+30+60+60</f>
        <v>570</v>
      </c>
      <c r="E184" s="251"/>
      <c r="F184" s="601">
        <v>4500</v>
      </c>
      <c r="G184" s="472">
        <f>+H184+I184</f>
        <v>34641</v>
      </c>
      <c r="H184" s="259">
        <f>24228+10132</f>
        <v>34360</v>
      </c>
      <c r="I184" s="608">
        <f>195+86</f>
        <v>281</v>
      </c>
      <c r="J184" s="610">
        <f>960+480+480</f>
        <v>1920</v>
      </c>
      <c r="K184" s="478">
        <f t="shared" si="117"/>
        <v>1350</v>
      </c>
      <c r="L184" s="250">
        <f t="shared" si="108"/>
        <v>1350</v>
      </c>
      <c r="M184" s="479">
        <f t="shared" si="118"/>
        <v>1</v>
      </c>
      <c r="N184" s="480">
        <f t="shared" si="115"/>
        <v>780</v>
      </c>
      <c r="O184" s="250">
        <f t="shared" si="110"/>
        <v>1350</v>
      </c>
      <c r="P184" s="481">
        <f t="shared" si="116"/>
        <v>0.57777777777777772</v>
      </c>
      <c r="Q184" s="250">
        <f t="shared" si="111"/>
        <v>764.42539187667785</v>
      </c>
      <c r="R184" s="250">
        <f t="shared" si="112"/>
        <v>780</v>
      </c>
      <c r="S184" s="482">
        <f t="shared" si="113"/>
        <v>0.98003255368804854</v>
      </c>
      <c r="T184" s="483">
        <f t="shared" si="114"/>
        <v>0.56624103101976131</v>
      </c>
    </row>
    <row r="185" spans="1:20" ht="24" thickBot="1" x14ac:dyDescent="0.35">
      <c r="A185" s="255" t="s">
        <v>103</v>
      </c>
      <c r="B185" s="256" t="s">
        <v>213</v>
      </c>
      <c r="C185" s="484">
        <f t="shared" si="105"/>
        <v>225</v>
      </c>
      <c r="D185" s="257">
        <f>30+60</f>
        <v>90</v>
      </c>
      <c r="E185" s="258">
        <v>135</v>
      </c>
      <c r="F185" s="605">
        <v>5000</v>
      </c>
      <c r="G185" s="494">
        <f t="shared" ref="G185:G192" si="119">+H185+I185</f>
        <v>22868</v>
      </c>
      <c r="H185" s="259">
        <v>22791</v>
      </c>
      <c r="I185" s="608">
        <v>77</v>
      </c>
      <c r="J185" s="613">
        <v>480</v>
      </c>
      <c r="K185" s="484">
        <f t="shared" si="117"/>
        <v>255</v>
      </c>
      <c r="L185" s="257">
        <f t="shared" si="108"/>
        <v>390</v>
      </c>
      <c r="M185" s="485">
        <f t="shared" si="118"/>
        <v>0.65384615384615385</v>
      </c>
      <c r="N185" s="486">
        <f t="shared" si="115"/>
        <v>30</v>
      </c>
      <c r="O185" s="257">
        <f t="shared" si="110"/>
        <v>255</v>
      </c>
      <c r="P185" s="487">
        <f t="shared" si="116"/>
        <v>0.11764705882352941</v>
      </c>
      <c r="Q185" s="257">
        <f t="shared" si="111"/>
        <v>28.383767710337565</v>
      </c>
      <c r="R185" s="257">
        <f t="shared" si="112"/>
        <v>30</v>
      </c>
      <c r="S185" s="488">
        <f t="shared" si="113"/>
        <v>0.94612559034458554</v>
      </c>
      <c r="T185" s="489">
        <f t="shared" si="114"/>
        <v>7.2778891564968126E-2</v>
      </c>
    </row>
    <row r="186" spans="1:20" ht="23.4" x14ac:dyDescent="0.3">
      <c r="A186" s="252" t="s">
        <v>101</v>
      </c>
      <c r="B186" s="260" t="s">
        <v>29</v>
      </c>
      <c r="C186" s="470">
        <f t="shared" si="105"/>
        <v>1045</v>
      </c>
      <c r="D186" s="250">
        <v>90</v>
      </c>
      <c r="E186" s="251">
        <v>955</v>
      </c>
      <c r="F186" s="471">
        <v>160000</v>
      </c>
      <c r="G186" s="472">
        <f t="shared" si="119"/>
        <v>49877</v>
      </c>
      <c r="H186" s="471">
        <v>47736</v>
      </c>
      <c r="I186" s="611">
        <v>2141</v>
      </c>
      <c r="J186" s="703">
        <v>1380</v>
      </c>
      <c r="K186" s="470">
        <f t="shared" si="117"/>
        <v>335</v>
      </c>
      <c r="L186" s="472">
        <f t="shared" si="108"/>
        <v>1290</v>
      </c>
      <c r="M186" s="473">
        <f t="shared" si="118"/>
        <v>0.25968992248062017</v>
      </c>
      <c r="N186" s="474">
        <f t="shared" si="115"/>
        <v>-710</v>
      </c>
      <c r="O186" s="472">
        <f t="shared" si="110"/>
        <v>335</v>
      </c>
      <c r="P186" s="475">
        <f t="shared" si="116"/>
        <v>-2.1194029850746268</v>
      </c>
      <c r="Q186" s="472">
        <f t="shared" si="111"/>
        <v>-769.23732381658874</v>
      </c>
      <c r="R186" s="472">
        <f t="shared" si="112"/>
        <v>-710</v>
      </c>
      <c r="S186" s="490">
        <f t="shared" si="113"/>
        <v>1.0834328504458997</v>
      </c>
      <c r="T186" s="491">
        <f t="shared" si="114"/>
        <v>-0.59630800295859587</v>
      </c>
    </row>
    <row r="187" spans="1:20" ht="22.5" customHeight="1" x14ac:dyDescent="0.3">
      <c r="A187" s="248" t="s">
        <v>101</v>
      </c>
      <c r="B187" s="260" t="s">
        <v>31</v>
      </c>
      <c r="C187" s="470">
        <f t="shared" si="105"/>
        <v>0</v>
      </c>
      <c r="D187" s="707"/>
      <c r="E187" s="251"/>
      <c r="F187" s="471">
        <v>50000</v>
      </c>
      <c r="G187" s="472">
        <f t="shared" si="119"/>
        <v>0</v>
      </c>
      <c r="H187" s="471"/>
      <c r="I187" s="611"/>
      <c r="J187" s="610"/>
      <c r="K187" s="470">
        <f t="shared" si="117"/>
        <v>0</v>
      </c>
      <c r="L187" s="472">
        <f t="shared" si="108"/>
        <v>0</v>
      </c>
      <c r="M187" s="473" t="str">
        <f t="shared" si="118"/>
        <v>-</v>
      </c>
      <c r="N187" s="474">
        <f t="shared" si="115"/>
        <v>0</v>
      </c>
      <c r="O187" s="472">
        <f t="shared" si="110"/>
        <v>0</v>
      </c>
      <c r="P187" s="475" t="str">
        <f t="shared" si="116"/>
        <v>-</v>
      </c>
      <c r="Q187" s="472" t="str">
        <f t="shared" si="111"/>
        <v>-</v>
      </c>
      <c r="R187" s="472">
        <f t="shared" si="112"/>
        <v>0</v>
      </c>
      <c r="S187" s="490" t="str">
        <f t="shared" si="113"/>
        <v>-</v>
      </c>
      <c r="T187" s="491" t="str">
        <f t="shared" si="114"/>
        <v>-</v>
      </c>
    </row>
    <row r="188" spans="1:20" ht="24" thickBot="1" x14ac:dyDescent="0.35">
      <c r="A188" s="255" t="s">
        <v>101</v>
      </c>
      <c r="B188" s="261" t="s">
        <v>32</v>
      </c>
      <c r="C188" s="492">
        <f t="shared" si="105"/>
        <v>0</v>
      </c>
      <c r="D188" s="257"/>
      <c r="E188" s="258"/>
      <c r="F188" s="493">
        <v>110000</v>
      </c>
      <c r="G188" s="494">
        <f t="shared" si="119"/>
        <v>0</v>
      </c>
      <c r="H188" s="493"/>
      <c r="I188" s="612"/>
      <c r="J188" s="613"/>
      <c r="K188" s="492">
        <f t="shared" si="117"/>
        <v>0</v>
      </c>
      <c r="L188" s="494">
        <f t="shared" si="108"/>
        <v>0</v>
      </c>
      <c r="M188" s="495" t="str">
        <f t="shared" si="118"/>
        <v>-</v>
      </c>
      <c r="N188" s="496">
        <f t="shared" si="115"/>
        <v>0</v>
      </c>
      <c r="O188" s="494">
        <f t="shared" si="110"/>
        <v>0</v>
      </c>
      <c r="P188" s="497" t="str">
        <f t="shared" si="116"/>
        <v>-</v>
      </c>
      <c r="Q188" s="494" t="str">
        <f t="shared" si="111"/>
        <v>-</v>
      </c>
      <c r="R188" s="494">
        <f t="shared" si="112"/>
        <v>0</v>
      </c>
      <c r="S188" s="498" t="str">
        <f t="shared" si="113"/>
        <v>-</v>
      </c>
      <c r="T188" s="499" t="str">
        <f t="shared" si="114"/>
        <v>-</v>
      </c>
    </row>
    <row r="189" spans="1:20" ht="23.4" x14ac:dyDescent="0.3">
      <c r="A189" s="248" t="s">
        <v>102</v>
      </c>
      <c r="B189" s="249" t="s">
        <v>219</v>
      </c>
      <c r="C189" s="470">
        <f t="shared" si="105"/>
        <v>0</v>
      </c>
      <c r="D189" s="250"/>
      <c r="E189" s="251"/>
      <c r="F189" s="471">
        <v>6500</v>
      </c>
      <c r="G189" s="472">
        <f t="shared" si="119"/>
        <v>0</v>
      </c>
      <c r="H189" s="471"/>
      <c r="I189" s="611"/>
      <c r="J189" s="610"/>
      <c r="K189" s="470">
        <f t="shared" si="117"/>
        <v>0</v>
      </c>
      <c r="L189" s="472">
        <f t="shared" si="108"/>
        <v>0</v>
      </c>
      <c r="M189" s="473" t="str">
        <f t="shared" si="118"/>
        <v>-</v>
      </c>
      <c r="N189" s="474">
        <f t="shared" si="115"/>
        <v>0</v>
      </c>
      <c r="O189" s="472">
        <f t="shared" si="110"/>
        <v>0</v>
      </c>
      <c r="P189" s="475" t="str">
        <f t="shared" si="116"/>
        <v>-</v>
      </c>
      <c r="Q189" s="472" t="str">
        <f t="shared" si="111"/>
        <v>-</v>
      </c>
      <c r="R189" s="472">
        <f t="shared" si="112"/>
        <v>0</v>
      </c>
      <c r="S189" s="490" t="str">
        <f t="shared" si="113"/>
        <v>-</v>
      </c>
      <c r="T189" s="491" t="str">
        <f t="shared" si="114"/>
        <v>-</v>
      </c>
    </row>
    <row r="190" spans="1:20" ht="23.4" x14ac:dyDescent="0.3">
      <c r="A190" s="252" t="s">
        <v>102</v>
      </c>
      <c r="B190" s="249" t="s">
        <v>38</v>
      </c>
      <c r="C190" s="470">
        <f t="shared" si="105"/>
        <v>60</v>
      </c>
      <c r="D190" s="250">
        <f>30+30</f>
        <v>60</v>
      </c>
      <c r="E190" s="251"/>
      <c r="F190" s="471">
        <v>2800</v>
      </c>
      <c r="G190" s="472">
        <f t="shared" si="119"/>
        <v>4730</v>
      </c>
      <c r="H190" s="471">
        <f>3200+1200</f>
        <v>4400</v>
      </c>
      <c r="I190" s="611">
        <f>230+100</f>
        <v>330</v>
      </c>
      <c r="J190" s="610">
        <f>480+480</f>
        <v>960</v>
      </c>
      <c r="K190" s="470">
        <f t="shared" si="117"/>
        <v>900</v>
      </c>
      <c r="L190" s="472">
        <f t="shared" si="108"/>
        <v>900</v>
      </c>
      <c r="M190" s="473">
        <f t="shared" si="118"/>
        <v>1</v>
      </c>
      <c r="N190" s="474">
        <f t="shared" si="115"/>
        <v>840</v>
      </c>
      <c r="O190" s="472">
        <f t="shared" si="110"/>
        <v>900</v>
      </c>
      <c r="P190" s="475">
        <f t="shared" si="116"/>
        <v>0.93333333333333335</v>
      </c>
      <c r="Q190" s="472">
        <f t="shared" si="111"/>
        <v>773.02325581395348</v>
      </c>
      <c r="R190" s="472">
        <f t="shared" si="112"/>
        <v>840</v>
      </c>
      <c r="S190" s="490">
        <f t="shared" si="113"/>
        <v>0.92026578073089704</v>
      </c>
      <c r="T190" s="491">
        <f t="shared" si="114"/>
        <v>0.85891472868217056</v>
      </c>
    </row>
    <row r="191" spans="1:20" ht="23.4" x14ac:dyDescent="0.3">
      <c r="A191" s="248" t="s">
        <v>102</v>
      </c>
      <c r="B191" s="249" t="s">
        <v>39</v>
      </c>
      <c r="C191" s="470">
        <f t="shared" si="105"/>
        <v>30</v>
      </c>
      <c r="D191" s="250">
        <v>30</v>
      </c>
      <c r="E191" s="251"/>
      <c r="F191" s="471">
        <v>25000</v>
      </c>
      <c r="G191" s="472">
        <f t="shared" si="119"/>
        <v>39871</v>
      </c>
      <c r="H191" s="471">
        <v>39492</v>
      </c>
      <c r="I191" s="611">
        <v>379</v>
      </c>
      <c r="J191" s="610">
        <v>480</v>
      </c>
      <c r="K191" s="470">
        <f t="shared" si="117"/>
        <v>450</v>
      </c>
      <c r="L191" s="472">
        <f t="shared" si="108"/>
        <v>450</v>
      </c>
      <c r="M191" s="473">
        <f t="shared" si="118"/>
        <v>1</v>
      </c>
      <c r="N191" s="474">
        <f t="shared" si="115"/>
        <v>420</v>
      </c>
      <c r="O191" s="472">
        <f t="shared" si="110"/>
        <v>450</v>
      </c>
      <c r="P191" s="475">
        <f t="shared" si="116"/>
        <v>0.93333333333333335</v>
      </c>
      <c r="Q191" s="472">
        <f t="shared" si="111"/>
        <v>415.43728524491485</v>
      </c>
      <c r="R191" s="472">
        <f t="shared" si="112"/>
        <v>420</v>
      </c>
      <c r="S191" s="490">
        <f t="shared" si="113"/>
        <v>0.98913639344027349</v>
      </c>
      <c r="T191" s="491">
        <f t="shared" si="114"/>
        <v>0.92319396721092195</v>
      </c>
    </row>
    <row r="192" spans="1:20" ht="47.4" thickBot="1" x14ac:dyDescent="0.35">
      <c r="A192" s="615" t="s">
        <v>102</v>
      </c>
      <c r="B192" s="261" t="s">
        <v>218</v>
      </c>
      <c r="C192" s="616">
        <f t="shared" si="105"/>
        <v>30</v>
      </c>
      <c r="D192" s="617">
        <v>30</v>
      </c>
      <c r="E192" s="618"/>
      <c r="F192" s="619">
        <v>25000</v>
      </c>
      <c r="G192" s="620">
        <f t="shared" si="119"/>
        <v>0</v>
      </c>
      <c r="H192" s="619"/>
      <c r="I192" s="621"/>
      <c r="J192" s="614">
        <v>480</v>
      </c>
      <c r="K192" s="616">
        <f t="shared" si="117"/>
        <v>450</v>
      </c>
      <c r="L192" s="620">
        <f t="shared" si="108"/>
        <v>450</v>
      </c>
      <c r="M192" s="622">
        <f t="shared" si="118"/>
        <v>1</v>
      </c>
      <c r="N192" s="623">
        <f t="shared" si="115"/>
        <v>420</v>
      </c>
      <c r="O192" s="620">
        <f t="shared" si="110"/>
        <v>450</v>
      </c>
      <c r="P192" s="624">
        <f t="shared" si="116"/>
        <v>0.93333333333333335</v>
      </c>
      <c r="Q192" s="620" t="str">
        <f t="shared" si="111"/>
        <v>-</v>
      </c>
      <c r="R192" s="620">
        <f t="shared" si="112"/>
        <v>420</v>
      </c>
      <c r="S192" s="625" t="str">
        <f t="shared" si="113"/>
        <v>-</v>
      </c>
      <c r="T192" s="626" t="str">
        <f t="shared" si="114"/>
        <v>-</v>
      </c>
    </row>
    <row r="193" spans="1:20" ht="24.6" customHeight="1" x14ac:dyDescent="0.3">
      <c r="A193" s="230"/>
      <c r="B193" s="231"/>
      <c r="C193" s="232"/>
      <c r="D193" s="232"/>
      <c r="E193" s="232"/>
      <c r="F193" s="232"/>
      <c r="G193" s="233"/>
      <c r="H193" s="234"/>
      <c r="I193" s="232"/>
      <c r="J193" s="232"/>
      <c r="K193" s="232"/>
      <c r="L193" s="232"/>
      <c r="M193" s="234"/>
      <c r="N193" s="232"/>
      <c r="O193" s="232"/>
      <c r="P193" s="234"/>
      <c r="Q193" s="232"/>
      <c r="R193" s="232"/>
      <c r="S193" s="234"/>
      <c r="T193" s="234"/>
    </row>
    <row r="194" spans="1:20" ht="24.6" customHeight="1" x14ac:dyDescent="0.3">
      <c r="A194" s="230"/>
      <c r="B194" s="231"/>
      <c r="C194" s="232"/>
      <c r="D194" s="232"/>
      <c r="E194" s="232"/>
      <c r="F194" s="232"/>
      <c r="G194" s="233"/>
      <c r="H194" s="234"/>
      <c r="I194" s="232"/>
      <c r="J194" s="232"/>
      <c r="K194" s="232"/>
      <c r="L194" s="232"/>
      <c r="M194" s="234"/>
      <c r="N194" s="232"/>
      <c r="O194" s="232"/>
      <c r="P194" s="234"/>
      <c r="Q194" s="232"/>
      <c r="R194" s="232"/>
      <c r="S194" s="234"/>
      <c r="T194" s="234"/>
    </row>
    <row r="195" spans="1:20" ht="24.6" customHeight="1" x14ac:dyDescent="0.3">
      <c r="A195" s="230"/>
      <c r="B195" s="231"/>
      <c r="C195" s="232"/>
      <c r="D195" s="232"/>
      <c r="E195" s="232"/>
      <c r="F195" s="232"/>
      <c r="G195" s="233"/>
      <c r="H195" s="234"/>
      <c r="I195" s="232"/>
      <c r="J195" s="232"/>
      <c r="K195" s="232"/>
      <c r="L195" s="232"/>
      <c r="M195" s="234"/>
      <c r="N195" s="232"/>
      <c r="O195" s="232"/>
      <c r="P195" s="234"/>
      <c r="Q195" s="232"/>
      <c r="R195" s="232"/>
      <c r="S195" s="234"/>
      <c r="T195" s="234"/>
    </row>
    <row r="196" spans="1:20" ht="24.6" customHeight="1" x14ac:dyDescent="0.3">
      <c r="A196" s="230"/>
      <c r="B196" s="231"/>
      <c r="C196" s="232"/>
      <c r="D196" s="232"/>
      <c r="E196" s="232"/>
      <c r="F196" s="232"/>
      <c r="G196" s="233"/>
      <c r="H196" s="234"/>
      <c r="I196" s="232"/>
      <c r="J196" s="232"/>
      <c r="K196" s="232"/>
      <c r="L196" s="232"/>
      <c r="M196" s="234"/>
      <c r="N196" s="232"/>
      <c r="O196" s="232"/>
      <c r="P196" s="234"/>
      <c r="Q196" s="232"/>
      <c r="R196" s="232"/>
      <c r="S196" s="234"/>
      <c r="T196" s="234"/>
    </row>
    <row r="197" spans="1:20" ht="24.6" customHeight="1" x14ac:dyDescent="0.3">
      <c r="A197" s="230"/>
      <c r="B197" s="231"/>
      <c r="C197" s="232"/>
      <c r="D197" s="232"/>
      <c r="E197" s="232"/>
      <c r="F197" s="232"/>
      <c r="G197" s="233"/>
      <c r="H197" s="234"/>
      <c r="I197" s="232"/>
      <c r="J197" s="232"/>
      <c r="K197" s="232"/>
      <c r="L197" s="232"/>
      <c r="M197" s="234"/>
      <c r="N197" s="232"/>
      <c r="O197" s="232"/>
      <c r="P197" s="234"/>
      <c r="Q197" s="232"/>
      <c r="R197" s="232"/>
      <c r="S197" s="234"/>
      <c r="T197" s="234"/>
    </row>
    <row r="198" spans="1:20" ht="24.6" customHeight="1" thickBot="1" x14ac:dyDescent="0.35">
      <c r="A198" s="230"/>
      <c r="B198" s="231"/>
      <c r="C198" s="232"/>
      <c r="D198" s="232"/>
      <c r="E198" s="232"/>
      <c r="F198" s="232"/>
      <c r="G198" s="233"/>
      <c r="H198" s="234"/>
      <c r="I198" s="232"/>
      <c r="J198" s="232"/>
      <c r="K198" s="232"/>
      <c r="L198" s="232"/>
      <c r="M198" s="234"/>
      <c r="N198" s="232"/>
      <c r="O198" s="232"/>
      <c r="P198" s="234"/>
      <c r="Q198" s="232"/>
      <c r="R198" s="232"/>
      <c r="S198" s="234"/>
      <c r="T198" s="234"/>
    </row>
    <row r="199" spans="1:20" ht="22.5" customHeight="1" x14ac:dyDescent="0.3">
      <c r="A199" s="1115" t="s">
        <v>1</v>
      </c>
      <c r="B199" s="1115" t="s">
        <v>2</v>
      </c>
      <c r="C199" s="1066" t="s">
        <v>207</v>
      </c>
      <c r="D199" s="1067"/>
      <c r="E199" s="1068"/>
      <c r="F199" s="1066" t="s">
        <v>519</v>
      </c>
      <c r="G199" s="1067"/>
      <c r="H199" s="1067"/>
      <c r="I199" s="1068"/>
      <c r="J199" s="1115" t="s">
        <v>204</v>
      </c>
      <c r="K199" s="1066" t="s">
        <v>192</v>
      </c>
      <c r="L199" s="1067"/>
      <c r="M199" s="1068"/>
      <c r="N199" s="1066" t="s">
        <v>193</v>
      </c>
      <c r="O199" s="1067"/>
      <c r="P199" s="1068"/>
      <c r="Q199" s="1066" t="s">
        <v>194</v>
      </c>
      <c r="R199" s="1067"/>
      <c r="S199" s="1068"/>
      <c r="T199" s="1173" t="s">
        <v>191</v>
      </c>
    </row>
    <row r="200" spans="1:20" ht="87.6" thickBot="1" x14ac:dyDescent="0.35">
      <c r="A200" s="1117"/>
      <c r="B200" s="1117"/>
      <c r="C200" s="235" t="s">
        <v>208</v>
      </c>
      <c r="D200" s="236" t="s">
        <v>205</v>
      </c>
      <c r="E200" s="237" t="s">
        <v>206</v>
      </c>
      <c r="F200" s="238" t="s">
        <v>326</v>
      </c>
      <c r="G200" s="236" t="s">
        <v>201</v>
      </c>
      <c r="H200" s="239" t="s">
        <v>202</v>
      </c>
      <c r="I200" s="240" t="s">
        <v>203</v>
      </c>
      <c r="J200" s="1117"/>
      <c r="K200" s="235" t="s">
        <v>195</v>
      </c>
      <c r="L200" s="239" t="s">
        <v>196</v>
      </c>
      <c r="M200" s="241" t="s">
        <v>209</v>
      </c>
      <c r="N200" s="242" t="s">
        <v>197</v>
      </c>
      <c r="O200" s="239" t="s">
        <v>198</v>
      </c>
      <c r="P200" s="241" t="s">
        <v>210</v>
      </c>
      <c r="Q200" s="235" t="s">
        <v>199</v>
      </c>
      <c r="R200" s="239" t="s">
        <v>200</v>
      </c>
      <c r="S200" s="243" t="s">
        <v>211</v>
      </c>
      <c r="T200" s="1174"/>
    </row>
    <row r="201" spans="1:20" ht="25.5" customHeight="1" x14ac:dyDescent="0.3">
      <c r="A201" s="244" t="s">
        <v>103</v>
      </c>
      <c r="B201" s="245" t="s">
        <v>16</v>
      </c>
      <c r="C201" s="463">
        <f>+D201+E201</f>
        <v>0</v>
      </c>
      <c r="D201" s="246"/>
      <c r="E201" s="247"/>
      <c r="F201" s="600">
        <v>15000</v>
      </c>
      <c r="G201" s="464">
        <f>+H201+I201</f>
        <v>0</v>
      </c>
      <c r="H201" s="604"/>
      <c r="I201" s="606"/>
      <c r="J201" s="609"/>
      <c r="K201" s="463">
        <f>+L201-E201</f>
        <v>0</v>
      </c>
      <c r="L201" s="464">
        <f>+J201-D201</f>
        <v>0</v>
      </c>
      <c r="M201" s="465" t="str">
        <f>IFERROR(K201/L201,"-")</f>
        <v>-</v>
      </c>
      <c r="N201" s="466">
        <f>+O201-C201</f>
        <v>0</v>
      </c>
      <c r="O201" s="464">
        <f>+K201</f>
        <v>0</v>
      </c>
      <c r="P201" s="467" t="str">
        <f>IFERROR(N201/O201,"-")</f>
        <v>-</v>
      </c>
      <c r="Q201" s="464" t="str">
        <f>IFERROR(N201-(J201-(J201*H201/G201)),"-")</f>
        <v>-</v>
      </c>
      <c r="R201" s="464">
        <f>+N201</f>
        <v>0</v>
      </c>
      <c r="S201" s="468" t="str">
        <f>IFERROR(Q201/R201,"-")</f>
        <v>-</v>
      </c>
      <c r="T201" s="469" t="str">
        <f>IFERROR(M201*P201*S201,"-")</f>
        <v>-</v>
      </c>
    </row>
    <row r="202" spans="1:20" ht="25.5" customHeight="1" x14ac:dyDescent="0.3">
      <c r="A202" s="248" t="s">
        <v>103</v>
      </c>
      <c r="B202" s="249" t="s">
        <v>215</v>
      </c>
      <c r="C202" s="470">
        <f t="shared" ref="C202:C216" si="120">+D202+E202</f>
        <v>60</v>
      </c>
      <c r="D202" s="250">
        <v>30</v>
      </c>
      <c r="E202" s="251">
        <v>30</v>
      </c>
      <c r="F202" s="601">
        <v>100000</v>
      </c>
      <c r="G202" s="472">
        <f t="shared" ref="G202:G207" si="121">+H202+I202</f>
        <v>91926</v>
      </c>
      <c r="H202" s="254">
        <v>91800</v>
      </c>
      <c r="I202" s="607">
        <v>126</v>
      </c>
      <c r="J202" s="610">
        <v>600</v>
      </c>
      <c r="K202" s="470">
        <f t="shared" ref="K202:K205" si="122">+L202-E202</f>
        <v>540</v>
      </c>
      <c r="L202" s="472">
        <f t="shared" ref="L202:L216" si="123">+J202-D202</f>
        <v>570</v>
      </c>
      <c r="M202" s="473">
        <f t="shared" ref="M202:M205" si="124">IFERROR(K202/L202,"-")</f>
        <v>0.94736842105263153</v>
      </c>
      <c r="N202" s="474">
        <f>+O202-C202</f>
        <v>480</v>
      </c>
      <c r="O202" s="472">
        <f t="shared" ref="O202:O216" si="125">+K202</f>
        <v>540</v>
      </c>
      <c r="P202" s="475">
        <f>IFERROR(N202/O202,"-")</f>
        <v>0.88888888888888884</v>
      </c>
      <c r="Q202" s="472">
        <f t="shared" ref="Q202:Q216" si="126">IFERROR(N202-(J202-(J202*H202/G202)),"-")</f>
        <v>479.17759937340907</v>
      </c>
      <c r="R202" s="472">
        <f t="shared" ref="R202:R216" si="127">+N202</f>
        <v>480</v>
      </c>
      <c r="S202" s="476">
        <f t="shared" ref="S202:S216" si="128">IFERROR(Q202/R202,"-")</f>
        <v>0.99828666536126887</v>
      </c>
      <c r="T202" s="477">
        <f t="shared" ref="T202:T216" si="129">IFERROR(M202*P202*S202,"-")</f>
        <v>0.84066245504106851</v>
      </c>
    </row>
    <row r="203" spans="1:20" ht="23.4" x14ac:dyDescent="0.3">
      <c r="A203" s="248" t="s">
        <v>103</v>
      </c>
      <c r="B203" s="249" t="s">
        <v>214</v>
      </c>
      <c r="C203" s="470">
        <f t="shared" si="120"/>
        <v>0</v>
      </c>
      <c r="D203" s="250"/>
      <c r="E203" s="251"/>
      <c r="F203" s="601">
        <v>80000</v>
      </c>
      <c r="G203" s="472">
        <f t="shared" si="121"/>
        <v>0</v>
      </c>
      <c r="H203" s="254"/>
      <c r="I203" s="607"/>
      <c r="J203" s="610"/>
      <c r="K203" s="470">
        <f t="shared" si="122"/>
        <v>0</v>
      </c>
      <c r="L203" s="472">
        <f t="shared" si="123"/>
        <v>0</v>
      </c>
      <c r="M203" s="473" t="str">
        <f t="shared" si="124"/>
        <v>-</v>
      </c>
      <c r="N203" s="474">
        <f t="shared" ref="N203:N216" si="130">+O203-C203</f>
        <v>0</v>
      </c>
      <c r="O203" s="472">
        <f t="shared" si="125"/>
        <v>0</v>
      </c>
      <c r="P203" s="475" t="str">
        <f t="shared" ref="P203:P216" si="131">IFERROR(N203/O203,"-")</f>
        <v>-</v>
      </c>
      <c r="Q203" s="472" t="str">
        <f t="shared" si="126"/>
        <v>-</v>
      </c>
      <c r="R203" s="472">
        <f t="shared" si="127"/>
        <v>0</v>
      </c>
      <c r="S203" s="476" t="str">
        <f t="shared" si="128"/>
        <v>-</v>
      </c>
      <c r="T203" s="477" t="str">
        <f t="shared" si="129"/>
        <v>-</v>
      </c>
    </row>
    <row r="204" spans="1:20" ht="23.4" x14ac:dyDescent="0.3">
      <c r="A204" s="252" t="s">
        <v>103</v>
      </c>
      <c r="B204" s="249" t="s">
        <v>217</v>
      </c>
      <c r="C204" s="470">
        <f t="shared" si="120"/>
        <v>270</v>
      </c>
      <c r="D204" s="250">
        <v>60</v>
      </c>
      <c r="E204" s="251">
        <v>210</v>
      </c>
      <c r="F204" s="601">
        <v>220000</v>
      </c>
      <c r="G204" s="472">
        <f t="shared" si="121"/>
        <v>76187</v>
      </c>
      <c r="H204" s="254">
        <v>76032</v>
      </c>
      <c r="I204" s="607">
        <v>155</v>
      </c>
      <c r="J204" s="610">
        <v>960</v>
      </c>
      <c r="K204" s="470">
        <f t="shared" si="122"/>
        <v>690</v>
      </c>
      <c r="L204" s="472">
        <f t="shared" si="123"/>
        <v>900</v>
      </c>
      <c r="M204" s="473">
        <f t="shared" si="124"/>
        <v>0.76666666666666672</v>
      </c>
      <c r="N204" s="474">
        <f t="shared" si="130"/>
        <v>420</v>
      </c>
      <c r="O204" s="472">
        <f t="shared" si="125"/>
        <v>690</v>
      </c>
      <c r="P204" s="475">
        <f t="shared" si="131"/>
        <v>0.60869565217391308</v>
      </c>
      <c r="Q204" s="472">
        <f t="shared" si="126"/>
        <v>418.04691089030939</v>
      </c>
      <c r="R204" s="472">
        <f t="shared" si="127"/>
        <v>420</v>
      </c>
      <c r="S204" s="476">
        <f t="shared" si="128"/>
        <v>0.99534978783407002</v>
      </c>
      <c r="T204" s="477">
        <f t="shared" si="129"/>
        <v>0.46449656765589942</v>
      </c>
    </row>
    <row r="205" spans="1:20" ht="23.4" x14ac:dyDescent="0.3">
      <c r="A205" s="248" t="s">
        <v>103</v>
      </c>
      <c r="B205" s="249" t="s">
        <v>216</v>
      </c>
      <c r="C205" s="470">
        <f t="shared" si="120"/>
        <v>0</v>
      </c>
      <c r="D205" s="250"/>
      <c r="E205" s="251"/>
      <c r="F205" s="601">
        <v>50000</v>
      </c>
      <c r="G205" s="472">
        <f t="shared" si="121"/>
        <v>0</v>
      </c>
      <c r="H205" s="254"/>
      <c r="I205" s="607"/>
      <c r="J205" s="610"/>
      <c r="K205" s="470">
        <f t="shared" si="122"/>
        <v>0</v>
      </c>
      <c r="L205" s="472">
        <f t="shared" si="123"/>
        <v>0</v>
      </c>
      <c r="M205" s="473" t="str">
        <f t="shared" si="124"/>
        <v>-</v>
      </c>
      <c r="N205" s="474">
        <f t="shared" si="130"/>
        <v>0</v>
      </c>
      <c r="O205" s="472">
        <f t="shared" si="125"/>
        <v>0</v>
      </c>
      <c r="P205" s="475" t="str">
        <f t="shared" si="131"/>
        <v>-</v>
      </c>
      <c r="Q205" s="472" t="str">
        <f t="shared" si="126"/>
        <v>-</v>
      </c>
      <c r="R205" s="472">
        <f t="shared" si="127"/>
        <v>0</v>
      </c>
      <c r="S205" s="476" t="str">
        <f t="shared" si="128"/>
        <v>-</v>
      </c>
      <c r="T205" s="477" t="str">
        <f t="shared" si="129"/>
        <v>-</v>
      </c>
    </row>
    <row r="206" spans="1:20" ht="23.4" x14ac:dyDescent="0.3">
      <c r="A206" s="248">
        <v>5</v>
      </c>
      <c r="B206" s="249" t="s">
        <v>22</v>
      </c>
      <c r="C206" s="470">
        <f t="shared" si="120"/>
        <v>0</v>
      </c>
      <c r="D206" s="250"/>
      <c r="E206" s="251"/>
      <c r="F206" s="601">
        <v>80000</v>
      </c>
      <c r="G206" s="472">
        <f t="shared" si="121"/>
        <v>0</v>
      </c>
      <c r="H206" s="471"/>
      <c r="I206" s="611"/>
      <c r="J206" s="610"/>
      <c r="K206" s="470">
        <f>+L206-E206</f>
        <v>0</v>
      </c>
      <c r="L206" s="472">
        <f t="shared" si="123"/>
        <v>0</v>
      </c>
      <c r="M206" s="473" t="str">
        <f>IFERROR(K206/L206,"-")</f>
        <v>-</v>
      </c>
      <c r="N206" s="474">
        <f t="shared" si="130"/>
        <v>0</v>
      </c>
      <c r="O206" s="472">
        <f t="shared" si="125"/>
        <v>0</v>
      </c>
      <c r="P206" s="475" t="str">
        <f t="shared" si="131"/>
        <v>-</v>
      </c>
      <c r="Q206" s="472" t="str">
        <f t="shared" si="126"/>
        <v>-</v>
      </c>
      <c r="R206" s="472">
        <f t="shared" si="127"/>
        <v>0</v>
      </c>
      <c r="S206" s="476" t="str">
        <f t="shared" si="128"/>
        <v>-</v>
      </c>
      <c r="T206" s="477" t="str">
        <f t="shared" si="129"/>
        <v>-</v>
      </c>
    </row>
    <row r="207" spans="1:20" ht="23.4" x14ac:dyDescent="0.3">
      <c r="A207" s="248" t="s">
        <v>103</v>
      </c>
      <c r="B207" s="249" t="s">
        <v>23</v>
      </c>
      <c r="C207" s="470">
        <f t="shared" si="120"/>
        <v>0</v>
      </c>
      <c r="D207" s="250"/>
      <c r="E207" s="251"/>
      <c r="F207" s="601">
        <v>14000</v>
      </c>
      <c r="G207" s="472">
        <f t="shared" si="121"/>
        <v>0</v>
      </c>
      <c r="H207" s="254"/>
      <c r="I207" s="607"/>
      <c r="J207" s="610"/>
      <c r="K207" s="470">
        <f t="shared" ref="K207:K216" si="132">+L207-E207</f>
        <v>0</v>
      </c>
      <c r="L207" s="472">
        <f t="shared" si="123"/>
        <v>0</v>
      </c>
      <c r="M207" s="473" t="str">
        <f t="shared" ref="M207:M216" si="133">IFERROR(K207/L207,"-")</f>
        <v>-</v>
      </c>
      <c r="N207" s="474">
        <f t="shared" si="130"/>
        <v>0</v>
      </c>
      <c r="O207" s="472">
        <f t="shared" si="125"/>
        <v>0</v>
      </c>
      <c r="P207" s="475" t="str">
        <f t="shared" si="131"/>
        <v>-</v>
      </c>
      <c r="Q207" s="472" t="str">
        <f t="shared" si="126"/>
        <v>-</v>
      </c>
      <c r="R207" s="472">
        <f t="shared" si="127"/>
        <v>0</v>
      </c>
      <c r="S207" s="476" t="str">
        <f t="shared" si="128"/>
        <v>-</v>
      </c>
      <c r="T207" s="477" t="str">
        <f t="shared" si="129"/>
        <v>-</v>
      </c>
    </row>
    <row r="208" spans="1:20" ht="24" thickBot="1" x14ac:dyDescent="0.35">
      <c r="A208" s="248" t="s">
        <v>103</v>
      </c>
      <c r="B208" s="253" t="s">
        <v>212</v>
      </c>
      <c r="C208" s="478">
        <f t="shared" si="120"/>
        <v>415</v>
      </c>
      <c r="D208" s="250">
        <f>30+30+60+295</f>
        <v>415</v>
      </c>
      <c r="E208" s="251"/>
      <c r="F208" s="601">
        <v>4500</v>
      </c>
      <c r="G208" s="472">
        <f>+H208+I208</f>
        <v>18256</v>
      </c>
      <c r="H208" s="259">
        <v>18062</v>
      </c>
      <c r="I208" s="608">
        <v>194</v>
      </c>
      <c r="J208" s="610">
        <v>960</v>
      </c>
      <c r="K208" s="478">
        <f t="shared" si="132"/>
        <v>545</v>
      </c>
      <c r="L208" s="250">
        <f t="shared" si="123"/>
        <v>545</v>
      </c>
      <c r="M208" s="479">
        <f t="shared" si="133"/>
        <v>1</v>
      </c>
      <c r="N208" s="480">
        <f t="shared" si="130"/>
        <v>130</v>
      </c>
      <c r="O208" s="250">
        <f t="shared" si="125"/>
        <v>545</v>
      </c>
      <c r="P208" s="481">
        <f t="shared" si="131"/>
        <v>0.23853211009174313</v>
      </c>
      <c r="Q208" s="250">
        <f t="shared" si="126"/>
        <v>119.79842243645919</v>
      </c>
      <c r="R208" s="250">
        <f t="shared" si="127"/>
        <v>130</v>
      </c>
      <c r="S208" s="482">
        <f t="shared" si="128"/>
        <v>0.92152632643430143</v>
      </c>
      <c r="T208" s="483">
        <f t="shared" si="129"/>
        <v>0.2198136191494664</v>
      </c>
    </row>
    <row r="209" spans="1:20" ht="24" thickBot="1" x14ac:dyDescent="0.35">
      <c r="A209" s="255" t="s">
        <v>103</v>
      </c>
      <c r="B209" s="256" t="s">
        <v>213</v>
      </c>
      <c r="C209" s="484">
        <f t="shared" si="120"/>
        <v>210</v>
      </c>
      <c r="D209" s="257">
        <f>30+60+120</f>
        <v>210</v>
      </c>
      <c r="E209" s="258"/>
      <c r="F209" s="605">
        <v>5000</v>
      </c>
      <c r="G209" s="494">
        <f t="shared" ref="G209:G216" si="134">+H209+I209</f>
        <v>16979</v>
      </c>
      <c r="H209" s="259">
        <v>16974</v>
      </c>
      <c r="I209" s="608">
        <v>5</v>
      </c>
      <c r="J209" s="613">
        <v>480</v>
      </c>
      <c r="K209" s="484">
        <f t="shared" si="132"/>
        <v>270</v>
      </c>
      <c r="L209" s="257">
        <f t="shared" si="123"/>
        <v>270</v>
      </c>
      <c r="M209" s="485">
        <f t="shared" si="133"/>
        <v>1</v>
      </c>
      <c r="N209" s="486">
        <f t="shared" si="130"/>
        <v>60</v>
      </c>
      <c r="O209" s="257">
        <f t="shared" si="125"/>
        <v>270</v>
      </c>
      <c r="P209" s="487">
        <f t="shared" si="131"/>
        <v>0.22222222222222221</v>
      </c>
      <c r="Q209" s="257">
        <f t="shared" si="126"/>
        <v>59.858648919253199</v>
      </c>
      <c r="R209" s="257">
        <f t="shared" si="127"/>
        <v>60</v>
      </c>
      <c r="S209" s="488">
        <f t="shared" si="128"/>
        <v>0.99764414865422002</v>
      </c>
      <c r="T209" s="489">
        <f t="shared" si="129"/>
        <v>0.22169869970093778</v>
      </c>
    </row>
    <row r="210" spans="1:20" ht="23.4" x14ac:dyDescent="0.3">
      <c r="A210" s="252" t="s">
        <v>101</v>
      </c>
      <c r="B210" s="260" t="s">
        <v>29</v>
      </c>
      <c r="C210" s="470">
        <f t="shared" si="120"/>
        <v>930</v>
      </c>
      <c r="D210" s="250">
        <v>90</v>
      </c>
      <c r="E210" s="251">
        <v>840</v>
      </c>
      <c r="F210" s="471">
        <v>160000</v>
      </c>
      <c r="G210" s="472">
        <f t="shared" si="134"/>
        <v>78000</v>
      </c>
      <c r="H210" s="471">
        <v>75582</v>
      </c>
      <c r="I210" s="611">
        <v>2418</v>
      </c>
      <c r="J210" s="703">
        <v>1380</v>
      </c>
      <c r="K210" s="470">
        <f t="shared" si="132"/>
        <v>450</v>
      </c>
      <c r="L210" s="472">
        <f t="shared" si="123"/>
        <v>1290</v>
      </c>
      <c r="M210" s="473">
        <f t="shared" si="133"/>
        <v>0.34883720930232559</v>
      </c>
      <c r="N210" s="474">
        <f t="shared" si="130"/>
        <v>-480</v>
      </c>
      <c r="O210" s="472">
        <f t="shared" si="125"/>
        <v>450</v>
      </c>
      <c r="P210" s="475">
        <f t="shared" si="131"/>
        <v>-1.0666666666666667</v>
      </c>
      <c r="Q210" s="472">
        <f t="shared" si="126"/>
        <v>-522.78</v>
      </c>
      <c r="R210" s="472">
        <f t="shared" si="127"/>
        <v>-480</v>
      </c>
      <c r="S210" s="490">
        <f t="shared" si="128"/>
        <v>1.0891249999999999</v>
      </c>
      <c r="T210" s="491">
        <f t="shared" si="129"/>
        <v>-0.40525581395348831</v>
      </c>
    </row>
    <row r="211" spans="1:20" ht="22.5" customHeight="1" x14ac:dyDescent="0.3">
      <c r="A211" s="248" t="s">
        <v>101</v>
      </c>
      <c r="B211" s="260" t="s">
        <v>31</v>
      </c>
      <c r="C211" s="470">
        <f t="shared" si="120"/>
        <v>0</v>
      </c>
      <c r="D211" s="707"/>
      <c r="E211" s="251"/>
      <c r="F211" s="471">
        <v>50000</v>
      </c>
      <c r="G211" s="472">
        <f t="shared" si="134"/>
        <v>0</v>
      </c>
      <c r="H211" s="471"/>
      <c r="I211" s="611"/>
      <c r="J211" s="610"/>
      <c r="K211" s="470">
        <f t="shared" si="132"/>
        <v>0</v>
      </c>
      <c r="L211" s="472">
        <f t="shared" si="123"/>
        <v>0</v>
      </c>
      <c r="M211" s="473" t="str">
        <f t="shared" si="133"/>
        <v>-</v>
      </c>
      <c r="N211" s="474">
        <f t="shared" si="130"/>
        <v>0</v>
      </c>
      <c r="O211" s="472">
        <f t="shared" si="125"/>
        <v>0</v>
      </c>
      <c r="P211" s="475" t="str">
        <f t="shared" si="131"/>
        <v>-</v>
      </c>
      <c r="Q211" s="472" t="str">
        <f t="shared" si="126"/>
        <v>-</v>
      </c>
      <c r="R211" s="472">
        <f t="shared" si="127"/>
        <v>0</v>
      </c>
      <c r="S211" s="490" t="str">
        <f t="shared" si="128"/>
        <v>-</v>
      </c>
      <c r="T211" s="491" t="str">
        <f t="shared" si="129"/>
        <v>-</v>
      </c>
    </row>
    <row r="212" spans="1:20" ht="24" thickBot="1" x14ac:dyDescent="0.35">
      <c r="A212" s="255" t="s">
        <v>101</v>
      </c>
      <c r="B212" s="261" t="s">
        <v>32</v>
      </c>
      <c r="C212" s="492">
        <f t="shared" si="120"/>
        <v>0</v>
      </c>
      <c r="D212" s="257"/>
      <c r="E212" s="258"/>
      <c r="F212" s="493">
        <v>110000</v>
      </c>
      <c r="G212" s="494">
        <f t="shared" si="134"/>
        <v>0</v>
      </c>
      <c r="H212" s="493"/>
      <c r="I212" s="612"/>
      <c r="J212" s="613"/>
      <c r="K212" s="492">
        <f t="shared" si="132"/>
        <v>0</v>
      </c>
      <c r="L212" s="494">
        <f t="shared" si="123"/>
        <v>0</v>
      </c>
      <c r="M212" s="495" t="str">
        <f t="shared" si="133"/>
        <v>-</v>
      </c>
      <c r="N212" s="496">
        <f t="shared" si="130"/>
        <v>0</v>
      </c>
      <c r="O212" s="494">
        <f t="shared" si="125"/>
        <v>0</v>
      </c>
      <c r="P212" s="497" t="str">
        <f t="shared" si="131"/>
        <v>-</v>
      </c>
      <c r="Q212" s="494" t="str">
        <f t="shared" si="126"/>
        <v>-</v>
      </c>
      <c r="R212" s="494">
        <f t="shared" si="127"/>
        <v>0</v>
      </c>
      <c r="S212" s="498" t="str">
        <f t="shared" si="128"/>
        <v>-</v>
      </c>
      <c r="T212" s="499" t="str">
        <f t="shared" si="129"/>
        <v>-</v>
      </c>
    </row>
    <row r="213" spans="1:20" ht="23.4" x14ac:dyDescent="0.3">
      <c r="A213" s="248" t="s">
        <v>102</v>
      </c>
      <c r="B213" s="249" t="s">
        <v>219</v>
      </c>
      <c r="C213" s="470">
        <f t="shared" si="120"/>
        <v>30</v>
      </c>
      <c r="D213" s="250">
        <v>30</v>
      </c>
      <c r="E213" s="251"/>
      <c r="F213" s="471">
        <v>6500</v>
      </c>
      <c r="G213" s="472">
        <f t="shared" si="134"/>
        <v>1151</v>
      </c>
      <c r="H213" s="471">
        <v>1100</v>
      </c>
      <c r="I213" s="611">
        <v>51</v>
      </c>
      <c r="J213" s="610">
        <v>480</v>
      </c>
      <c r="K213" s="470">
        <f t="shared" si="132"/>
        <v>450</v>
      </c>
      <c r="L213" s="472">
        <f t="shared" si="123"/>
        <v>450</v>
      </c>
      <c r="M213" s="473">
        <f t="shared" si="133"/>
        <v>1</v>
      </c>
      <c r="N213" s="474">
        <f t="shared" si="130"/>
        <v>420</v>
      </c>
      <c r="O213" s="472">
        <f t="shared" si="125"/>
        <v>450</v>
      </c>
      <c r="P213" s="475">
        <f t="shared" si="131"/>
        <v>0.93333333333333335</v>
      </c>
      <c r="Q213" s="472">
        <f t="shared" si="126"/>
        <v>398.73153779322331</v>
      </c>
      <c r="R213" s="472">
        <f t="shared" si="127"/>
        <v>420</v>
      </c>
      <c r="S213" s="490">
        <f t="shared" si="128"/>
        <v>0.94936080426957936</v>
      </c>
      <c r="T213" s="491">
        <f t="shared" si="129"/>
        <v>0.8860700839849408</v>
      </c>
    </row>
    <row r="214" spans="1:20" ht="23.4" x14ac:dyDescent="0.3">
      <c r="A214" s="252" t="s">
        <v>102</v>
      </c>
      <c r="B214" s="249" t="s">
        <v>38</v>
      </c>
      <c r="C214" s="470">
        <f t="shared" si="120"/>
        <v>30</v>
      </c>
      <c r="D214" s="250">
        <v>30</v>
      </c>
      <c r="E214" s="251"/>
      <c r="F214" s="471">
        <v>2800</v>
      </c>
      <c r="G214" s="472">
        <f t="shared" si="134"/>
        <v>3425</v>
      </c>
      <c r="H214" s="471">
        <v>3200</v>
      </c>
      <c r="I214" s="611">
        <v>225</v>
      </c>
      <c r="J214" s="610">
        <v>480</v>
      </c>
      <c r="K214" s="470">
        <f t="shared" si="132"/>
        <v>450</v>
      </c>
      <c r="L214" s="472">
        <f t="shared" si="123"/>
        <v>450</v>
      </c>
      <c r="M214" s="473">
        <f t="shared" si="133"/>
        <v>1</v>
      </c>
      <c r="N214" s="474">
        <f t="shared" si="130"/>
        <v>420</v>
      </c>
      <c r="O214" s="472">
        <f t="shared" si="125"/>
        <v>450</v>
      </c>
      <c r="P214" s="475">
        <f t="shared" si="131"/>
        <v>0.93333333333333335</v>
      </c>
      <c r="Q214" s="472">
        <f t="shared" si="126"/>
        <v>388.46715328467155</v>
      </c>
      <c r="R214" s="472">
        <f t="shared" si="127"/>
        <v>420</v>
      </c>
      <c r="S214" s="490">
        <f t="shared" si="128"/>
        <v>0.92492179353493231</v>
      </c>
      <c r="T214" s="491">
        <f t="shared" si="129"/>
        <v>0.86326034063260348</v>
      </c>
    </row>
    <row r="215" spans="1:20" ht="23.4" x14ac:dyDescent="0.3">
      <c r="A215" s="248" t="s">
        <v>102</v>
      </c>
      <c r="B215" s="249" t="s">
        <v>39</v>
      </c>
      <c r="C215" s="470">
        <f t="shared" si="120"/>
        <v>30</v>
      </c>
      <c r="D215" s="250">
        <v>30</v>
      </c>
      <c r="E215" s="251"/>
      <c r="F215" s="471">
        <v>25000</v>
      </c>
      <c r="G215" s="472">
        <f t="shared" si="134"/>
        <v>38180</v>
      </c>
      <c r="H215" s="471">
        <v>37968</v>
      </c>
      <c r="I215" s="611">
        <v>212</v>
      </c>
      <c r="J215" s="610">
        <v>480</v>
      </c>
      <c r="K215" s="470">
        <f t="shared" si="132"/>
        <v>450</v>
      </c>
      <c r="L215" s="472">
        <f t="shared" si="123"/>
        <v>450</v>
      </c>
      <c r="M215" s="473">
        <f t="shared" si="133"/>
        <v>1</v>
      </c>
      <c r="N215" s="474">
        <f t="shared" si="130"/>
        <v>420</v>
      </c>
      <c r="O215" s="472">
        <f t="shared" si="125"/>
        <v>450</v>
      </c>
      <c r="P215" s="475">
        <f t="shared" si="131"/>
        <v>0.93333333333333335</v>
      </c>
      <c r="Q215" s="472">
        <f t="shared" si="126"/>
        <v>417.33473022524885</v>
      </c>
      <c r="R215" s="472">
        <f t="shared" si="127"/>
        <v>420</v>
      </c>
      <c r="S215" s="490">
        <f t="shared" si="128"/>
        <v>0.9936541195839258</v>
      </c>
      <c r="T215" s="491">
        <f t="shared" si="129"/>
        <v>0.9274105116116641</v>
      </c>
    </row>
    <row r="216" spans="1:20" ht="47.4" thickBot="1" x14ac:dyDescent="0.35">
      <c r="A216" s="615" t="s">
        <v>102</v>
      </c>
      <c r="B216" s="261" t="s">
        <v>218</v>
      </c>
      <c r="C216" s="616">
        <f t="shared" si="120"/>
        <v>30</v>
      </c>
      <c r="D216" s="617">
        <v>30</v>
      </c>
      <c r="E216" s="618"/>
      <c r="F216" s="619">
        <v>25000</v>
      </c>
      <c r="G216" s="620">
        <f t="shared" si="134"/>
        <v>0</v>
      </c>
      <c r="H216" s="619"/>
      <c r="I216" s="621"/>
      <c r="J216" s="614">
        <v>480</v>
      </c>
      <c r="K216" s="616">
        <f t="shared" si="132"/>
        <v>450</v>
      </c>
      <c r="L216" s="620">
        <f t="shared" si="123"/>
        <v>450</v>
      </c>
      <c r="M216" s="622">
        <f t="shared" si="133"/>
        <v>1</v>
      </c>
      <c r="N216" s="623">
        <f t="shared" si="130"/>
        <v>420</v>
      </c>
      <c r="O216" s="620">
        <f t="shared" si="125"/>
        <v>450</v>
      </c>
      <c r="P216" s="624">
        <f t="shared" si="131"/>
        <v>0.93333333333333335</v>
      </c>
      <c r="Q216" s="620" t="str">
        <f t="shared" si="126"/>
        <v>-</v>
      </c>
      <c r="R216" s="620">
        <f t="shared" si="127"/>
        <v>420</v>
      </c>
      <c r="S216" s="625" t="str">
        <f t="shared" si="128"/>
        <v>-</v>
      </c>
      <c r="T216" s="626" t="str">
        <f t="shared" si="129"/>
        <v>-</v>
      </c>
    </row>
    <row r="217" spans="1:20" ht="24.6" customHeight="1" x14ac:dyDescent="0.3">
      <c r="A217" s="230"/>
      <c r="B217" s="231"/>
      <c r="C217" s="232"/>
      <c r="D217" s="232"/>
      <c r="E217" s="232"/>
      <c r="F217" s="232"/>
      <c r="G217" s="233"/>
      <c r="H217" s="234"/>
      <c r="I217" s="232"/>
      <c r="J217" s="232"/>
      <c r="K217" s="232"/>
      <c r="L217" s="232"/>
      <c r="M217" s="234"/>
      <c r="N217" s="232"/>
      <c r="O217" s="232"/>
      <c r="P217" s="234"/>
      <c r="Q217" s="232"/>
      <c r="R217" s="232"/>
      <c r="S217" s="234"/>
      <c r="T217" s="234"/>
    </row>
    <row r="218" spans="1:20" ht="24.6" customHeight="1" x14ac:dyDescent="0.3">
      <c r="A218" s="230"/>
      <c r="B218" s="231"/>
      <c r="C218" s="232"/>
      <c r="D218" s="232"/>
      <c r="E218" s="232"/>
      <c r="F218" s="232"/>
      <c r="G218" s="233"/>
      <c r="H218" s="234"/>
      <c r="I218" s="232"/>
      <c r="J218" s="232"/>
      <c r="K218" s="232"/>
      <c r="L218" s="232"/>
      <c r="M218" s="234"/>
      <c r="N218" s="232"/>
      <c r="O218" s="232"/>
      <c r="P218" s="234"/>
      <c r="Q218" s="232"/>
      <c r="R218" s="232"/>
      <c r="S218" s="234"/>
      <c r="T218" s="234"/>
    </row>
    <row r="219" spans="1:20" ht="24.6" customHeight="1" x14ac:dyDescent="0.3">
      <c r="A219" s="230"/>
      <c r="B219" s="231"/>
      <c r="C219" s="232"/>
      <c r="D219" s="232"/>
      <c r="E219" s="232"/>
      <c r="F219" s="232"/>
      <c r="G219" s="233"/>
      <c r="H219" s="234"/>
      <c r="I219" s="232"/>
      <c r="J219" s="232"/>
      <c r="K219" s="232"/>
      <c r="L219" s="232"/>
      <c r="M219" s="234"/>
      <c r="N219" s="232"/>
      <c r="O219" s="232"/>
      <c r="P219" s="234"/>
      <c r="Q219" s="232"/>
      <c r="R219" s="232"/>
      <c r="S219" s="234"/>
      <c r="T219" s="234"/>
    </row>
    <row r="220" spans="1:20" ht="24.6" customHeight="1" x14ac:dyDescent="0.3">
      <c r="A220" s="230"/>
      <c r="B220" s="231"/>
      <c r="C220" s="232"/>
      <c r="D220" s="232"/>
      <c r="E220" s="232"/>
      <c r="F220" s="232"/>
      <c r="G220" s="233"/>
      <c r="H220" s="234"/>
      <c r="I220" s="232"/>
      <c r="J220" s="232"/>
      <c r="K220" s="232"/>
      <c r="L220" s="232"/>
      <c r="M220" s="234"/>
      <c r="N220" s="232"/>
      <c r="O220" s="232"/>
      <c r="P220" s="234"/>
      <c r="Q220" s="232"/>
      <c r="R220" s="232"/>
      <c r="S220" s="234"/>
      <c r="T220" s="234"/>
    </row>
    <row r="221" spans="1:20" ht="24.6" customHeight="1" thickBot="1" x14ac:dyDescent="0.35">
      <c r="A221" s="230"/>
      <c r="B221" s="231"/>
      <c r="C221" s="232"/>
      <c r="D221" s="232"/>
      <c r="E221" s="232"/>
      <c r="F221" s="232"/>
      <c r="G221" s="233"/>
      <c r="H221" s="234"/>
      <c r="I221" s="232"/>
      <c r="J221" s="232"/>
      <c r="K221" s="232"/>
      <c r="L221" s="232"/>
      <c r="M221" s="234"/>
      <c r="N221" s="232"/>
      <c r="O221" s="232"/>
      <c r="P221" s="234"/>
      <c r="Q221" s="232"/>
      <c r="R221" s="232"/>
      <c r="S221" s="234"/>
      <c r="T221" s="234"/>
    </row>
    <row r="222" spans="1:20" ht="22.5" customHeight="1" x14ac:dyDescent="0.3">
      <c r="A222" s="1115" t="s">
        <v>1</v>
      </c>
      <c r="B222" s="1115" t="s">
        <v>2</v>
      </c>
      <c r="C222" s="1066" t="s">
        <v>207</v>
      </c>
      <c r="D222" s="1067"/>
      <c r="E222" s="1068"/>
      <c r="F222" s="1066" t="s">
        <v>513</v>
      </c>
      <c r="G222" s="1067"/>
      <c r="H222" s="1067"/>
      <c r="I222" s="1068"/>
      <c r="J222" s="1115" t="s">
        <v>204</v>
      </c>
      <c r="K222" s="1066" t="s">
        <v>192</v>
      </c>
      <c r="L222" s="1067"/>
      <c r="M222" s="1068"/>
      <c r="N222" s="1066" t="s">
        <v>193</v>
      </c>
      <c r="O222" s="1067"/>
      <c r="P222" s="1068"/>
      <c r="Q222" s="1066" t="s">
        <v>194</v>
      </c>
      <c r="R222" s="1067"/>
      <c r="S222" s="1068"/>
      <c r="T222" s="1173" t="s">
        <v>191</v>
      </c>
    </row>
    <row r="223" spans="1:20" ht="87.6" thickBot="1" x14ac:dyDescent="0.35">
      <c r="A223" s="1117"/>
      <c r="B223" s="1117"/>
      <c r="C223" s="235" t="s">
        <v>208</v>
      </c>
      <c r="D223" s="236" t="s">
        <v>205</v>
      </c>
      <c r="E223" s="237" t="s">
        <v>206</v>
      </c>
      <c r="F223" s="238" t="s">
        <v>326</v>
      </c>
      <c r="G223" s="236" t="s">
        <v>201</v>
      </c>
      <c r="H223" s="239" t="s">
        <v>202</v>
      </c>
      <c r="I223" s="240" t="s">
        <v>203</v>
      </c>
      <c r="J223" s="1117"/>
      <c r="K223" s="235" t="s">
        <v>195</v>
      </c>
      <c r="L223" s="239" t="s">
        <v>196</v>
      </c>
      <c r="M223" s="241" t="s">
        <v>209</v>
      </c>
      <c r="N223" s="242" t="s">
        <v>197</v>
      </c>
      <c r="O223" s="239" t="s">
        <v>198</v>
      </c>
      <c r="P223" s="241" t="s">
        <v>210</v>
      </c>
      <c r="Q223" s="235" t="s">
        <v>199</v>
      </c>
      <c r="R223" s="239" t="s">
        <v>200</v>
      </c>
      <c r="S223" s="243" t="s">
        <v>211</v>
      </c>
      <c r="T223" s="1174"/>
    </row>
    <row r="224" spans="1:20" ht="25.5" customHeight="1" x14ac:dyDescent="0.3">
      <c r="A224" s="244" t="s">
        <v>103</v>
      </c>
      <c r="B224" s="245" t="s">
        <v>16</v>
      </c>
      <c r="C224" s="463">
        <f>+D224+E224</f>
        <v>0</v>
      </c>
      <c r="D224" s="246"/>
      <c r="E224" s="247"/>
      <c r="F224" s="600">
        <v>15000</v>
      </c>
      <c r="G224" s="464">
        <f>+H224+I224</f>
        <v>0</v>
      </c>
      <c r="H224" s="604"/>
      <c r="I224" s="606"/>
      <c r="J224" s="609"/>
      <c r="K224" s="463">
        <f>+L224-E224</f>
        <v>0</v>
      </c>
      <c r="L224" s="464">
        <f>+J224-D224</f>
        <v>0</v>
      </c>
      <c r="M224" s="465" t="str">
        <f>IFERROR(K224/L224,"-")</f>
        <v>-</v>
      </c>
      <c r="N224" s="466">
        <f>+O224-C224</f>
        <v>0</v>
      </c>
      <c r="O224" s="464">
        <f>+K224</f>
        <v>0</v>
      </c>
      <c r="P224" s="467" t="str">
        <f>IFERROR(N224/O224,"-")</f>
        <v>-</v>
      </c>
      <c r="Q224" s="464" t="str">
        <f>IFERROR(N224-(J224-(J224*H224/G224)),"-")</f>
        <v>-</v>
      </c>
      <c r="R224" s="464">
        <f>+N224</f>
        <v>0</v>
      </c>
      <c r="S224" s="468" t="str">
        <f>IFERROR(Q224/R224,"-")</f>
        <v>-</v>
      </c>
      <c r="T224" s="469" t="str">
        <f>IFERROR(M224*P224*S224,"-")</f>
        <v>-</v>
      </c>
    </row>
    <row r="225" spans="1:20" ht="25.5" customHeight="1" x14ac:dyDescent="0.3">
      <c r="A225" s="248" t="s">
        <v>103</v>
      </c>
      <c r="B225" s="249" t="s">
        <v>215</v>
      </c>
      <c r="C225" s="470">
        <f t="shared" ref="C225:C239" si="135">+D225+E225</f>
        <v>30</v>
      </c>
      <c r="D225" s="250">
        <v>30</v>
      </c>
      <c r="E225" s="251"/>
      <c r="F225" s="601">
        <v>100000</v>
      </c>
      <c r="G225" s="472">
        <f t="shared" ref="G225:G230" si="136">+H225+I225</f>
        <v>98458</v>
      </c>
      <c r="H225" s="254">
        <v>97920</v>
      </c>
      <c r="I225" s="607">
        <v>538</v>
      </c>
      <c r="J225" s="610">
        <v>480</v>
      </c>
      <c r="K225" s="470">
        <f t="shared" ref="K225:K228" si="137">+L225-E225</f>
        <v>450</v>
      </c>
      <c r="L225" s="472">
        <f t="shared" ref="L225:L239" si="138">+J225-D225</f>
        <v>450</v>
      </c>
      <c r="M225" s="473">
        <f t="shared" ref="M225:M228" si="139">IFERROR(K225/L225,"-")</f>
        <v>1</v>
      </c>
      <c r="N225" s="474">
        <f>+O225-C225</f>
        <v>420</v>
      </c>
      <c r="O225" s="472">
        <f t="shared" ref="O225:O239" si="140">+K225</f>
        <v>450</v>
      </c>
      <c r="P225" s="475">
        <f>IFERROR(N225/O225,"-")</f>
        <v>0.93333333333333335</v>
      </c>
      <c r="Q225" s="472">
        <f t="shared" ref="Q225:Q239" si="141">IFERROR(N225-(J225-(J225*H225/G225)),"-")</f>
        <v>417.37715574153447</v>
      </c>
      <c r="R225" s="472">
        <f t="shared" ref="R225:R239" si="142">+N225</f>
        <v>420</v>
      </c>
      <c r="S225" s="476">
        <f t="shared" ref="S225:S239" si="143">IFERROR(Q225/R225,"-")</f>
        <v>0.99375513271793925</v>
      </c>
      <c r="T225" s="477">
        <f t="shared" ref="T225:T239" si="144">IFERROR(M225*P225*S225,"-")</f>
        <v>0.92750479053674328</v>
      </c>
    </row>
    <row r="226" spans="1:20" ht="23.4" x14ac:dyDescent="0.3">
      <c r="A226" s="248" t="s">
        <v>103</v>
      </c>
      <c r="B226" s="249" t="s">
        <v>214</v>
      </c>
      <c r="C226" s="470">
        <f t="shared" si="135"/>
        <v>0</v>
      </c>
      <c r="D226" s="250"/>
      <c r="E226" s="251"/>
      <c r="F226" s="601">
        <v>80000</v>
      </c>
      <c r="G226" s="472">
        <f t="shared" si="136"/>
        <v>0</v>
      </c>
      <c r="H226" s="254"/>
      <c r="I226" s="607"/>
      <c r="J226" s="610"/>
      <c r="K226" s="470">
        <f t="shared" si="137"/>
        <v>0</v>
      </c>
      <c r="L226" s="472">
        <f t="shared" si="138"/>
        <v>0</v>
      </c>
      <c r="M226" s="473" t="str">
        <f t="shared" si="139"/>
        <v>-</v>
      </c>
      <c r="N226" s="474">
        <f t="shared" ref="N226:N239" si="145">+O226-C226</f>
        <v>0</v>
      </c>
      <c r="O226" s="472">
        <f t="shared" si="140"/>
        <v>0</v>
      </c>
      <c r="P226" s="475" t="str">
        <f t="shared" ref="P226:P239" si="146">IFERROR(N226/O226,"-")</f>
        <v>-</v>
      </c>
      <c r="Q226" s="472" t="str">
        <f t="shared" si="141"/>
        <v>-</v>
      </c>
      <c r="R226" s="472">
        <f t="shared" si="142"/>
        <v>0</v>
      </c>
      <c r="S226" s="476" t="str">
        <f t="shared" si="143"/>
        <v>-</v>
      </c>
      <c r="T226" s="477" t="str">
        <f t="shared" si="144"/>
        <v>-</v>
      </c>
    </row>
    <row r="227" spans="1:20" ht="23.4" x14ac:dyDescent="0.3">
      <c r="A227" s="252" t="s">
        <v>103</v>
      </c>
      <c r="B227" s="249" t="s">
        <v>217</v>
      </c>
      <c r="C227" s="470">
        <f t="shared" si="135"/>
        <v>120</v>
      </c>
      <c r="D227" s="250">
        <f>60+60</f>
        <v>120</v>
      </c>
      <c r="E227" s="251"/>
      <c r="F227" s="601">
        <v>220000</v>
      </c>
      <c r="G227" s="472">
        <f t="shared" si="136"/>
        <v>132948</v>
      </c>
      <c r="H227" s="254">
        <v>132528</v>
      </c>
      <c r="I227" s="607">
        <v>420</v>
      </c>
      <c r="J227" s="610">
        <v>960</v>
      </c>
      <c r="K227" s="470">
        <f t="shared" si="137"/>
        <v>840</v>
      </c>
      <c r="L227" s="472">
        <f t="shared" si="138"/>
        <v>840</v>
      </c>
      <c r="M227" s="473">
        <f t="shared" si="139"/>
        <v>1</v>
      </c>
      <c r="N227" s="474">
        <f t="shared" si="145"/>
        <v>720</v>
      </c>
      <c r="O227" s="472">
        <f t="shared" si="140"/>
        <v>840</v>
      </c>
      <c r="P227" s="475">
        <f t="shared" si="146"/>
        <v>0.8571428571428571</v>
      </c>
      <c r="Q227" s="472">
        <f t="shared" si="141"/>
        <v>716.96723531004602</v>
      </c>
      <c r="R227" s="472">
        <f t="shared" si="142"/>
        <v>720</v>
      </c>
      <c r="S227" s="476">
        <f t="shared" si="143"/>
        <v>0.99578782681950839</v>
      </c>
      <c r="T227" s="477">
        <f t="shared" si="144"/>
        <v>0.85353242298815002</v>
      </c>
    </row>
    <row r="228" spans="1:20" ht="23.4" x14ac:dyDescent="0.3">
      <c r="A228" s="248" t="s">
        <v>103</v>
      </c>
      <c r="B228" s="249" t="s">
        <v>216</v>
      </c>
      <c r="C228" s="470">
        <f t="shared" si="135"/>
        <v>0</v>
      </c>
      <c r="D228" s="250"/>
      <c r="E228" s="251"/>
      <c r="F228" s="601">
        <v>50000</v>
      </c>
      <c r="G228" s="472">
        <f t="shared" si="136"/>
        <v>0</v>
      </c>
      <c r="H228" s="254"/>
      <c r="I228" s="607"/>
      <c r="J228" s="610"/>
      <c r="K228" s="470">
        <f t="shared" si="137"/>
        <v>0</v>
      </c>
      <c r="L228" s="472">
        <f t="shared" si="138"/>
        <v>0</v>
      </c>
      <c r="M228" s="473" t="str">
        <f t="shared" si="139"/>
        <v>-</v>
      </c>
      <c r="N228" s="474">
        <f t="shared" si="145"/>
        <v>0</v>
      </c>
      <c r="O228" s="472">
        <f t="shared" si="140"/>
        <v>0</v>
      </c>
      <c r="P228" s="475" t="str">
        <f t="shared" si="146"/>
        <v>-</v>
      </c>
      <c r="Q228" s="472" t="str">
        <f t="shared" si="141"/>
        <v>-</v>
      </c>
      <c r="R228" s="472">
        <f t="shared" si="142"/>
        <v>0</v>
      </c>
      <c r="S228" s="476" t="str">
        <f t="shared" si="143"/>
        <v>-</v>
      </c>
      <c r="T228" s="477" t="str">
        <f t="shared" si="144"/>
        <v>-</v>
      </c>
    </row>
    <row r="229" spans="1:20" ht="23.4" x14ac:dyDescent="0.3">
      <c r="A229" s="248">
        <v>5</v>
      </c>
      <c r="B229" s="249" t="s">
        <v>22</v>
      </c>
      <c r="C229" s="470">
        <f t="shared" si="135"/>
        <v>0</v>
      </c>
      <c r="D229" s="250"/>
      <c r="E229" s="251"/>
      <c r="F229" s="601">
        <v>80000</v>
      </c>
      <c r="G229" s="472">
        <f t="shared" si="136"/>
        <v>0</v>
      </c>
      <c r="H229" s="471"/>
      <c r="I229" s="611"/>
      <c r="J229" s="610"/>
      <c r="K229" s="470">
        <f>+L229-E229</f>
        <v>0</v>
      </c>
      <c r="L229" s="472">
        <f t="shared" si="138"/>
        <v>0</v>
      </c>
      <c r="M229" s="473" t="str">
        <f>IFERROR(K229/L229,"-")</f>
        <v>-</v>
      </c>
      <c r="N229" s="474">
        <f t="shared" si="145"/>
        <v>0</v>
      </c>
      <c r="O229" s="472">
        <f t="shared" si="140"/>
        <v>0</v>
      </c>
      <c r="P229" s="475" t="str">
        <f t="shared" si="146"/>
        <v>-</v>
      </c>
      <c r="Q229" s="472" t="str">
        <f t="shared" si="141"/>
        <v>-</v>
      </c>
      <c r="R229" s="472">
        <f t="shared" si="142"/>
        <v>0</v>
      </c>
      <c r="S229" s="476" t="str">
        <f t="shared" si="143"/>
        <v>-</v>
      </c>
      <c r="T229" s="477" t="str">
        <f t="shared" si="144"/>
        <v>-</v>
      </c>
    </row>
    <row r="230" spans="1:20" ht="23.4" x14ac:dyDescent="0.3">
      <c r="A230" s="248" t="s">
        <v>103</v>
      </c>
      <c r="B230" s="249" t="s">
        <v>23</v>
      </c>
      <c r="C230" s="470">
        <f t="shared" si="135"/>
        <v>0</v>
      </c>
      <c r="D230" s="250"/>
      <c r="E230" s="251"/>
      <c r="F230" s="601">
        <v>14000</v>
      </c>
      <c r="G230" s="472">
        <f t="shared" si="136"/>
        <v>0</v>
      </c>
      <c r="H230" s="254"/>
      <c r="I230" s="607"/>
      <c r="J230" s="610"/>
      <c r="K230" s="470">
        <f t="shared" ref="K230:K239" si="147">+L230-E230</f>
        <v>0</v>
      </c>
      <c r="L230" s="472">
        <f t="shared" si="138"/>
        <v>0</v>
      </c>
      <c r="M230" s="473" t="str">
        <f t="shared" ref="M230:M239" si="148">IFERROR(K230/L230,"-")</f>
        <v>-</v>
      </c>
      <c r="N230" s="474">
        <f t="shared" si="145"/>
        <v>0</v>
      </c>
      <c r="O230" s="472">
        <f t="shared" si="140"/>
        <v>0</v>
      </c>
      <c r="P230" s="475" t="str">
        <f t="shared" si="146"/>
        <v>-</v>
      </c>
      <c r="Q230" s="472" t="str">
        <f t="shared" si="141"/>
        <v>-</v>
      </c>
      <c r="R230" s="472">
        <f t="shared" si="142"/>
        <v>0</v>
      </c>
      <c r="S230" s="476" t="str">
        <f t="shared" si="143"/>
        <v>-</v>
      </c>
      <c r="T230" s="477" t="str">
        <f t="shared" si="144"/>
        <v>-</v>
      </c>
    </row>
    <row r="231" spans="1:20" ht="24" thickBot="1" x14ac:dyDescent="0.35">
      <c r="A231" s="248" t="s">
        <v>103</v>
      </c>
      <c r="B231" s="253" t="s">
        <v>212</v>
      </c>
      <c r="C231" s="478">
        <f t="shared" si="135"/>
        <v>255</v>
      </c>
      <c r="D231" s="250">
        <f>30+30+60+135</f>
        <v>255</v>
      </c>
      <c r="E231" s="251"/>
      <c r="F231" s="601">
        <v>4500</v>
      </c>
      <c r="G231" s="472">
        <f>+H231+I231</f>
        <v>2872</v>
      </c>
      <c r="H231" s="259">
        <v>2839</v>
      </c>
      <c r="I231" s="608">
        <v>33</v>
      </c>
      <c r="J231" s="610">
        <v>960</v>
      </c>
      <c r="K231" s="478">
        <f t="shared" si="147"/>
        <v>705</v>
      </c>
      <c r="L231" s="250">
        <f t="shared" si="138"/>
        <v>705</v>
      </c>
      <c r="M231" s="479">
        <f t="shared" si="148"/>
        <v>1</v>
      </c>
      <c r="N231" s="480">
        <f t="shared" si="145"/>
        <v>450</v>
      </c>
      <c r="O231" s="250">
        <f t="shared" si="140"/>
        <v>705</v>
      </c>
      <c r="P231" s="481">
        <f t="shared" si="146"/>
        <v>0.63829787234042556</v>
      </c>
      <c r="Q231" s="250">
        <f t="shared" si="141"/>
        <v>438.96935933147631</v>
      </c>
      <c r="R231" s="250">
        <f t="shared" si="142"/>
        <v>450</v>
      </c>
      <c r="S231" s="482">
        <f t="shared" si="143"/>
        <v>0.97548746518105844</v>
      </c>
      <c r="T231" s="483">
        <f t="shared" si="144"/>
        <v>0.62265157351982459</v>
      </c>
    </row>
    <row r="232" spans="1:20" ht="24" thickBot="1" x14ac:dyDescent="0.35">
      <c r="A232" s="255" t="s">
        <v>103</v>
      </c>
      <c r="B232" s="256" t="s">
        <v>213</v>
      </c>
      <c r="C232" s="484">
        <f t="shared" si="135"/>
        <v>230</v>
      </c>
      <c r="D232" s="257">
        <f>30+60+20</f>
        <v>110</v>
      </c>
      <c r="E232" s="258">
        <v>120</v>
      </c>
      <c r="F232" s="605">
        <v>5000</v>
      </c>
      <c r="G232" s="494">
        <f t="shared" ref="G232:G239" si="149">+H232+I232</f>
        <v>16589</v>
      </c>
      <c r="H232" s="259">
        <v>16487</v>
      </c>
      <c r="I232" s="608">
        <v>102</v>
      </c>
      <c r="J232" s="613">
        <v>480</v>
      </c>
      <c r="K232" s="484">
        <f t="shared" si="147"/>
        <v>250</v>
      </c>
      <c r="L232" s="257">
        <f t="shared" si="138"/>
        <v>370</v>
      </c>
      <c r="M232" s="485">
        <f t="shared" si="148"/>
        <v>0.67567567567567566</v>
      </c>
      <c r="N232" s="486">
        <f t="shared" si="145"/>
        <v>20</v>
      </c>
      <c r="O232" s="257">
        <f t="shared" si="140"/>
        <v>250</v>
      </c>
      <c r="P232" s="487">
        <f t="shared" si="146"/>
        <v>0.08</v>
      </c>
      <c r="Q232" s="257">
        <f t="shared" si="141"/>
        <v>17.048646693592161</v>
      </c>
      <c r="R232" s="257">
        <f t="shared" si="142"/>
        <v>20</v>
      </c>
      <c r="S232" s="488">
        <f t="shared" si="143"/>
        <v>0.85243233467960811</v>
      </c>
      <c r="T232" s="489">
        <f t="shared" si="144"/>
        <v>4.6077423496195036E-2</v>
      </c>
    </row>
    <row r="233" spans="1:20" ht="23.4" x14ac:dyDescent="0.3">
      <c r="A233" s="252" t="s">
        <v>101</v>
      </c>
      <c r="B233" s="260" t="s">
        <v>29</v>
      </c>
      <c r="C233" s="470">
        <f t="shared" si="135"/>
        <v>480</v>
      </c>
      <c r="D233" s="250">
        <v>30</v>
      </c>
      <c r="E233" s="251">
        <v>450</v>
      </c>
      <c r="F233" s="471">
        <v>160000</v>
      </c>
      <c r="G233" s="472">
        <f t="shared" si="149"/>
        <v>73208</v>
      </c>
      <c r="H233" s="471">
        <v>71604</v>
      </c>
      <c r="I233" s="611">
        <v>1604</v>
      </c>
      <c r="J233" s="703">
        <v>900</v>
      </c>
      <c r="K233" s="470">
        <f t="shared" si="147"/>
        <v>420</v>
      </c>
      <c r="L233" s="472">
        <f t="shared" si="138"/>
        <v>870</v>
      </c>
      <c r="M233" s="473">
        <f t="shared" si="148"/>
        <v>0.48275862068965519</v>
      </c>
      <c r="N233" s="474">
        <f t="shared" si="145"/>
        <v>-60</v>
      </c>
      <c r="O233" s="472">
        <f t="shared" si="140"/>
        <v>420</v>
      </c>
      <c r="P233" s="475">
        <f t="shared" si="146"/>
        <v>-0.14285714285714285</v>
      </c>
      <c r="Q233" s="472">
        <f t="shared" si="141"/>
        <v>-79.719156376352316</v>
      </c>
      <c r="R233" s="472">
        <f t="shared" si="142"/>
        <v>-60</v>
      </c>
      <c r="S233" s="490">
        <f t="shared" si="143"/>
        <v>1.3286526062725386</v>
      </c>
      <c r="T233" s="491">
        <f t="shared" si="144"/>
        <v>-9.1631214225692315E-2</v>
      </c>
    </row>
    <row r="234" spans="1:20" ht="22.5" customHeight="1" x14ac:dyDescent="0.3">
      <c r="A234" s="248" t="s">
        <v>101</v>
      </c>
      <c r="B234" s="260" t="s">
        <v>31</v>
      </c>
      <c r="C234" s="470">
        <f t="shared" si="135"/>
        <v>0</v>
      </c>
      <c r="D234" s="707"/>
      <c r="E234" s="251"/>
      <c r="F234" s="471">
        <v>50000</v>
      </c>
      <c r="G234" s="472">
        <f t="shared" si="149"/>
        <v>0</v>
      </c>
      <c r="H234" s="471"/>
      <c r="I234" s="611"/>
      <c r="J234" s="610"/>
      <c r="K234" s="470">
        <f t="shared" si="147"/>
        <v>0</v>
      </c>
      <c r="L234" s="472">
        <f t="shared" si="138"/>
        <v>0</v>
      </c>
      <c r="M234" s="473" t="str">
        <f t="shared" si="148"/>
        <v>-</v>
      </c>
      <c r="N234" s="474">
        <f t="shared" si="145"/>
        <v>0</v>
      </c>
      <c r="O234" s="472">
        <f t="shared" si="140"/>
        <v>0</v>
      </c>
      <c r="P234" s="475" t="str">
        <f t="shared" si="146"/>
        <v>-</v>
      </c>
      <c r="Q234" s="472" t="str">
        <f t="shared" si="141"/>
        <v>-</v>
      </c>
      <c r="R234" s="472">
        <f t="shared" si="142"/>
        <v>0</v>
      </c>
      <c r="S234" s="490" t="str">
        <f t="shared" si="143"/>
        <v>-</v>
      </c>
      <c r="T234" s="491" t="str">
        <f t="shared" si="144"/>
        <v>-</v>
      </c>
    </row>
    <row r="235" spans="1:20" ht="24" thickBot="1" x14ac:dyDescent="0.35">
      <c r="A235" s="255" t="s">
        <v>101</v>
      </c>
      <c r="B235" s="261" t="s">
        <v>32</v>
      </c>
      <c r="C235" s="492">
        <f t="shared" si="135"/>
        <v>0</v>
      </c>
      <c r="D235" s="257"/>
      <c r="E235" s="258"/>
      <c r="F235" s="493">
        <v>110000</v>
      </c>
      <c r="G235" s="494">
        <f t="shared" si="149"/>
        <v>0</v>
      </c>
      <c r="H235" s="493"/>
      <c r="I235" s="612"/>
      <c r="J235" s="613"/>
      <c r="K235" s="492">
        <f t="shared" si="147"/>
        <v>0</v>
      </c>
      <c r="L235" s="494">
        <f t="shared" si="138"/>
        <v>0</v>
      </c>
      <c r="M235" s="495" t="str">
        <f t="shared" si="148"/>
        <v>-</v>
      </c>
      <c r="N235" s="496">
        <f t="shared" si="145"/>
        <v>0</v>
      </c>
      <c r="O235" s="494">
        <f t="shared" si="140"/>
        <v>0</v>
      </c>
      <c r="P235" s="497" t="str">
        <f t="shared" si="146"/>
        <v>-</v>
      </c>
      <c r="Q235" s="494" t="str">
        <f t="shared" si="141"/>
        <v>-</v>
      </c>
      <c r="R235" s="494">
        <f t="shared" si="142"/>
        <v>0</v>
      </c>
      <c r="S235" s="498" t="str">
        <f t="shared" si="143"/>
        <v>-</v>
      </c>
      <c r="T235" s="499" t="str">
        <f t="shared" si="144"/>
        <v>-</v>
      </c>
    </row>
    <row r="236" spans="1:20" ht="23.4" x14ac:dyDescent="0.3">
      <c r="A236" s="248" t="s">
        <v>102</v>
      </c>
      <c r="B236" s="249" t="s">
        <v>219</v>
      </c>
      <c r="C236" s="470">
        <f t="shared" si="135"/>
        <v>30</v>
      </c>
      <c r="D236" s="250">
        <v>30</v>
      </c>
      <c r="E236" s="251"/>
      <c r="F236" s="471">
        <v>6500</v>
      </c>
      <c r="G236" s="472">
        <f t="shared" si="149"/>
        <v>1950</v>
      </c>
      <c r="H236" s="471">
        <v>1900</v>
      </c>
      <c r="I236" s="611">
        <v>50</v>
      </c>
      <c r="J236" s="610">
        <v>480</v>
      </c>
      <c r="K236" s="470">
        <f t="shared" si="147"/>
        <v>450</v>
      </c>
      <c r="L236" s="472">
        <f t="shared" si="138"/>
        <v>450</v>
      </c>
      <c r="M236" s="473">
        <f t="shared" si="148"/>
        <v>1</v>
      </c>
      <c r="N236" s="474">
        <f t="shared" si="145"/>
        <v>420</v>
      </c>
      <c r="O236" s="472">
        <f t="shared" si="140"/>
        <v>450</v>
      </c>
      <c r="P236" s="475">
        <f t="shared" si="146"/>
        <v>0.93333333333333335</v>
      </c>
      <c r="Q236" s="472">
        <f t="shared" si="141"/>
        <v>407.69230769230768</v>
      </c>
      <c r="R236" s="472">
        <f t="shared" si="142"/>
        <v>420</v>
      </c>
      <c r="S236" s="490">
        <f t="shared" si="143"/>
        <v>0.97069597069597069</v>
      </c>
      <c r="T236" s="491">
        <f t="shared" si="144"/>
        <v>0.90598290598290598</v>
      </c>
    </row>
    <row r="237" spans="1:20" ht="23.4" x14ac:dyDescent="0.3">
      <c r="A237" s="252" t="s">
        <v>102</v>
      </c>
      <c r="B237" s="249" t="s">
        <v>38</v>
      </c>
      <c r="C237" s="470">
        <f t="shared" si="135"/>
        <v>30</v>
      </c>
      <c r="D237" s="250">
        <v>30</v>
      </c>
      <c r="E237" s="251"/>
      <c r="F237" s="471">
        <v>2800</v>
      </c>
      <c r="G237" s="472">
        <f t="shared" si="149"/>
        <v>805</v>
      </c>
      <c r="H237" s="471">
        <v>800</v>
      </c>
      <c r="I237" s="611">
        <v>5</v>
      </c>
      <c r="J237" s="610">
        <v>480</v>
      </c>
      <c r="K237" s="470">
        <f t="shared" si="147"/>
        <v>450</v>
      </c>
      <c r="L237" s="472">
        <f t="shared" si="138"/>
        <v>450</v>
      </c>
      <c r="M237" s="473">
        <f t="shared" si="148"/>
        <v>1</v>
      </c>
      <c r="N237" s="474">
        <f t="shared" si="145"/>
        <v>420</v>
      </c>
      <c r="O237" s="472">
        <f t="shared" si="140"/>
        <v>450</v>
      </c>
      <c r="P237" s="475">
        <f t="shared" si="146"/>
        <v>0.93333333333333335</v>
      </c>
      <c r="Q237" s="472">
        <f t="shared" si="141"/>
        <v>417.01863354037266</v>
      </c>
      <c r="R237" s="472">
        <f t="shared" si="142"/>
        <v>420</v>
      </c>
      <c r="S237" s="490">
        <f t="shared" si="143"/>
        <v>0.99290150842945868</v>
      </c>
      <c r="T237" s="491">
        <f t="shared" si="144"/>
        <v>0.92670807453416149</v>
      </c>
    </row>
    <row r="238" spans="1:20" ht="23.4" x14ac:dyDescent="0.3">
      <c r="A238" s="248" t="s">
        <v>102</v>
      </c>
      <c r="B238" s="249" t="s">
        <v>39</v>
      </c>
      <c r="C238" s="470">
        <f t="shared" si="135"/>
        <v>30</v>
      </c>
      <c r="D238" s="250">
        <v>30</v>
      </c>
      <c r="E238" s="251"/>
      <c r="F238" s="471">
        <v>25000</v>
      </c>
      <c r="G238" s="472">
        <f t="shared" si="149"/>
        <v>25740</v>
      </c>
      <c r="H238" s="471">
        <v>25500</v>
      </c>
      <c r="I238" s="611">
        <v>240</v>
      </c>
      <c r="J238" s="610">
        <v>480</v>
      </c>
      <c r="K238" s="470">
        <f t="shared" si="147"/>
        <v>450</v>
      </c>
      <c r="L238" s="472">
        <f t="shared" si="138"/>
        <v>450</v>
      </c>
      <c r="M238" s="473">
        <f t="shared" si="148"/>
        <v>1</v>
      </c>
      <c r="N238" s="474">
        <f t="shared" si="145"/>
        <v>420</v>
      </c>
      <c r="O238" s="472">
        <f t="shared" si="140"/>
        <v>450</v>
      </c>
      <c r="P238" s="475">
        <f t="shared" si="146"/>
        <v>0.93333333333333335</v>
      </c>
      <c r="Q238" s="472">
        <f t="shared" si="141"/>
        <v>415.52447552447552</v>
      </c>
      <c r="R238" s="472">
        <f t="shared" si="142"/>
        <v>420</v>
      </c>
      <c r="S238" s="490">
        <f t="shared" si="143"/>
        <v>0.98934398934398937</v>
      </c>
      <c r="T238" s="491">
        <f t="shared" si="144"/>
        <v>0.92338772338772346</v>
      </c>
    </row>
    <row r="239" spans="1:20" ht="47.4" thickBot="1" x14ac:dyDescent="0.35">
      <c r="A239" s="615" t="s">
        <v>102</v>
      </c>
      <c r="B239" s="261" t="s">
        <v>218</v>
      </c>
      <c r="C239" s="616">
        <f t="shared" si="135"/>
        <v>30</v>
      </c>
      <c r="D239" s="617">
        <v>30</v>
      </c>
      <c r="E239" s="618"/>
      <c r="F239" s="619">
        <v>25000</v>
      </c>
      <c r="G239" s="620">
        <f t="shared" si="149"/>
        <v>0</v>
      </c>
      <c r="H239" s="619"/>
      <c r="I239" s="621"/>
      <c r="J239" s="614">
        <v>480</v>
      </c>
      <c r="K239" s="616">
        <f t="shared" si="147"/>
        <v>450</v>
      </c>
      <c r="L239" s="620">
        <f t="shared" si="138"/>
        <v>450</v>
      </c>
      <c r="M239" s="622">
        <f t="shared" si="148"/>
        <v>1</v>
      </c>
      <c r="N239" s="623">
        <f t="shared" si="145"/>
        <v>420</v>
      </c>
      <c r="O239" s="620">
        <f t="shared" si="140"/>
        <v>450</v>
      </c>
      <c r="P239" s="624">
        <f t="shared" si="146"/>
        <v>0.93333333333333335</v>
      </c>
      <c r="Q239" s="620" t="str">
        <f t="shared" si="141"/>
        <v>-</v>
      </c>
      <c r="R239" s="620">
        <f t="shared" si="142"/>
        <v>420</v>
      </c>
      <c r="S239" s="625" t="str">
        <f t="shared" si="143"/>
        <v>-</v>
      </c>
      <c r="T239" s="626" t="str">
        <f t="shared" si="144"/>
        <v>-</v>
      </c>
    </row>
    <row r="240" spans="1:20" ht="24.6" customHeight="1" x14ac:dyDescent="0.3">
      <c r="A240" s="230"/>
      <c r="B240" s="231"/>
      <c r="C240" s="232"/>
      <c r="D240" s="232"/>
      <c r="E240" s="232"/>
      <c r="F240" s="232"/>
      <c r="G240" s="233"/>
      <c r="H240" s="234"/>
      <c r="I240" s="232"/>
      <c r="J240" s="232"/>
      <c r="K240" s="232"/>
      <c r="L240" s="232"/>
      <c r="M240" s="234"/>
      <c r="N240" s="232"/>
      <c r="O240" s="232"/>
      <c r="P240" s="234"/>
      <c r="Q240" s="232"/>
      <c r="R240" s="232"/>
      <c r="S240" s="234"/>
      <c r="T240" s="234"/>
    </row>
    <row r="241" spans="1:20" ht="24.6" customHeight="1" x14ac:dyDescent="0.3">
      <c r="A241" s="230"/>
      <c r="B241" s="231"/>
      <c r="C241" s="232"/>
      <c r="D241" s="232"/>
      <c r="E241" s="232"/>
      <c r="F241" s="232"/>
      <c r="G241" s="233"/>
      <c r="H241" s="234"/>
      <c r="I241" s="232"/>
      <c r="J241" s="232"/>
      <c r="K241" s="232"/>
      <c r="L241" s="232"/>
      <c r="M241" s="234"/>
      <c r="N241" s="232"/>
      <c r="O241" s="232"/>
      <c r="P241" s="234"/>
      <c r="Q241" s="232"/>
      <c r="R241" s="232"/>
      <c r="S241" s="234"/>
      <c r="T241" s="234"/>
    </row>
    <row r="242" spans="1:20" ht="24.6" customHeight="1" x14ac:dyDescent="0.3">
      <c r="A242" s="230"/>
      <c r="B242" s="231"/>
      <c r="C242" s="232"/>
      <c r="D242" s="232"/>
      <c r="E242" s="232"/>
      <c r="F242" s="232"/>
      <c r="G242" s="233"/>
      <c r="H242" s="234"/>
      <c r="I242" s="232"/>
      <c r="J242" s="232"/>
      <c r="K242" s="232"/>
      <c r="L242" s="232"/>
      <c r="M242" s="234"/>
      <c r="N242" s="232"/>
      <c r="O242" s="232"/>
      <c r="P242" s="234"/>
      <c r="Q242" s="232"/>
      <c r="R242" s="232"/>
      <c r="S242" s="234"/>
      <c r="T242" s="234"/>
    </row>
    <row r="243" spans="1:20" ht="24.6" customHeight="1" x14ac:dyDescent="0.3">
      <c r="A243" s="230"/>
      <c r="B243" s="231"/>
      <c r="C243" s="232"/>
      <c r="D243" s="232"/>
      <c r="E243" s="232"/>
      <c r="F243" s="232"/>
      <c r="G243" s="233"/>
      <c r="H243" s="234"/>
      <c r="I243" s="232"/>
      <c r="J243" s="232"/>
      <c r="K243" s="232"/>
      <c r="L243" s="232"/>
      <c r="M243" s="234"/>
      <c r="N243" s="232"/>
      <c r="O243" s="232"/>
      <c r="P243" s="234"/>
      <c r="Q243" s="232"/>
      <c r="R243" s="232"/>
      <c r="S243" s="234"/>
      <c r="T243" s="234"/>
    </row>
    <row r="244" spans="1:20" ht="24.6" customHeight="1" thickBot="1" x14ac:dyDescent="0.35">
      <c r="A244" s="230"/>
      <c r="B244" s="231"/>
      <c r="C244" s="232"/>
      <c r="D244" s="232"/>
      <c r="E244" s="232"/>
      <c r="F244" s="232"/>
      <c r="G244" s="233"/>
      <c r="H244" s="234"/>
      <c r="I244" s="232"/>
      <c r="J244" s="232"/>
      <c r="K244" s="232"/>
      <c r="L244" s="232"/>
      <c r="M244" s="234"/>
      <c r="N244" s="232"/>
      <c r="O244" s="232"/>
      <c r="P244" s="234"/>
      <c r="Q244" s="232"/>
      <c r="R244" s="232"/>
      <c r="S244" s="234"/>
      <c r="T244" s="234"/>
    </row>
    <row r="245" spans="1:20" ht="22.5" customHeight="1" x14ac:dyDescent="0.3">
      <c r="A245" s="1115" t="s">
        <v>1</v>
      </c>
      <c r="B245" s="1115" t="s">
        <v>2</v>
      </c>
      <c r="C245" s="1066" t="s">
        <v>207</v>
      </c>
      <c r="D245" s="1067"/>
      <c r="E245" s="1068"/>
      <c r="F245" s="1066" t="s">
        <v>505</v>
      </c>
      <c r="G245" s="1067"/>
      <c r="H245" s="1067"/>
      <c r="I245" s="1068"/>
      <c r="J245" s="1115" t="s">
        <v>204</v>
      </c>
      <c r="K245" s="1066" t="s">
        <v>192</v>
      </c>
      <c r="L245" s="1067"/>
      <c r="M245" s="1068"/>
      <c r="N245" s="1066" t="s">
        <v>193</v>
      </c>
      <c r="O245" s="1067"/>
      <c r="P245" s="1068"/>
      <c r="Q245" s="1066" t="s">
        <v>194</v>
      </c>
      <c r="R245" s="1067"/>
      <c r="S245" s="1068"/>
      <c r="T245" s="1173" t="s">
        <v>191</v>
      </c>
    </row>
    <row r="246" spans="1:20" ht="87.6" thickBot="1" x14ac:dyDescent="0.35">
      <c r="A246" s="1117"/>
      <c r="B246" s="1117"/>
      <c r="C246" s="235" t="s">
        <v>208</v>
      </c>
      <c r="D246" s="236" t="s">
        <v>205</v>
      </c>
      <c r="E246" s="237" t="s">
        <v>206</v>
      </c>
      <c r="F246" s="238" t="s">
        <v>326</v>
      </c>
      <c r="G246" s="236" t="s">
        <v>201</v>
      </c>
      <c r="H246" s="239" t="s">
        <v>202</v>
      </c>
      <c r="I246" s="240" t="s">
        <v>203</v>
      </c>
      <c r="J246" s="1117"/>
      <c r="K246" s="235" t="s">
        <v>195</v>
      </c>
      <c r="L246" s="239" t="s">
        <v>196</v>
      </c>
      <c r="M246" s="241" t="s">
        <v>209</v>
      </c>
      <c r="N246" s="242" t="s">
        <v>197</v>
      </c>
      <c r="O246" s="239" t="s">
        <v>198</v>
      </c>
      <c r="P246" s="241" t="s">
        <v>210</v>
      </c>
      <c r="Q246" s="235" t="s">
        <v>199</v>
      </c>
      <c r="R246" s="239" t="s">
        <v>200</v>
      </c>
      <c r="S246" s="243" t="s">
        <v>211</v>
      </c>
      <c r="T246" s="1174"/>
    </row>
    <row r="247" spans="1:20" ht="25.5" customHeight="1" x14ac:dyDescent="0.3">
      <c r="A247" s="244" t="s">
        <v>103</v>
      </c>
      <c r="B247" s="245" t="s">
        <v>16</v>
      </c>
      <c r="C247" s="463">
        <f>+D247+E247</f>
        <v>0</v>
      </c>
      <c r="D247" s="246"/>
      <c r="E247" s="247"/>
      <c r="F247" s="600">
        <v>15000</v>
      </c>
      <c r="G247" s="464">
        <f>+H247+I247</f>
        <v>0</v>
      </c>
      <c r="H247" s="604"/>
      <c r="I247" s="606"/>
      <c r="J247" s="609"/>
      <c r="K247" s="463">
        <f>+L247-E247</f>
        <v>0</v>
      </c>
      <c r="L247" s="464">
        <f>+J247-D247</f>
        <v>0</v>
      </c>
      <c r="M247" s="465" t="str">
        <f>IFERROR(K247/L247,"-")</f>
        <v>-</v>
      </c>
      <c r="N247" s="466">
        <f>+O247-C247</f>
        <v>0</v>
      </c>
      <c r="O247" s="464">
        <f>+K247</f>
        <v>0</v>
      </c>
      <c r="P247" s="467" t="str">
        <f>IFERROR(N247/O247,"-")</f>
        <v>-</v>
      </c>
      <c r="Q247" s="464" t="str">
        <f>IFERROR(N247-(J247-(J247*H247/G247)),"-")</f>
        <v>-</v>
      </c>
      <c r="R247" s="464">
        <f>+N247</f>
        <v>0</v>
      </c>
      <c r="S247" s="468" t="str">
        <f>IFERROR(Q247/R247,"-")</f>
        <v>-</v>
      </c>
      <c r="T247" s="469" t="str">
        <f>IFERROR(M247*P247*S247,"-")</f>
        <v>-</v>
      </c>
    </row>
    <row r="248" spans="1:20" ht="25.5" customHeight="1" x14ac:dyDescent="0.3">
      <c r="A248" s="248" t="s">
        <v>103</v>
      </c>
      <c r="B248" s="249" t="s">
        <v>215</v>
      </c>
      <c r="C248" s="470">
        <f t="shared" ref="C248:C262" si="150">+D248+E248</f>
        <v>70</v>
      </c>
      <c r="D248" s="250">
        <v>30</v>
      </c>
      <c r="E248" s="251">
        <v>40</v>
      </c>
      <c r="F248" s="601">
        <v>100000</v>
      </c>
      <c r="G248" s="472">
        <f t="shared" ref="G248:G253" si="151">+H248+I248</f>
        <v>98390</v>
      </c>
      <c r="H248" s="254">
        <f>103900-5880</f>
        <v>98020</v>
      </c>
      <c r="I248" s="607">
        <v>370</v>
      </c>
      <c r="J248" s="610">
        <v>480</v>
      </c>
      <c r="K248" s="470">
        <f t="shared" ref="K248:K251" si="152">+L248-E248</f>
        <v>410</v>
      </c>
      <c r="L248" s="472">
        <f t="shared" ref="L248:L262" si="153">+J248-D248</f>
        <v>450</v>
      </c>
      <c r="M248" s="473">
        <f t="shared" ref="M248:M251" si="154">IFERROR(K248/L248,"-")</f>
        <v>0.91111111111111109</v>
      </c>
      <c r="N248" s="474">
        <f>+O248-C248</f>
        <v>340</v>
      </c>
      <c r="O248" s="472">
        <f t="shared" ref="O248:O262" si="155">+K248</f>
        <v>410</v>
      </c>
      <c r="P248" s="475">
        <f>IFERROR(N248/O248,"-")</f>
        <v>0.82926829268292679</v>
      </c>
      <c r="Q248" s="472">
        <f t="shared" ref="Q248:Q262" si="156">IFERROR(N248-(J248-(J248*H248/G248)),"-")</f>
        <v>338.19493851001118</v>
      </c>
      <c r="R248" s="472">
        <f t="shared" ref="R248:R262" si="157">+N248</f>
        <v>340</v>
      </c>
      <c r="S248" s="476">
        <f t="shared" ref="S248:S262" si="158">IFERROR(Q248/R248,"-")</f>
        <v>0.99469099561767993</v>
      </c>
      <c r="T248" s="477">
        <f t="shared" ref="T248:T262" si="159">IFERROR(M248*P248*S248,"-")</f>
        <v>0.75154430780002479</v>
      </c>
    </row>
    <row r="249" spans="1:20" ht="23.4" x14ac:dyDescent="0.3">
      <c r="A249" s="248" t="s">
        <v>103</v>
      </c>
      <c r="B249" s="249" t="s">
        <v>214</v>
      </c>
      <c r="C249" s="470">
        <f t="shared" si="150"/>
        <v>0</v>
      </c>
      <c r="D249" s="250"/>
      <c r="E249" s="251"/>
      <c r="F249" s="601">
        <v>80000</v>
      </c>
      <c r="G249" s="472">
        <f t="shared" si="151"/>
        <v>0</v>
      </c>
      <c r="H249" s="254"/>
      <c r="I249" s="607"/>
      <c r="J249" s="610"/>
      <c r="K249" s="470">
        <f t="shared" si="152"/>
        <v>0</v>
      </c>
      <c r="L249" s="472">
        <f t="shared" si="153"/>
        <v>0</v>
      </c>
      <c r="M249" s="473" t="str">
        <f t="shared" si="154"/>
        <v>-</v>
      </c>
      <c r="N249" s="474">
        <f t="shared" ref="N249:N262" si="160">+O249-C249</f>
        <v>0</v>
      </c>
      <c r="O249" s="472">
        <f t="shared" si="155"/>
        <v>0</v>
      </c>
      <c r="P249" s="475" t="str">
        <f t="shared" ref="P249:P262" si="161">IFERROR(N249/O249,"-")</f>
        <v>-</v>
      </c>
      <c r="Q249" s="472" t="str">
        <f t="shared" si="156"/>
        <v>-</v>
      </c>
      <c r="R249" s="472">
        <f t="shared" si="157"/>
        <v>0</v>
      </c>
      <c r="S249" s="476" t="str">
        <f t="shared" si="158"/>
        <v>-</v>
      </c>
      <c r="T249" s="477" t="str">
        <f t="shared" si="159"/>
        <v>-</v>
      </c>
    </row>
    <row r="250" spans="1:20" ht="23.4" x14ac:dyDescent="0.3">
      <c r="A250" s="252" t="s">
        <v>103</v>
      </c>
      <c r="B250" s="249" t="s">
        <v>217</v>
      </c>
      <c r="C250" s="470">
        <f t="shared" si="150"/>
        <v>360</v>
      </c>
      <c r="D250" s="250">
        <v>60</v>
      </c>
      <c r="E250" s="251">
        <v>300</v>
      </c>
      <c r="F250" s="601">
        <v>220000</v>
      </c>
      <c r="G250" s="472">
        <f t="shared" si="151"/>
        <v>67719</v>
      </c>
      <c r="H250" s="254">
        <v>67584</v>
      </c>
      <c r="I250" s="607">
        <v>135</v>
      </c>
      <c r="J250" s="610">
        <v>960</v>
      </c>
      <c r="K250" s="470">
        <f t="shared" si="152"/>
        <v>600</v>
      </c>
      <c r="L250" s="472">
        <f t="shared" si="153"/>
        <v>900</v>
      </c>
      <c r="M250" s="473">
        <f t="shared" si="154"/>
        <v>0.66666666666666663</v>
      </c>
      <c r="N250" s="474">
        <f t="shared" si="160"/>
        <v>240</v>
      </c>
      <c r="O250" s="472">
        <f t="shared" si="155"/>
        <v>600</v>
      </c>
      <c r="P250" s="475">
        <f t="shared" si="161"/>
        <v>0.4</v>
      </c>
      <c r="Q250" s="472">
        <f t="shared" si="156"/>
        <v>238.08620918796794</v>
      </c>
      <c r="R250" s="472">
        <f t="shared" si="157"/>
        <v>240</v>
      </c>
      <c r="S250" s="476">
        <f t="shared" si="158"/>
        <v>0.99202587161653311</v>
      </c>
      <c r="T250" s="477">
        <f t="shared" si="159"/>
        <v>0.26454023243107549</v>
      </c>
    </row>
    <row r="251" spans="1:20" ht="23.4" x14ac:dyDescent="0.3">
      <c r="A251" s="248" t="s">
        <v>103</v>
      </c>
      <c r="B251" s="249" t="s">
        <v>216</v>
      </c>
      <c r="C251" s="470">
        <f t="shared" si="150"/>
        <v>0</v>
      </c>
      <c r="D251" s="250"/>
      <c r="E251" s="251"/>
      <c r="F251" s="601">
        <v>50000</v>
      </c>
      <c r="G251" s="472">
        <f t="shared" si="151"/>
        <v>0</v>
      </c>
      <c r="H251" s="254"/>
      <c r="I251" s="607"/>
      <c r="J251" s="610"/>
      <c r="K251" s="470">
        <f t="shared" si="152"/>
        <v>0</v>
      </c>
      <c r="L251" s="472">
        <f t="shared" si="153"/>
        <v>0</v>
      </c>
      <c r="M251" s="473" t="str">
        <f t="shared" si="154"/>
        <v>-</v>
      </c>
      <c r="N251" s="474">
        <f t="shared" si="160"/>
        <v>0</v>
      </c>
      <c r="O251" s="472">
        <f t="shared" si="155"/>
        <v>0</v>
      </c>
      <c r="P251" s="475" t="str">
        <f t="shared" si="161"/>
        <v>-</v>
      </c>
      <c r="Q251" s="472" t="str">
        <f t="shared" si="156"/>
        <v>-</v>
      </c>
      <c r="R251" s="472">
        <f t="shared" si="157"/>
        <v>0</v>
      </c>
      <c r="S251" s="476" t="str">
        <f t="shared" si="158"/>
        <v>-</v>
      </c>
      <c r="T251" s="477" t="str">
        <f t="shared" si="159"/>
        <v>-</v>
      </c>
    </row>
    <row r="252" spans="1:20" ht="23.4" x14ac:dyDescent="0.3">
      <c r="A252" s="248">
        <v>5</v>
      </c>
      <c r="B252" s="249" t="s">
        <v>22</v>
      </c>
      <c r="C252" s="470">
        <f t="shared" si="150"/>
        <v>0</v>
      </c>
      <c r="D252" s="250"/>
      <c r="E252" s="251"/>
      <c r="F252" s="601">
        <v>80000</v>
      </c>
      <c r="G252" s="472">
        <f t="shared" si="151"/>
        <v>0</v>
      </c>
      <c r="H252" s="471"/>
      <c r="I252" s="611"/>
      <c r="J252" s="610"/>
      <c r="K252" s="470">
        <f>+L252-E252</f>
        <v>0</v>
      </c>
      <c r="L252" s="472">
        <f t="shared" si="153"/>
        <v>0</v>
      </c>
      <c r="M252" s="473" t="str">
        <f>IFERROR(K252/L252,"-")</f>
        <v>-</v>
      </c>
      <c r="N252" s="474">
        <f t="shared" si="160"/>
        <v>0</v>
      </c>
      <c r="O252" s="472">
        <f t="shared" si="155"/>
        <v>0</v>
      </c>
      <c r="P252" s="475" t="str">
        <f t="shared" si="161"/>
        <v>-</v>
      </c>
      <c r="Q252" s="472" t="str">
        <f t="shared" si="156"/>
        <v>-</v>
      </c>
      <c r="R252" s="472">
        <f t="shared" si="157"/>
        <v>0</v>
      </c>
      <c r="S252" s="476" t="str">
        <f t="shared" si="158"/>
        <v>-</v>
      </c>
      <c r="T252" s="477" t="str">
        <f t="shared" si="159"/>
        <v>-</v>
      </c>
    </row>
    <row r="253" spans="1:20" ht="23.4" x14ac:dyDescent="0.3">
      <c r="A253" s="248" t="s">
        <v>103</v>
      </c>
      <c r="B253" s="249" t="s">
        <v>23</v>
      </c>
      <c r="C253" s="470">
        <f t="shared" si="150"/>
        <v>0</v>
      </c>
      <c r="D253" s="250"/>
      <c r="E253" s="251"/>
      <c r="F253" s="601">
        <v>14000</v>
      </c>
      <c r="G253" s="472">
        <f t="shared" si="151"/>
        <v>0</v>
      </c>
      <c r="H253" s="254"/>
      <c r="I253" s="607"/>
      <c r="J253" s="610"/>
      <c r="K253" s="470">
        <f t="shared" ref="K253:K262" si="162">+L253-E253</f>
        <v>0</v>
      </c>
      <c r="L253" s="472">
        <f t="shared" si="153"/>
        <v>0</v>
      </c>
      <c r="M253" s="473" t="str">
        <f t="shared" ref="M253:M262" si="163">IFERROR(K253/L253,"-")</f>
        <v>-</v>
      </c>
      <c r="N253" s="474">
        <f t="shared" si="160"/>
        <v>0</v>
      </c>
      <c r="O253" s="472">
        <f t="shared" si="155"/>
        <v>0</v>
      </c>
      <c r="P253" s="475" t="str">
        <f t="shared" si="161"/>
        <v>-</v>
      </c>
      <c r="Q253" s="472" t="str">
        <f t="shared" si="156"/>
        <v>-</v>
      </c>
      <c r="R253" s="472">
        <f t="shared" si="157"/>
        <v>0</v>
      </c>
      <c r="S253" s="476" t="str">
        <f t="shared" si="158"/>
        <v>-</v>
      </c>
      <c r="T253" s="477" t="str">
        <f t="shared" si="159"/>
        <v>-</v>
      </c>
    </row>
    <row r="254" spans="1:20" ht="24" thickBot="1" x14ac:dyDescent="0.35">
      <c r="A254" s="248" t="s">
        <v>103</v>
      </c>
      <c r="B254" s="253" t="s">
        <v>212</v>
      </c>
      <c r="C254" s="478">
        <f t="shared" si="150"/>
        <v>550</v>
      </c>
      <c r="D254" s="250">
        <f>30+30+60</f>
        <v>120</v>
      </c>
      <c r="E254" s="251">
        <v>430</v>
      </c>
      <c r="F254" s="601">
        <v>4500</v>
      </c>
      <c r="G254" s="472">
        <f>+H254+I254</f>
        <v>7197</v>
      </c>
      <c r="H254" s="259">
        <v>7125</v>
      </c>
      <c r="I254" s="608">
        <v>72</v>
      </c>
      <c r="J254" s="610">
        <v>960</v>
      </c>
      <c r="K254" s="478">
        <f t="shared" si="162"/>
        <v>410</v>
      </c>
      <c r="L254" s="250">
        <f t="shared" si="153"/>
        <v>840</v>
      </c>
      <c r="M254" s="479">
        <f t="shared" si="163"/>
        <v>0.48809523809523808</v>
      </c>
      <c r="N254" s="480">
        <f t="shared" si="160"/>
        <v>-140</v>
      </c>
      <c r="O254" s="250">
        <f t="shared" si="155"/>
        <v>410</v>
      </c>
      <c r="P254" s="481">
        <f t="shared" si="161"/>
        <v>-0.34146341463414637</v>
      </c>
      <c r="Q254" s="250">
        <f t="shared" si="156"/>
        <v>-149.60400166736144</v>
      </c>
      <c r="R254" s="250">
        <f t="shared" si="157"/>
        <v>-140</v>
      </c>
      <c r="S254" s="482">
        <f t="shared" si="158"/>
        <v>1.0686000119097245</v>
      </c>
      <c r="T254" s="483">
        <f t="shared" si="159"/>
        <v>-0.1781000019849541</v>
      </c>
    </row>
    <row r="255" spans="1:20" ht="24" thickBot="1" x14ac:dyDescent="0.35">
      <c r="A255" s="255" t="s">
        <v>103</v>
      </c>
      <c r="B255" s="256" t="s">
        <v>213</v>
      </c>
      <c r="C255" s="484">
        <f t="shared" si="150"/>
        <v>210</v>
      </c>
      <c r="D255" s="257">
        <f>30+180</f>
        <v>210</v>
      </c>
      <c r="E255" s="258"/>
      <c r="F255" s="605">
        <v>5000</v>
      </c>
      <c r="G255" s="494">
        <f t="shared" ref="G255:G262" si="164">+H255+I255</f>
        <v>2610</v>
      </c>
      <c r="H255" s="259">
        <f>2104+496</f>
        <v>2600</v>
      </c>
      <c r="I255" s="608">
        <v>10</v>
      </c>
      <c r="J255" s="613">
        <v>480</v>
      </c>
      <c r="K255" s="484">
        <f t="shared" si="162"/>
        <v>270</v>
      </c>
      <c r="L255" s="257">
        <f t="shared" si="153"/>
        <v>270</v>
      </c>
      <c r="M255" s="485">
        <f t="shared" si="163"/>
        <v>1</v>
      </c>
      <c r="N255" s="486">
        <f t="shared" si="160"/>
        <v>60</v>
      </c>
      <c r="O255" s="257">
        <f t="shared" si="155"/>
        <v>270</v>
      </c>
      <c r="P255" s="487">
        <f t="shared" si="161"/>
        <v>0.22222222222222221</v>
      </c>
      <c r="Q255" s="257">
        <f t="shared" si="156"/>
        <v>58.160919540229884</v>
      </c>
      <c r="R255" s="257">
        <f t="shared" si="157"/>
        <v>60</v>
      </c>
      <c r="S255" s="488">
        <f t="shared" si="158"/>
        <v>0.96934865900383138</v>
      </c>
      <c r="T255" s="489">
        <f t="shared" si="159"/>
        <v>0.21541081311196253</v>
      </c>
    </row>
    <row r="256" spans="1:20" ht="23.4" x14ac:dyDescent="0.3">
      <c r="A256" s="252" t="s">
        <v>101</v>
      </c>
      <c r="B256" s="260" t="s">
        <v>29</v>
      </c>
      <c r="C256" s="470">
        <f t="shared" si="150"/>
        <v>1100</v>
      </c>
      <c r="D256" s="250">
        <f>60+30+30</f>
        <v>120</v>
      </c>
      <c r="E256" s="251">
        <f>695+75+210</f>
        <v>980</v>
      </c>
      <c r="F256" s="471">
        <v>160000</v>
      </c>
      <c r="G256" s="472">
        <f t="shared" si="164"/>
        <v>206020</v>
      </c>
      <c r="H256" s="471">
        <v>202878</v>
      </c>
      <c r="I256" s="611">
        <v>3142</v>
      </c>
      <c r="J256" s="703">
        <f>1380+450+420</f>
        <v>2250</v>
      </c>
      <c r="K256" s="470">
        <f t="shared" si="162"/>
        <v>1150</v>
      </c>
      <c r="L256" s="472">
        <f t="shared" si="153"/>
        <v>2130</v>
      </c>
      <c r="M256" s="473">
        <f t="shared" si="163"/>
        <v>0.539906103286385</v>
      </c>
      <c r="N256" s="474">
        <f t="shared" si="160"/>
        <v>50</v>
      </c>
      <c r="O256" s="472">
        <f t="shared" si="155"/>
        <v>1150</v>
      </c>
      <c r="P256" s="475">
        <f t="shared" si="161"/>
        <v>4.3478260869565216E-2</v>
      </c>
      <c r="Q256" s="472">
        <f t="shared" si="156"/>
        <v>15.685370352392965</v>
      </c>
      <c r="R256" s="472">
        <f t="shared" si="157"/>
        <v>50</v>
      </c>
      <c r="S256" s="490">
        <f t="shared" si="158"/>
        <v>0.31370740704785932</v>
      </c>
      <c r="T256" s="491">
        <f t="shared" si="159"/>
        <v>7.3640236396211103E-3</v>
      </c>
    </row>
    <row r="257" spans="1:20" ht="22.5" customHeight="1" x14ac:dyDescent="0.3">
      <c r="A257" s="248" t="s">
        <v>101</v>
      </c>
      <c r="B257" s="260" t="s">
        <v>31</v>
      </c>
      <c r="C257" s="470">
        <f t="shared" si="150"/>
        <v>0</v>
      </c>
      <c r="D257" s="707"/>
      <c r="E257" s="251"/>
      <c r="F257" s="471">
        <v>50000</v>
      </c>
      <c r="G257" s="472">
        <f t="shared" si="164"/>
        <v>0</v>
      </c>
      <c r="H257" s="471"/>
      <c r="I257" s="611"/>
      <c r="J257" s="610"/>
      <c r="K257" s="470">
        <f t="shared" si="162"/>
        <v>0</v>
      </c>
      <c r="L257" s="472">
        <f t="shared" si="153"/>
        <v>0</v>
      </c>
      <c r="M257" s="473" t="str">
        <f t="shared" si="163"/>
        <v>-</v>
      </c>
      <c r="N257" s="474">
        <f t="shared" si="160"/>
        <v>0</v>
      </c>
      <c r="O257" s="472">
        <f t="shared" si="155"/>
        <v>0</v>
      </c>
      <c r="P257" s="475" t="str">
        <f t="shared" si="161"/>
        <v>-</v>
      </c>
      <c r="Q257" s="472" t="str">
        <f t="shared" si="156"/>
        <v>-</v>
      </c>
      <c r="R257" s="472">
        <f t="shared" si="157"/>
        <v>0</v>
      </c>
      <c r="S257" s="490" t="str">
        <f t="shared" si="158"/>
        <v>-</v>
      </c>
      <c r="T257" s="491" t="str">
        <f t="shared" si="159"/>
        <v>-</v>
      </c>
    </row>
    <row r="258" spans="1:20" ht="24" thickBot="1" x14ac:dyDescent="0.35">
      <c r="A258" s="255" t="s">
        <v>101</v>
      </c>
      <c r="B258" s="261" t="s">
        <v>32</v>
      </c>
      <c r="C258" s="492">
        <f t="shared" si="150"/>
        <v>0</v>
      </c>
      <c r="D258" s="257"/>
      <c r="E258" s="258"/>
      <c r="F258" s="493">
        <v>110000</v>
      </c>
      <c r="G258" s="494">
        <f t="shared" si="164"/>
        <v>0</v>
      </c>
      <c r="H258" s="493"/>
      <c r="I258" s="612"/>
      <c r="J258" s="613"/>
      <c r="K258" s="492">
        <f t="shared" si="162"/>
        <v>0</v>
      </c>
      <c r="L258" s="494">
        <f t="shared" si="153"/>
        <v>0</v>
      </c>
      <c r="M258" s="495" t="str">
        <f t="shared" si="163"/>
        <v>-</v>
      </c>
      <c r="N258" s="496">
        <f t="shared" si="160"/>
        <v>0</v>
      </c>
      <c r="O258" s="494">
        <f t="shared" si="155"/>
        <v>0</v>
      </c>
      <c r="P258" s="497" t="str">
        <f t="shared" si="161"/>
        <v>-</v>
      </c>
      <c r="Q258" s="494" t="str">
        <f t="shared" si="156"/>
        <v>-</v>
      </c>
      <c r="R258" s="494">
        <f t="shared" si="157"/>
        <v>0</v>
      </c>
      <c r="S258" s="498" t="str">
        <f t="shared" si="158"/>
        <v>-</v>
      </c>
      <c r="T258" s="499" t="str">
        <f t="shared" si="159"/>
        <v>-</v>
      </c>
    </row>
    <row r="259" spans="1:20" ht="23.4" x14ac:dyDescent="0.3">
      <c r="A259" s="248" t="s">
        <v>102</v>
      </c>
      <c r="B259" s="249" t="s">
        <v>219</v>
      </c>
      <c r="C259" s="470">
        <f t="shared" si="150"/>
        <v>60</v>
      </c>
      <c r="D259" s="250">
        <f>30+30</f>
        <v>60</v>
      </c>
      <c r="E259" s="251"/>
      <c r="F259" s="471">
        <v>6500</v>
      </c>
      <c r="G259" s="472">
        <f t="shared" si="164"/>
        <v>2700</v>
      </c>
      <c r="H259" s="471">
        <f>1600+1000</f>
        <v>2600</v>
      </c>
      <c r="I259" s="611">
        <f>50+50</f>
        <v>100</v>
      </c>
      <c r="J259" s="610">
        <f>480+480</f>
        <v>960</v>
      </c>
      <c r="K259" s="470">
        <f t="shared" si="162"/>
        <v>900</v>
      </c>
      <c r="L259" s="472">
        <f t="shared" si="153"/>
        <v>900</v>
      </c>
      <c r="M259" s="473">
        <f t="shared" si="163"/>
        <v>1</v>
      </c>
      <c r="N259" s="474">
        <f t="shared" si="160"/>
        <v>840</v>
      </c>
      <c r="O259" s="472">
        <f t="shared" si="155"/>
        <v>900</v>
      </c>
      <c r="P259" s="475">
        <f t="shared" si="161"/>
        <v>0.93333333333333335</v>
      </c>
      <c r="Q259" s="472">
        <f t="shared" si="156"/>
        <v>804.44444444444446</v>
      </c>
      <c r="R259" s="472">
        <f t="shared" si="157"/>
        <v>840</v>
      </c>
      <c r="S259" s="490">
        <f t="shared" si="158"/>
        <v>0.95767195767195767</v>
      </c>
      <c r="T259" s="491">
        <f t="shared" si="159"/>
        <v>0.89382716049382716</v>
      </c>
    </row>
    <row r="260" spans="1:20" ht="23.4" x14ac:dyDescent="0.3">
      <c r="A260" s="252" t="s">
        <v>102</v>
      </c>
      <c r="B260" s="249" t="s">
        <v>38</v>
      </c>
      <c r="C260" s="470">
        <f t="shared" si="150"/>
        <v>60</v>
      </c>
      <c r="D260" s="250">
        <f>30+30</f>
        <v>60</v>
      </c>
      <c r="E260" s="251"/>
      <c r="F260" s="471">
        <v>2800</v>
      </c>
      <c r="G260" s="472">
        <f t="shared" si="164"/>
        <v>5467</v>
      </c>
      <c r="H260" s="471">
        <f>3200+2000</f>
        <v>5200</v>
      </c>
      <c r="I260" s="611">
        <f>167+100</f>
        <v>267</v>
      </c>
      <c r="J260" s="610">
        <f>480+480</f>
        <v>960</v>
      </c>
      <c r="K260" s="470">
        <f t="shared" si="162"/>
        <v>900</v>
      </c>
      <c r="L260" s="472">
        <f t="shared" si="153"/>
        <v>900</v>
      </c>
      <c r="M260" s="473">
        <f t="shared" si="163"/>
        <v>1</v>
      </c>
      <c r="N260" s="474">
        <f t="shared" si="160"/>
        <v>840</v>
      </c>
      <c r="O260" s="472">
        <f t="shared" si="155"/>
        <v>900</v>
      </c>
      <c r="P260" s="475">
        <f t="shared" si="161"/>
        <v>0.93333333333333335</v>
      </c>
      <c r="Q260" s="472">
        <f t="shared" si="156"/>
        <v>793.11505396012433</v>
      </c>
      <c r="R260" s="472">
        <f t="shared" si="157"/>
        <v>840</v>
      </c>
      <c r="S260" s="490">
        <f t="shared" si="158"/>
        <v>0.94418458804776706</v>
      </c>
      <c r="T260" s="491">
        <f t="shared" si="159"/>
        <v>0.88123894884458265</v>
      </c>
    </row>
    <row r="261" spans="1:20" ht="23.4" x14ac:dyDescent="0.3">
      <c r="A261" s="248" t="s">
        <v>102</v>
      </c>
      <c r="B261" s="249" t="s">
        <v>39</v>
      </c>
      <c r="C261" s="470">
        <f t="shared" si="150"/>
        <v>30</v>
      </c>
      <c r="D261" s="250">
        <v>30</v>
      </c>
      <c r="E261" s="251"/>
      <c r="F261" s="471">
        <v>25000</v>
      </c>
      <c r="G261" s="472">
        <f t="shared" si="164"/>
        <v>21770</v>
      </c>
      <c r="H261" s="471">
        <v>21600</v>
      </c>
      <c r="I261" s="611">
        <v>170</v>
      </c>
      <c r="J261" s="610">
        <v>480</v>
      </c>
      <c r="K261" s="470">
        <f t="shared" si="162"/>
        <v>450</v>
      </c>
      <c r="L261" s="472">
        <f t="shared" si="153"/>
        <v>450</v>
      </c>
      <c r="M261" s="473">
        <f t="shared" si="163"/>
        <v>1</v>
      </c>
      <c r="N261" s="474">
        <f t="shared" si="160"/>
        <v>420</v>
      </c>
      <c r="O261" s="472">
        <f t="shared" si="155"/>
        <v>450</v>
      </c>
      <c r="P261" s="475">
        <f t="shared" si="161"/>
        <v>0.93333333333333335</v>
      </c>
      <c r="Q261" s="472">
        <f t="shared" si="156"/>
        <v>416.25172255397337</v>
      </c>
      <c r="R261" s="472">
        <f t="shared" si="157"/>
        <v>420</v>
      </c>
      <c r="S261" s="490">
        <f t="shared" si="158"/>
        <v>0.99107552989041281</v>
      </c>
      <c r="T261" s="491">
        <f t="shared" si="159"/>
        <v>0.92500382789771862</v>
      </c>
    </row>
    <row r="262" spans="1:20" ht="47.4" thickBot="1" x14ac:dyDescent="0.35">
      <c r="A262" s="615" t="s">
        <v>102</v>
      </c>
      <c r="B262" s="261" t="s">
        <v>218</v>
      </c>
      <c r="C262" s="616">
        <f t="shared" si="150"/>
        <v>0</v>
      </c>
      <c r="D262" s="617"/>
      <c r="E262" s="618"/>
      <c r="F262" s="619">
        <v>25000</v>
      </c>
      <c r="G262" s="620">
        <f t="shared" si="164"/>
        <v>0</v>
      </c>
      <c r="H262" s="619"/>
      <c r="I262" s="621"/>
      <c r="J262" s="614">
        <v>480</v>
      </c>
      <c r="K262" s="616">
        <f t="shared" si="162"/>
        <v>480</v>
      </c>
      <c r="L262" s="620">
        <f t="shared" si="153"/>
        <v>480</v>
      </c>
      <c r="M262" s="622">
        <f t="shared" si="163"/>
        <v>1</v>
      </c>
      <c r="N262" s="623">
        <f t="shared" si="160"/>
        <v>480</v>
      </c>
      <c r="O262" s="620">
        <f t="shared" si="155"/>
        <v>480</v>
      </c>
      <c r="P262" s="624">
        <f t="shared" si="161"/>
        <v>1</v>
      </c>
      <c r="Q262" s="620" t="str">
        <f t="shared" si="156"/>
        <v>-</v>
      </c>
      <c r="R262" s="620">
        <f t="shared" si="157"/>
        <v>480</v>
      </c>
      <c r="S262" s="625" t="str">
        <f t="shared" si="158"/>
        <v>-</v>
      </c>
      <c r="T262" s="626" t="str">
        <f t="shared" si="159"/>
        <v>-</v>
      </c>
    </row>
    <row r="263" spans="1:20" ht="24.6" customHeight="1" x14ac:dyDescent="0.3">
      <c r="A263" s="230"/>
      <c r="B263" s="231"/>
      <c r="C263" s="232"/>
      <c r="D263" s="232"/>
      <c r="E263" s="232"/>
      <c r="F263" s="232"/>
      <c r="G263" s="233"/>
      <c r="H263" s="234"/>
      <c r="I263" s="232"/>
      <c r="J263" s="232"/>
      <c r="K263" s="232"/>
      <c r="L263" s="232"/>
      <c r="M263" s="234"/>
      <c r="N263" s="232"/>
      <c r="O263" s="232"/>
      <c r="P263" s="234"/>
      <c r="Q263" s="232"/>
      <c r="R263" s="232"/>
      <c r="S263" s="234"/>
      <c r="T263" s="234"/>
    </row>
    <row r="264" spans="1:20" ht="24.6" customHeight="1" x14ac:dyDescent="0.3">
      <c r="A264" s="230"/>
      <c r="B264" s="231"/>
      <c r="C264" s="232"/>
      <c r="D264" s="232"/>
      <c r="E264" s="232"/>
      <c r="F264" s="232"/>
      <c r="G264" s="233"/>
      <c r="H264" s="234"/>
      <c r="I264" s="232"/>
      <c r="J264" s="232"/>
      <c r="K264" s="232"/>
      <c r="L264" s="232"/>
      <c r="M264" s="234"/>
      <c r="N264" s="232"/>
      <c r="O264" s="232"/>
      <c r="P264" s="234"/>
      <c r="Q264" s="232"/>
      <c r="R264" s="232"/>
      <c r="S264" s="234"/>
      <c r="T264" s="234"/>
    </row>
    <row r="265" spans="1:20" ht="24.6" customHeight="1" x14ac:dyDescent="0.3">
      <c r="A265" s="230"/>
      <c r="B265" s="231"/>
      <c r="C265" s="232"/>
      <c r="D265" s="232"/>
      <c r="E265" s="232"/>
      <c r="F265" s="232"/>
      <c r="G265" s="233"/>
      <c r="H265" s="234"/>
      <c r="I265" s="232"/>
      <c r="J265" s="232"/>
      <c r="K265" s="232"/>
      <c r="L265" s="232"/>
      <c r="M265" s="234"/>
      <c r="N265" s="232"/>
      <c r="O265" s="232"/>
      <c r="P265" s="234"/>
      <c r="Q265" s="232"/>
      <c r="R265" s="232"/>
      <c r="S265" s="234"/>
      <c r="T265" s="234"/>
    </row>
    <row r="266" spans="1:20" ht="24.6" customHeight="1" thickBot="1" x14ac:dyDescent="0.35">
      <c r="A266" s="230"/>
      <c r="B266" s="231"/>
      <c r="C266" s="232"/>
      <c r="D266" s="232"/>
      <c r="E266" s="232"/>
      <c r="F266" s="232"/>
      <c r="G266" s="233"/>
      <c r="H266" s="234"/>
      <c r="I266" s="232"/>
      <c r="J266" s="232"/>
      <c r="K266" s="232"/>
      <c r="L266" s="232"/>
      <c r="M266" s="234"/>
      <c r="N266" s="232"/>
      <c r="O266" s="232"/>
      <c r="P266" s="234"/>
      <c r="Q266" s="232"/>
      <c r="R266" s="232"/>
      <c r="S266" s="234"/>
      <c r="T266" s="234"/>
    </row>
    <row r="267" spans="1:20" ht="22.5" customHeight="1" x14ac:dyDescent="0.3">
      <c r="A267" s="1115" t="s">
        <v>1</v>
      </c>
      <c r="B267" s="1115" t="s">
        <v>2</v>
      </c>
      <c r="C267" s="1066" t="s">
        <v>207</v>
      </c>
      <c r="D267" s="1067"/>
      <c r="E267" s="1068"/>
      <c r="F267" s="1066" t="s">
        <v>495</v>
      </c>
      <c r="G267" s="1067"/>
      <c r="H267" s="1067"/>
      <c r="I267" s="1068"/>
      <c r="J267" s="1115" t="s">
        <v>204</v>
      </c>
      <c r="K267" s="1066" t="s">
        <v>192</v>
      </c>
      <c r="L267" s="1067"/>
      <c r="M267" s="1068"/>
      <c r="N267" s="1066" t="s">
        <v>193</v>
      </c>
      <c r="O267" s="1067"/>
      <c r="P267" s="1068"/>
      <c r="Q267" s="1066" t="s">
        <v>194</v>
      </c>
      <c r="R267" s="1067"/>
      <c r="S267" s="1068"/>
      <c r="T267" s="1173" t="s">
        <v>191</v>
      </c>
    </row>
    <row r="268" spans="1:20" ht="87.6" thickBot="1" x14ac:dyDescent="0.35">
      <c r="A268" s="1117"/>
      <c r="B268" s="1117"/>
      <c r="C268" s="235" t="s">
        <v>208</v>
      </c>
      <c r="D268" s="236" t="s">
        <v>205</v>
      </c>
      <c r="E268" s="237" t="s">
        <v>206</v>
      </c>
      <c r="F268" s="238" t="s">
        <v>326</v>
      </c>
      <c r="G268" s="236" t="s">
        <v>201</v>
      </c>
      <c r="H268" s="239" t="s">
        <v>202</v>
      </c>
      <c r="I268" s="240" t="s">
        <v>203</v>
      </c>
      <c r="J268" s="1117"/>
      <c r="K268" s="235" t="s">
        <v>195</v>
      </c>
      <c r="L268" s="239" t="s">
        <v>196</v>
      </c>
      <c r="M268" s="241" t="s">
        <v>209</v>
      </c>
      <c r="N268" s="242" t="s">
        <v>197</v>
      </c>
      <c r="O268" s="239" t="s">
        <v>198</v>
      </c>
      <c r="P268" s="241" t="s">
        <v>210</v>
      </c>
      <c r="Q268" s="235" t="s">
        <v>199</v>
      </c>
      <c r="R268" s="239" t="s">
        <v>200</v>
      </c>
      <c r="S268" s="243" t="s">
        <v>211</v>
      </c>
      <c r="T268" s="1174"/>
    </row>
    <row r="269" spans="1:20" ht="25.5" customHeight="1" x14ac:dyDescent="0.3">
      <c r="A269" s="244" t="s">
        <v>103</v>
      </c>
      <c r="B269" s="245" t="s">
        <v>16</v>
      </c>
      <c r="C269" s="463">
        <f>+D269+E269</f>
        <v>0</v>
      </c>
      <c r="D269" s="246"/>
      <c r="E269" s="247"/>
      <c r="F269" s="600">
        <v>15000</v>
      </c>
      <c r="G269" s="464">
        <f>+H269+I269</f>
        <v>0</v>
      </c>
      <c r="H269" s="604"/>
      <c r="I269" s="606"/>
      <c r="J269" s="609"/>
      <c r="K269" s="463">
        <f>+L269-E269</f>
        <v>0</v>
      </c>
      <c r="L269" s="464">
        <f>+J269-D269</f>
        <v>0</v>
      </c>
      <c r="M269" s="465" t="str">
        <f>IFERROR(K269/L269,"-")</f>
        <v>-</v>
      </c>
      <c r="N269" s="466">
        <f>+O269-C269</f>
        <v>0</v>
      </c>
      <c r="O269" s="464">
        <f>+K269</f>
        <v>0</v>
      </c>
      <c r="P269" s="467" t="str">
        <f>IFERROR(N269/O269,"-")</f>
        <v>-</v>
      </c>
      <c r="Q269" s="464" t="str">
        <f>IFERROR(N269-(J269-(J269*H269/G269)),"-")</f>
        <v>-</v>
      </c>
      <c r="R269" s="464">
        <f>+N269</f>
        <v>0</v>
      </c>
      <c r="S269" s="468" t="str">
        <f>IFERROR(Q269/R269,"-")</f>
        <v>-</v>
      </c>
      <c r="T269" s="469" t="str">
        <f>IFERROR(M269*P269*S269,"-")</f>
        <v>-</v>
      </c>
    </row>
    <row r="270" spans="1:20" ht="25.5" customHeight="1" x14ac:dyDescent="0.3">
      <c r="A270" s="248" t="s">
        <v>103</v>
      </c>
      <c r="B270" s="249" t="s">
        <v>215</v>
      </c>
      <c r="C270" s="470">
        <f t="shared" ref="C270:C284" si="165">+D270+E270</f>
        <v>30</v>
      </c>
      <c r="D270" s="250">
        <v>30</v>
      </c>
      <c r="E270" s="251"/>
      <c r="F270" s="601">
        <v>100000</v>
      </c>
      <c r="G270" s="472">
        <f t="shared" ref="G270:G275" si="166">+H270+I270</f>
        <v>122816</v>
      </c>
      <c r="H270" s="254">
        <v>122400</v>
      </c>
      <c r="I270" s="607">
        <v>416</v>
      </c>
      <c r="J270" s="610">
        <v>490</v>
      </c>
      <c r="K270" s="470">
        <f t="shared" ref="K270:K273" si="167">+L270-E270</f>
        <v>460</v>
      </c>
      <c r="L270" s="472">
        <f t="shared" ref="L270:L284" si="168">+J270-D270</f>
        <v>460</v>
      </c>
      <c r="M270" s="473">
        <f t="shared" ref="M270:M273" si="169">IFERROR(K270/L270,"-")</f>
        <v>1</v>
      </c>
      <c r="N270" s="474">
        <f>+O270-C270</f>
        <v>430</v>
      </c>
      <c r="O270" s="472">
        <f t="shared" ref="O270:O284" si="170">+K270</f>
        <v>460</v>
      </c>
      <c r="P270" s="475">
        <f>IFERROR(N270/O270,"-")</f>
        <v>0.93478260869565222</v>
      </c>
      <c r="Q270" s="472">
        <f t="shared" ref="Q270:Q284" si="171">IFERROR(N270-(J270-(J270*H270/G270)),"-")</f>
        <v>428.34028139656073</v>
      </c>
      <c r="R270" s="472">
        <f t="shared" ref="R270:R284" si="172">+N270</f>
        <v>430</v>
      </c>
      <c r="S270" s="476">
        <f t="shared" ref="S270:S284" si="173">IFERROR(Q270/R270,"-")</f>
        <v>0.99614018929432724</v>
      </c>
      <c r="T270" s="477">
        <f t="shared" ref="T270:T284" si="174">IFERROR(M270*P270*S270,"-")</f>
        <v>0.93117452477513207</v>
      </c>
    </row>
    <row r="271" spans="1:20" ht="23.4" x14ac:dyDescent="0.3">
      <c r="A271" s="248" t="s">
        <v>103</v>
      </c>
      <c r="B271" s="249" t="s">
        <v>214</v>
      </c>
      <c r="C271" s="470">
        <f t="shared" si="165"/>
        <v>0</v>
      </c>
      <c r="D271" s="250"/>
      <c r="E271" s="251"/>
      <c r="F271" s="601">
        <v>80000</v>
      </c>
      <c r="G271" s="472">
        <f t="shared" si="166"/>
        <v>0</v>
      </c>
      <c r="H271" s="254"/>
      <c r="I271" s="607"/>
      <c r="J271" s="610"/>
      <c r="K271" s="470">
        <f t="shared" si="167"/>
        <v>0</v>
      </c>
      <c r="L271" s="472">
        <f t="shared" si="168"/>
        <v>0</v>
      </c>
      <c r="M271" s="473" t="str">
        <f t="shared" si="169"/>
        <v>-</v>
      </c>
      <c r="N271" s="474">
        <f t="shared" ref="N271:N284" si="175">+O271-C271</f>
        <v>0</v>
      </c>
      <c r="O271" s="472">
        <f t="shared" si="170"/>
        <v>0</v>
      </c>
      <c r="P271" s="475" t="str">
        <f t="shared" ref="P271:P284" si="176">IFERROR(N271/O271,"-")</f>
        <v>-</v>
      </c>
      <c r="Q271" s="472" t="str">
        <f t="shared" si="171"/>
        <v>-</v>
      </c>
      <c r="R271" s="472">
        <f t="shared" si="172"/>
        <v>0</v>
      </c>
      <c r="S271" s="476" t="str">
        <f t="shared" si="173"/>
        <v>-</v>
      </c>
      <c r="T271" s="477" t="str">
        <f t="shared" si="174"/>
        <v>-</v>
      </c>
    </row>
    <row r="272" spans="1:20" ht="23.4" x14ac:dyDescent="0.3">
      <c r="A272" s="252" t="s">
        <v>103</v>
      </c>
      <c r="B272" s="249" t="s">
        <v>217</v>
      </c>
      <c r="C272" s="470">
        <f t="shared" si="165"/>
        <v>90</v>
      </c>
      <c r="D272" s="250">
        <f>30+30</f>
        <v>60</v>
      </c>
      <c r="E272" s="251">
        <v>30</v>
      </c>
      <c r="F272" s="601">
        <v>220000</v>
      </c>
      <c r="G272" s="472">
        <f t="shared" si="166"/>
        <v>169298</v>
      </c>
      <c r="H272" s="254">
        <v>168960</v>
      </c>
      <c r="I272" s="607">
        <v>338</v>
      </c>
      <c r="J272" s="610">
        <v>960</v>
      </c>
      <c r="K272" s="470">
        <f t="shared" si="167"/>
        <v>870</v>
      </c>
      <c r="L272" s="472">
        <f t="shared" si="168"/>
        <v>900</v>
      </c>
      <c r="M272" s="473">
        <f t="shared" si="169"/>
        <v>0.96666666666666667</v>
      </c>
      <c r="N272" s="474">
        <f t="shared" si="175"/>
        <v>780</v>
      </c>
      <c r="O272" s="472">
        <f t="shared" si="170"/>
        <v>870</v>
      </c>
      <c r="P272" s="475">
        <f t="shared" si="176"/>
        <v>0.89655172413793105</v>
      </c>
      <c r="Q272" s="472">
        <f t="shared" si="171"/>
        <v>778.08337960283052</v>
      </c>
      <c r="R272" s="472">
        <f t="shared" si="172"/>
        <v>780</v>
      </c>
      <c r="S272" s="476">
        <f t="shared" si="173"/>
        <v>0.99754279436260318</v>
      </c>
      <c r="T272" s="477">
        <f t="shared" si="174"/>
        <v>0.86453708844758947</v>
      </c>
    </row>
    <row r="273" spans="1:20" ht="23.4" x14ac:dyDescent="0.3">
      <c r="A273" s="248" t="s">
        <v>103</v>
      </c>
      <c r="B273" s="249" t="s">
        <v>216</v>
      </c>
      <c r="C273" s="470">
        <f t="shared" si="165"/>
        <v>0</v>
      </c>
      <c r="D273" s="250"/>
      <c r="E273" s="251"/>
      <c r="F273" s="601">
        <v>50000</v>
      </c>
      <c r="G273" s="472">
        <f t="shared" si="166"/>
        <v>0</v>
      </c>
      <c r="H273" s="254"/>
      <c r="I273" s="607"/>
      <c r="J273" s="610"/>
      <c r="K273" s="470">
        <f t="shared" si="167"/>
        <v>0</v>
      </c>
      <c r="L273" s="472">
        <f t="shared" si="168"/>
        <v>0</v>
      </c>
      <c r="M273" s="473" t="str">
        <f t="shared" si="169"/>
        <v>-</v>
      </c>
      <c r="N273" s="474">
        <f t="shared" si="175"/>
        <v>0</v>
      </c>
      <c r="O273" s="472">
        <f t="shared" si="170"/>
        <v>0</v>
      </c>
      <c r="P273" s="475" t="str">
        <f t="shared" si="176"/>
        <v>-</v>
      </c>
      <c r="Q273" s="472" t="str">
        <f t="shared" si="171"/>
        <v>-</v>
      </c>
      <c r="R273" s="472">
        <f t="shared" si="172"/>
        <v>0</v>
      </c>
      <c r="S273" s="476" t="str">
        <f t="shared" si="173"/>
        <v>-</v>
      </c>
      <c r="T273" s="477" t="str">
        <f t="shared" si="174"/>
        <v>-</v>
      </c>
    </row>
    <row r="274" spans="1:20" ht="23.4" x14ac:dyDescent="0.3">
      <c r="A274" s="248">
        <v>5</v>
      </c>
      <c r="B274" s="249" t="s">
        <v>22</v>
      </c>
      <c r="C274" s="470">
        <f t="shared" si="165"/>
        <v>0</v>
      </c>
      <c r="D274" s="250"/>
      <c r="E274" s="251"/>
      <c r="F274" s="601">
        <v>80000</v>
      </c>
      <c r="G274" s="472">
        <f t="shared" si="166"/>
        <v>0</v>
      </c>
      <c r="H274" s="471"/>
      <c r="I274" s="611"/>
      <c r="J274" s="610"/>
      <c r="K274" s="470">
        <f>+L274-E274</f>
        <v>0</v>
      </c>
      <c r="L274" s="472">
        <f t="shared" si="168"/>
        <v>0</v>
      </c>
      <c r="M274" s="473" t="str">
        <f>IFERROR(K274/L274,"-")</f>
        <v>-</v>
      </c>
      <c r="N274" s="474">
        <f t="shared" si="175"/>
        <v>0</v>
      </c>
      <c r="O274" s="472">
        <f t="shared" si="170"/>
        <v>0</v>
      </c>
      <c r="P274" s="475" t="str">
        <f t="shared" si="176"/>
        <v>-</v>
      </c>
      <c r="Q274" s="472" t="str">
        <f t="shared" si="171"/>
        <v>-</v>
      </c>
      <c r="R274" s="472">
        <f t="shared" si="172"/>
        <v>0</v>
      </c>
      <c r="S274" s="476" t="str">
        <f t="shared" si="173"/>
        <v>-</v>
      </c>
      <c r="T274" s="477" t="str">
        <f t="shared" si="174"/>
        <v>-</v>
      </c>
    </row>
    <row r="275" spans="1:20" ht="23.4" x14ac:dyDescent="0.3">
      <c r="A275" s="248" t="s">
        <v>103</v>
      </c>
      <c r="B275" s="249" t="s">
        <v>23</v>
      </c>
      <c r="C275" s="470">
        <f t="shared" si="165"/>
        <v>0</v>
      </c>
      <c r="D275" s="250"/>
      <c r="E275" s="251"/>
      <c r="F275" s="601">
        <v>14000</v>
      </c>
      <c r="G275" s="472">
        <f t="shared" si="166"/>
        <v>0</v>
      </c>
      <c r="H275" s="254"/>
      <c r="I275" s="607"/>
      <c r="J275" s="610"/>
      <c r="K275" s="470">
        <f t="shared" ref="K275:K284" si="177">+L275-E275</f>
        <v>0</v>
      </c>
      <c r="L275" s="472">
        <f t="shared" si="168"/>
        <v>0</v>
      </c>
      <c r="M275" s="473" t="str">
        <f t="shared" ref="M275:M284" si="178">IFERROR(K275/L275,"-")</f>
        <v>-</v>
      </c>
      <c r="N275" s="474">
        <f t="shared" si="175"/>
        <v>0</v>
      </c>
      <c r="O275" s="472">
        <f t="shared" si="170"/>
        <v>0</v>
      </c>
      <c r="P275" s="475" t="str">
        <f t="shared" si="176"/>
        <v>-</v>
      </c>
      <c r="Q275" s="472" t="str">
        <f t="shared" si="171"/>
        <v>-</v>
      </c>
      <c r="R275" s="472">
        <f t="shared" si="172"/>
        <v>0</v>
      </c>
      <c r="S275" s="476" t="str">
        <f t="shared" si="173"/>
        <v>-</v>
      </c>
      <c r="T275" s="477" t="str">
        <f t="shared" si="174"/>
        <v>-</v>
      </c>
    </row>
    <row r="276" spans="1:20" ht="24" thickBot="1" x14ac:dyDescent="0.35">
      <c r="A276" s="248" t="s">
        <v>103</v>
      </c>
      <c r="B276" s="253" t="s">
        <v>212</v>
      </c>
      <c r="C276" s="478">
        <f t="shared" si="165"/>
        <v>165</v>
      </c>
      <c r="D276" s="250">
        <v>165</v>
      </c>
      <c r="E276" s="251"/>
      <c r="F276" s="601">
        <v>4500</v>
      </c>
      <c r="G276" s="472">
        <f>+H276+I276</f>
        <v>25001</v>
      </c>
      <c r="H276" s="259">
        <v>24823</v>
      </c>
      <c r="I276" s="608">
        <v>178</v>
      </c>
      <c r="J276" s="610">
        <v>960</v>
      </c>
      <c r="K276" s="478">
        <f t="shared" si="177"/>
        <v>795</v>
      </c>
      <c r="L276" s="250">
        <f t="shared" si="168"/>
        <v>795</v>
      </c>
      <c r="M276" s="479">
        <f t="shared" si="178"/>
        <v>1</v>
      </c>
      <c r="N276" s="480">
        <f t="shared" si="175"/>
        <v>630</v>
      </c>
      <c r="O276" s="250">
        <f t="shared" si="170"/>
        <v>795</v>
      </c>
      <c r="P276" s="481">
        <f t="shared" si="176"/>
        <v>0.79245283018867929</v>
      </c>
      <c r="Q276" s="250">
        <f t="shared" si="171"/>
        <v>623.16507339706413</v>
      </c>
      <c r="R276" s="250">
        <f t="shared" si="172"/>
        <v>630</v>
      </c>
      <c r="S276" s="482">
        <f t="shared" si="173"/>
        <v>0.98915091015407008</v>
      </c>
      <c r="T276" s="483">
        <f t="shared" si="174"/>
        <v>0.78385543823530091</v>
      </c>
    </row>
    <row r="277" spans="1:20" ht="24" thickBot="1" x14ac:dyDescent="0.35">
      <c r="A277" s="255" t="s">
        <v>103</v>
      </c>
      <c r="B277" s="256" t="s">
        <v>213</v>
      </c>
      <c r="C277" s="484">
        <f t="shared" si="165"/>
        <v>480</v>
      </c>
      <c r="D277" s="257"/>
      <c r="E277" s="258">
        <v>480</v>
      </c>
      <c r="F277" s="605">
        <v>5000</v>
      </c>
      <c r="G277" s="494">
        <f t="shared" ref="G277:G284" si="179">+H277+I277</f>
        <v>0</v>
      </c>
      <c r="H277" s="259">
        <v>0</v>
      </c>
      <c r="I277" s="608">
        <v>0</v>
      </c>
      <c r="J277" s="613">
        <v>480</v>
      </c>
      <c r="K277" s="484">
        <f t="shared" si="177"/>
        <v>0</v>
      </c>
      <c r="L277" s="257">
        <f t="shared" si="168"/>
        <v>480</v>
      </c>
      <c r="M277" s="485">
        <f t="shared" si="178"/>
        <v>0</v>
      </c>
      <c r="N277" s="486">
        <f t="shared" si="175"/>
        <v>-480</v>
      </c>
      <c r="O277" s="257">
        <f t="shared" si="170"/>
        <v>0</v>
      </c>
      <c r="P277" s="487" t="str">
        <f t="shared" si="176"/>
        <v>-</v>
      </c>
      <c r="Q277" s="257" t="str">
        <f t="shared" si="171"/>
        <v>-</v>
      </c>
      <c r="R277" s="257">
        <f t="shared" si="172"/>
        <v>-480</v>
      </c>
      <c r="S277" s="488" t="str">
        <f t="shared" si="173"/>
        <v>-</v>
      </c>
      <c r="T277" s="489" t="str">
        <f t="shared" si="174"/>
        <v>-</v>
      </c>
    </row>
    <row r="278" spans="1:20" ht="23.4" x14ac:dyDescent="0.3">
      <c r="A278" s="252" t="s">
        <v>101</v>
      </c>
      <c r="B278" s="260" t="s">
        <v>29</v>
      </c>
      <c r="C278" s="470">
        <f t="shared" si="165"/>
        <v>620</v>
      </c>
      <c r="D278" s="250">
        <v>90</v>
      </c>
      <c r="E278" s="251">
        <v>530</v>
      </c>
      <c r="F278" s="471">
        <v>160000</v>
      </c>
      <c r="G278" s="472">
        <f t="shared" si="179"/>
        <v>112821</v>
      </c>
      <c r="H278" s="471">
        <v>111384</v>
      </c>
      <c r="I278" s="611">
        <v>1437</v>
      </c>
      <c r="J278" s="703">
        <v>1230</v>
      </c>
      <c r="K278" s="470">
        <f t="shared" si="177"/>
        <v>610</v>
      </c>
      <c r="L278" s="472">
        <f t="shared" si="168"/>
        <v>1140</v>
      </c>
      <c r="M278" s="473">
        <f t="shared" si="178"/>
        <v>0.53508771929824561</v>
      </c>
      <c r="N278" s="474">
        <f t="shared" si="175"/>
        <v>-10</v>
      </c>
      <c r="O278" s="472">
        <f t="shared" si="170"/>
        <v>610</v>
      </c>
      <c r="P278" s="475">
        <f t="shared" si="176"/>
        <v>-1.6393442622950821E-2</v>
      </c>
      <c r="Q278" s="472">
        <f t="shared" si="171"/>
        <v>-25.666498258302909</v>
      </c>
      <c r="R278" s="472">
        <f t="shared" si="172"/>
        <v>-10</v>
      </c>
      <c r="S278" s="490">
        <f t="shared" si="173"/>
        <v>2.5666498258302908</v>
      </c>
      <c r="T278" s="491">
        <f t="shared" si="174"/>
        <v>-2.2514472156406062E-2</v>
      </c>
    </row>
    <row r="279" spans="1:20" ht="22.5" customHeight="1" x14ac:dyDescent="0.3">
      <c r="A279" s="248" t="s">
        <v>101</v>
      </c>
      <c r="B279" s="260" t="s">
        <v>31</v>
      </c>
      <c r="C279" s="470">
        <f t="shared" si="165"/>
        <v>45</v>
      </c>
      <c r="D279" s="707"/>
      <c r="E279" s="251">
        <v>45</v>
      </c>
      <c r="F279" s="471">
        <v>50000</v>
      </c>
      <c r="G279" s="472">
        <f t="shared" si="179"/>
        <v>8116</v>
      </c>
      <c r="H279" s="471">
        <v>7488</v>
      </c>
      <c r="I279" s="611">
        <v>628</v>
      </c>
      <c r="J279" s="610">
        <v>120</v>
      </c>
      <c r="K279" s="470">
        <f t="shared" si="177"/>
        <v>75</v>
      </c>
      <c r="L279" s="472">
        <f t="shared" si="168"/>
        <v>120</v>
      </c>
      <c r="M279" s="473">
        <f t="shared" si="178"/>
        <v>0.625</v>
      </c>
      <c r="N279" s="474">
        <f t="shared" si="175"/>
        <v>30</v>
      </c>
      <c r="O279" s="472">
        <f t="shared" si="170"/>
        <v>75</v>
      </c>
      <c r="P279" s="475">
        <f t="shared" si="176"/>
        <v>0.4</v>
      </c>
      <c r="Q279" s="472">
        <f t="shared" si="171"/>
        <v>20.714637752587478</v>
      </c>
      <c r="R279" s="472">
        <f t="shared" si="172"/>
        <v>30</v>
      </c>
      <c r="S279" s="490">
        <f t="shared" si="173"/>
        <v>0.69048792508624923</v>
      </c>
      <c r="T279" s="491">
        <f t="shared" si="174"/>
        <v>0.17262198127156231</v>
      </c>
    </row>
    <row r="280" spans="1:20" ht="24" thickBot="1" x14ac:dyDescent="0.35">
      <c r="A280" s="255" t="s">
        <v>101</v>
      </c>
      <c r="B280" s="261" t="s">
        <v>32</v>
      </c>
      <c r="C280" s="492">
        <f t="shared" si="165"/>
        <v>0</v>
      </c>
      <c r="D280" s="257"/>
      <c r="E280" s="258"/>
      <c r="F280" s="493">
        <v>110000</v>
      </c>
      <c r="G280" s="494">
        <f t="shared" si="179"/>
        <v>0</v>
      </c>
      <c r="H280" s="493"/>
      <c r="I280" s="612"/>
      <c r="J280" s="613"/>
      <c r="K280" s="492">
        <f t="shared" si="177"/>
        <v>0</v>
      </c>
      <c r="L280" s="494">
        <f t="shared" si="168"/>
        <v>0</v>
      </c>
      <c r="M280" s="495" t="str">
        <f t="shared" si="178"/>
        <v>-</v>
      </c>
      <c r="N280" s="496">
        <f t="shared" si="175"/>
        <v>0</v>
      </c>
      <c r="O280" s="494">
        <f t="shared" si="170"/>
        <v>0</v>
      </c>
      <c r="P280" s="497" t="str">
        <f t="shared" si="176"/>
        <v>-</v>
      </c>
      <c r="Q280" s="494" t="str">
        <f t="shared" si="171"/>
        <v>-</v>
      </c>
      <c r="R280" s="494">
        <f t="shared" si="172"/>
        <v>0</v>
      </c>
      <c r="S280" s="498" t="str">
        <f t="shared" si="173"/>
        <v>-</v>
      </c>
      <c r="T280" s="499" t="str">
        <f t="shared" si="174"/>
        <v>-</v>
      </c>
    </row>
    <row r="281" spans="1:20" ht="23.4" x14ac:dyDescent="0.3">
      <c r="A281" s="248" t="s">
        <v>102</v>
      </c>
      <c r="B281" s="249" t="s">
        <v>219</v>
      </c>
      <c r="C281" s="470">
        <f t="shared" si="165"/>
        <v>30</v>
      </c>
      <c r="D281" s="250">
        <v>30</v>
      </c>
      <c r="E281" s="251"/>
      <c r="F281" s="471">
        <v>6500</v>
      </c>
      <c r="G281" s="472">
        <f t="shared" si="179"/>
        <v>1440</v>
      </c>
      <c r="H281" s="471">
        <v>1300</v>
      </c>
      <c r="I281" s="611">
        <v>140</v>
      </c>
      <c r="J281" s="610">
        <v>480</v>
      </c>
      <c r="K281" s="470">
        <f t="shared" si="177"/>
        <v>450</v>
      </c>
      <c r="L281" s="472">
        <f t="shared" si="168"/>
        <v>450</v>
      </c>
      <c r="M281" s="473">
        <f t="shared" si="178"/>
        <v>1</v>
      </c>
      <c r="N281" s="474">
        <f t="shared" si="175"/>
        <v>420</v>
      </c>
      <c r="O281" s="472">
        <f t="shared" si="170"/>
        <v>450</v>
      </c>
      <c r="P281" s="475">
        <f t="shared" si="176"/>
        <v>0.93333333333333335</v>
      </c>
      <c r="Q281" s="472">
        <f t="shared" si="171"/>
        <v>373.33333333333331</v>
      </c>
      <c r="R281" s="472">
        <f t="shared" si="172"/>
        <v>420</v>
      </c>
      <c r="S281" s="490">
        <f t="shared" si="173"/>
        <v>0.88888888888888884</v>
      </c>
      <c r="T281" s="491">
        <f t="shared" si="174"/>
        <v>0.82962962962962961</v>
      </c>
    </row>
    <row r="282" spans="1:20" ht="23.4" x14ac:dyDescent="0.3">
      <c r="A282" s="252" t="s">
        <v>102</v>
      </c>
      <c r="B282" s="249" t="s">
        <v>38</v>
      </c>
      <c r="C282" s="470">
        <f t="shared" si="165"/>
        <v>30</v>
      </c>
      <c r="D282" s="250">
        <v>30</v>
      </c>
      <c r="E282" s="251"/>
      <c r="F282" s="471">
        <v>2800</v>
      </c>
      <c r="G282" s="472">
        <f t="shared" si="179"/>
        <v>0</v>
      </c>
      <c r="H282" s="471"/>
      <c r="I282" s="611"/>
      <c r="J282" s="610">
        <v>480</v>
      </c>
      <c r="K282" s="470">
        <f t="shared" si="177"/>
        <v>450</v>
      </c>
      <c r="L282" s="472">
        <f t="shared" si="168"/>
        <v>450</v>
      </c>
      <c r="M282" s="473">
        <f t="shared" si="178"/>
        <v>1</v>
      </c>
      <c r="N282" s="474">
        <f t="shared" si="175"/>
        <v>420</v>
      </c>
      <c r="O282" s="472">
        <f t="shared" si="170"/>
        <v>450</v>
      </c>
      <c r="P282" s="475">
        <f t="shared" si="176"/>
        <v>0.93333333333333335</v>
      </c>
      <c r="Q282" s="472" t="str">
        <f t="shared" si="171"/>
        <v>-</v>
      </c>
      <c r="R282" s="472">
        <f t="shared" si="172"/>
        <v>420</v>
      </c>
      <c r="S282" s="490" t="str">
        <f t="shared" si="173"/>
        <v>-</v>
      </c>
      <c r="T282" s="491" t="str">
        <f t="shared" si="174"/>
        <v>-</v>
      </c>
    </row>
    <row r="283" spans="1:20" ht="23.4" x14ac:dyDescent="0.3">
      <c r="A283" s="248" t="s">
        <v>102</v>
      </c>
      <c r="B283" s="249" t="s">
        <v>39</v>
      </c>
      <c r="C283" s="470">
        <f t="shared" si="165"/>
        <v>30</v>
      </c>
      <c r="D283" s="250">
        <v>30</v>
      </c>
      <c r="E283" s="251"/>
      <c r="F283" s="471">
        <v>25000</v>
      </c>
      <c r="G283" s="472">
        <f t="shared" si="179"/>
        <v>26857</v>
      </c>
      <c r="H283" s="471">
        <v>26556</v>
      </c>
      <c r="I283" s="611">
        <v>301</v>
      </c>
      <c r="J283" s="610">
        <v>480</v>
      </c>
      <c r="K283" s="470">
        <f t="shared" si="177"/>
        <v>450</v>
      </c>
      <c r="L283" s="472">
        <f t="shared" si="168"/>
        <v>450</v>
      </c>
      <c r="M283" s="473">
        <f t="shared" si="178"/>
        <v>1</v>
      </c>
      <c r="N283" s="474">
        <f t="shared" si="175"/>
        <v>420</v>
      </c>
      <c r="O283" s="472">
        <f t="shared" si="170"/>
        <v>450</v>
      </c>
      <c r="P283" s="475">
        <f t="shared" si="176"/>
        <v>0.93333333333333335</v>
      </c>
      <c r="Q283" s="472">
        <f t="shared" si="171"/>
        <v>414.62039691700488</v>
      </c>
      <c r="R283" s="472">
        <f t="shared" si="172"/>
        <v>420</v>
      </c>
      <c r="S283" s="490">
        <f t="shared" si="173"/>
        <v>0.98719142123096404</v>
      </c>
      <c r="T283" s="491">
        <f t="shared" si="174"/>
        <v>0.92137865981556644</v>
      </c>
    </row>
    <row r="284" spans="1:20" ht="47.4" thickBot="1" x14ac:dyDescent="0.35">
      <c r="A284" s="615" t="s">
        <v>102</v>
      </c>
      <c r="B284" s="261" t="s">
        <v>218</v>
      </c>
      <c r="C284" s="616">
        <f t="shared" si="165"/>
        <v>30</v>
      </c>
      <c r="D284" s="617">
        <v>30</v>
      </c>
      <c r="E284" s="618"/>
      <c r="F284" s="619">
        <v>25000</v>
      </c>
      <c r="G284" s="620">
        <f t="shared" si="179"/>
        <v>0</v>
      </c>
      <c r="H284" s="619"/>
      <c r="I284" s="621"/>
      <c r="J284" s="614">
        <v>480</v>
      </c>
      <c r="K284" s="616">
        <f t="shared" si="177"/>
        <v>450</v>
      </c>
      <c r="L284" s="620">
        <f t="shared" si="168"/>
        <v>450</v>
      </c>
      <c r="M284" s="622">
        <f t="shared" si="178"/>
        <v>1</v>
      </c>
      <c r="N284" s="623">
        <f t="shared" si="175"/>
        <v>420</v>
      </c>
      <c r="O284" s="620">
        <f t="shared" si="170"/>
        <v>450</v>
      </c>
      <c r="P284" s="624">
        <f t="shared" si="176"/>
        <v>0.93333333333333335</v>
      </c>
      <c r="Q284" s="620" t="str">
        <f t="shared" si="171"/>
        <v>-</v>
      </c>
      <c r="R284" s="620">
        <f t="shared" si="172"/>
        <v>420</v>
      </c>
      <c r="S284" s="625" t="str">
        <f t="shared" si="173"/>
        <v>-</v>
      </c>
      <c r="T284" s="626" t="str">
        <f t="shared" si="174"/>
        <v>-</v>
      </c>
    </row>
    <row r="285" spans="1:20" ht="24.6" customHeight="1" x14ac:dyDescent="0.3">
      <c r="A285" s="230"/>
      <c r="B285" s="231"/>
      <c r="C285" s="232"/>
      <c r="D285" s="232"/>
      <c r="E285" s="232"/>
      <c r="F285" s="232"/>
      <c r="G285" s="233"/>
      <c r="H285" s="234"/>
      <c r="I285" s="232"/>
      <c r="J285" s="232"/>
      <c r="K285" s="232"/>
      <c r="L285" s="232"/>
      <c r="M285" s="234"/>
      <c r="N285" s="232"/>
      <c r="O285" s="232"/>
      <c r="P285" s="234"/>
      <c r="Q285" s="232"/>
      <c r="R285" s="232"/>
      <c r="S285" s="234"/>
      <c r="T285" s="234"/>
    </row>
    <row r="286" spans="1:20" ht="24.6" customHeight="1" x14ac:dyDescent="0.3">
      <c r="A286" s="230"/>
      <c r="B286" s="231"/>
      <c r="C286" s="232"/>
      <c r="D286" s="232"/>
      <c r="E286" s="232"/>
      <c r="F286" s="232"/>
      <c r="G286" s="233"/>
      <c r="H286" s="234"/>
      <c r="I286" s="232"/>
      <c r="J286" s="232"/>
      <c r="K286" s="232"/>
      <c r="L286" s="232"/>
      <c r="M286" s="234"/>
      <c r="N286" s="232"/>
      <c r="O286" s="232"/>
      <c r="P286" s="234"/>
      <c r="Q286" s="232"/>
      <c r="R286" s="232"/>
      <c r="S286" s="234"/>
      <c r="T286" s="234"/>
    </row>
    <row r="287" spans="1:20" ht="24.6" customHeight="1" thickBot="1" x14ac:dyDescent="0.35">
      <c r="A287" s="230"/>
      <c r="B287" s="231"/>
      <c r="C287" s="232"/>
      <c r="D287" s="232"/>
      <c r="E287" s="232"/>
      <c r="F287" s="232"/>
      <c r="G287" s="233"/>
      <c r="H287" s="234"/>
      <c r="I287" s="232"/>
      <c r="J287" s="232"/>
      <c r="K287" s="232"/>
      <c r="L287" s="232"/>
      <c r="M287" s="234"/>
      <c r="N287" s="232"/>
      <c r="O287" s="232"/>
      <c r="P287" s="234"/>
      <c r="Q287" s="232"/>
      <c r="R287" s="232"/>
      <c r="S287" s="234"/>
      <c r="T287" s="234"/>
    </row>
    <row r="288" spans="1:20" ht="22.5" customHeight="1" x14ac:dyDescent="0.3">
      <c r="A288" s="1115" t="s">
        <v>1</v>
      </c>
      <c r="B288" s="1115" t="s">
        <v>2</v>
      </c>
      <c r="C288" s="1066" t="s">
        <v>207</v>
      </c>
      <c r="D288" s="1067"/>
      <c r="E288" s="1068"/>
      <c r="F288" s="1066" t="s">
        <v>491</v>
      </c>
      <c r="G288" s="1067"/>
      <c r="H288" s="1067"/>
      <c r="I288" s="1068"/>
      <c r="J288" s="1115" t="s">
        <v>204</v>
      </c>
      <c r="K288" s="1066" t="s">
        <v>192</v>
      </c>
      <c r="L288" s="1067"/>
      <c r="M288" s="1068"/>
      <c r="N288" s="1066" t="s">
        <v>193</v>
      </c>
      <c r="O288" s="1067"/>
      <c r="P288" s="1068"/>
      <c r="Q288" s="1066" t="s">
        <v>194</v>
      </c>
      <c r="R288" s="1067"/>
      <c r="S288" s="1068"/>
      <c r="T288" s="1173" t="s">
        <v>191</v>
      </c>
    </row>
    <row r="289" spans="1:20" ht="87.6" thickBot="1" x14ac:dyDescent="0.35">
      <c r="A289" s="1117"/>
      <c r="B289" s="1117"/>
      <c r="C289" s="235" t="s">
        <v>208</v>
      </c>
      <c r="D289" s="236" t="s">
        <v>205</v>
      </c>
      <c r="E289" s="237" t="s">
        <v>206</v>
      </c>
      <c r="F289" s="238" t="s">
        <v>326</v>
      </c>
      <c r="G289" s="236" t="s">
        <v>201</v>
      </c>
      <c r="H289" s="239" t="s">
        <v>202</v>
      </c>
      <c r="I289" s="240" t="s">
        <v>203</v>
      </c>
      <c r="J289" s="1117"/>
      <c r="K289" s="235" t="s">
        <v>195</v>
      </c>
      <c r="L289" s="239" t="s">
        <v>196</v>
      </c>
      <c r="M289" s="241" t="s">
        <v>209</v>
      </c>
      <c r="N289" s="242" t="s">
        <v>197</v>
      </c>
      <c r="O289" s="239" t="s">
        <v>198</v>
      </c>
      <c r="P289" s="241" t="s">
        <v>210</v>
      </c>
      <c r="Q289" s="235" t="s">
        <v>199</v>
      </c>
      <c r="R289" s="239" t="s">
        <v>200</v>
      </c>
      <c r="S289" s="243" t="s">
        <v>211</v>
      </c>
      <c r="T289" s="1174"/>
    </row>
    <row r="290" spans="1:20" ht="25.5" customHeight="1" x14ac:dyDescent="0.3">
      <c r="A290" s="244" t="s">
        <v>103</v>
      </c>
      <c r="B290" s="245" t="s">
        <v>16</v>
      </c>
      <c r="C290" s="463">
        <f>+D290+E290</f>
        <v>0</v>
      </c>
      <c r="D290" s="246"/>
      <c r="E290" s="247"/>
      <c r="F290" s="600">
        <v>15000</v>
      </c>
      <c r="G290" s="464">
        <f>+H290+I290</f>
        <v>0</v>
      </c>
      <c r="H290" s="604"/>
      <c r="I290" s="606"/>
      <c r="J290" s="609"/>
      <c r="K290" s="463">
        <f>+L290-E290</f>
        <v>0</v>
      </c>
      <c r="L290" s="464">
        <f>+J290-D290</f>
        <v>0</v>
      </c>
      <c r="M290" s="465" t="str">
        <f>IFERROR(K290/L290,"-")</f>
        <v>-</v>
      </c>
      <c r="N290" s="466">
        <f>+O290-C290</f>
        <v>0</v>
      </c>
      <c r="O290" s="464">
        <f>+K290</f>
        <v>0</v>
      </c>
      <c r="P290" s="467" t="str">
        <f>IFERROR(N290/O290,"-")</f>
        <v>-</v>
      </c>
      <c r="Q290" s="464" t="str">
        <f>IFERROR(N290-(J290-(J290*H290/G290)),"-")</f>
        <v>-</v>
      </c>
      <c r="R290" s="464">
        <f>+N290</f>
        <v>0</v>
      </c>
      <c r="S290" s="468" t="str">
        <f>IFERROR(Q290/R290,"-")</f>
        <v>-</v>
      </c>
      <c r="T290" s="469" t="str">
        <f>IFERROR(M290*P290*S290,"-")</f>
        <v>-</v>
      </c>
    </row>
    <row r="291" spans="1:20" ht="25.5" customHeight="1" x14ac:dyDescent="0.3">
      <c r="A291" s="248" t="s">
        <v>103</v>
      </c>
      <c r="B291" s="249" t="s">
        <v>215</v>
      </c>
      <c r="C291" s="470">
        <f t="shared" ref="C291:C305" si="180">+D291+E291</f>
        <v>30</v>
      </c>
      <c r="D291" s="250">
        <v>30</v>
      </c>
      <c r="E291" s="251"/>
      <c r="F291" s="601">
        <v>100000</v>
      </c>
      <c r="G291" s="472">
        <f t="shared" ref="G291:G296" si="181">+H291+I291</f>
        <v>104252</v>
      </c>
      <c r="H291" s="254">
        <v>104040</v>
      </c>
      <c r="I291" s="607">
        <v>212</v>
      </c>
      <c r="J291" s="610">
        <v>480</v>
      </c>
      <c r="K291" s="470">
        <f t="shared" ref="K291:K294" si="182">+L291-E291</f>
        <v>450</v>
      </c>
      <c r="L291" s="472">
        <f t="shared" ref="L291:L305" si="183">+J291-D291</f>
        <v>450</v>
      </c>
      <c r="M291" s="473">
        <f t="shared" ref="M291:M294" si="184">IFERROR(K291/L291,"-")</f>
        <v>1</v>
      </c>
      <c r="N291" s="474">
        <f>+O291-C291</f>
        <v>420</v>
      </c>
      <c r="O291" s="472">
        <f t="shared" ref="O291:O305" si="185">+K291</f>
        <v>450</v>
      </c>
      <c r="P291" s="475">
        <f>IFERROR(N291/O291,"-")</f>
        <v>0.93333333333333335</v>
      </c>
      <c r="Q291" s="472">
        <f t="shared" ref="Q291:Q305" si="186">IFERROR(N291-(J291-(J291*H291/G291)),"-")</f>
        <v>419.023903618156</v>
      </c>
      <c r="R291" s="472">
        <f t="shared" ref="R291:R305" si="187">+N291</f>
        <v>420</v>
      </c>
      <c r="S291" s="476">
        <f t="shared" ref="S291:S305" si="188">IFERROR(Q291/R291,"-")</f>
        <v>0.99767596099560951</v>
      </c>
      <c r="T291" s="477">
        <f t="shared" ref="T291:T305" si="189">IFERROR(M291*P291*S291,"-")</f>
        <v>0.93116423026256889</v>
      </c>
    </row>
    <row r="292" spans="1:20" ht="23.4" x14ac:dyDescent="0.3">
      <c r="A292" s="248" t="s">
        <v>103</v>
      </c>
      <c r="B292" s="249" t="s">
        <v>214</v>
      </c>
      <c r="C292" s="470">
        <f t="shared" si="180"/>
        <v>0</v>
      </c>
      <c r="D292" s="250"/>
      <c r="E292" s="251"/>
      <c r="F292" s="601">
        <v>80000</v>
      </c>
      <c r="G292" s="472">
        <f t="shared" si="181"/>
        <v>0</v>
      </c>
      <c r="H292" s="254"/>
      <c r="I292" s="607"/>
      <c r="J292" s="610"/>
      <c r="K292" s="470">
        <f t="shared" si="182"/>
        <v>0</v>
      </c>
      <c r="L292" s="472">
        <f t="shared" si="183"/>
        <v>0</v>
      </c>
      <c r="M292" s="473" t="str">
        <f t="shared" si="184"/>
        <v>-</v>
      </c>
      <c r="N292" s="474">
        <f t="shared" ref="N292:N305" si="190">+O292-C292</f>
        <v>0</v>
      </c>
      <c r="O292" s="472">
        <f t="shared" si="185"/>
        <v>0</v>
      </c>
      <c r="P292" s="475" t="str">
        <f t="shared" ref="P292:P305" si="191">IFERROR(N292/O292,"-")</f>
        <v>-</v>
      </c>
      <c r="Q292" s="472" t="str">
        <f t="shared" si="186"/>
        <v>-</v>
      </c>
      <c r="R292" s="472">
        <f t="shared" si="187"/>
        <v>0</v>
      </c>
      <c r="S292" s="476" t="str">
        <f t="shared" si="188"/>
        <v>-</v>
      </c>
      <c r="T292" s="477" t="str">
        <f t="shared" si="189"/>
        <v>-</v>
      </c>
    </row>
    <row r="293" spans="1:20" ht="23.4" x14ac:dyDescent="0.3">
      <c r="A293" s="252" t="s">
        <v>103</v>
      </c>
      <c r="B293" s="249" t="s">
        <v>217</v>
      </c>
      <c r="C293" s="470">
        <f t="shared" si="180"/>
        <v>60</v>
      </c>
      <c r="D293" s="250">
        <v>60</v>
      </c>
      <c r="E293" s="251"/>
      <c r="F293" s="601">
        <v>220000</v>
      </c>
      <c r="G293" s="472">
        <f t="shared" si="181"/>
        <v>118722</v>
      </c>
      <c r="H293" s="254">
        <v>118272</v>
      </c>
      <c r="I293" s="607">
        <v>450</v>
      </c>
      <c r="J293" s="610">
        <v>960</v>
      </c>
      <c r="K293" s="470">
        <f t="shared" si="182"/>
        <v>900</v>
      </c>
      <c r="L293" s="472">
        <f t="shared" si="183"/>
        <v>900</v>
      </c>
      <c r="M293" s="473">
        <f t="shared" si="184"/>
        <v>1</v>
      </c>
      <c r="N293" s="474">
        <f t="shared" si="190"/>
        <v>840</v>
      </c>
      <c r="O293" s="472">
        <f t="shared" si="185"/>
        <v>900</v>
      </c>
      <c r="P293" s="475">
        <f t="shared" si="191"/>
        <v>0.93333333333333335</v>
      </c>
      <c r="Q293" s="472">
        <f t="shared" si="186"/>
        <v>836.36124728357004</v>
      </c>
      <c r="R293" s="472">
        <f t="shared" si="187"/>
        <v>840</v>
      </c>
      <c r="S293" s="476">
        <f t="shared" si="188"/>
        <v>0.99566815152805954</v>
      </c>
      <c r="T293" s="477">
        <f t="shared" si="189"/>
        <v>0.92929027475952231</v>
      </c>
    </row>
    <row r="294" spans="1:20" ht="23.4" x14ac:dyDescent="0.3">
      <c r="A294" s="248" t="s">
        <v>103</v>
      </c>
      <c r="B294" s="249" t="s">
        <v>216</v>
      </c>
      <c r="C294" s="470">
        <f t="shared" si="180"/>
        <v>180</v>
      </c>
      <c r="D294" s="250">
        <v>180</v>
      </c>
      <c r="E294" s="251"/>
      <c r="F294" s="601">
        <v>50000</v>
      </c>
      <c r="G294" s="472">
        <f t="shared" si="181"/>
        <v>0</v>
      </c>
      <c r="H294" s="254"/>
      <c r="I294" s="607"/>
      <c r="J294" s="610"/>
      <c r="K294" s="470">
        <f t="shared" si="182"/>
        <v>-180</v>
      </c>
      <c r="L294" s="472">
        <f t="shared" si="183"/>
        <v>-180</v>
      </c>
      <c r="M294" s="473">
        <f t="shared" si="184"/>
        <v>1</v>
      </c>
      <c r="N294" s="474">
        <f t="shared" si="190"/>
        <v>-360</v>
      </c>
      <c r="O294" s="472">
        <f t="shared" si="185"/>
        <v>-180</v>
      </c>
      <c r="P294" s="475">
        <f t="shared" si="191"/>
        <v>2</v>
      </c>
      <c r="Q294" s="472" t="str">
        <f t="shared" si="186"/>
        <v>-</v>
      </c>
      <c r="R294" s="472">
        <f t="shared" si="187"/>
        <v>-360</v>
      </c>
      <c r="S294" s="476" t="str">
        <f t="shared" si="188"/>
        <v>-</v>
      </c>
      <c r="T294" s="477" t="str">
        <f t="shared" si="189"/>
        <v>-</v>
      </c>
    </row>
    <row r="295" spans="1:20" ht="23.4" x14ac:dyDescent="0.3">
      <c r="A295" s="248">
        <v>5</v>
      </c>
      <c r="B295" s="249" t="s">
        <v>22</v>
      </c>
      <c r="C295" s="470">
        <f t="shared" si="180"/>
        <v>0</v>
      </c>
      <c r="D295" s="250"/>
      <c r="E295" s="251"/>
      <c r="F295" s="601">
        <v>80000</v>
      </c>
      <c r="G295" s="472">
        <f t="shared" si="181"/>
        <v>0</v>
      </c>
      <c r="H295" s="471"/>
      <c r="I295" s="611"/>
      <c r="J295" s="610"/>
      <c r="K295" s="470">
        <f>+L295-E295</f>
        <v>0</v>
      </c>
      <c r="L295" s="472">
        <f t="shared" si="183"/>
        <v>0</v>
      </c>
      <c r="M295" s="473" t="str">
        <f>IFERROR(K295/L295,"-")</f>
        <v>-</v>
      </c>
      <c r="N295" s="474">
        <f t="shared" si="190"/>
        <v>0</v>
      </c>
      <c r="O295" s="472">
        <f t="shared" si="185"/>
        <v>0</v>
      </c>
      <c r="P295" s="475" t="str">
        <f t="shared" si="191"/>
        <v>-</v>
      </c>
      <c r="Q295" s="472" t="str">
        <f t="shared" si="186"/>
        <v>-</v>
      </c>
      <c r="R295" s="472">
        <f t="shared" si="187"/>
        <v>0</v>
      </c>
      <c r="S295" s="476" t="str">
        <f t="shared" si="188"/>
        <v>-</v>
      </c>
      <c r="T295" s="477" t="str">
        <f t="shared" si="189"/>
        <v>-</v>
      </c>
    </row>
    <row r="296" spans="1:20" ht="23.4" x14ac:dyDescent="0.3">
      <c r="A296" s="248" t="s">
        <v>103</v>
      </c>
      <c r="B296" s="249" t="s">
        <v>23</v>
      </c>
      <c r="C296" s="470">
        <f t="shared" si="180"/>
        <v>0</v>
      </c>
      <c r="D296" s="250"/>
      <c r="E296" s="251"/>
      <c r="F296" s="601">
        <v>14000</v>
      </c>
      <c r="G296" s="472">
        <f t="shared" si="181"/>
        <v>0</v>
      </c>
      <c r="H296" s="254"/>
      <c r="I296" s="607"/>
      <c r="J296" s="610"/>
      <c r="K296" s="470">
        <f t="shared" ref="K296:K305" si="192">+L296-E296</f>
        <v>0</v>
      </c>
      <c r="L296" s="472">
        <f t="shared" si="183"/>
        <v>0</v>
      </c>
      <c r="M296" s="473" t="str">
        <f t="shared" ref="M296:M305" si="193">IFERROR(K296/L296,"-")</f>
        <v>-</v>
      </c>
      <c r="N296" s="474">
        <f t="shared" si="190"/>
        <v>0</v>
      </c>
      <c r="O296" s="472">
        <f t="shared" si="185"/>
        <v>0</v>
      </c>
      <c r="P296" s="475" t="str">
        <f t="shared" si="191"/>
        <v>-</v>
      </c>
      <c r="Q296" s="472" t="str">
        <f t="shared" si="186"/>
        <v>-</v>
      </c>
      <c r="R296" s="472">
        <f t="shared" si="187"/>
        <v>0</v>
      </c>
      <c r="S296" s="476" t="str">
        <f t="shared" si="188"/>
        <v>-</v>
      </c>
      <c r="T296" s="477" t="str">
        <f t="shared" si="189"/>
        <v>-</v>
      </c>
    </row>
    <row r="297" spans="1:20" ht="24" thickBot="1" x14ac:dyDescent="0.35">
      <c r="A297" s="248" t="s">
        <v>103</v>
      </c>
      <c r="B297" s="253" t="s">
        <v>212</v>
      </c>
      <c r="C297" s="478">
        <f t="shared" si="180"/>
        <v>195</v>
      </c>
      <c r="D297" s="250">
        <v>60</v>
      </c>
      <c r="E297" s="251">
        <v>135</v>
      </c>
      <c r="F297" s="601">
        <v>4500</v>
      </c>
      <c r="G297" s="472">
        <f>+H297+I297</f>
        <v>27434</v>
      </c>
      <c r="H297" s="259">
        <v>27281</v>
      </c>
      <c r="I297" s="608">
        <v>153</v>
      </c>
      <c r="J297" s="610">
        <v>960</v>
      </c>
      <c r="K297" s="478">
        <f t="shared" si="192"/>
        <v>765</v>
      </c>
      <c r="L297" s="250">
        <f t="shared" si="183"/>
        <v>900</v>
      </c>
      <c r="M297" s="479">
        <f t="shared" si="193"/>
        <v>0.85</v>
      </c>
      <c r="N297" s="480">
        <f t="shared" si="190"/>
        <v>570</v>
      </c>
      <c r="O297" s="250">
        <f t="shared" si="185"/>
        <v>765</v>
      </c>
      <c r="P297" s="481">
        <f t="shared" si="191"/>
        <v>0.74509803921568629</v>
      </c>
      <c r="Q297" s="250">
        <f t="shared" si="186"/>
        <v>564.64605963403073</v>
      </c>
      <c r="R297" s="250">
        <f t="shared" si="187"/>
        <v>570</v>
      </c>
      <c r="S297" s="482">
        <f t="shared" si="188"/>
        <v>0.99060712216496616</v>
      </c>
      <c r="T297" s="483">
        <f t="shared" si="189"/>
        <v>0.62738451070447854</v>
      </c>
    </row>
    <row r="298" spans="1:20" ht="24" thickBot="1" x14ac:dyDescent="0.35">
      <c r="A298" s="255" t="s">
        <v>103</v>
      </c>
      <c r="B298" s="256" t="s">
        <v>213</v>
      </c>
      <c r="C298" s="484">
        <f t="shared" si="180"/>
        <v>480</v>
      </c>
      <c r="D298" s="257">
        <v>30</v>
      </c>
      <c r="E298" s="258">
        <v>450</v>
      </c>
      <c r="F298" s="605">
        <v>5000</v>
      </c>
      <c r="G298" s="494">
        <f t="shared" ref="G298:G305" si="194">+H298+I298</f>
        <v>12</v>
      </c>
      <c r="H298" s="259">
        <v>12</v>
      </c>
      <c r="I298" s="608">
        <v>0</v>
      </c>
      <c r="J298" s="613">
        <v>480</v>
      </c>
      <c r="K298" s="484">
        <f t="shared" si="192"/>
        <v>0</v>
      </c>
      <c r="L298" s="257">
        <f t="shared" si="183"/>
        <v>450</v>
      </c>
      <c r="M298" s="485">
        <f t="shared" si="193"/>
        <v>0</v>
      </c>
      <c r="N298" s="486">
        <f t="shared" si="190"/>
        <v>-480</v>
      </c>
      <c r="O298" s="257">
        <f t="shared" si="185"/>
        <v>0</v>
      </c>
      <c r="P298" s="487" t="str">
        <f t="shared" si="191"/>
        <v>-</v>
      </c>
      <c r="Q298" s="257">
        <f t="shared" si="186"/>
        <v>-480</v>
      </c>
      <c r="R298" s="257">
        <f t="shared" si="187"/>
        <v>-480</v>
      </c>
      <c r="S298" s="488">
        <f t="shared" si="188"/>
        <v>1</v>
      </c>
      <c r="T298" s="489" t="str">
        <f t="shared" si="189"/>
        <v>-</v>
      </c>
    </row>
    <row r="299" spans="1:20" ht="23.4" x14ac:dyDescent="0.3">
      <c r="A299" s="252" t="s">
        <v>101</v>
      </c>
      <c r="B299" s="260" t="s">
        <v>29</v>
      </c>
      <c r="C299" s="470">
        <f t="shared" si="180"/>
        <v>755</v>
      </c>
      <c r="D299" s="250">
        <v>90</v>
      </c>
      <c r="E299" s="251">
        <v>665</v>
      </c>
      <c r="F299" s="471">
        <v>160000</v>
      </c>
      <c r="G299" s="472">
        <f t="shared" si="194"/>
        <v>109393</v>
      </c>
      <c r="H299" s="471">
        <v>107406</v>
      </c>
      <c r="I299" s="611">
        <v>1987</v>
      </c>
      <c r="J299" s="703">
        <v>1380</v>
      </c>
      <c r="K299" s="470">
        <f t="shared" si="192"/>
        <v>625</v>
      </c>
      <c r="L299" s="472">
        <f t="shared" si="183"/>
        <v>1290</v>
      </c>
      <c r="M299" s="473">
        <f t="shared" si="193"/>
        <v>0.48449612403100772</v>
      </c>
      <c r="N299" s="474">
        <f t="shared" si="190"/>
        <v>-130</v>
      </c>
      <c r="O299" s="472">
        <f t="shared" si="185"/>
        <v>625</v>
      </c>
      <c r="P299" s="475">
        <f t="shared" si="191"/>
        <v>-0.20799999999999999</v>
      </c>
      <c r="Q299" s="472">
        <f t="shared" si="186"/>
        <v>-155.06613768705483</v>
      </c>
      <c r="R299" s="472">
        <f t="shared" si="187"/>
        <v>-130</v>
      </c>
      <c r="S299" s="490">
        <f t="shared" si="188"/>
        <v>1.1928164437465756</v>
      </c>
      <c r="T299" s="491">
        <f t="shared" si="189"/>
        <v>-0.12020630828453861</v>
      </c>
    </row>
    <row r="300" spans="1:20" ht="22.5" customHeight="1" x14ac:dyDescent="0.3">
      <c r="A300" s="248" t="s">
        <v>101</v>
      </c>
      <c r="B300" s="260" t="s">
        <v>31</v>
      </c>
      <c r="C300" s="470">
        <f t="shared" si="180"/>
        <v>0</v>
      </c>
      <c r="D300" s="707"/>
      <c r="E300" s="251"/>
      <c r="F300" s="471">
        <v>50000</v>
      </c>
      <c r="G300" s="472">
        <f t="shared" si="194"/>
        <v>0</v>
      </c>
      <c r="H300" s="471"/>
      <c r="I300" s="611"/>
      <c r="J300" s="610"/>
      <c r="K300" s="470">
        <f t="shared" si="192"/>
        <v>0</v>
      </c>
      <c r="L300" s="472">
        <f t="shared" si="183"/>
        <v>0</v>
      </c>
      <c r="M300" s="473" t="str">
        <f t="shared" si="193"/>
        <v>-</v>
      </c>
      <c r="N300" s="474">
        <f t="shared" si="190"/>
        <v>0</v>
      </c>
      <c r="O300" s="472">
        <f t="shared" si="185"/>
        <v>0</v>
      </c>
      <c r="P300" s="475" t="str">
        <f t="shared" si="191"/>
        <v>-</v>
      </c>
      <c r="Q300" s="472" t="str">
        <f t="shared" si="186"/>
        <v>-</v>
      </c>
      <c r="R300" s="472">
        <f t="shared" si="187"/>
        <v>0</v>
      </c>
      <c r="S300" s="490" t="str">
        <f t="shared" si="188"/>
        <v>-</v>
      </c>
      <c r="T300" s="491" t="str">
        <f t="shared" si="189"/>
        <v>-</v>
      </c>
    </row>
    <row r="301" spans="1:20" ht="24" thickBot="1" x14ac:dyDescent="0.35">
      <c r="A301" s="255" t="s">
        <v>101</v>
      </c>
      <c r="B301" s="261" t="s">
        <v>32</v>
      </c>
      <c r="C301" s="492">
        <f t="shared" si="180"/>
        <v>0</v>
      </c>
      <c r="D301" s="257"/>
      <c r="E301" s="258"/>
      <c r="F301" s="493">
        <v>110000</v>
      </c>
      <c r="G301" s="494">
        <f t="shared" si="194"/>
        <v>0</v>
      </c>
      <c r="H301" s="493"/>
      <c r="I301" s="612"/>
      <c r="J301" s="613"/>
      <c r="K301" s="492">
        <f t="shared" si="192"/>
        <v>0</v>
      </c>
      <c r="L301" s="494">
        <f t="shared" si="183"/>
        <v>0</v>
      </c>
      <c r="M301" s="495" t="str">
        <f t="shared" si="193"/>
        <v>-</v>
      </c>
      <c r="N301" s="496">
        <f t="shared" si="190"/>
        <v>0</v>
      </c>
      <c r="O301" s="494">
        <f t="shared" si="185"/>
        <v>0</v>
      </c>
      <c r="P301" s="497" t="str">
        <f t="shared" si="191"/>
        <v>-</v>
      </c>
      <c r="Q301" s="494" t="str">
        <f t="shared" si="186"/>
        <v>-</v>
      </c>
      <c r="R301" s="494">
        <f t="shared" si="187"/>
        <v>0</v>
      </c>
      <c r="S301" s="498" t="str">
        <f t="shared" si="188"/>
        <v>-</v>
      </c>
      <c r="T301" s="499" t="str">
        <f t="shared" si="189"/>
        <v>-</v>
      </c>
    </row>
    <row r="302" spans="1:20" ht="23.4" x14ac:dyDescent="0.3">
      <c r="A302" s="248" t="s">
        <v>102</v>
      </c>
      <c r="B302" s="249" t="s">
        <v>219</v>
      </c>
      <c r="C302" s="470">
        <f t="shared" si="180"/>
        <v>30</v>
      </c>
      <c r="D302" s="250">
        <v>30</v>
      </c>
      <c r="E302" s="251"/>
      <c r="F302" s="471">
        <v>6500</v>
      </c>
      <c r="G302" s="472">
        <f t="shared" si="194"/>
        <v>1252</v>
      </c>
      <c r="H302" s="471">
        <v>1200</v>
      </c>
      <c r="I302" s="611">
        <v>52</v>
      </c>
      <c r="J302" s="610">
        <v>480</v>
      </c>
      <c r="K302" s="470">
        <f t="shared" si="192"/>
        <v>450</v>
      </c>
      <c r="L302" s="472">
        <f t="shared" si="183"/>
        <v>450</v>
      </c>
      <c r="M302" s="473">
        <f t="shared" si="193"/>
        <v>1</v>
      </c>
      <c r="N302" s="474">
        <f t="shared" si="190"/>
        <v>420</v>
      </c>
      <c r="O302" s="472">
        <f t="shared" si="185"/>
        <v>450</v>
      </c>
      <c r="P302" s="475">
        <f t="shared" si="191"/>
        <v>0.93333333333333335</v>
      </c>
      <c r="Q302" s="472">
        <f t="shared" si="186"/>
        <v>400.06389776357827</v>
      </c>
      <c r="R302" s="472">
        <f t="shared" si="187"/>
        <v>420</v>
      </c>
      <c r="S302" s="490">
        <f t="shared" si="188"/>
        <v>0.95253308991328156</v>
      </c>
      <c r="T302" s="491">
        <f t="shared" si="189"/>
        <v>0.88903088391906282</v>
      </c>
    </row>
    <row r="303" spans="1:20" ht="23.4" x14ac:dyDescent="0.3">
      <c r="A303" s="252" t="s">
        <v>102</v>
      </c>
      <c r="B303" s="249" t="s">
        <v>38</v>
      </c>
      <c r="C303" s="470">
        <f t="shared" si="180"/>
        <v>30</v>
      </c>
      <c r="D303" s="250">
        <v>30</v>
      </c>
      <c r="E303" s="251"/>
      <c r="F303" s="471">
        <v>2800</v>
      </c>
      <c r="G303" s="472">
        <f t="shared" si="194"/>
        <v>1790</v>
      </c>
      <c r="H303" s="471">
        <v>1690</v>
      </c>
      <c r="I303" s="611">
        <v>100</v>
      </c>
      <c r="J303" s="610">
        <v>480</v>
      </c>
      <c r="K303" s="470">
        <f t="shared" si="192"/>
        <v>450</v>
      </c>
      <c r="L303" s="472">
        <f t="shared" si="183"/>
        <v>450</v>
      </c>
      <c r="M303" s="473">
        <f t="shared" si="193"/>
        <v>1</v>
      </c>
      <c r="N303" s="474">
        <f t="shared" si="190"/>
        <v>420</v>
      </c>
      <c r="O303" s="472">
        <f t="shared" si="185"/>
        <v>450</v>
      </c>
      <c r="P303" s="475">
        <f t="shared" si="191"/>
        <v>0.93333333333333335</v>
      </c>
      <c r="Q303" s="472">
        <f t="shared" si="186"/>
        <v>393.18435754189943</v>
      </c>
      <c r="R303" s="472">
        <f t="shared" si="187"/>
        <v>420</v>
      </c>
      <c r="S303" s="490">
        <f t="shared" si="188"/>
        <v>0.93615323224261771</v>
      </c>
      <c r="T303" s="491">
        <f t="shared" si="189"/>
        <v>0.8737430167597765</v>
      </c>
    </row>
    <row r="304" spans="1:20" ht="23.4" x14ac:dyDescent="0.3">
      <c r="A304" s="248" t="s">
        <v>102</v>
      </c>
      <c r="B304" s="249" t="s">
        <v>39</v>
      </c>
      <c r="C304" s="470">
        <f t="shared" si="180"/>
        <v>30</v>
      </c>
      <c r="D304" s="250">
        <v>30</v>
      </c>
      <c r="E304" s="251"/>
      <c r="F304" s="471">
        <v>25000</v>
      </c>
      <c r="G304" s="472">
        <f t="shared" si="194"/>
        <v>27057</v>
      </c>
      <c r="H304" s="471">
        <v>26880</v>
      </c>
      <c r="I304" s="611">
        <v>177</v>
      </c>
      <c r="J304" s="610">
        <v>480</v>
      </c>
      <c r="K304" s="470">
        <f t="shared" si="192"/>
        <v>450</v>
      </c>
      <c r="L304" s="472">
        <f t="shared" si="183"/>
        <v>450</v>
      </c>
      <c r="M304" s="473">
        <f t="shared" si="193"/>
        <v>1</v>
      </c>
      <c r="N304" s="474">
        <f t="shared" si="190"/>
        <v>420</v>
      </c>
      <c r="O304" s="472">
        <f t="shared" si="185"/>
        <v>450</v>
      </c>
      <c r="P304" s="475">
        <f t="shared" si="191"/>
        <v>0.93333333333333335</v>
      </c>
      <c r="Q304" s="472">
        <f t="shared" si="186"/>
        <v>416.85996230180729</v>
      </c>
      <c r="R304" s="472">
        <f t="shared" si="187"/>
        <v>420</v>
      </c>
      <c r="S304" s="490">
        <f t="shared" si="188"/>
        <v>0.99252371976620779</v>
      </c>
      <c r="T304" s="491">
        <f t="shared" si="189"/>
        <v>0.926355471781794</v>
      </c>
    </row>
    <row r="305" spans="1:20" ht="47.4" thickBot="1" x14ac:dyDescent="0.35">
      <c r="A305" s="615" t="s">
        <v>102</v>
      </c>
      <c r="B305" s="261" t="s">
        <v>218</v>
      </c>
      <c r="C305" s="616">
        <f t="shared" si="180"/>
        <v>0</v>
      </c>
      <c r="D305" s="617"/>
      <c r="E305" s="618"/>
      <c r="F305" s="619">
        <v>25000</v>
      </c>
      <c r="G305" s="620">
        <f t="shared" si="194"/>
        <v>0</v>
      </c>
      <c r="H305" s="619"/>
      <c r="I305" s="621"/>
      <c r="J305" s="614"/>
      <c r="K305" s="616">
        <f t="shared" si="192"/>
        <v>0</v>
      </c>
      <c r="L305" s="620">
        <f t="shared" si="183"/>
        <v>0</v>
      </c>
      <c r="M305" s="622" t="str">
        <f t="shared" si="193"/>
        <v>-</v>
      </c>
      <c r="N305" s="623">
        <f t="shared" si="190"/>
        <v>0</v>
      </c>
      <c r="O305" s="620">
        <f t="shared" si="185"/>
        <v>0</v>
      </c>
      <c r="P305" s="624" t="str">
        <f t="shared" si="191"/>
        <v>-</v>
      </c>
      <c r="Q305" s="620" t="str">
        <f t="shared" si="186"/>
        <v>-</v>
      </c>
      <c r="R305" s="620">
        <f t="shared" si="187"/>
        <v>0</v>
      </c>
      <c r="S305" s="625" t="str">
        <f t="shared" si="188"/>
        <v>-</v>
      </c>
      <c r="T305" s="626" t="str">
        <f t="shared" si="189"/>
        <v>-</v>
      </c>
    </row>
    <row r="306" spans="1:20" ht="24.6" customHeight="1" x14ac:dyDescent="0.3">
      <c r="A306" s="230"/>
      <c r="B306" s="231"/>
      <c r="C306" s="232"/>
      <c r="D306" s="232"/>
      <c r="E306" s="232"/>
      <c r="F306" s="232"/>
      <c r="G306" s="233"/>
      <c r="H306" s="234"/>
      <c r="I306" s="232"/>
      <c r="J306" s="232"/>
      <c r="K306" s="232"/>
      <c r="L306" s="232"/>
      <c r="M306" s="234"/>
      <c r="N306" s="232"/>
      <c r="O306" s="232"/>
      <c r="P306" s="234"/>
      <c r="Q306" s="232"/>
      <c r="R306" s="232"/>
      <c r="S306" s="234"/>
      <c r="T306" s="234"/>
    </row>
    <row r="307" spans="1:20" ht="24.6" customHeight="1" x14ac:dyDescent="0.3">
      <c r="A307" s="230"/>
      <c r="B307" s="231"/>
      <c r="C307" s="232"/>
      <c r="D307" s="232"/>
      <c r="E307" s="232"/>
      <c r="F307" s="232"/>
      <c r="G307" s="233"/>
      <c r="H307" s="234"/>
      <c r="I307" s="232"/>
      <c r="J307" s="232"/>
      <c r="K307" s="232"/>
      <c r="L307" s="232"/>
      <c r="M307" s="234"/>
      <c r="N307" s="232"/>
      <c r="O307" s="232"/>
      <c r="P307" s="234"/>
      <c r="Q307" s="232"/>
      <c r="R307" s="232"/>
      <c r="S307" s="234"/>
      <c r="T307" s="234"/>
    </row>
    <row r="308" spans="1:20" ht="24.6" customHeight="1" thickBot="1" x14ac:dyDescent="0.35">
      <c r="A308" s="230"/>
      <c r="B308" s="231"/>
      <c r="C308" s="232"/>
      <c r="D308" s="232"/>
      <c r="E308" s="232"/>
      <c r="F308" s="232"/>
      <c r="G308" s="233"/>
      <c r="H308" s="234"/>
      <c r="I308" s="232"/>
      <c r="J308" s="232"/>
      <c r="K308" s="232"/>
      <c r="L308" s="232"/>
      <c r="M308" s="234"/>
      <c r="N308" s="232"/>
      <c r="O308" s="232"/>
      <c r="P308" s="234"/>
      <c r="Q308" s="232"/>
      <c r="R308" s="232"/>
      <c r="S308" s="234"/>
      <c r="T308" s="234"/>
    </row>
    <row r="309" spans="1:20" ht="22.5" customHeight="1" x14ac:dyDescent="0.3">
      <c r="A309" s="1115" t="s">
        <v>1</v>
      </c>
      <c r="B309" s="1115" t="s">
        <v>2</v>
      </c>
      <c r="C309" s="1066" t="s">
        <v>207</v>
      </c>
      <c r="D309" s="1067"/>
      <c r="E309" s="1068"/>
      <c r="F309" s="1066" t="s">
        <v>486</v>
      </c>
      <c r="G309" s="1067"/>
      <c r="H309" s="1067"/>
      <c r="I309" s="1068"/>
      <c r="J309" s="1115" t="s">
        <v>204</v>
      </c>
      <c r="K309" s="1066" t="s">
        <v>192</v>
      </c>
      <c r="L309" s="1067"/>
      <c r="M309" s="1068"/>
      <c r="N309" s="1066" t="s">
        <v>193</v>
      </c>
      <c r="O309" s="1067"/>
      <c r="P309" s="1068"/>
      <c r="Q309" s="1066" t="s">
        <v>194</v>
      </c>
      <c r="R309" s="1067"/>
      <c r="S309" s="1068"/>
      <c r="T309" s="1173" t="s">
        <v>191</v>
      </c>
    </row>
    <row r="310" spans="1:20" ht="87.6" thickBot="1" x14ac:dyDescent="0.35">
      <c r="A310" s="1117"/>
      <c r="B310" s="1117"/>
      <c r="C310" s="235" t="s">
        <v>208</v>
      </c>
      <c r="D310" s="236" t="s">
        <v>205</v>
      </c>
      <c r="E310" s="237" t="s">
        <v>206</v>
      </c>
      <c r="F310" s="238" t="s">
        <v>326</v>
      </c>
      <c r="G310" s="236" t="s">
        <v>201</v>
      </c>
      <c r="H310" s="239" t="s">
        <v>202</v>
      </c>
      <c r="I310" s="240" t="s">
        <v>203</v>
      </c>
      <c r="J310" s="1117"/>
      <c r="K310" s="235" t="s">
        <v>195</v>
      </c>
      <c r="L310" s="239" t="s">
        <v>196</v>
      </c>
      <c r="M310" s="241" t="s">
        <v>209</v>
      </c>
      <c r="N310" s="242" t="s">
        <v>197</v>
      </c>
      <c r="O310" s="239" t="s">
        <v>198</v>
      </c>
      <c r="P310" s="241" t="s">
        <v>210</v>
      </c>
      <c r="Q310" s="235" t="s">
        <v>199</v>
      </c>
      <c r="R310" s="239" t="s">
        <v>200</v>
      </c>
      <c r="S310" s="243" t="s">
        <v>211</v>
      </c>
      <c r="T310" s="1174"/>
    </row>
    <row r="311" spans="1:20" ht="25.5" customHeight="1" x14ac:dyDescent="0.3">
      <c r="A311" s="244" t="s">
        <v>103</v>
      </c>
      <c r="B311" s="245" t="s">
        <v>16</v>
      </c>
      <c r="C311" s="463">
        <f>+D311+E311</f>
        <v>0</v>
      </c>
      <c r="D311" s="246"/>
      <c r="E311" s="247"/>
      <c r="F311" s="600">
        <v>15000</v>
      </c>
      <c r="G311" s="464">
        <f>+H311+I311</f>
        <v>0</v>
      </c>
      <c r="H311" s="604"/>
      <c r="I311" s="606"/>
      <c r="J311" s="609"/>
      <c r="K311" s="463">
        <f>+L311-E311</f>
        <v>0</v>
      </c>
      <c r="L311" s="464">
        <f>+J311-D311</f>
        <v>0</v>
      </c>
      <c r="M311" s="465" t="str">
        <f>IFERROR(K311/L311,"-")</f>
        <v>-</v>
      </c>
      <c r="N311" s="466">
        <f>+O311-C311</f>
        <v>0</v>
      </c>
      <c r="O311" s="464">
        <f>+K311</f>
        <v>0</v>
      </c>
      <c r="P311" s="467" t="str">
        <f>IFERROR(N311/O311,"-")</f>
        <v>-</v>
      </c>
      <c r="Q311" s="464" t="str">
        <f>IFERROR(N311-(J311-(J311*H311/G311)),"-")</f>
        <v>-</v>
      </c>
      <c r="R311" s="464">
        <f>+N311</f>
        <v>0</v>
      </c>
      <c r="S311" s="468" t="str">
        <f>IFERROR(Q311/R311,"-")</f>
        <v>-</v>
      </c>
      <c r="T311" s="469" t="str">
        <f>IFERROR(M311*P311*S311,"-")</f>
        <v>-</v>
      </c>
    </row>
    <row r="312" spans="1:20" ht="25.5" customHeight="1" x14ac:dyDescent="0.3">
      <c r="A312" s="248" t="s">
        <v>103</v>
      </c>
      <c r="B312" s="249" t="s">
        <v>215</v>
      </c>
      <c r="C312" s="470">
        <f t="shared" ref="C312:C326" si="195">+D312+E312</f>
        <v>210</v>
      </c>
      <c r="D312" s="250">
        <v>30</v>
      </c>
      <c r="E312" s="251">
        <v>180</v>
      </c>
      <c r="F312" s="601">
        <v>100000</v>
      </c>
      <c r="G312" s="472">
        <f t="shared" ref="G312:G317" si="196">+H312+I312</f>
        <v>18602</v>
      </c>
      <c r="H312" s="254">
        <v>18360</v>
      </c>
      <c r="I312" s="607">
        <v>242</v>
      </c>
      <c r="J312" s="610">
        <v>480</v>
      </c>
      <c r="K312" s="470">
        <f t="shared" ref="K312:K315" si="197">+L312-E312</f>
        <v>270</v>
      </c>
      <c r="L312" s="472">
        <f t="shared" ref="L312:L326" si="198">+J312-D312</f>
        <v>450</v>
      </c>
      <c r="M312" s="473">
        <f t="shared" ref="M312:M315" si="199">IFERROR(K312/L312,"-")</f>
        <v>0.6</v>
      </c>
      <c r="N312" s="474">
        <f>+O312-C312</f>
        <v>60</v>
      </c>
      <c r="O312" s="472">
        <f t="shared" ref="O312:O326" si="200">+K312</f>
        <v>270</v>
      </c>
      <c r="P312" s="475">
        <f>IFERROR(N312/O312,"-")</f>
        <v>0.22222222222222221</v>
      </c>
      <c r="Q312" s="472">
        <f t="shared" ref="Q312:Q326" si="201">IFERROR(N312-(J312-(J312*H312/G312)),"-")</f>
        <v>53.755510160197844</v>
      </c>
      <c r="R312" s="472">
        <f t="shared" ref="R312:R326" si="202">+N312</f>
        <v>60</v>
      </c>
      <c r="S312" s="476">
        <f t="shared" ref="S312:S326" si="203">IFERROR(Q312/R312,"-")</f>
        <v>0.89592516933663069</v>
      </c>
      <c r="T312" s="477">
        <f t="shared" ref="T312:T326" si="204">IFERROR(M312*P312*S312,"-")</f>
        <v>0.11945668924488409</v>
      </c>
    </row>
    <row r="313" spans="1:20" ht="23.4" x14ac:dyDescent="0.3">
      <c r="A313" s="248" t="s">
        <v>103</v>
      </c>
      <c r="B313" s="249" t="s">
        <v>214</v>
      </c>
      <c r="C313" s="470">
        <f t="shared" si="195"/>
        <v>0</v>
      </c>
      <c r="D313" s="250"/>
      <c r="E313" s="251"/>
      <c r="F313" s="601">
        <v>80000</v>
      </c>
      <c r="G313" s="472">
        <f t="shared" si="196"/>
        <v>0</v>
      </c>
      <c r="H313" s="254"/>
      <c r="I313" s="607"/>
      <c r="J313" s="610"/>
      <c r="K313" s="470">
        <f t="shared" si="197"/>
        <v>0</v>
      </c>
      <c r="L313" s="472">
        <f t="shared" si="198"/>
        <v>0</v>
      </c>
      <c r="M313" s="473" t="str">
        <f t="shared" si="199"/>
        <v>-</v>
      </c>
      <c r="N313" s="474">
        <f t="shared" ref="N313:N326" si="205">+O313-C313</f>
        <v>0</v>
      </c>
      <c r="O313" s="472">
        <f t="shared" si="200"/>
        <v>0</v>
      </c>
      <c r="P313" s="475" t="str">
        <f t="shared" ref="P313:P326" si="206">IFERROR(N313/O313,"-")</f>
        <v>-</v>
      </c>
      <c r="Q313" s="472" t="str">
        <f t="shared" si="201"/>
        <v>-</v>
      </c>
      <c r="R313" s="472">
        <f t="shared" si="202"/>
        <v>0</v>
      </c>
      <c r="S313" s="476" t="str">
        <f t="shared" si="203"/>
        <v>-</v>
      </c>
      <c r="T313" s="477" t="str">
        <f t="shared" si="204"/>
        <v>-</v>
      </c>
    </row>
    <row r="314" spans="1:20" ht="23.4" x14ac:dyDescent="0.3">
      <c r="A314" s="252" t="s">
        <v>103</v>
      </c>
      <c r="B314" s="249" t="s">
        <v>217</v>
      </c>
      <c r="C314" s="470">
        <f t="shared" si="195"/>
        <v>120</v>
      </c>
      <c r="D314" s="250">
        <f>30+30</f>
        <v>60</v>
      </c>
      <c r="E314" s="251">
        <v>60</v>
      </c>
      <c r="F314" s="601">
        <v>220000</v>
      </c>
      <c r="G314" s="472">
        <f t="shared" si="196"/>
        <v>169435</v>
      </c>
      <c r="H314" s="254">
        <v>168960</v>
      </c>
      <c r="I314" s="607">
        <v>475</v>
      </c>
      <c r="J314" s="610">
        <v>960</v>
      </c>
      <c r="K314" s="470">
        <f t="shared" si="197"/>
        <v>840</v>
      </c>
      <c r="L314" s="472">
        <f t="shared" si="198"/>
        <v>900</v>
      </c>
      <c r="M314" s="473">
        <f t="shared" si="199"/>
        <v>0.93333333333333335</v>
      </c>
      <c r="N314" s="474">
        <f t="shared" si="205"/>
        <v>720</v>
      </c>
      <c r="O314" s="472">
        <f t="shared" si="200"/>
        <v>840</v>
      </c>
      <c r="P314" s="475">
        <f t="shared" si="206"/>
        <v>0.8571428571428571</v>
      </c>
      <c r="Q314" s="472">
        <f t="shared" si="201"/>
        <v>717.30870245226788</v>
      </c>
      <c r="R314" s="472">
        <f t="shared" si="202"/>
        <v>720</v>
      </c>
      <c r="S314" s="476">
        <f t="shared" si="203"/>
        <v>0.99626208673926098</v>
      </c>
      <c r="T314" s="477">
        <f t="shared" si="204"/>
        <v>0.79700966939140871</v>
      </c>
    </row>
    <row r="315" spans="1:20" ht="23.4" x14ac:dyDescent="0.3">
      <c r="A315" s="248" t="s">
        <v>103</v>
      </c>
      <c r="B315" s="249" t="s">
        <v>216</v>
      </c>
      <c r="C315" s="470">
        <f t="shared" si="195"/>
        <v>0</v>
      </c>
      <c r="D315" s="250"/>
      <c r="E315" s="251"/>
      <c r="F315" s="601">
        <v>50000</v>
      </c>
      <c r="G315" s="472">
        <f t="shared" si="196"/>
        <v>0</v>
      </c>
      <c r="H315" s="254"/>
      <c r="I315" s="607"/>
      <c r="J315" s="610"/>
      <c r="K315" s="470">
        <f t="shared" si="197"/>
        <v>0</v>
      </c>
      <c r="L315" s="472">
        <f t="shared" si="198"/>
        <v>0</v>
      </c>
      <c r="M315" s="473" t="str">
        <f t="shared" si="199"/>
        <v>-</v>
      </c>
      <c r="N315" s="474">
        <f t="shared" si="205"/>
        <v>0</v>
      </c>
      <c r="O315" s="472">
        <f t="shared" si="200"/>
        <v>0</v>
      </c>
      <c r="P315" s="475" t="str">
        <f t="shared" si="206"/>
        <v>-</v>
      </c>
      <c r="Q315" s="472" t="str">
        <f t="shared" si="201"/>
        <v>-</v>
      </c>
      <c r="R315" s="472">
        <f t="shared" si="202"/>
        <v>0</v>
      </c>
      <c r="S315" s="476" t="str">
        <f t="shared" si="203"/>
        <v>-</v>
      </c>
      <c r="T315" s="477" t="str">
        <f t="shared" si="204"/>
        <v>-</v>
      </c>
    </row>
    <row r="316" spans="1:20" ht="23.4" x14ac:dyDescent="0.3">
      <c r="A316" s="248">
        <v>5</v>
      </c>
      <c r="B316" s="249" t="s">
        <v>22</v>
      </c>
      <c r="C316" s="470">
        <f t="shared" si="195"/>
        <v>0</v>
      </c>
      <c r="D316" s="250"/>
      <c r="E316" s="251"/>
      <c r="F316" s="601">
        <v>80000</v>
      </c>
      <c r="G316" s="472">
        <f t="shared" si="196"/>
        <v>0</v>
      </c>
      <c r="H316" s="471"/>
      <c r="I316" s="611"/>
      <c r="J316" s="610"/>
      <c r="K316" s="470">
        <f>+L316-E316</f>
        <v>0</v>
      </c>
      <c r="L316" s="472">
        <f t="shared" si="198"/>
        <v>0</v>
      </c>
      <c r="M316" s="473" t="str">
        <f>IFERROR(K316/L316,"-")</f>
        <v>-</v>
      </c>
      <c r="N316" s="474">
        <f t="shared" si="205"/>
        <v>0</v>
      </c>
      <c r="O316" s="472">
        <f t="shared" si="200"/>
        <v>0</v>
      </c>
      <c r="P316" s="475" t="str">
        <f t="shared" si="206"/>
        <v>-</v>
      </c>
      <c r="Q316" s="472" t="str">
        <f t="shared" si="201"/>
        <v>-</v>
      </c>
      <c r="R316" s="472">
        <f t="shared" si="202"/>
        <v>0</v>
      </c>
      <c r="S316" s="476" t="str">
        <f t="shared" si="203"/>
        <v>-</v>
      </c>
      <c r="T316" s="477" t="str">
        <f t="shared" si="204"/>
        <v>-</v>
      </c>
    </row>
    <row r="317" spans="1:20" ht="23.4" x14ac:dyDescent="0.3">
      <c r="A317" s="248" t="s">
        <v>103</v>
      </c>
      <c r="B317" s="249" t="s">
        <v>23</v>
      </c>
      <c r="C317" s="470">
        <f t="shared" si="195"/>
        <v>0</v>
      </c>
      <c r="D317" s="250"/>
      <c r="E317" s="251"/>
      <c r="F317" s="601">
        <v>14000</v>
      </c>
      <c r="G317" s="472">
        <f t="shared" si="196"/>
        <v>0</v>
      </c>
      <c r="H317" s="254"/>
      <c r="I317" s="607"/>
      <c r="J317" s="610"/>
      <c r="K317" s="470">
        <f t="shared" ref="K317:K326" si="207">+L317-E317</f>
        <v>0</v>
      </c>
      <c r="L317" s="472">
        <f t="shared" si="198"/>
        <v>0</v>
      </c>
      <c r="M317" s="473" t="str">
        <f t="shared" ref="M317:M326" si="208">IFERROR(K317/L317,"-")</f>
        <v>-</v>
      </c>
      <c r="N317" s="474">
        <f t="shared" si="205"/>
        <v>0</v>
      </c>
      <c r="O317" s="472">
        <f t="shared" si="200"/>
        <v>0</v>
      </c>
      <c r="P317" s="475" t="str">
        <f t="shared" si="206"/>
        <v>-</v>
      </c>
      <c r="Q317" s="472" t="str">
        <f t="shared" si="201"/>
        <v>-</v>
      </c>
      <c r="R317" s="472">
        <f t="shared" si="202"/>
        <v>0</v>
      </c>
      <c r="S317" s="476" t="str">
        <f t="shared" si="203"/>
        <v>-</v>
      </c>
      <c r="T317" s="477" t="str">
        <f t="shared" si="204"/>
        <v>-</v>
      </c>
    </row>
    <row r="318" spans="1:20" ht="24" thickBot="1" x14ac:dyDescent="0.35">
      <c r="A318" s="248" t="s">
        <v>103</v>
      </c>
      <c r="B318" s="253" t="s">
        <v>212</v>
      </c>
      <c r="C318" s="478">
        <f t="shared" si="195"/>
        <v>780</v>
      </c>
      <c r="D318" s="250"/>
      <c r="E318" s="251">
        <v>780</v>
      </c>
      <c r="F318" s="601">
        <v>4500</v>
      </c>
      <c r="G318" s="472">
        <f>+H318+I318</f>
        <v>4734</v>
      </c>
      <c r="H318" s="259">
        <v>4717</v>
      </c>
      <c r="I318" s="608">
        <v>17</v>
      </c>
      <c r="J318" s="610">
        <v>960</v>
      </c>
      <c r="K318" s="478">
        <f t="shared" si="207"/>
        <v>180</v>
      </c>
      <c r="L318" s="250">
        <f t="shared" si="198"/>
        <v>960</v>
      </c>
      <c r="M318" s="479">
        <f t="shared" si="208"/>
        <v>0.1875</v>
      </c>
      <c r="N318" s="480">
        <f t="shared" si="205"/>
        <v>-600</v>
      </c>
      <c r="O318" s="250">
        <f t="shared" si="200"/>
        <v>180</v>
      </c>
      <c r="P318" s="481">
        <f t="shared" si="206"/>
        <v>-3.3333333333333335</v>
      </c>
      <c r="Q318" s="250">
        <f t="shared" si="201"/>
        <v>-603.44740177439792</v>
      </c>
      <c r="R318" s="250">
        <f t="shared" si="202"/>
        <v>-600</v>
      </c>
      <c r="S318" s="482">
        <f t="shared" si="203"/>
        <v>1.0057456696239966</v>
      </c>
      <c r="T318" s="483">
        <f t="shared" si="204"/>
        <v>-0.62859104351499784</v>
      </c>
    </row>
    <row r="319" spans="1:20" ht="24" thickBot="1" x14ac:dyDescent="0.35">
      <c r="A319" s="255" t="s">
        <v>103</v>
      </c>
      <c r="B319" s="256" t="s">
        <v>213</v>
      </c>
      <c r="C319" s="484">
        <f t="shared" si="195"/>
        <v>90</v>
      </c>
      <c r="D319" s="257">
        <v>30</v>
      </c>
      <c r="E319" s="258">
        <v>60</v>
      </c>
      <c r="F319" s="605">
        <v>5000</v>
      </c>
      <c r="G319" s="494">
        <f t="shared" ref="G319:G326" si="209">+H319+I319</f>
        <v>11000</v>
      </c>
      <c r="H319" s="259">
        <v>10958</v>
      </c>
      <c r="I319" s="608">
        <v>42</v>
      </c>
      <c r="J319" s="613">
        <v>480</v>
      </c>
      <c r="K319" s="484">
        <f t="shared" si="207"/>
        <v>390</v>
      </c>
      <c r="L319" s="257">
        <f t="shared" si="198"/>
        <v>450</v>
      </c>
      <c r="M319" s="485">
        <f t="shared" si="208"/>
        <v>0.8666666666666667</v>
      </c>
      <c r="N319" s="486">
        <f t="shared" si="205"/>
        <v>300</v>
      </c>
      <c r="O319" s="257">
        <f t="shared" si="200"/>
        <v>390</v>
      </c>
      <c r="P319" s="487">
        <f t="shared" si="206"/>
        <v>0.76923076923076927</v>
      </c>
      <c r="Q319" s="257">
        <f t="shared" si="201"/>
        <v>298.16727272727275</v>
      </c>
      <c r="R319" s="257">
        <f t="shared" si="202"/>
        <v>300</v>
      </c>
      <c r="S319" s="488">
        <f t="shared" si="203"/>
        <v>0.99389090909090916</v>
      </c>
      <c r="T319" s="489">
        <f t="shared" si="204"/>
        <v>0.66259393939393951</v>
      </c>
    </row>
    <row r="320" spans="1:20" ht="23.4" x14ac:dyDescent="0.3">
      <c r="A320" s="252" t="s">
        <v>101</v>
      </c>
      <c r="B320" s="260" t="s">
        <v>29</v>
      </c>
      <c r="C320" s="470">
        <f t="shared" si="195"/>
        <v>175</v>
      </c>
      <c r="D320" s="250">
        <v>175</v>
      </c>
      <c r="E320" s="251"/>
      <c r="F320" s="471">
        <v>160000</v>
      </c>
      <c r="G320" s="472">
        <f t="shared" si="209"/>
        <v>0</v>
      </c>
      <c r="H320" s="471"/>
      <c r="I320" s="611"/>
      <c r="J320" s="703">
        <v>1440</v>
      </c>
      <c r="K320" s="470">
        <f t="shared" si="207"/>
        <v>1265</v>
      </c>
      <c r="L320" s="472">
        <f t="shared" si="198"/>
        <v>1265</v>
      </c>
      <c r="M320" s="473">
        <f t="shared" si="208"/>
        <v>1</v>
      </c>
      <c r="N320" s="474">
        <f t="shared" si="205"/>
        <v>1090</v>
      </c>
      <c r="O320" s="472">
        <f t="shared" si="200"/>
        <v>1265</v>
      </c>
      <c r="P320" s="475">
        <f t="shared" si="206"/>
        <v>0.86166007905138342</v>
      </c>
      <c r="Q320" s="472" t="str">
        <f t="shared" si="201"/>
        <v>-</v>
      </c>
      <c r="R320" s="472">
        <f t="shared" si="202"/>
        <v>1090</v>
      </c>
      <c r="S320" s="490" t="str">
        <f t="shared" si="203"/>
        <v>-</v>
      </c>
      <c r="T320" s="491" t="str">
        <f t="shared" si="204"/>
        <v>-</v>
      </c>
    </row>
    <row r="321" spans="1:20" ht="22.5" customHeight="1" x14ac:dyDescent="0.3">
      <c r="A321" s="248" t="s">
        <v>101</v>
      </c>
      <c r="B321" s="260" t="s">
        <v>31</v>
      </c>
      <c r="C321" s="470">
        <f t="shared" si="195"/>
        <v>0</v>
      </c>
      <c r="D321" s="707"/>
      <c r="E321" s="251"/>
      <c r="F321" s="471">
        <v>50000</v>
      </c>
      <c r="G321" s="472">
        <f t="shared" si="209"/>
        <v>0</v>
      </c>
      <c r="H321" s="471"/>
      <c r="I321" s="611"/>
      <c r="J321" s="610"/>
      <c r="K321" s="470">
        <f t="shared" si="207"/>
        <v>0</v>
      </c>
      <c r="L321" s="472">
        <f t="shared" si="198"/>
        <v>0</v>
      </c>
      <c r="M321" s="473" t="str">
        <f t="shared" si="208"/>
        <v>-</v>
      </c>
      <c r="N321" s="474">
        <f t="shared" si="205"/>
        <v>0</v>
      </c>
      <c r="O321" s="472">
        <f t="shared" si="200"/>
        <v>0</v>
      </c>
      <c r="P321" s="475" t="str">
        <f t="shared" si="206"/>
        <v>-</v>
      </c>
      <c r="Q321" s="472" t="str">
        <f t="shared" si="201"/>
        <v>-</v>
      </c>
      <c r="R321" s="472">
        <f t="shared" si="202"/>
        <v>0</v>
      </c>
      <c r="S321" s="490" t="str">
        <f t="shared" si="203"/>
        <v>-</v>
      </c>
      <c r="T321" s="491" t="str">
        <f t="shared" si="204"/>
        <v>-</v>
      </c>
    </row>
    <row r="322" spans="1:20" ht="24" thickBot="1" x14ac:dyDescent="0.35">
      <c r="A322" s="255" t="s">
        <v>101</v>
      </c>
      <c r="B322" s="261" t="s">
        <v>32</v>
      </c>
      <c r="C322" s="492">
        <f t="shared" si="195"/>
        <v>0</v>
      </c>
      <c r="D322" s="257"/>
      <c r="E322" s="258"/>
      <c r="F322" s="493">
        <v>110000</v>
      </c>
      <c r="G322" s="494">
        <f t="shared" si="209"/>
        <v>0</v>
      </c>
      <c r="H322" s="493"/>
      <c r="I322" s="612"/>
      <c r="J322" s="613"/>
      <c r="K322" s="492">
        <f t="shared" si="207"/>
        <v>0</v>
      </c>
      <c r="L322" s="494">
        <f t="shared" si="198"/>
        <v>0</v>
      </c>
      <c r="M322" s="495" t="str">
        <f t="shared" si="208"/>
        <v>-</v>
      </c>
      <c r="N322" s="496">
        <f t="shared" si="205"/>
        <v>0</v>
      </c>
      <c r="O322" s="494">
        <f t="shared" si="200"/>
        <v>0</v>
      </c>
      <c r="P322" s="497" t="str">
        <f t="shared" si="206"/>
        <v>-</v>
      </c>
      <c r="Q322" s="494" t="str">
        <f t="shared" si="201"/>
        <v>-</v>
      </c>
      <c r="R322" s="494">
        <f t="shared" si="202"/>
        <v>0</v>
      </c>
      <c r="S322" s="498" t="str">
        <f t="shared" si="203"/>
        <v>-</v>
      </c>
      <c r="T322" s="499" t="str">
        <f t="shared" si="204"/>
        <v>-</v>
      </c>
    </row>
    <row r="323" spans="1:20" ht="23.4" x14ac:dyDescent="0.3">
      <c r="A323" s="248" t="s">
        <v>102</v>
      </c>
      <c r="B323" s="249" t="s">
        <v>219</v>
      </c>
      <c r="C323" s="470">
        <f t="shared" si="195"/>
        <v>30</v>
      </c>
      <c r="D323" s="250">
        <v>30</v>
      </c>
      <c r="E323" s="251"/>
      <c r="F323" s="471">
        <v>6500</v>
      </c>
      <c r="G323" s="472">
        <f t="shared" si="209"/>
        <v>745</v>
      </c>
      <c r="H323" s="471">
        <v>700</v>
      </c>
      <c r="I323" s="611">
        <v>45</v>
      </c>
      <c r="J323" s="610">
        <v>480</v>
      </c>
      <c r="K323" s="470">
        <f t="shared" si="207"/>
        <v>450</v>
      </c>
      <c r="L323" s="472">
        <f t="shared" si="198"/>
        <v>450</v>
      </c>
      <c r="M323" s="473">
        <f t="shared" si="208"/>
        <v>1</v>
      </c>
      <c r="N323" s="474">
        <f t="shared" si="205"/>
        <v>420</v>
      </c>
      <c r="O323" s="472">
        <f t="shared" si="200"/>
        <v>450</v>
      </c>
      <c r="P323" s="475">
        <f t="shared" si="206"/>
        <v>0.93333333333333335</v>
      </c>
      <c r="Q323" s="472">
        <f t="shared" si="201"/>
        <v>391.00671140939596</v>
      </c>
      <c r="R323" s="472">
        <f t="shared" si="202"/>
        <v>420</v>
      </c>
      <c r="S323" s="490">
        <f t="shared" si="203"/>
        <v>0.9309683604985618</v>
      </c>
      <c r="T323" s="491">
        <f t="shared" si="204"/>
        <v>0.868903803131991</v>
      </c>
    </row>
    <row r="324" spans="1:20" ht="23.4" x14ac:dyDescent="0.3">
      <c r="A324" s="252" t="s">
        <v>102</v>
      </c>
      <c r="B324" s="249" t="s">
        <v>38</v>
      </c>
      <c r="C324" s="470">
        <f t="shared" si="195"/>
        <v>30</v>
      </c>
      <c r="D324" s="250">
        <v>30</v>
      </c>
      <c r="E324" s="251"/>
      <c r="F324" s="471">
        <v>2800</v>
      </c>
      <c r="G324" s="472">
        <f t="shared" si="209"/>
        <v>870</v>
      </c>
      <c r="H324" s="471">
        <v>800</v>
      </c>
      <c r="I324" s="611">
        <v>70</v>
      </c>
      <c r="J324" s="610">
        <v>480</v>
      </c>
      <c r="K324" s="470">
        <f t="shared" si="207"/>
        <v>450</v>
      </c>
      <c r="L324" s="472">
        <f t="shared" si="198"/>
        <v>450</v>
      </c>
      <c r="M324" s="473">
        <f t="shared" si="208"/>
        <v>1</v>
      </c>
      <c r="N324" s="474">
        <f t="shared" si="205"/>
        <v>420</v>
      </c>
      <c r="O324" s="472">
        <f t="shared" si="200"/>
        <v>450</v>
      </c>
      <c r="P324" s="475">
        <f t="shared" si="206"/>
        <v>0.93333333333333335</v>
      </c>
      <c r="Q324" s="472">
        <f t="shared" si="201"/>
        <v>381.37931034482756</v>
      </c>
      <c r="R324" s="472">
        <f t="shared" si="202"/>
        <v>420</v>
      </c>
      <c r="S324" s="490">
        <f t="shared" si="203"/>
        <v>0.90804597701149414</v>
      </c>
      <c r="T324" s="491">
        <f t="shared" si="204"/>
        <v>0.84750957854406117</v>
      </c>
    </row>
    <row r="325" spans="1:20" ht="23.4" x14ac:dyDescent="0.3">
      <c r="A325" s="248" t="s">
        <v>102</v>
      </c>
      <c r="B325" s="249" t="s">
        <v>39</v>
      </c>
      <c r="C325" s="470">
        <f t="shared" si="195"/>
        <v>30</v>
      </c>
      <c r="D325" s="250">
        <v>30</v>
      </c>
      <c r="E325" s="251"/>
      <c r="F325" s="471">
        <v>25000</v>
      </c>
      <c r="G325" s="472">
        <f t="shared" si="209"/>
        <v>25326</v>
      </c>
      <c r="H325" s="471">
        <v>25200</v>
      </c>
      <c r="I325" s="611">
        <v>126</v>
      </c>
      <c r="J325" s="610">
        <v>480</v>
      </c>
      <c r="K325" s="470">
        <f t="shared" si="207"/>
        <v>450</v>
      </c>
      <c r="L325" s="472">
        <f t="shared" si="198"/>
        <v>450</v>
      </c>
      <c r="M325" s="473">
        <f t="shared" si="208"/>
        <v>1</v>
      </c>
      <c r="N325" s="474">
        <f t="shared" si="205"/>
        <v>420</v>
      </c>
      <c r="O325" s="472">
        <f t="shared" si="200"/>
        <v>450</v>
      </c>
      <c r="P325" s="475">
        <f t="shared" si="206"/>
        <v>0.93333333333333335</v>
      </c>
      <c r="Q325" s="472">
        <f t="shared" si="201"/>
        <v>417.61194029850748</v>
      </c>
      <c r="R325" s="472">
        <f t="shared" si="202"/>
        <v>420</v>
      </c>
      <c r="S325" s="490">
        <f t="shared" si="203"/>
        <v>0.99431414356787495</v>
      </c>
      <c r="T325" s="491">
        <f t="shared" si="204"/>
        <v>0.92802653399668333</v>
      </c>
    </row>
    <row r="326" spans="1:20" ht="47.4" thickBot="1" x14ac:dyDescent="0.35">
      <c r="A326" s="615" t="s">
        <v>102</v>
      </c>
      <c r="B326" s="261" t="s">
        <v>218</v>
      </c>
      <c r="C326" s="616">
        <f t="shared" si="195"/>
        <v>0</v>
      </c>
      <c r="D326" s="617"/>
      <c r="E326" s="618"/>
      <c r="F326" s="619">
        <v>25000</v>
      </c>
      <c r="G326" s="620">
        <f t="shared" si="209"/>
        <v>11826</v>
      </c>
      <c r="H326" s="619">
        <v>11400</v>
      </c>
      <c r="I326" s="621">
        <v>426</v>
      </c>
      <c r="J326" s="614"/>
      <c r="K326" s="616">
        <f t="shared" si="207"/>
        <v>0</v>
      </c>
      <c r="L326" s="620">
        <f t="shared" si="198"/>
        <v>0</v>
      </c>
      <c r="M326" s="622" t="str">
        <f t="shared" si="208"/>
        <v>-</v>
      </c>
      <c r="N326" s="623">
        <f t="shared" si="205"/>
        <v>0</v>
      </c>
      <c r="O326" s="620">
        <f t="shared" si="200"/>
        <v>0</v>
      </c>
      <c r="P326" s="624" t="str">
        <f t="shared" si="206"/>
        <v>-</v>
      </c>
      <c r="Q326" s="620">
        <f t="shared" si="201"/>
        <v>0</v>
      </c>
      <c r="R326" s="620">
        <f t="shared" si="202"/>
        <v>0</v>
      </c>
      <c r="S326" s="625" t="str">
        <f t="shared" si="203"/>
        <v>-</v>
      </c>
      <c r="T326" s="626" t="str">
        <f t="shared" si="204"/>
        <v>-</v>
      </c>
    </row>
    <row r="327" spans="1:20" ht="24.6" customHeight="1" x14ac:dyDescent="0.3">
      <c r="A327" s="230"/>
      <c r="B327" s="231"/>
      <c r="C327" s="232"/>
      <c r="D327" s="232"/>
      <c r="E327" s="232"/>
      <c r="F327" s="232"/>
      <c r="G327" s="233"/>
      <c r="H327" s="234"/>
      <c r="I327" s="232"/>
      <c r="J327" s="232"/>
      <c r="K327" s="232"/>
      <c r="L327" s="232"/>
      <c r="M327" s="234"/>
      <c r="N327" s="232"/>
      <c r="O327" s="232"/>
      <c r="P327" s="234"/>
      <c r="Q327" s="232"/>
      <c r="R327" s="232"/>
      <c r="S327" s="234"/>
      <c r="T327" s="234"/>
    </row>
    <row r="328" spans="1:20" ht="24.6" customHeight="1" thickBot="1" x14ac:dyDescent="0.35">
      <c r="A328" s="230"/>
      <c r="B328" s="231"/>
      <c r="C328" s="232"/>
      <c r="D328" s="232"/>
      <c r="E328" s="232"/>
      <c r="F328" s="232"/>
      <c r="G328" s="233"/>
      <c r="H328" s="234"/>
      <c r="I328" s="232"/>
      <c r="J328" s="232"/>
      <c r="K328" s="232"/>
      <c r="L328" s="232"/>
      <c r="M328" s="234"/>
      <c r="N328" s="232"/>
      <c r="O328" s="232"/>
      <c r="P328" s="234"/>
      <c r="Q328" s="232"/>
      <c r="R328" s="232"/>
      <c r="S328" s="234"/>
      <c r="T328" s="234"/>
    </row>
    <row r="329" spans="1:20" ht="22.5" customHeight="1" x14ac:dyDescent="0.3">
      <c r="A329" s="1115" t="s">
        <v>1</v>
      </c>
      <c r="B329" s="1115" t="s">
        <v>2</v>
      </c>
      <c r="C329" s="1066" t="s">
        <v>207</v>
      </c>
      <c r="D329" s="1067"/>
      <c r="E329" s="1068"/>
      <c r="F329" s="1066" t="s">
        <v>478</v>
      </c>
      <c r="G329" s="1067"/>
      <c r="H329" s="1067"/>
      <c r="I329" s="1068"/>
      <c r="J329" s="1115" t="s">
        <v>204</v>
      </c>
      <c r="K329" s="1066" t="s">
        <v>192</v>
      </c>
      <c r="L329" s="1067"/>
      <c r="M329" s="1068"/>
      <c r="N329" s="1066" t="s">
        <v>193</v>
      </c>
      <c r="O329" s="1067"/>
      <c r="P329" s="1068"/>
      <c r="Q329" s="1066" t="s">
        <v>194</v>
      </c>
      <c r="R329" s="1067"/>
      <c r="S329" s="1068"/>
      <c r="T329" s="1173" t="s">
        <v>191</v>
      </c>
    </row>
    <row r="330" spans="1:20" ht="87.6" thickBot="1" x14ac:dyDescent="0.35">
      <c r="A330" s="1117"/>
      <c r="B330" s="1117"/>
      <c r="C330" s="235" t="s">
        <v>208</v>
      </c>
      <c r="D330" s="236" t="s">
        <v>205</v>
      </c>
      <c r="E330" s="237" t="s">
        <v>206</v>
      </c>
      <c r="F330" s="238" t="s">
        <v>326</v>
      </c>
      <c r="G330" s="236" t="s">
        <v>201</v>
      </c>
      <c r="H330" s="239" t="s">
        <v>202</v>
      </c>
      <c r="I330" s="240" t="s">
        <v>203</v>
      </c>
      <c r="J330" s="1117"/>
      <c r="K330" s="235" t="s">
        <v>195</v>
      </c>
      <c r="L330" s="239" t="s">
        <v>196</v>
      </c>
      <c r="M330" s="241" t="s">
        <v>209</v>
      </c>
      <c r="N330" s="242" t="s">
        <v>197</v>
      </c>
      <c r="O330" s="239" t="s">
        <v>198</v>
      </c>
      <c r="P330" s="241" t="s">
        <v>210</v>
      </c>
      <c r="Q330" s="235" t="s">
        <v>199</v>
      </c>
      <c r="R330" s="239" t="s">
        <v>200</v>
      </c>
      <c r="S330" s="243" t="s">
        <v>211</v>
      </c>
      <c r="T330" s="1174"/>
    </row>
    <row r="331" spans="1:20" ht="25.5" customHeight="1" x14ac:dyDescent="0.3">
      <c r="A331" s="244" t="s">
        <v>103</v>
      </c>
      <c r="B331" s="245" t="s">
        <v>16</v>
      </c>
      <c r="C331" s="463">
        <f>+D331+E331</f>
        <v>0</v>
      </c>
      <c r="D331" s="246"/>
      <c r="E331" s="247"/>
      <c r="F331" s="600">
        <v>15000</v>
      </c>
      <c r="G331" s="464">
        <f>+H331+I331</f>
        <v>0</v>
      </c>
      <c r="H331" s="604"/>
      <c r="I331" s="606"/>
      <c r="J331" s="609"/>
      <c r="K331" s="463">
        <f>+L331-E331</f>
        <v>0</v>
      </c>
      <c r="L331" s="464">
        <f>+J331-D331</f>
        <v>0</v>
      </c>
      <c r="M331" s="465" t="str">
        <f>IFERROR(K331/L331,"-")</f>
        <v>-</v>
      </c>
      <c r="N331" s="466">
        <f>+O331-C331</f>
        <v>0</v>
      </c>
      <c r="O331" s="464">
        <f>+K331</f>
        <v>0</v>
      </c>
      <c r="P331" s="467" t="str">
        <f>IFERROR(N331/O331,"-")</f>
        <v>-</v>
      </c>
      <c r="Q331" s="464" t="str">
        <f>IFERROR(N331-(J331-(J331*H331/G331)),"-")</f>
        <v>-</v>
      </c>
      <c r="R331" s="464">
        <f>+N331</f>
        <v>0</v>
      </c>
      <c r="S331" s="468" t="str">
        <f>IFERROR(Q331/R331,"-")</f>
        <v>-</v>
      </c>
      <c r="T331" s="469" t="str">
        <f>IFERROR(M331*P331*S331,"-")</f>
        <v>-</v>
      </c>
    </row>
    <row r="332" spans="1:20" ht="25.5" customHeight="1" x14ac:dyDescent="0.3">
      <c r="A332" s="248" t="s">
        <v>103</v>
      </c>
      <c r="B332" s="249" t="s">
        <v>215</v>
      </c>
      <c r="C332" s="470">
        <f t="shared" ref="C332:C346" si="210">+D332+E332</f>
        <v>240</v>
      </c>
      <c r="D332" s="250">
        <v>30</v>
      </c>
      <c r="E332" s="251">
        <v>210</v>
      </c>
      <c r="F332" s="601">
        <v>100000</v>
      </c>
      <c r="G332" s="472">
        <f t="shared" ref="G332:G337" si="211">+H332+I332</f>
        <v>6352</v>
      </c>
      <c r="H332" s="254">
        <v>6120</v>
      </c>
      <c r="I332" s="607">
        <v>232</v>
      </c>
      <c r="J332" s="610">
        <v>480</v>
      </c>
      <c r="K332" s="470">
        <f t="shared" ref="K332:K335" si="212">+L332-E332</f>
        <v>240</v>
      </c>
      <c r="L332" s="472">
        <f t="shared" ref="L332:L346" si="213">+J332-D332</f>
        <v>450</v>
      </c>
      <c r="M332" s="473">
        <f t="shared" ref="M332:M335" si="214">IFERROR(K332/L332,"-")</f>
        <v>0.53333333333333333</v>
      </c>
      <c r="N332" s="474">
        <f>+O332-C332</f>
        <v>0</v>
      </c>
      <c r="O332" s="472">
        <f t="shared" ref="O332:O346" si="215">+K332</f>
        <v>240</v>
      </c>
      <c r="P332" s="475">
        <f>IFERROR(N332/O332,"-")</f>
        <v>0</v>
      </c>
      <c r="Q332" s="472">
        <f t="shared" ref="Q332:Q346" si="216">IFERROR(N332-(J332-(J332*H332/G332)),"-")</f>
        <v>-17.531486146095745</v>
      </c>
      <c r="R332" s="472">
        <f t="shared" ref="R332:R346" si="217">+N332</f>
        <v>0</v>
      </c>
      <c r="S332" s="476" t="str">
        <f t="shared" ref="S332:S346" si="218">IFERROR(Q332/R332,"-")</f>
        <v>-</v>
      </c>
      <c r="T332" s="477" t="str">
        <f t="shared" ref="T332:T346" si="219">IFERROR(M332*P332*S332,"-")</f>
        <v>-</v>
      </c>
    </row>
    <row r="333" spans="1:20" ht="23.4" x14ac:dyDescent="0.3">
      <c r="A333" s="248" t="s">
        <v>103</v>
      </c>
      <c r="B333" s="249" t="s">
        <v>214</v>
      </c>
      <c r="C333" s="470">
        <f t="shared" si="210"/>
        <v>0</v>
      </c>
      <c r="D333" s="250"/>
      <c r="E333" s="251"/>
      <c r="F333" s="601">
        <v>80000</v>
      </c>
      <c r="G333" s="472">
        <f t="shared" si="211"/>
        <v>0</v>
      </c>
      <c r="H333" s="254"/>
      <c r="I333" s="607"/>
      <c r="J333" s="610"/>
      <c r="K333" s="470">
        <f t="shared" si="212"/>
        <v>0</v>
      </c>
      <c r="L333" s="472">
        <f t="shared" si="213"/>
        <v>0</v>
      </c>
      <c r="M333" s="473" t="str">
        <f t="shared" si="214"/>
        <v>-</v>
      </c>
      <c r="N333" s="474">
        <f t="shared" ref="N333:N346" si="220">+O333-C333</f>
        <v>0</v>
      </c>
      <c r="O333" s="472">
        <f t="shared" si="215"/>
        <v>0</v>
      </c>
      <c r="P333" s="475" t="str">
        <f t="shared" ref="P333:P346" si="221">IFERROR(N333/O333,"-")</f>
        <v>-</v>
      </c>
      <c r="Q333" s="472" t="str">
        <f t="shared" si="216"/>
        <v>-</v>
      </c>
      <c r="R333" s="472">
        <f t="shared" si="217"/>
        <v>0</v>
      </c>
      <c r="S333" s="476" t="str">
        <f t="shared" si="218"/>
        <v>-</v>
      </c>
      <c r="T333" s="477" t="str">
        <f t="shared" si="219"/>
        <v>-</v>
      </c>
    </row>
    <row r="334" spans="1:20" ht="23.4" x14ac:dyDescent="0.3">
      <c r="A334" s="252" t="s">
        <v>103</v>
      </c>
      <c r="B334" s="249" t="s">
        <v>217</v>
      </c>
      <c r="C334" s="470">
        <f t="shared" si="210"/>
        <v>210</v>
      </c>
      <c r="D334" s="250">
        <f>30+30</f>
        <v>60</v>
      </c>
      <c r="E334" s="251">
        <v>150</v>
      </c>
      <c r="F334" s="601">
        <v>220000</v>
      </c>
      <c r="G334" s="472">
        <f t="shared" si="211"/>
        <v>118733</v>
      </c>
      <c r="H334" s="254">
        <v>118272</v>
      </c>
      <c r="I334" s="607">
        <v>461</v>
      </c>
      <c r="J334" s="610">
        <v>960</v>
      </c>
      <c r="K334" s="470">
        <f t="shared" si="212"/>
        <v>750</v>
      </c>
      <c r="L334" s="472">
        <f t="shared" si="213"/>
        <v>900</v>
      </c>
      <c r="M334" s="473">
        <f t="shared" si="214"/>
        <v>0.83333333333333337</v>
      </c>
      <c r="N334" s="474">
        <f t="shared" si="220"/>
        <v>540</v>
      </c>
      <c r="O334" s="472">
        <f t="shared" si="215"/>
        <v>750</v>
      </c>
      <c r="P334" s="475">
        <f t="shared" si="221"/>
        <v>0.72</v>
      </c>
      <c r="Q334" s="472">
        <f t="shared" si="216"/>
        <v>536.27264534712333</v>
      </c>
      <c r="R334" s="472">
        <f t="shared" si="217"/>
        <v>540</v>
      </c>
      <c r="S334" s="476">
        <f t="shared" si="218"/>
        <v>0.99309749138356174</v>
      </c>
      <c r="T334" s="477">
        <f t="shared" si="219"/>
        <v>0.59585849483013698</v>
      </c>
    </row>
    <row r="335" spans="1:20" ht="23.4" x14ac:dyDescent="0.3">
      <c r="A335" s="248" t="s">
        <v>103</v>
      </c>
      <c r="B335" s="249" t="s">
        <v>216</v>
      </c>
      <c r="C335" s="470">
        <f t="shared" si="210"/>
        <v>0</v>
      </c>
      <c r="D335" s="250"/>
      <c r="E335" s="251"/>
      <c r="F335" s="601">
        <v>50000</v>
      </c>
      <c r="G335" s="472">
        <f t="shared" si="211"/>
        <v>0</v>
      </c>
      <c r="H335" s="254"/>
      <c r="I335" s="607"/>
      <c r="J335" s="610"/>
      <c r="K335" s="470">
        <f t="shared" si="212"/>
        <v>0</v>
      </c>
      <c r="L335" s="472">
        <f t="shared" si="213"/>
        <v>0</v>
      </c>
      <c r="M335" s="473" t="str">
        <f t="shared" si="214"/>
        <v>-</v>
      </c>
      <c r="N335" s="474">
        <f t="shared" si="220"/>
        <v>0</v>
      </c>
      <c r="O335" s="472">
        <f t="shared" si="215"/>
        <v>0</v>
      </c>
      <c r="P335" s="475" t="str">
        <f t="shared" si="221"/>
        <v>-</v>
      </c>
      <c r="Q335" s="472" t="str">
        <f t="shared" si="216"/>
        <v>-</v>
      </c>
      <c r="R335" s="472">
        <f t="shared" si="217"/>
        <v>0</v>
      </c>
      <c r="S335" s="476" t="str">
        <f t="shared" si="218"/>
        <v>-</v>
      </c>
      <c r="T335" s="477" t="str">
        <f t="shared" si="219"/>
        <v>-</v>
      </c>
    </row>
    <row r="336" spans="1:20" ht="23.4" x14ac:dyDescent="0.3">
      <c r="A336" s="248">
        <v>5</v>
      </c>
      <c r="B336" s="249" t="s">
        <v>22</v>
      </c>
      <c r="C336" s="470">
        <f t="shared" si="210"/>
        <v>0</v>
      </c>
      <c r="D336" s="250"/>
      <c r="E336" s="251"/>
      <c r="F336" s="601">
        <v>80000</v>
      </c>
      <c r="G336" s="472">
        <f t="shared" si="211"/>
        <v>0</v>
      </c>
      <c r="H336" s="471"/>
      <c r="I336" s="611"/>
      <c r="J336" s="610"/>
      <c r="K336" s="470">
        <f>+L336-E336</f>
        <v>0</v>
      </c>
      <c r="L336" s="472">
        <f t="shared" si="213"/>
        <v>0</v>
      </c>
      <c r="M336" s="473" t="str">
        <f>IFERROR(K336/L336,"-")</f>
        <v>-</v>
      </c>
      <c r="N336" s="474">
        <f t="shared" si="220"/>
        <v>0</v>
      </c>
      <c r="O336" s="472">
        <f t="shared" si="215"/>
        <v>0</v>
      </c>
      <c r="P336" s="475" t="str">
        <f t="shared" si="221"/>
        <v>-</v>
      </c>
      <c r="Q336" s="472" t="str">
        <f t="shared" si="216"/>
        <v>-</v>
      </c>
      <c r="R336" s="472">
        <f t="shared" si="217"/>
        <v>0</v>
      </c>
      <c r="S336" s="476" t="str">
        <f t="shared" si="218"/>
        <v>-</v>
      </c>
      <c r="T336" s="477" t="str">
        <f t="shared" si="219"/>
        <v>-</v>
      </c>
    </row>
    <row r="337" spans="1:20" ht="23.4" x14ac:dyDescent="0.3">
      <c r="A337" s="248" t="s">
        <v>103</v>
      </c>
      <c r="B337" s="249" t="s">
        <v>23</v>
      </c>
      <c r="C337" s="470">
        <f t="shared" si="210"/>
        <v>0</v>
      </c>
      <c r="D337" s="250"/>
      <c r="E337" s="251"/>
      <c r="F337" s="601">
        <v>14000</v>
      </c>
      <c r="G337" s="472">
        <f t="shared" si="211"/>
        <v>0</v>
      </c>
      <c r="H337" s="254"/>
      <c r="I337" s="607"/>
      <c r="J337" s="610"/>
      <c r="K337" s="470">
        <f t="shared" ref="K337:K346" si="222">+L337-E337</f>
        <v>0</v>
      </c>
      <c r="L337" s="472">
        <f t="shared" si="213"/>
        <v>0</v>
      </c>
      <c r="M337" s="473" t="str">
        <f t="shared" ref="M337:M346" si="223">IFERROR(K337/L337,"-")</f>
        <v>-</v>
      </c>
      <c r="N337" s="474">
        <f t="shared" si="220"/>
        <v>0</v>
      </c>
      <c r="O337" s="472">
        <f t="shared" si="215"/>
        <v>0</v>
      </c>
      <c r="P337" s="475" t="str">
        <f t="shared" si="221"/>
        <v>-</v>
      </c>
      <c r="Q337" s="472" t="str">
        <f t="shared" si="216"/>
        <v>-</v>
      </c>
      <c r="R337" s="472">
        <f t="shared" si="217"/>
        <v>0</v>
      </c>
      <c r="S337" s="476" t="str">
        <f t="shared" si="218"/>
        <v>-</v>
      </c>
      <c r="T337" s="477" t="str">
        <f t="shared" si="219"/>
        <v>-</v>
      </c>
    </row>
    <row r="338" spans="1:20" ht="24" thickBot="1" x14ac:dyDescent="0.35">
      <c r="A338" s="248" t="s">
        <v>103</v>
      </c>
      <c r="B338" s="253" t="s">
        <v>212</v>
      </c>
      <c r="C338" s="478">
        <f t="shared" si="210"/>
        <v>960</v>
      </c>
      <c r="D338" s="250">
        <f>30+30</f>
        <v>60</v>
      </c>
      <c r="E338" s="251">
        <v>900</v>
      </c>
      <c r="F338" s="601">
        <v>4500</v>
      </c>
      <c r="G338" s="472">
        <f>+H338+I338</f>
        <v>0</v>
      </c>
      <c r="H338" s="259">
        <v>0</v>
      </c>
      <c r="I338" s="608">
        <v>0</v>
      </c>
      <c r="J338" s="610">
        <v>960</v>
      </c>
      <c r="K338" s="478">
        <f t="shared" si="222"/>
        <v>0</v>
      </c>
      <c r="L338" s="250">
        <f t="shared" si="213"/>
        <v>900</v>
      </c>
      <c r="M338" s="479">
        <f t="shared" si="223"/>
        <v>0</v>
      </c>
      <c r="N338" s="480">
        <f t="shared" si="220"/>
        <v>-960</v>
      </c>
      <c r="O338" s="250">
        <f t="shared" si="215"/>
        <v>0</v>
      </c>
      <c r="P338" s="481" t="str">
        <f t="shared" si="221"/>
        <v>-</v>
      </c>
      <c r="Q338" s="250" t="str">
        <f t="shared" si="216"/>
        <v>-</v>
      </c>
      <c r="R338" s="250">
        <f t="shared" si="217"/>
        <v>-960</v>
      </c>
      <c r="S338" s="482" t="str">
        <f t="shared" si="218"/>
        <v>-</v>
      </c>
      <c r="T338" s="483" t="str">
        <f t="shared" si="219"/>
        <v>-</v>
      </c>
    </row>
    <row r="339" spans="1:20" ht="24" thickBot="1" x14ac:dyDescent="0.35">
      <c r="A339" s="255" t="s">
        <v>103</v>
      </c>
      <c r="B339" s="256" t="s">
        <v>213</v>
      </c>
      <c r="C339" s="484">
        <f t="shared" si="210"/>
        <v>90</v>
      </c>
      <c r="D339" s="257">
        <f>30+60</f>
        <v>90</v>
      </c>
      <c r="E339" s="258"/>
      <c r="F339" s="605">
        <v>5000</v>
      </c>
      <c r="G339" s="494">
        <f t="shared" ref="G339:G346" si="224">+H339+I339</f>
        <v>12030</v>
      </c>
      <c r="H339" s="259">
        <v>11959</v>
      </c>
      <c r="I339" s="608">
        <v>71</v>
      </c>
      <c r="J339" s="613">
        <v>480</v>
      </c>
      <c r="K339" s="484">
        <f t="shared" si="222"/>
        <v>390</v>
      </c>
      <c r="L339" s="257">
        <f t="shared" si="213"/>
        <v>390</v>
      </c>
      <c r="M339" s="485">
        <f t="shared" si="223"/>
        <v>1</v>
      </c>
      <c r="N339" s="486">
        <f t="shared" si="220"/>
        <v>300</v>
      </c>
      <c r="O339" s="257">
        <f t="shared" si="215"/>
        <v>390</v>
      </c>
      <c r="P339" s="487">
        <f t="shared" si="221"/>
        <v>0.76923076923076927</v>
      </c>
      <c r="Q339" s="257">
        <f t="shared" si="216"/>
        <v>297.16708229426433</v>
      </c>
      <c r="R339" s="257">
        <f t="shared" si="217"/>
        <v>300</v>
      </c>
      <c r="S339" s="488">
        <f t="shared" si="218"/>
        <v>0.9905569409808811</v>
      </c>
      <c r="T339" s="489">
        <f t="shared" si="219"/>
        <v>0.76196687767760085</v>
      </c>
    </row>
    <row r="340" spans="1:20" ht="23.4" x14ac:dyDescent="0.3">
      <c r="A340" s="252" t="s">
        <v>101</v>
      </c>
      <c r="B340" s="260" t="s">
        <v>29</v>
      </c>
      <c r="C340" s="470">
        <f t="shared" si="210"/>
        <v>0</v>
      </c>
      <c r="D340" s="250"/>
      <c r="E340" s="251"/>
      <c r="F340" s="471">
        <v>160000</v>
      </c>
      <c r="G340" s="472">
        <f t="shared" si="224"/>
        <v>0</v>
      </c>
      <c r="H340" s="471"/>
      <c r="I340" s="611"/>
      <c r="J340" s="703"/>
      <c r="K340" s="470">
        <f t="shared" si="222"/>
        <v>0</v>
      </c>
      <c r="L340" s="472">
        <f t="shared" si="213"/>
        <v>0</v>
      </c>
      <c r="M340" s="473" t="str">
        <f t="shared" si="223"/>
        <v>-</v>
      </c>
      <c r="N340" s="474">
        <f t="shared" si="220"/>
        <v>0</v>
      </c>
      <c r="O340" s="472">
        <f t="shared" si="215"/>
        <v>0</v>
      </c>
      <c r="P340" s="475" t="str">
        <f t="shared" si="221"/>
        <v>-</v>
      </c>
      <c r="Q340" s="472" t="str">
        <f t="shared" si="216"/>
        <v>-</v>
      </c>
      <c r="R340" s="472">
        <f t="shared" si="217"/>
        <v>0</v>
      </c>
      <c r="S340" s="490" t="str">
        <f t="shared" si="218"/>
        <v>-</v>
      </c>
      <c r="T340" s="491" t="str">
        <f t="shared" si="219"/>
        <v>-</v>
      </c>
    </row>
    <row r="341" spans="1:20" ht="22.5" customHeight="1" x14ac:dyDescent="0.3">
      <c r="A341" s="248" t="s">
        <v>101</v>
      </c>
      <c r="B341" s="260" t="s">
        <v>31</v>
      </c>
      <c r="C341" s="470">
        <f t="shared" si="210"/>
        <v>0</v>
      </c>
      <c r="D341" s="707"/>
      <c r="E341" s="251"/>
      <c r="F341" s="471">
        <v>50000</v>
      </c>
      <c r="G341" s="472">
        <f t="shared" si="224"/>
        <v>0</v>
      </c>
      <c r="H341" s="471"/>
      <c r="I341" s="611"/>
      <c r="J341" s="610"/>
      <c r="K341" s="470">
        <f t="shared" si="222"/>
        <v>0</v>
      </c>
      <c r="L341" s="472">
        <f t="shared" si="213"/>
        <v>0</v>
      </c>
      <c r="M341" s="473" t="str">
        <f t="shared" si="223"/>
        <v>-</v>
      </c>
      <c r="N341" s="474">
        <f t="shared" si="220"/>
        <v>0</v>
      </c>
      <c r="O341" s="472">
        <f t="shared" si="215"/>
        <v>0</v>
      </c>
      <c r="P341" s="475" t="str">
        <f t="shared" si="221"/>
        <v>-</v>
      </c>
      <c r="Q341" s="472" t="str">
        <f t="shared" si="216"/>
        <v>-</v>
      </c>
      <c r="R341" s="472">
        <f t="shared" si="217"/>
        <v>0</v>
      </c>
      <c r="S341" s="490" t="str">
        <f t="shared" si="218"/>
        <v>-</v>
      </c>
      <c r="T341" s="491" t="str">
        <f t="shared" si="219"/>
        <v>-</v>
      </c>
    </row>
    <row r="342" spans="1:20" ht="24" thickBot="1" x14ac:dyDescent="0.35">
      <c r="A342" s="255" t="s">
        <v>101</v>
      </c>
      <c r="B342" s="261" t="s">
        <v>32</v>
      </c>
      <c r="C342" s="492">
        <f t="shared" si="210"/>
        <v>0</v>
      </c>
      <c r="D342" s="257"/>
      <c r="E342" s="258"/>
      <c r="F342" s="493">
        <v>110000</v>
      </c>
      <c r="G342" s="494">
        <f t="shared" si="224"/>
        <v>0</v>
      </c>
      <c r="H342" s="493"/>
      <c r="I342" s="612"/>
      <c r="J342" s="613"/>
      <c r="K342" s="492">
        <f t="shared" si="222"/>
        <v>0</v>
      </c>
      <c r="L342" s="494">
        <f t="shared" si="213"/>
        <v>0</v>
      </c>
      <c r="M342" s="495" t="str">
        <f t="shared" si="223"/>
        <v>-</v>
      </c>
      <c r="N342" s="496">
        <f t="shared" si="220"/>
        <v>0</v>
      </c>
      <c r="O342" s="494">
        <f t="shared" si="215"/>
        <v>0</v>
      </c>
      <c r="P342" s="497" t="str">
        <f t="shared" si="221"/>
        <v>-</v>
      </c>
      <c r="Q342" s="494" t="str">
        <f t="shared" si="216"/>
        <v>-</v>
      </c>
      <c r="R342" s="494">
        <f t="shared" si="217"/>
        <v>0</v>
      </c>
      <c r="S342" s="498" t="str">
        <f t="shared" si="218"/>
        <v>-</v>
      </c>
      <c r="T342" s="499" t="str">
        <f t="shared" si="219"/>
        <v>-</v>
      </c>
    </row>
    <row r="343" spans="1:20" ht="23.4" x14ac:dyDescent="0.3">
      <c r="A343" s="248" t="s">
        <v>102</v>
      </c>
      <c r="B343" s="249" t="s">
        <v>219</v>
      </c>
      <c r="C343" s="470">
        <f t="shared" si="210"/>
        <v>30</v>
      </c>
      <c r="D343" s="250">
        <v>30</v>
      </c>
      <c r="E343" s="251"/>
      <c r="F343" s="471">
        <v>6500</v>
      </c>
      <c r="G343" s="472">
        <f t="shared" si="224"/>
        <v>0</v>
      </c>
      <c r="H343" s="471"/>
      <c r="I343" s="611"/>
      <c r="J343" s="610">
        <v>480</v>
      </c>
      <c r="K343" s="470">
        <f t="shared" si="222"/>
        <v>450</v>
      </c>
      <c r="L343" s="472">
        <f t="shared" si="213"/>
        <v>450</v>
      </c>
      <c r="M343" s="473">
        <f t="shared" si="223"/>
        <v>1</v>
      </c>
      <c r="N343" s="474">
        <f t="shared" si="220"/>
        <v>420</v>
      </c>
      <c r="O343" s="472">
        <f t="shared" si="215"/>
        <v>450</v>
      </c>
      <c r="P343" s="475">
        <f t="shared" si="221"/>
        <v>0.93333333333333335</v>
      </c>
      <c r="Q343" s="472" t="str">
        <f t="shared" si="216"/>
        <v>-</v>
      </c>
      <c r="R343" s="472">
        <f t="shared" si="217"/>
        <v>420</v>
      </c>
      <c r="S343" s="490" t="str">
        <f t="shared" si="218"/>
        <v>-</v>
      </c>
      <c r="T343" s="491" t="str">
        <f t="shared" si="219"/>
        <v>-</v>
      </c>
    </row>
    <row r="344" spans="1:20" ht="23.4" x14ac:dyDescent="0.3">
      <c r="A344" s="252" t="s">
        <v>102</v>
      </c>
      <c r="B344" s="249" t="s">
        <v>38</v>
      </c>
      <c r="C344" s="470">
        <f t="shared" si="210"/>
        <v>30</v>
      </c>
      <c r="D344" s="250">
        <v>30</v>
      </c>
      <c r="E344" s="251"/>
      <c r="F344" s="471">
        <v>2800</v>
      </c>
      <c r="G344" s="472">
        <f t="shared" si="224"/>
        <v>0</v>
      </c>
      <c r="H344" s="471"/>
      <c r="I344" s="611"/>
      <c r="J344" s="610">
        <v>480</v>
      </c>
      <c r="K344" s="470">
        <f t="shared" si="222"/>
        <v>450</v>
      </c>
      <c r="L344" s="472">
        <f t="shared" si="213"/>
        <v>450</v>
      </c>
      <c r="M344" s="473">
        <f t="shared" si="223"/>
        <v>1</v>
      </c>
      <c r="N344" s="474">
        <f t="shared" si="220"/>
        <v>420</v>
      </c>
      <c r="O344" s="472">
        <f t="shared" si="215"/>
        <v>450</v>
      </c>
      <c r="P344" s="475">
        <f t="shared" si="221"/>
        <v>0.93333333333333335</v>
      </c>
      <c r="Q344" s="472" t="str">
        <f t="shared" si="216"/>
        <v>-</v>
      </c>
      <c r="R344" s="472">
        <f t="shared" si="217"/>
        <v>420</v>
      </c>
      <c r="S344" s="490" t="str">
        <f t="shared" si="218"/>
        <v>-</v>
      </c>
      <c r="T344" s="491" t="str">
        <f t="shared" si="219"/>
        <v>-</v>
      </c>
    </row>
    <row r="345" spans="1:20" ht="23.4" x14ac:dyDescent="0.3">
      <c r="A345" s="248" t="s">
        <v>102</v>
      </c>
      <c r="B345" s="249" t="s">
        <v>39</v>
      </c>
      <c r="C345" s="470">
        <f t="shared" si="210"/>
        <v>30</v>
      </c>
      <c r="D345" s="250">
        <v>30</v>
      </c>
      <c r="E345" s="251"/>
      <c r="F345" s="471">
        <v>25000</v>
      </c>
      <c r="G345" s="472">
        <f t="shared" si="224"/>
        <v>6834</v>
      </c>
      <c r="H345" s="471">
        <v>6720</v>
      </c>
      <c r="I345" s="611">
        <v>114</v>
      </c>
      <c r="J345" s="610">
        <v>480</v>
      </c>
      <c r="K345" s="470">
        <f t="shared" si="222"/>
        <v>450</v>
      </c>
      <c r="L345" s="472">
        <f t="shared" si="213"/>
        <v>450</v>
      </c>
      <c r="M345" s="473">
        <f t="shared" si="223"/>
        <v>1</v>
      </c>
      <c r="N345" s="474">
        <f t="shared" si="220"/>
        <v>420</v>
      </c>
      <c r="O345" s="472">
        <f t="shared" si="215"/>
        <v>450</v>
      </c>
      <c r="P345" s="475">
        <f t="shared" si="221"/>
        <v>0.93333333333333335</v>
      </c>
      <c r="Q345" s="472">
        <f t="shared" si="216"/>
        <v>411.99297629499563</v>
      </c>
      <c r="R345" s="472">
        <f t="shared" si="217"/>
        <v>420</v>
      </c>
      <c r="S345" s="490">
        <f t="shared" si="218"/>
        <v>0.98093565784522774</v>
      </c>
      <c r="T345" s="491">
        <f t="shared" si="219"/>
        <v>0.91553994732221256</v>
      </c>
    </row>
    <row r="346" spans="1:20" ht="47.4" thickBot="1" x14ac:dyDescent="0.35">
      <c r="A346" s="615" t="s">
        <v>102</v>
      </c>
      <c r="B346" s="261" t="s">
        <v>218</v>
      </c>
      <c r="C346" s="616">
        <f t="shared" si="210"/>
        <v>30</v>
      </c>
      <c r="D346" s="617">
        <v>30</v>
      </c>
      <c r="E346" s="618"/>
      <c r="F346" s="619">
        <v>25000</v>
      </c>
      <c r="G346" s="620">
        <f t="shared" si="224"/>
        <v>11826</v>
      </c>
      <c r="H346" s="619">
        <v>11400</v>
      </c>
      <c r="I346" s="621">
        <v>426</v>
      </c>
      <c r="J346" s="614">
        <v>480</v>
      </c>
      <c r="K346" s="616">
        <f t="shared" si="222"/>
        <v>450</v>
      </c>
      <c r="L346" s="620">
        <f t="shared" si="213"/>
        <v>450</v>
      </c>
      <c r="M346" s="622">
        <f t="shared" si="223"/>
        <v>1</v>
      </c>
      <c r="N346" s="623">
        <f t="shared" si="220"/>
        <v>420</v>
      </c>
      <c r="O346" s="620">
        <f t="shared" si="215"/>
        <v>450</v>
      </c>
      <c r="P346" s="624">
        <f t="shared" si="221"/>
        <v>0.93333333333333335</v>
      </c>
      <c r="Q346" s="620">
        <f t="shared" si="216"/>
        <v>402.70928462709287</v>
      </c>
      <c r="R346" s="620">
        <f t="shared" si="217"/>
        <v>420</v>
      </c>
      <c r="S346" s="625">
        <f t="shared" si="218"/>
        <v>0.95883163006450678</v>
      </c>
      <c r="T346" s="626">
        <f t="shared" si="219"/>
        <v>0.89490952139353963</v>
      </c>
    </row>
    <row r="347" spans="1:20" ht="24.6" customHeight="1" x14ac:dyDescent="0.3">
      <c r="A347" s="230"/>
      <c r="B347" s="231"/>
      <c r="C347" s="232"/>
      <c r="D347" s="232"/>
      <c r="E347" s="232"/>
      <c r="F347" s="232"/>
      <c r="G347" s="233"/>
      <c r="H347" s="234"/>
      <c r="I347" s="232"/>
      <c r="J347" s="232"/>
      <c r="K347" s="232"/>
      <c r="L347" s="232"/>
      <c r="M347" s="234"/>
      <c r="N347" s="232"/>
      <c r="O347" s="232"/>
      <c r="P347" s="234"/>
      <c r="Q347" s="232"/>
      <c r="R347" s="232"/>
      <c r="S347" s="234"/>
      <c r="T347" s="234"/>
    </row>
  </sheetData>
  <dataConsolidate topLabels="1">
    <dataRefs count="1">
      <dataRef ref="B14:H106" sheet="01 Prod Physique Boites" r:id="rId1"/>
    </dataRefs>
  </dataConsolidate>
  <mergeCells count="136">
    <mergeCell ref="A12:A13"/>
    <mergeCell ref="B12:B13"/>
    <mergeCell ref="C12:E12"/>
    <mergeCell ref="F12:I12"/>
    <mergeCell ref="J12:J13"/>
    <mergeCell ref="K12:M12"/>
    <mergeCell ref="N12:P12"/>
    <mergeCell ref="Q12:S12"/>
    <mergeCell ref="T12:T13"/>
    <mergeCell ref="K103:M103"/>
    <mergeCell ref="N103:P103"/>
    <mergeCell ref="Q103:S103"/>
    <mergeCell ref="T103:T104"/>
    <mergeCell ref="A103:A104"/>
    <mergeCell ref="B103:B104"/>
    <mergeCell ref="C103:E103"/>
    <mergeCell ref="F103:I103"/>
    <mergeCell ref="J103:J104"/>
    <mergeCell ref="K151:M151"/>
    <mergeCell ref="N151:P151"/>
    <mergeCell ref="Q151:S151"/>
    <mergeCell ref="T151:T152"/>
    <mergeCell ref="A151:A152"/>
    <mergeCell ref="B151:B152"/>
    <mergeCell ref="C151:E151"/>
    <mergeCell ref="F151:I151"/>
    <mergeCell ref="J151:J152"/>
    <mergeCell ref="K175:M175"/>
    <mergeCell ref="N175:P175"/>
    <mergeCell ref="Q175:S175"/>
    <mergeCell ref="T175:T176"/>
    <mergeCell ref="A175:A176"/>
    <mergeCell ref="B175:B176"/>
    <mergeCell ref="C175:E175"/>
    <mergeCell ref="F175:I175"/>
    <mergeCell ref="J175:J176"/>
    <mergeCell ref="K199:M199"/>
    <mergeCell ref="N199:P199"/>
    <mergeCell ref="Q199:S199"/>
    <mergeCell ref="T199:T200"/>
    <mergeCell ref="A199:A200"/>
    <mergeCell ref="B199:B200"/>
    <mergeCell ref="C199:E199"/>
    <mergeCell ref="F199:I199"/>
    <mergeCell ref="J199:J200"/>
    <mergeCell ref="K222:M222"/>
    <mergeCell ref="N222:P222"/>
    <mergeCell ref="Q222:S222"/>
    <mergeCell ref="T222:T223"/>
    <mergeCell ref="A222:A223"/>
    <mergeCell ref="B222:B223"/>
    <mergeCell ref="C222:E222"/>
    <mergeCell ref="F222:I222"/>
    <mergeCell ref="J222:J223"/>
    <mergeCell ref="Q267:S267"/>
    <mergeCell ref="K245:M245"/>
    <mergeCell ref="N245:P245"/>
    <mergeCell ref="Q245:S245"/>
    <mergeCell ref="T245:T246"/>
    <mergeCell ref="A245:A246"/>
    <mergeCell ref="B245:B246"/>
    <mergeCell ref="C245:E245"/>
    <mergeCell ref="F245:I245"/>
    <mergeCell ref="J245:J246"/>
    <mergeCell ref="A9:T9"/>
    <mergeCell ref="K329:M329"/>
    <mergeCell ref="N329:P329"/>
    <mergeCell ref="Q329:S329"/>
    <mergeCell ref="T329:T330"/>
    <mergeCell ref="A309:A310"/>
    <mergeCell ref="B309:B310"/>
    <mergeCell ref="C309:E309"/>
    <mergeCell ref="F309:I309"/>
    <mergeCell ref="J309:J310"/>
    <mergeCell ref="A329:A330"/>
    <mergeCell ref="B329:B330"/>
    <mergeCell ref="C329:E329"/>
    <mergeCell ref="F329:I329"/>
    <mergeCell ref="A288:A289"/>
    <mergeCell ref="B288:B289"/>
    <mergeCell ref="A267:A268"/>
    <mergeCell ref="B267:B268"/>
    <mergeCell ref="C267:E267"/>
    <mergeCell ref="T267:T268"/>
    <mergeCell ref="F267:I267"/>
    <mergeCell ref="J267:J268"/>
    <mergeCell ref="K267:M267"/>
    <mergeCell ref="N267:P267"/>
    <mergeCell ref="Q309:S309"/>
    <mergeCell ref="T309:T310"/>
    <mergeCell ref="J329:J330"/>
    <mergeCell ref="K309:M309"/>
    <mergeCell ref="N309:P309"/>
    <mergeCell ref="K288:M288"/>
    <mergeCell ref="N288:P288"/>
    <mergeCell ref="C288:E288"/>
    <mergeCell ref="F288:I288"/>
    <mergeCell ref="J288:J289"/>
    <mergeCell ref="Q288:S288"/>
    <mergeCell ref="T288:T289"/>
    <mergeCell ref="K127:M127"/>
    <mergeCell ref="N127:P127"/>
    <mergeCell ref="Q127:S127"/>
    <mergeCell ref="T127:T128"/>
    <mergeCell ref="A127:A128"/>
    <mergeCell ref="B127:B128"/>
    <mergeCell ref="C127:E127"/>
    <mergeCell ref="F127:I127"/>
    <mergeCell ref="J127:J128"/>
    <mergeCell ref="K80:M80"/>
    <mergeCell ref="N80:P80"/>
    <mergeCell ref="Q80:S80"/>
    <mergeCell ref="T80:T81"/>
    <mergeCell ref="A80:A81"/>
    <mergeCell ref="B80:B81"/>
    <mergeCell ref="C80:E80"/>
    <mergeCell ref="F80:I80"/>
    <mergeCell ref="J80:J81"/>
    <mergeCell ref="A59:A60"/>
    <mergeCell ref="B59:B60"/>
    <mergeCell ref="C59:E59"/>
    <mergeCell ref="F59:I59"/>
    <mergeCell ref="J59:J60"/>
    <mergeCell ref="K59:M59"/>
    <mergeCell ref="N59:P59"/>
    <mergeCell ref="Q59:S59"/>
    <mergeCell ref="T59:T60"/>
    <mergeCell ref="A36:A37"/>
    <mergeCell ref="B36:B37"/>
    <mergeCell ref="C36:E36"/>
    <mergeCell ref="F36:I36"/>
    <mergeCell ref="J36:J37"/>
    <mergeCell ref="K36:M36"/>
    <mergeCell ref="N36:P36"/>
    <mergeCell ref="Q36:S36"/>
    <mergeCell ref="T36:T37"/>
  </mergeCells>
  <pageMargins left="0.19685039370078741" right="0.19685039370078741" top="0.19685039370078741" bottom="0.19685039370078741" header="0.19685039370078741" footer="0.19685039370078741"/>
  <pageSetup paperSize="9" scale="33" orientation="landscape" verticalDpi="300" r:id="rId2"/>
  <rowBreaks count="6" manualBreakCount="6">
    <brk id="98" max="19" man="1"/>
    <brk id="144" max="19" man="1"/>
    <brk id="192" max="19" man="1"/>
    <brk id="239" max="19" man="1"/>
    <brk id="284" max="19" man="1"/>
    <brk id="326" max="19" man="1"/>
  </rowBreaks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0.39997558519241921"/>
  </sheetPr>
  <dimension ref="A7:T11"/>
  <sheetViews>
    <sheetView view="pageBreakPreview" zoomScale="40" zoomScaleNormal="70" zoomScaleSheetLayoutView="40" workbookViewId="0">
      <pane xSplit="2" topLeftCell="C1" activePane="topRight" state="frozen"/>
      <selection pane="topRight" activeCell="A10" sqref="A10"/>
    </sheetView>
  </sheetViews>
  <sheetFormatPr defaultColWidth="9.109375" defaultRowHeight="13.8" x14ac:dyDescent="0.3"/>
  <cols>
    <col min="1" max="1" width="10.109375" style="229" customWidth="1"/>
    <col min="2" max="2" width="32.44140625" style="221" customWidth="1"/>
    <col min="3" max="4" width="32.33203125" style="222" customWidth="1"/>
    <col min="5" max="5" width="32.33203125" style="223" customWidth="1"/>
    <col min="6" max="7" width="24.6640625" style="222" customWidth="1"/>
    <col min="8" max="8" width="24.6640625" style="224" customWidth="1"/>
    <col min="9" max="9" width="24.6640625" style="223" customWidth="1"/>
    <col min="10" max="10" width="21.109375" style="222" customWidth="1"/>
    <col min="11" max="12" width="15.6640625" style="222" customWidth="1"/>
    <col min="13" max="13" width="15.6640625" style="262" customWidth="1"/>
    <col min="14" max="15" width="15.6640625" style="222" customWidth="1"/>
    <col min="16" max="16" width="15.6640625" style="262" customWidth="1"/>
    <col min="17" max="18" width="15.6640625" style="222" customWidth="1"/>
    <col min="19" max="19" width="14.6640625" style="224" customWidth="1"/>
    <col min="20" max="20" width="23.33203125" style="224" bestFit="1" customWidth="1"/>
    <col min="21" max="16384" width="9.109375" style="229"/>
  </cols>
  <sheetData>
    <row r="7" spans="1:20" ht="67.2" customHeight="1" x14ac:dyDescent="0.3">
      <c r="A7" s="220" t="s">
        <v>0</v>
      </c>
      <c r="K7" s="225"/>
      <c r="L7" s="225"/>
      <c r="M7" s="226"/>
      <c r="N7" s="227"/>
      <c r="O7" s="227"/>
      <c r="P7" s="227"/>
      <c r="Q7" s="227"/>
      <c r="R7" s="225"/>
      <c r="S7" s="228"/>
    </row>
    <row r="9" spans="1:20" ht="81" customHeight="1" x14ac:dyDescent="0.3">
      <c r="A9" s="1088" t="s">
        <v>230</v>
      </c>
      <c r="B9" s="1089"/>
      <c r="C9" s="1089"/>
      <c r="D9" s="1089"/>
      <c r="E9" s="1089"/>
      <c r="F9" s="1089"/>
      <c r="G9" s="1089"/>
      <c r="H9" s="1089"/>
      <c r="I9" s="1089"/>
      <c r="J9" s="1089"/>
      <c r="K9" s="1089"/>
      <c r="L9" s="1089"/>
      <c r="M9" s="1089"/>
      <c r="N9" s="1089"/>
      <c r="O9" s="1089"/>
      <c r="P9" s="1089"/>
      <c r="Q9" s="1089"/>
      <c r="R9" s="1089"/>
      <c r="S9" s="1089"/>
      <c r="T9" s="1089"/>
    </row>
    <row r="10" spans="1:20" ht="24.6" customHeight="1" x14ac:dyDescent="0.3">
      <c r="A10" s="230"/>
      <c r="B10" s="231"/>
      <c r="C10" s="232"/>
      <c r="D10" s="232"/>
      <c r="E10" s="232"/>
      <c r="F10" s="232"/>
      <c r="G10" s="233"/>
      <c r="H10" s="234"/>
      <c r="I10" s="232"/>
      <c r="J10" s="232"/>
      <c r="K10" s="232"/>
      <c r="L10" s="232"/>
      <c r="M10" s="234"/>
      <c r="N10" s="232"/>
      <c r="O10" s="232"/>
      <c r="P10" s="234"/>
      <c r="Q10" s="232"/>
      <c r="R10" s="232"/>
      <c r="S10" s="234"/>
      <c r="T10" s="234"/>
    </row>
    <row r="11" spans="1:20" ht="25.2" customHeight="1" x14ac:dyDescent="0.3"/>
  </sheetData>
  <dataConsolidate topLabels="1">
    <dataRefs count="1">
      <dataRef ref="B14:H106" sheet="01 Prod Physique Boites" r:id="rId1"/>
    </dataRefs>
  </dataConsolidate>
  <mergeCells count="1">
    <mergeCell ref="A9:T9"/>
  </mergeCells>
  <pageMargins left="0.19685039370078741" right="0.19685039370078741" top="0.19685039370078741" bottom="0.19685039370078741" header="0.19685039370078741" footer="0.19685039370078741"/>
  <pageSetup paperSize="9" scale="33" orientation="landscape" verticalDpi="300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B2:P1055"/>
  <sheetViews>
    <sheetView topLeftCell="A13" workbookViewId="0">
      <selection activeCell="K37" sqref="K37"/>
    </sheetView>
  </sheetViews>
  <sheetFormatPr defaultColWidth="11.5546875" defaultRowHeight="14.4" x14ac:dyDescent="0.3"/>
  <cols>
    <col min="3" max="3" width="14.44140625" customWidth="1"/>
    <col min="4" max="4" width="31.44140625" customWidth="1"/>
    <col min="5" max="5" width="9.6640625" customWidth="1"/>
    <col min="6" max="6" width="9.109375" customWidth="1"/>
    <col min="8" max="8" width="8.88671875" customWidth="1"/>
    <col min="11" max="11" width="9.5546875" customWidth="1"/>
    <col min="12" max="12" width="8.6640625" customWidth="1"/>
    <col min="14" max="14" width="12.109375" customWidth="1"/>
    <col min="15" max="15" width="13.109375" customWidth="1"/>
  </cols>
  <sheetData>
    <row r="2" spans="2:15" x14ac:dyDescent="0.3">
      <c r="B2" s="76"/>
      <c r="C2" s="76"/>
      <c r="D2" s="76"/>
      <c r="E2" s="76"/>
      <c r="F2" s="76"/>
      <c r="G2" s="76"/>
      <c r="H2" s="76"/>
      <c r="I2" s="76"/>
      <c r="J2" s="76"/>
      <c r="K2" s="76"/>
    </row>
    <row r="3" spans="2:15" x14ac:dyDescent="0.3">
      <c r="B3" s="76"/>
      <c r="C3" s="76"/>
      <c r="D3" s="76"/>
      <c r="E3" s="76"/>
      <c r="F3" s="76"/>
      <c r="G3" s="76"/>
      <c r="H3" s="76"/>
      <c r="I3" s="76"/>
      <c r="J3" s="76"/>
      <c r="K3" s="76"/>
    </row>
    <row r="4" spans="2:15" x14ac:dyDescent="0.3">
      <c r="B4" s="76"/>
      <c r="C4" s="76"/>
      <c r="D4" s="76"/>
      <c r="E4" s="76"/>
      <c r="F4" s="76"/>
      <c r="G4" s="76"/>
      <c r="H4" s="76"/>
      <c r="I4" s="76"/>
      <c r="J4" s="76"/>
      <c r="K4" s="76"/>
    </row>
    <row r="5" spans="2:15" x14ac:dyDescent="0.3">
      <c r="B5" s="76"/>
      <c r="C5" s="76"/>
      <c r="D5" s="76"/>
      <c r="E5" s="76"/>
      <c r="F5" s="76"/>
      <c r="G5" s="76"/>
      <c r="H5" s="76"/>
      <c r="I5" s="76"/>
      <c r="J5" s="76"/>
      <c r="K5" s="76"/>
    </row>
    <row r="6" spans="2:15" x14ac:dyDescent="0.3">
      <c r="B6" s="76"/>
      <c r="C6" s="76"/>
      <c r="D6" s="76"/>
      <c r="E6" s="76"/>
      <c r="F6" s="76"/>
      <c r="G6" s="76"/>
      <c r="H6" s="76"/>
      <c r="I6" s="76"/>
      <c r="J6" s="76"/>
      <c r="K6" s="76"/>
    </row>
    <row r="7" spans="2:15" x14ac:dyDescent="0.3">
      <c r="B7" s="76"/>
      <c r="C7" s="76"/>
      <c r="D7" s="76"/>
      <c r="E7" s="76"/>
      <c r="F7" s="76"/>
      <c r="G7" s="76"/>
      <c r="H7" s="76"/>
      <c r="I7" s="76"/>
      <c r="J7" s="76"/>
      <c r="K7" s="76"/>
    </row>
    <row r="8" spans="2:15" x14ac:dyDescent="0.3">
      <c r="B8" s="76"/>
      <c r="C8" s="76"/>
      <c r="D8" s="76"/>
      <c r="E8" s="76"/>
      <c r="F8" s="76"/>
      <c r="G8" s="76"/>
      <c r="H8" s="76"/>
      <c r="I8" s="76"/>
      <c r="J8" s="76"/>
      <c r="K8" s="76"/>
    </row>
    <row r="9" spans="2:15" x14ac:dyDescent="0.3">
      <c r="B9" s="76"/>
      <c r="C9" s="76"/>
      <c r="D9" s="76"/>
      <c r="E9" s="76"/>
      <c r="F9" s="76"/>
      <c r="G9" s="76"/>
      <c r="H9" s="76"/>
      <c r="I9" s="76"/>
      <c r="J9" s="76"/>
      <c r="K9" s="76"/>
    </row>
    <row r="10" spans="2:15" x14ac:dyDescent="0.3">
      <c r="B10" s="76"/>
      <c r="C10" s="76"/>
      <c r="D10" s="76"/>
      <c r="E10" s="76"/>
      <c r="F10" s="76"/>
      <c r="G10" s="76"/>
      <c r="H10" s="76"/>
      <c r="I10" s="76"/>
      <c r="J10" s="76"/>
      <c r="K10" s="76"/>
    </row>
    <row r="11" spans="2:15" ht="21" x14ac:dyDescent="0.3">
      <c r="B11" s="1" t="s">
        <v>0</v>
      </c>
      <c r="C11" s="1"/>
      <c r="D11" s="1"/>
      <c r="E11" s="1"/>
      <c r="F11" s="76"/>
      <c r="G11" s="76"/>
      <c r="H11" s="76"/>
      <c r="I11" s="76"/>
      <c r="J11" s="76"/>
      <c r="K11" s="76"/>
    </row>
    <row r="13" spans="2:15" x14ac:dyDescent="0.3">
      <c r="B13" s="1235" t="s">
        <v>96</v>
      </c>
      <c r="C13" s="1235"/>
      <c r="D13" s="1235"/>
      <c r="E13" s="1235"/>
      <c r="F13" s="1235"/>
      <c r="G13" s="1235"/>
      <c r="H13" s="1235"/>
      <c r="I13" s="1235"/>
      <c r="J13" s="1235"/>
      <c r="K13" s="1235"/>
      <c r="L13" s="1235"/>
      <c r="M13" s="1235"/>
      <c r="N13" s="1235"/>
      <c r="O13" s="1235"/>
    </row>
    <row r="14" spans="2:15" x14ac:dyDescent="0.3">
      <c r="B14" s="1236" t="s">
        <v>138</v>
      </c>
      <c r="C14" s="1237"/>
      <c r="D14" s="1237"/>
      <c r="E14" s="1237"/>
      <c r="F14" s="1237"/>
      <c r="G14" s="1237"/>
      <c r="H14" s="1237"/>
      <c r="I14" s="1237"/>
      <c r="J14" s="1237"/>
      <c r="K14" s="1237"/>
      <c r="L14" s="1237"/>
      <c r="M14" s="1237"/>
      <c r="N14" s="1237"/>
      <c r="O14" s="1237"/>
    </row>
    <row r="16" spans="2:15" ht="15" thickBot="1" x14ac:dyDescent="0.35"/>
    <row r="17" spans="2:16" x14ac:dyDescent="0.3">
      <c r="B17" s="1209" t="s">
        <v>1</v>
      </c>
      <c r="C17" s="1211" t="s">
        <v>2</v>
      </c>
      <c r="D17" s="1214" t="s">
        <v>3</v>
      </c>
      <c r="E17" s="1217" t="s">
        <v>4</v>
      </c>
      <c r="F17" s="1218"/>
      <c r="G17" s="1218"/>
      <c r="H17" s="1218"/>
      <c r="I17" s="1218"/>
      <c r="J17" s="1218"/>
      <c r="K17" s="1218"/>
      <c r="L17" s="1219"/>
      <c r="M17" s="1220" t="s">
        <v>5</v>
      </c>
      <c r="N17" s="1221"/>
      <c r="O17" s="1222"/>
      <c r="P17" s="1214" t="s">
        <v>6</v>
      </c>
    </row>
    <row r="18" spans="2:16" x14ac:dyDescent="0.3">
      <c r="B18" s="1210"/>
      <c r="C18" s="1212"/>
      <c r="D18" s="1215"/>
      <c r="E18" s="1223" t="s">
        <v>7</v>
      </c>
      <c r="F18" s="1225" t="s">
        <v>139</v>
      </c>
      <c r="G18" s="1225"/>
      <c r="H18" s="1226"/>
      <c r="I18" s="1227" t="s">
        <v>8</v>
      </c>
      <c r="J18" s="1225"/>
      <c r="K18" s="1225"/>
      <c r="L18" s="1226" t="s">
        <v>9</v>
      </c>
      <c r="M18" s="1229" t="s">
        <v>10</v>
      </c>
      <c r="N18" s="1231" t="s">
        <v>11</v>
      </c>
      <c r="O18" s="1233" t="s">
        <v>12</v>
      </c>
      <c r="P18" s="1215"/>
    </row>
    <row r="19" spans="2:16" ht="15" thickBot="1" x14ac:dyDescent="0.35">
      <c r="B19" s="1210"/>
      <c r="C19" s="1213"/>
      <c r="D19" s="1216"/>
      <c r="E19" s="1224"/>
      <c r="F19" s="2" t="s">
        <v>13</v>
      </c>
      <c r="G19" s="2" t="s">
        <v>14</v>
      </c>
      <c r="H19" s="163" t="s">
        <v>15</v>
      </c>
      <c r="I19" s="142" t="s">
        <v>13</v>
      </c>
      <c r="J19" s="2" t="s">
        <v>14</v>
      </c>
      <c r="K19" s="2" t="s">
        <v>15</v>
      </c>
      <c r="L19" s="1228"/>
      <c r="M19" s="1230"/>
      <c r="N19" s="1232"/>
      <c r="O19" s="1234"/>
      <c r="P19" s="1216"/>
    </row>
    <row r="20" spans="2:16" x14ac:dyDescent="0.3">
      <c r="B20" s="1193" t="s">
        <v>53</v>
      </c>
      <c r="C20" s="29"/>
      <c r="D20" s="117" t="s">
        <v>54</v>
      </c>
      <c r="E20" s="98">
        <v>0</v>
      </c>
      <c r="F20" s="4">
        <f>+G20+H20</f>
        <v>0</v>
      </c>
      <c r="G20" s="4">
        <v>0</v>
      </c>
      <c r="H20" s="8">
        <v>0</v>
      </c>
      <c r="I20" s="6">
        <f>J20+K20</f>
        <v>0</v>
      </c>
      <c r="J20" s="4">
        <f>G20</f>
        <v>0</v>
      </c>
      <c r="K20" s="4">
        <f>H20</f>
        <v>0</v>
      </c>
      <c r="L20" s="33" t="e">
        <f>+J20/E20</f>
        <v>#DIV/0!</v>
      </c>
      <c r="M20" s="104">
        <v>1.3652</v>
      </c>
      <c r="N20" s="31">
        <f>G20*M20</f>
        <v>0</v>
      </c>
      <c r="O20" s="86">
        <f>M20*J20</f>
        <v>0</v>
      </c>
      <c r="P20" s="1195"/>
    </row>
    <row r="21" spans="2:16" x14ac:dyDescent="0.3">
      <c r="B21" s="1194"/>
      <c r="C21" s="32"/>
      <c r="D21" s="118" t="s">
        <v>109</v>
      </c>
      <c r="E21" s="99">
        <v>0</v>
      </c>
      <c r="F21" s="9">
        <f>+G21+H21</f>
        <v>0</v>
      </c>
      <c r="G21" s="9">
        <v>0</v>
      </c>
      <c r="H21" s="10">
        <v>0</v>
      </c>
      <c r="I21" s="6">
        <f>J21+K21</f>
        <v>0</v>
      </c>
      <c r="J21" s="4">
        <f>+G21</f>
        <v>0</v>
      </c>
      <c r="K21" s="4">
        <f>+H21</f>
        <v>0</v>
      </c>
      <c r="L21" s="33"/>
      <c r="M21" s="105">
        <v>5.9917999999999996</v>
      </c>
      <c r="N21" s="34">
        <f>M21*G21</f>
        <v>0</v>
      </c>
      <c r="O21" s="87">
        <f>M21*J21</f>
        <v>0</v>
      </c>
      <c r="P21" s="1196"/>
    </row>
    <row r="22" spans="2:16" x14ac:dyDescent="0.3">
      <c r="B22" s="1194"/>
      <c r="C22" s="35"/>
      <c r="D22" s="119" t="s">
        <v>55</v>
      </c>
      <c r="E22" s="99">
        <v>0</v>
      </c>
      <c r="F22" s="9">
        <f t="shared" ref="F22:F26" si="0">+G22+H22</f>
        <v>173942</v>
      </c>
      <c r="G22" s="9">
        <v>172500</v>
      </c>
      <c r="H22" s="10">
        <v>1442</v>
      </c>
      <c r="I22" s="6">
        <f t="shared" ref="I22:I26" si="1">J22+K22</f>
        <v>173942</v>
      </c>
      <c r="J22" s="4">
        <f t="shared" ref="J22:J26" si="2">+G22</f>
        <v>172500</v>
      </c>
      <c r="K22" s="4">
        <f t="shared" ref="K22:K26" si="3">+H22</f>
        <v>1442</v>
      </c>
      <c r="L22" s="33" t="e">
        <f t="shared" ref="L22" si="4">+J22/E22</f>
        <v>#DIV/0!</v>
      </c>
      <c r="M22" s="106">
        <v>2.3807999999999998</v>
      </c>
      <c r="N22" s="36">
        <f>G22*M22</f>
        <v>410687.99999999994</v>
      </c>
      <c r="O22" s="88">
        <f>M22*J22</f>
        <v>410687.99999999994</v>
      </c>
      <c r="P22" s="1196"/>
    </row>
    <row r="23" spans="2:16" x14ac:dyDescent="0.3">
      <c r="B23" s="1194"/>
      <c r="C23" s="35"/>
      <c r="D23" s="119" t="s">
        <v>56</v>
      </c>
      <c r="E23" s="99">
        <v>0</v>
      </c>
      <c r="F23" s="9">
        <f t="shared" si="0"/>
        <v>0</v>
      </c>
      <c r="G23" s="9">
        <v>0</v>
      </c>
      <c r="H23" s="10">
        <v>0</v>
      </c>
      <c r="I23" s="6">
        <f t="shared" si="1"/>
        <v>0</v>
      </c>
      <c r="J23" s="4">
        <f t="shared" si="2"/>
        <v>0</v>
      </c>
      <c r="K23" s="4">
        <f t="shared" si="3"/>
        <v>0</v>
      </c>
      <c r="L23" s="33"/>
      <c r="M23" s="106">
        <v>2.1457999999999999</v>
      </c>
      <c r="N23" s="36">
        <f t="shared" ref="N23:N26" si="5">G23*M23</f>
        <v>0</v>
      </c>
      <c r="O23" s="88">
        <f>M23*J23</f>
        <v>0</v>
      </c>
      <c r="P23" s="1196"/>
    </row>
    <row r="24" spans="2:16" x14ac:dyDescent="0.3">
      <c r="B24" s="1194"/>
      <c r="C24" s="35"/>
      <c r="D24" s="119" t="s">
        <v>106</v>
      </c>
      <c r="E24" s="99">
        <v>0</v>
      </c>
      <c r="F24" s="9">
        <f t="shared" si="0"/>
        <v>0</v>
      </c>
      <c r="G24" s="9">
        <v>0</v>
      </c>
      <c r="H24" s="10">
        <v>0</v>
      </c>
      <c r="I24" s="6">
        <f t="shared" si="1"/>
        <v>0</v>
      </c>
      <c r="J24" s="4">
        <f t="shared" si="2"/>
        <v>0</v>
      </c>
      <c r="K24" s="4">
        <f t="shared" si="3"/>
        <v>0</v>
      </c>
      <c r="L24" s="33" t="e">
        <f t="shared" ref="L24:L25" si="6">+J24/E24</f>
        <v>#DIV/0!</v>
      </c>
      <c r="M24" s="143">
        <v>4.0426000000000002</v>
      </c>
      <c r="N24" s="36">
        <f t="shared" si="5"/>
        <v>0</v>
      </c>
      <c r="O24" s="88">
        <f>M24*J24</f>
        <v>0</v>
      </c>
      <c r="P24" s="1196"/>
    </row>
    <row r="25" spans="2:16" x14ac:dyDescent="0.3">
      <c r="B25" s="1194"/>
      <c r="C25" s="35"/>
      <c r="D25" s="119" t="s">
        <v>110</v>
      </c>
      <c r="E25" s="99">
        <v>0</v>
      </c>
      <c r="F25" s="9">
        <f t="shared" si="0"/>
        <v>0</v>
      </c>
      <c r="G25" s="9">
        <v>0</v>
      </c>
      <c r="H25" s="10">
        <v>0</v>
      </c>
      <c r="I25" s="6">
        <f t="shared" si="1"/>
        <v>0</v>
      </c>
      <c r="J25" s="4">
        <f t="shared" si="2"/>
        <v>0</v>
      </c>
      <c r="K25" s="4">
        <f t="shared" si="3"/>
        <v>0</v>
      </c>
      <c r="L25" s="33" t="e">
        <f t="shared" si="6"/>
        <v>#DIV/0!</v>
      </c>
      <c r="M25" s="143">
        <v>3.8715000000000002</v>
      </c>
      <c r="N25" s="36">
        <f t="shared" si="5"/>
        <v>0</v>
      </c>
      <c r="O25" s="88">
        <f t="shared" ref="O25:O26" si="7">M25*J25</f>
        <v>0</v>
      </c>
      <c r="P25" s="1196"/>
    </row>
    <row r="26" spans="2:16" ht="15" thickBot="1" x14ac:dyDescent="0.35">
      <c r="B26" s="1194"/>
      <c r="C26" s="82"/>
      <c r="D26" s="120" t="s">
        <v>57</v>
      </c>
      <c r="E26" s="108">
        <v>0</v>
      </c>
      <c r="F26" s="12">
        <f t="shared" si="0"/>
        <v>0</v>
      </c>
      <c r="G26" s="12">
        <v>0</v>
      </c>
      <c r="H26" s="13">
        <v>0</v>
      </c>
      <c r="I26" s="21">
        <f t="shared" si="1"/>
        <v>0</v>
      </c>
      <c r="J26" s="4">
        <f t="shared" si="2"/>
        <v>0</v>
      </c>
      <c r="K26" s="4">
        <f t="shared" si="3"/>
        <v>0</v>
      </c>
      <c r="L26" s="81"/>
      <c r="M26" s="127">
        <v>12.284700000000001</v>
      </c>
      <c r="N26" s="36">
        <f t="shared" si="5"/>
        <v>0</v>
      </c>
      <c r="O26" s="128">
        <f t="shared" si="7"/>
        <v>0</v>
      </c>
      <c r="P26" s="1196"/>
    </row>
    <row r="27" spans="2:16" ht="15" thickBot="1" x14ac:dyDescent="0.35">
      <c r="B27" s="1194"/>
      <c r="C27" s="1199" t="s">
        <v>104</v>
      </c>
      <c r="D27" s="1200"/>
      <c r="E27" s="129"/>
      <c r="F27" s="130">
        <f>SUM(F20:F26)</f>
        <v>173942</v>
      </c>
      <c r="G27" s="130">
        <f>SUM(G20:G26)</f>
        <v>172500</v>
      </c>
      <c r="H27" s="131">
        <f>SUM(H20:H26)</f>
        <v>1442</v>
      </c>
      <c r="I27" s="132">
        <f>+J27+K27</f>
        <v>173942</v>
      </c>
      <c r="J27" s="133">
        <f>SUM(J20:J26)</f>
        <v>172500</v>
      </c>
      <c r="K27" s="133">
        <f>SUM(K20:K26)</f>
        <v>1442</v>
      </c>
      <c r="L27" s="134"/>
      <c r="M27" s="135"/>
      <c r="N27" s="136"/>
      <c r="O27" s="137">
        <f>SUM(O20:O26)</f>
        <v>410687.99999999994</v>
      </c>
      <c r="P27" s="1197"/>
    </row>
    <row r="28" spans="2:16" x14ac:dyDescent="0.3">
      <c r="B28" s="1194"/>
      <c r="C28" s="32"/>
      <c r="D28" s="118" t="s">
        <v>58</v>
      </c>
      <c r="E28" s="98">
        <v>0</v>
      </c>
      <c r="F28" s="4">
        <f t="shared" ref="F28:F31" si="8">+G28+H28</f>
        <v>0</v>
      </c>
      <c r="G28" s="4">
        <v>0</v>
      </c>
      <c r="H28" s="8">
        <v>0</v>
      </c>
      <c r="I28" s="6">
        <f t="shared" ref="I28:I32" si="9">J28+K28</f>
        <v>0</v>
      </c>
      <c r="J28" s="4">
        <f>G28</f>
        <v>0</v>
      </c>
      <c r="K28" s="4">
        <f>H28</f>
        <v>0</v>
      </c>
      <c r="L28" s="33" t="e">
        <f t="shared" ref="L28" si="10">+J28/E28</f>
        <v>#DIV/0!</v>
      </c>
      <c r="M28" s="105">
        <v>12.029500000000001</v>
      </c>
      <c r="N28" s="34">
        <f>M28*G28</f>
        <v>0</v>
      </c>
      <c r="O28" s="87">
        <f t="shared" ref="O28:O30" si="11">M28*J28</f>
        <v>0</v>
      </c>
      <c r="P28" s="1196"/>
    </row>
    <row r="29" spans="2:16" x14ac:dyDescent="0.3">
      <c r="B29" s="1194"/>
      <c r="C29" s="35"/>
      <c r="D29" s="119" t="s">
        <v>59</v>
      </c>
      <c r="E29" s="99">
        <v>0</v>
      </c>
      <c r="F29" s="9">
        <f t="shared" si="8"/>
        <v>0</v>
      </c>
      <c r="G29" s="9">
        <v>0</v>
      </c>
      <c r="H29" s="10">
        <v>0</v>
      </c>
      <c r="I29" s="6">
        <f t="shared" si="9"/>
        <v>0</v>
      </c>
      <c r="J29" s="4">
        <f>G29</f>
        <v>0</v>
      </c>
      <c r="K29" s="4">
        <f>H29</f>
        <v>0</v>
      </c>
      <c r="L29" s="33"/>
      <c r="M29" s="106">
        <v>0</v>
      </c>
      <c r="N29" s="36"/>
      <c r="O29" s="88">
        <f t="shared" si="11"/>
        <v>0</v>
      </c>
      <c r="P29" s="1196"/>
    </row>
    <row r="30" spans="2:16" x14ac:dyDescent="0.3">
      <c r="B30" s="1194"/>
      <c r="C30" s="35"/>
      <c r="D30" s="119" t="s">
        <v>97</v>
      </c>
      <c r="E30" s="99">
        <v>0</v>
      </c>
      <c r="F30" s="9">
        <f t="shared" si="8"/>
        <v>0</v>
      </c>
      <c r="G30" s="9">
        <v>0</v>
      </c>
      <c r="H30" s="10">
        <v>0</v>
      </c>
      <c r="I30" s="6">
        <f t="shared" si="9"/>
        <v>0</v>
      </c>
      <c r="J30" s="4">
        <f t="shared" ref="J30:J32" si="12">G30</f>
        <v>0</v>
      </c>
      <c r="K30" s="4">
        <f t="shared" ref="K30:K32" si="13">H30</f>
        <v>0</v>
      </c>
      <c r="L30" s="33" t="e">
        <f t="shared" ref="L30:L32" si="14">+J30/E30</f>
        <v>#DIV/0!</v>
      </c>
      <c r="M30" s="106">
        <v>19.688600000000001</v>
      </c>
      <c r="N30" s="36">
        <f>M30*G30</f>
        <v>0</v>
      </c>
      <c r="O30" s="88">
        <f t="shared" si="11"/>
        <v>0</v>
      </c>
      <c r="P30" s="1196"/>
    </row>
    <row r="31" spans="2:16" x14ac:dyDescent="0.3">
      <c r="B31" s="1194"/>
      <c r="C31" s="35"/>
      <c r="D31" s="119" t="s">
        <v>61</v>
      </c>
      <c r="E31" s="99">
        <v>0</v>
      </c>
      <c r="F31" s="9">
        <f t="shared" si="8"/>
        <v>0</v>
      </c>
      <c r="G31" s="9">
        <v>0</v>
      </c>
      <c r="H31" s="10">
        <v>0</v>
      </c>
      <c r="I31" s="6">
        <f t="shared" si="9"/>
        <v>0</v>
      </c>
      <c r="J31" s="4">
        <f t="shared" si="12"/>
        <v>0</v>
      </c>
      <c r="K31" s="4">
        <f t="shared" si="13"/>
        <v>0</v>
      </c>
      <c r="L31" s="33" t="e">
        <f t="shared" si="14"/>
        <v>#DIV/0!</v>
      </c>
      <c r="M31" s="106">
        <v>1.2824</v>
      </c>
      <c r="N31" s="151">
        <f>M31*G31</f>
        <v>0</v>
      </c>
      <c r="O31" s="88">
        <f>M31*J31</f>
        <v>0</v>
      </c>
      <c r="P31" s="1196"/>
    </row>
    <row r="32" spans="2:16" ht="15" thickBot="1" x14ac:dyDescent="0.35">
      <c r="B32" s="1194"/>
      <c r="C32" s="82"/>
      <c r="D32" s="120" t="s">
        <v>60</v>
      </c>
      <c r="E32" s="108">
        <v>0</v>
      </c>
      <c r="F32" s="12">
        <v>0</v>
      </c>
      <c r="G32" s="12">
        <v>0</v>
      </c>
      <c r="H32" s="13">
        <v>0</v>
      </c>
      <c r="I32" s="21">
        <f t="shared" si="9"/>
        <v>0</v>
      </c>
      <c r="J32" s="4">
        <f t="shared" si="12"/>
        <v>0</v>
      </c>
      <c r="K32" s="4">
        <f t="shared" si="13"/>
        <v>0</v>
      </c>
      <c r="L32" s="81" t="e">
        <f t="shared" si="14"/>
        <v>#DIV/0!</v>
      </c>
      <c r="M32" s="107">
        <v>18.2316</v>
      </c>
      <c r="N32" s="75"/>
      <c r="O32" s="89">
        <f t="shared" ref="O32" si="15">M32*J32</f>
        <v>0</v>
      </c>
      <c r="P32" s="1198"/>
    </row>
    <row r="33" spans="2:16" ht="15" thickBot="1" x14ac:dyDescent="0.35">
      <c r="B33" s="1178" t="s">
        <v>105</v>
      </c>
      <c r="C33" s="1179"/>
      <c r="D33" s="1179"/>
      <c r="E33" s="124"/>
      <c r="F33" s="125">
        <f>+G33+H33</f>
        <v>0</v>
      </c>
      <c r="G33" s="125">
        <f>SUM(G28:G32)</f>
        <v>0</v>
      </c>
      <c r="H33" s="126">
        <f>SUM(H28:H32)</f>
        <v>0</v>
      </c>
      <c r="I33" s="121">
        <f>J33+K33</f>
        <v>0</v>
      </c>
      <c r="J33" s="122">
        <f>SUM(J28:J32)</f>
        <v>0</v>
      </c>
      <c r="K33" s="123">
        <f>SUM(K28:K32)</f>
        <v>0</v>
      </c>
      <c r="L33" s="138"/>
      <c r="M33" s="139"/>
      <c r="N33" s="140"/>
      <c r="O33" s="141">
        <f>SUM(O28:O32)</f>
        <v>0</v>
      </c>
      <c r="P33" s="161"/>
    </row>
    <row r="34" spans="2:16" ht="15" thickBot="1" x14ac:dyDescent="0.35">
      <c r="B34" s="1178" t="s">
        <v>98</v>
      </c>
      <c r="C34" s="1179"/>
      <c r="D34" s="1179"/>
      <c r="E34" s="1201"/>
      <c r="F34" s="1201"/>
      <c r="G34" s="1201"/>
      <c r="H34" s="1201"/>
      <c r="I34" s="1179"/>
      <c r="J34" s="1179"/>
      <c r="K34" s="1179"/>
      <c r="L34" s="1179"/>
      <c r="M34" s="1179"/>
      <c r="N34" s="1202"/>
      <c r="O34" s="83">
        <f>O27+O33</f>
        <v>410687.99999999994</v>
      </c>
      <c r="P34" s="161"/>
    </row>
    <row r="35" spans="2:16" x14ac:dyDescent="0.3">
      <c r="B35" s="1193" t="s">
        <v>62</v>
      </c>
      <c r="C35" s="37" t="s">
        <v>63</v>
      </c>
      <c r="D35" s="28" t="s">
        <v>64</v>
      </c>
      <c r="E35" s="38">
        <v>0</v>
      </c>
      <c r="F35" s="14">
        <f>+G35+H35</f>
        <v>0</v>
      </c>
      <c r="G35" s="14">
        <v>0</v>
      </c>
      <c r="H35" s="5">
        <v>0</v>
      </c>
      <c r="I35" s="17">
        <f t="shared" ref="I35:I41" si="16">J35+K35</f>
        <v>0</v>
      </c>
      <c r="J35" s="4">
        <f>G35</f>
        <v>0</v>
      </c>
      <c r="K35" s="4">
        <f>H35</f>
        <v>0</v>
      </c>
      <c r="L35" s="30" t="e">
        <f>+J35/E35</f>
        <v>#DIV/0!</v>
      </c>
      <c r="M35" s="146">
        <v>2.2141000000000002</v>
      </c>
      <c r="N35" s="15">
        <f>+M35*G35</f>
        <v>0</v>
      </c>
      <c r="O35" s="90">
        <f>+M35*J35</f>
        <v>0</v>
      </c>
      <c r="P35" s="1204"/>
    </row>
    <row r="36" spans="2:16" x14ac:dyDescent="0.3">
      <c r="B36" s="1194"/>
      <c r="C36" s="39"/>
      <c r="D36" s="22" t="s">
        <v>65</v>
      </c>
      <c r="E36" s="3">
        <v>0</v>
      </c>
      <c r="F36" s="9">
        <f t="shared" ref="F36:F41" si="17">+G36+H36</f>
        <v>0</v>
      </c>
      <c r="G36" s="4">
        <v>0</v>
      </c>
      <c r="H36" s="8">
        <v>0</v>
      </c>
      <c r="I36" s="6">
        <f t="shared" si="16"/>
        <v>0</v>
      </c>
      <c r="J36" s="4">
        <f>+G36</f>
        <v>0</v>
      </c>
      <c r="K36" s="4">
        <f>+H36</f>
        <v>0</v>
      </c>
      <c r="L36" s="40" t="e">
        <f t="shared" ref="L36:L37" si="18">+J36/E36</f>
        <v>#DIV/0!</v>
      </c>
      <c r="M36" s="145">
        <v>2.4565999999999999</v>
      </c>
      <c r="N36" s="11">
        <f t="shared" ref="N36:N38" si="19">+M36*G36</f>
        <v>0</v>
      </c>
      <c r="O36" s="91">
        <f t="shared" ref="O36:O38" si="20">+M36*J36</f>
        <v>0</v>
      </c>
      <c r="P36" s="1205"/>
    </row>
    <row r="37" spans="2:16" x14ac:dyDescent="0.3">
      <c r="B37" s="1194"/>
      <c r="C37" s="39"/>
      <c r="D37" s="23" t="s">
        <v>126</v>
      </c>
      <c r="E37" s="3">
        <v>0</v>
      </c>
      <c r="F37" s="9">
        <f t="shared" si="17"/>
        <v>0</v>
      </c>
      <c r="G37" s="4">
        <v>0</v>
      </c>
      <c r="H37" s="8">
        <v>0</v>
      </c>
      <c r="I37" s="6">
        <f t="shared" si="16"/>
        <v>0</v>
      </c>
      <c r="J37" s="4">
        <f t="shared" ref="J37:J41" si="21">+G37</f>
        <v>0</v>
      </c>
      <c r="K37" s="4">
        <f t="shared" ref="K37:K41" si="22">+H37</f>
        <v>0</v>
      </c>
      <c r="L37" s="40" t="e">
        <f t="shared" si="18"/>
        <v>#DIV/0!</v>
      </c>
      <c r="M37" s="145">
        <v>2.2907000000000002</v>
      </c>
      <c r="N37" s="11">
        <f t="shared" si="19"/>
        <v>0</v>
      </c>
      <c r="O37" s="91">
        <f t="shared" si="20"/>
        <v>0</v>
      </c>
      <c r="P37" s="1205"/>
    </row>
    <row r="38" spans="2:16" x14ac:dyDescent="0.3">
      <c r="B38" s="1194"/>
      <c r="C38" s="39"/>
      <c r="D38" s="22" t="s">
        <v>131</v>
      </c>
      <c r="E38" s="3"/>
      <c r="F38" s="9">
        <f t="shared" si="17"/>
        <v>0</v>
      </c>
      <c r="G38" s="4">
        <v>0</v>
      </c>
      <c r="H38" s="8">
        <v>0</v>
      </c>
      <c r="I38" s="6">
        <f t="shared" si="16"/>
        <v>0</v>
      </c>
      <c r="J38" s="4">
        <f t="shared" si="21"/>
        <v>0</v>
      </c>
      <c r="K38" s="4">
        <f t="shared" si="22"/>
        <v>0</v>
      </c>
      <c r="L38" s="33"/>
      <c r="M38" s="150">
        <v>2.544</v>
      </c>
      <c r="N38" s="11">
        <f t="shared" si="19"/>
        <v>0</v>
      </c>
      <c r="O38" s="91">
        <f t="shared" si="20"/>
        <v>0</v>
      </c>
      <c r="P38" s="1205"/>
    </row>
    <row r="39" spans="2:16" x14ac:dyDescent="0.3">
      <c r="B39" s="1194"/>
      <c r="C39" s="39" t="s">
        <v>66</v>
      </c>
      <c r="D39" s="22" t="s">
        <v>133</v>
      </c>
      <c r="E39" s="3">
        <v>0</v>
      </c>
      <c r="F39" s="9">
        <f t="shared" si="17"/>
        <v>40072</v>
      </c>
      <c r="G39" s="4">
        <v>38500</v>
      </c>
      <c r="H39" s="8">
        <v>1572</v>
      </c>
      <c r="I39" s="6">
        <f t="shared" si="16"/>
        <v>40072</v>
      </c>
      <c r="J39" s="4">
        <f t="shared" si="21"/>
        <v>38500</v>
      </c>
      <c r="K39" s="4">
        <f t="shared" si="22"/>
        <v>1572</v>
      </c>
      <c r="L39" s="33" t="e">
        <f>+J39/E39</f>
        <v>#DIV/0!</v>
      </c>
      <c r="M39" s="144">
        <v>2.2141000000000002</v>
      </c>
      <c r="N39" s="7">
        <f>+M39*G39</f>
        <v>85242.85</v>
      </c>
      <c r="O39" s="85">
        <f>+M39*J39</f>
        <v>85242.85</v>
      </c>
      <c r="P39" s="1205"/>
    </row>
    <row r="40" spans="2:16" x14ac:dyDescent="0.3">
      <c r="B40" s="1194"/>
      <c r="C40" s="39"/>
      <c r="D40" s="22" t="s">
        <v>65</v>
      </c>
      <c r="E40" s="3">
        <v>0</v>
      </c>
      <c r="F40" s="9">
        <f t="shared" si="17"/>
        <v>0</v>
      </c>
      <c r="G40" s="4">
        <v>0</v>
      </c>
      <c r="H40" s="8">
        <v>0</v>
      </c>
      <c r="I40" s="6">
        <f t="shared" si="16"/>
        <v>0</v>
      </c>
      <c r="J40" s="4">
        <f t="shared" si="21"/>
        <v>0</v>
      </c>
      <c r="K40" s="4">
        <f t="shared" si="22"/>
        <v>0</v>
      </c>
      <c r="L40" s="40" t="e">
        <f t="shared" ref="L40:L41" si="23">+J40/E40</f>
        <v>#DIV/0!</v>
      </c>
      <c r="M40" s="145">
        <v>2.4565999999999999</v>
      </c>
      <c r="N40" s="11">
        <f t="shared" ref="N40:N41" si="24">+M40*G40</f>
        <v>0</v>
      </c>
      <c r="O40" s="91">
        <f t="shared" ref="O40" si="25">+M40*J40</f>
        <v>0</v>
      </c>
      <c r="P40" s="1205"/>
    </row>
    <row r="41" spans="2:16" ht="15" thickBot="1" x14ac:dyDescent="0.35">
      <c r="B41" s="1194"/>
      <c r="C41" s="39"/>
      <c r="D41" s="22" t="s">
        <v>126</v>
      </c>
      <c r="E41" s="3">
        <v>0</v>
      </c>
      <c r="F41" s="9">
        <f t="shared" si="17"/>
        <v>0</v>
      </c>
      <c r="G41" s="4">
        <v>0</v>
      </c>
      <c r="H41" s="8">
        <v>0</v>
      </c>
      <c r="I41" s="6">
        <f t="shared" si="16"/>
        <v>0</v>
      </c>
      <c r="J41" s="4">
        <f t="shared" si="21"/>
        <v>0</v>
      </c>
      <c r="K41" s="4">
        <f t="shared" si="22"/>
        <v>0</v>
      </c>
      <c r="L41" s="40" t="e">
        <f t="shared" si="23"/>
        <v>#DIV/0!</v>
      </c>
      <c r="M41" s="145">
        <v>2.2907000000000002</v>
      </c>
      <c r="N41" s="11">
        <f t="shared" si="24"/>
        <v>0</v>
      </c>
      <c r="O41" s="154">
        <f>+M41*J41</f>
        <v>0</v>
      </c>
      <c r="P41" s="1206"/>
    </row>
    <row r="42" spans="2:16" ht="15" thickBot="1" x14ac:dyDescent="0.35">
      <c r="B42" s="1194"/>
      <c r="C42" s="41" t="s">
        <v>29</v>
      </c>
      <c r="D42" s="27" t="str">
        <f>+C42</f>
        <v>TOTAL 1/2</v>
      </c>
      <c r="E42" s="42">
        <f>SUM(E35:E41)</f>
        <v>0</v>
      </c>
      <c r="F42" s="43">
        <f>SUM(F35:F41)</f>
        <v>40072</v>
      </c>
      <c r="G42" s="43">
        <f>SUM(G35:G41)</f>
        <v>38500</v>
      </c>
      <c r="H42" s="44">
        <f>SUM(H35:H41)</f>
        <v>1572</v>
      </c>
      <c r="I42" s="45">
        <f>SUM(I39:I41)</f>
        <v>40072</v>
      </c>
      <c r="J42" s="43">
        <f>SUM(J35:J41)</f>
        <v>38500</v>
      </c>
      <c r="K42" s="43">
        <f>SUM(K35:K41)</f>
        <v>1572</v>
      </c>
      <c r="L42" s="46" t="e">
        <f>+J42/E42</f>
        <v>#DIV/0!</v>
      </c>
      <c r="M42" s="47"/>
      <c r="N42" s="48">
        <f>SUM(N39:N41)</f>
        <v>85242.85</v>
      </c>
      <c r="O42" s="49">
        <f>SUM(O35:O41)</f>
        <v>85242.85</v>
      </c>
      <c r="P42" s="162"/>
    </row>
    <row r="43" spans="2:16" x14ac:dyDescent="0.3">
      <c r="B43" s="1194"/>
      <c r="C43" s="1207" t="s">
        <v>67</v>
      </c>
      <c r="D43" s="22" t="s">
        <v>64</v>
      </c>
      <c r="E43" s="3">
        <v>0</v>
      </c>
      <c r="F43" s="4">
        <f>G43+H43</f>
        <v>109220</v>
      </c>
      <c r="G43" s="4">
        <f>60000+45750</f>
        <v>105750</v>
      </c>
      <c r="H43" s="8">
        <f>1780+1690</f>
        <v>3470</v>
      </c>
      <c r="I43" s="16">
        <f>J43+K43</f>
        <v>109220</v>
      </c>
      <c r="J43" s="4">
        <f>G43</f>
        <v>105750</v>
      </c>
      <c r="K43" s="4">
        <f>H43</f>
        <v>3470</v>
      </c>
      <c r="L43" s="50" t="e">
        <f>+J43/E43</f>
        <v>#DIV/0!</v>
      </c>
      <c r="M43" s="144">
        <v>4.1712999999999996</v>
      </c>
      <c r="N43" s="7">
        <f>+M43*G43</f>
        <v>441114.97499999998</v>
      </c>
      <c r="O43" s="93">
        <f>+M43*J43</f>
        <v>441114.97499999998</v>
      </c>
      <c r="P43" s="1204"/>
    </row>
    <row r="44" spans="2:16" x14ac:dyDescent="0.3">
      <c r="B44" s="1194"/>
      <c r="C44" s="1208"/>
      <c r="D44" s="22" t="s">
        <v>65</v>
      </c>
      <c r="E44" s="3">
        <v>0</v>
      </c>
      <c r="F44" s="4">
        <f>G44+H44</f>
        <v>0</v>
      </c>
      <c r="G44" s="4">
        <v>0</v>
      </c>
      <c r="H44" s="8">
        <v>0</v>
      </c>
      <c r="I44" s="6">
        <f>+R1088+F44</f>
        <v>0</v>
      </c>
      <c r="J44" s="4">
        <f>G44</f>
        <v>0</v>
      </c>
      <c r="K44" s="4">
        <f>H44</f>
        <v>0</v>
      </c>
      <c r="L44" s="51" t="e">
        <f t="shared" ref="L44:L48" si="26">+J44/E44</f>
        <v>#DIV/0!</v>
      </c>
      <c r="M44" s="145">
        <v>4.8285999999999998</v>
      </c>
      <c r="N44" s="11">
        <f t="shared" ref="N44:N46" si="27">+M44*G44</f>
        <v>0</v>
      </c>
      <c r="O44" s="94">
        <f t="shared" ref="O44:O46" si="28">+M44*J44</f>
        <v>0</v>
      </c>
      <c r="P44" s="1205"/>
    </row>
    <row r="45" spans="2:16" x14ac:dyDescent="0.3">
      <c r="B45" s="1194"/>
      <c r="C45" s="1208"/>
      <c r="D45" s="22" t="s">
        <v>127</v>
      </c>
      <c r="E45" s="3"/>
      <c r="F45" s="4">
        <f>G45+H45</f>
        <v>0</v>
      </c>
      <c r="G45" s="4">
        <v>0</v>
      </c>
      <c r="H45" s="8">
        <v>0</v>
      </c>
      <c r="I45" s="6">
        <f>+R1089+F45</f>
        <v>0</v>
      </c>
      <c r="J45" s="4">
        <f t="shared" ref="J45:J46" si="29">G45</f>
        <v>0</v>
      </c>
      <c r="K45" s="4">
        <f t="shared" ref="K45:K46" si="30">H45</f>
        <v>0</v>
      </c>
      <c r="L45" s="51" t="e">
        <f t="shared" si="26"/>
        <v>#DIV/0!</v>
      </c>
      <c r="M45" s="144">
        <v>4.5023</v>
      </c>
      <c r="N45" s="11">
        <f t="shared" si="27"/>
        <v>0</v>
      </c>
      <c r="O45" s="94">
        <f t="shared" si="28"/>
        <v>0</v>
      </c>
      <c r="P45" s="1205"/>
    </row>
    <row r="46" spans="2:16" ht="15" thickBot="1" x14ac:dyDescent="0.35">
      <c r="B46" s="1194"/>
      <c r="C46" s="1208"/>
      <c r="D46" s="22" t="s">
        <v>111</v>
      </c>
      <c r="E46" s="3">
        <v>0</v>
      </c>
      <c r="F46" s="4">
        <f t="shared" ref="F46" si="31">G46+H46</f>
        <v>0</v>
      </c>
      <c r="G46" s="4">
        <v>0</v>
      </c>
      <c r="H46" s="8">
        <v>0</v>
      </c>
      <c r="I46" s="6">
        <f>+R1089+F46</f>
        <v>0</v>
      </c>
      <c r="J46" s="4">
        <f t="shared" si="29"/>
        <v>0</v>
      </c>
      <c r="K46" s="4">
        <f t="shared" si="30"/>
        <v>0</v>
      </c>
      <c r="L46" s="51" t="e">
        <f t="shared" si="26"/>
        <v>#DIV/0!</v>
      </c>
      <c r="M46" s="144">
        <v>4.4065000000000003</v>
      </c>
      <c r="N46" s="11">
        <f t="shared" si="27"/>
        <v>0</v>
      </c>
      <c r="O46" s="94">
        <f t="shared" si="28"/>
        <v>0</v>
      </c>
      <c r="P46" s="1205"/>
    </row>
    <row r="47" spans="2:16" ht="15" thickBot="1" x14ac:dyDescent="0.35">
      <c r="B47" s="1194"/>
      <c r="C47" s="41" t="s">
        <v>31</v>
      </c>
      <c r="D47" s="18" t="str">
        <f>+C47</f>
        <v>TOTAL 4/4</v>
      </c>
      <c r="E47" s="42">
        <f t="shared" ref="E47:K47" si="32">SUM(E43:E46)</f>
        <v>0</v>
      </c>
      <c r="F47" s="43">
        <f t="shared" si="32"/>
        <v>109220</v>
      </c>
      <c r="G47" s="43">
        <f t="shared" si="32"/>
        <v>105750</v>
      </c>
      <c r="H47" s="44">
        <f t="shared" si="32"/>
        <v>3470</v>
      </c>
      <c r="I47" s="45">
        <f t="shared" si="32"/>
        <v>109220</v>
      </c>
      <c r="J47" s="43">
        <f t="shared" si="32"/>
        <v>105750</v>
      </c>
      <c r="K47" s="43">
        <f t="shared" si="32"/>
        <v>3470</v>
      </c>
      <c r="L47" s="46" t="e">
        <f t="shared" si="26"/>
        <v>#DIV/0!</v>
      </c>
      <c r="M47" s="47"/>
      <c r="N47" s="48">
        <f>SUM(N43:N46)</f>
        <v>441114.97499999998</v>
      </c>
      <c r="O47" s="92">
        <f>SUM(O43:O46)</f>
        <v>441114.97499999998</v>
      </c>
      <c r="P47" s="1206"/>
    </row>
    <row r="48" spans="2:16" ht="15" thickBot="1" x14ac:dyDescent="0.35">
      <c r="B48" s="1203"/>
      <c r="C48" s="41" t="s">
        <v>68</v>
      </c>
      <c r="D48" s="27" t="s">
        <v>64</v>
      </c>
      <c r="E48" s="25">
        <v>0</v>
      </c>
      <c r="F48" s="20">
        <f>G48+H48</f>
        <v>0</v>
      </c>
      <c r="G48" s="20">
        <v>0</v>
      </c>
      <c r="H48" s="24">
        <v>0</v>
      </c>
      <c r="I48" s="19">
        <f>J48+K48</f>
        <v>0</v>
      </c>
      <c r="J48" s="4">
        <f>G48</f>
        <v>0</v>
      </c>
      <c r="K48" s="4">
        <f>H48</f>
        <v>0</v>
      </c>
      <c r="L48" s="52" t="e">
        <f t="shared" si="26"/>
        <v>#DIV/0!</v>
      </c>
      <c r="M48" s="149">
        <v>1.4086000000000001</v>
      </c>
      <c r="N48" s="26">
        <f t="shared" ref="N48" si="33">+M48*G48</f>
        <v>0</v>
      </c>
      <c r="O48" s="95">
        <f t="shared" ref="O48" si="34">+M48*J48</f>
        <v>0</v>
      </c>
      <c r="P48" s="53"/>
    </row>
    <row r="49" spans="2:16" ht="15" thickBot="1" x14ac:dyDescent="0.35">
      <c r="B49" s="1178" t="s">
        <v>95</v>
      </c>
      <c r="C49" s="1179"/>
      <c r="D49" s="1179"/>
      <c r="E49" s="1179"/>
      <c r="F49" s="1179"/>
      <c r="G49" s="1179"/>
      <c r="H49" s="1179"/>
      <c r="I49" s="110">
        <f>J49+K49</f>
        <v>149292</v>
      </c>
      <c r="J49" s="110">
        <f>J42+J47+J48</f>
        <v>144250</v>
      </c>
      <c r="K49" s="110">
        <f>K42+K47+K48</f>
        <v>5042</v>
      </c>
      <c r="L49" s="111"/>
      <c r="M49" s="112"/>
      <c r="N49" s="109"/>
      <c r="O49" s="77">
        <f>+O48+O47+O42</f>
        <v>526357.82499999995</v>
      </c>
      <c r="P49" s="84"/>
    </row>
    <row r="50" spans="2:16" x14ac:dyDescent="0.3">
      <c r="B50" s="1180" t="s">
        <v>69</v>
      </c>
      <c r="C50" s="1183" t="s">
        <v>70</v>
      </c>
      <c r="D50" s="54" t="s">
        <v>71</v>
      </c>
      <c r="E50" s="55">
        <v>0</v>
      </c>
      <c r="F50" s="56">
        <f>G50+H50</f>
        <v>0</v>
      </c>
      <c r="G50" s="56">
        <v>0</v>
      </c>
      <c r="H50" s="57">
        <v>0</v>
      </c>
      <c r="I50" s="78">
        <f>J50+K50</f>
        <v>0</v>
      </c>
      <c r="J50" s="4">
        <f>G50</f>
        <v>0</v>
      </c>
      <c r="K50" s="4">
        <f>H50</f>
        <v>0</v>
      </c>
      <c r="L50" s="58" t="e">
        <f t="shared" ref="L50" si="35">+J50/E50</f>
        <v>#DIV/0!</v>
      </c>
      <c r="M50" s="59">
        <v>32.946300000000001</v>
      </c>
      <c r="N50" s="60">
        <f>+M50*G50</f>
        <v>0</v>
      </c>
      <c r="O50" s="60">
        <f>M50*J50</f>
        <v>0</v>
      </c>
      <c r="P50" s="1185"/>
    </row>
    <row r="51" spans="2:16" x14ac:dyDescent="0.3">
      <c r="B51" s="1181"/>
      <c r="C51" s="1184"/>
      <c r="D51" s="61" t="s">
        <v>72</v>
      </c>
      <c r="E51" s="62">
        <v>0</v>
      </c>
      <c r="F51" s="63">
        <f>G51+H51</f>
        <v>0</v>
      </c>
      <c r="G51" s="63">
        <v>0</v>
      </c>
      <c r="H51" s="64">
        <v>0</v>
      </c>
      <c r="I51" s="79">
        <f>J51+K51</f>
        <v>0</v>
      </c>
      <c r="J51" s="4">
        <f>G51</f>
        <v>0</v>
      </c>
      <c r="K51" s="4">
        <f>H51</f>
        <v>0</v>
      </c>
      <c r="L51" s="65" t="e">
        <f>+J51/E51</f>
        <v>#DIV/0!</v>
      </c>
      <c r="M51" s="66">
        <v>35.398400000000002</v>
      </c>
      <c r="N51" s="67">
        <f>+M51*G51</f>
        <v>0</v>
      </c>
      <c r="O51" s="67">
        <f>M51*J51</f>
        <v>0</v>
      </c>
      <c r="P51" s="1186"/>
    </row>
    <row r="52" spans="2:16" x14ac:dyDescent="0.3">
      <c r="B52" s="1181"/>
      <c r="C52" s="1184"/>
      <c r="D52" s="61" t="s">
        <v>73</v>
      </c>
      <c r="E52" s="62">
        <v>0</v>
      </c>
      <c r="F52" s="63">
        <f t="shared" ref="F52:F55" si="36">G52+H52</f>
        <v>0</v>
      </c>
      <c r="G52" s="63">
        <v>0</v>
      </c>
      <c r="H52" s="64">
        <v>0</v>
      </c>
      <c r="I52" s="79">
        <f t="shared" ref="I52:I61" si="37">J52+K52</f>
        <v>0</v>
      </c>
      <c r="J52" s="4">
        <f t="shared" ref="J52:J77" si="38">G52</f>
        <v>0</v>
      </c>
      <c r="K52" s="4">
        <f t="shared" ref="K52:K77" si="39">H52</f>
        <v>0</v>
      </c>
      <c r="L52" s="65" t="e">
        <f t="shared" ref="L52:L65" si="40">+J52/E52</f>
        <v>#DIV/0!</v>
      </c>
      <c r="M52" s="66">
        <v>32.946300000000001</v>
      </c>
      <c r="N52" s="67">
        <f t="shared" ref="N52:N72" si="41">+M52*G52</f>
        <v>0</v>
      </c>
      <c r="O52" s="67">
        <f t="shared" ref="O52:O60" si="42">M52*J52</f>
        <v>0</v>
      </c>
      <c r="P52" s="1186"/>
    </row>
    <row r="53" spans="2:16" x14ac:dyDescent="0.3">
      <c r="B53" s="1181"/>
      <c r="C53" s="1184" t="s">
        <v>74</v>
      </c>
      <c r="D53" s="61" t="s">
        <v>75</v>
      </c>
      <c r="E53" s="62">
        <v>0</v>
      </c>
      <c r="F53" s="63">
        <f t="shared" si="36"/>
        <v>0</v>
      </c>
      <c r="G53" s="63">
        <v>0</v>
      </c>
      <c r="H53" s="64">
        <v>0</v>
      </c>
      <c r="I53" s="79">
        <f t="shared" si="37"/>
        <v>0</v>
      </c>
      <c r="J53" s="4">
        <f t="shared" si="38"/>
        <v>0</v>
      </c>
      <c r="K53" s="4">
        <f t="shared" si="39"/>
        <v>0</v>
      </c>
      <c r="L53" s="65" t="e">
        <f t="shared" si="40"/>
        <v>#DIV/0!</v>
      </c>
      <c r="M53" s="66">
        <v>55.4758</v>
      </c>
      <c r="N53" s="67">
        <f t="shared" si="41"/>
        <v>0</v>
      </c>
      <c r="O53" s="67">
        <f t="shared" si="42"/>
        <v>0</v>
      </c>
      <c r="P53" s="1186"/>
    </row>
    <row r="54" spans="2:16" x14ac:dyDescent="0.3">
      <c r="B54" s="1181"/>
      <c r="C54" s="1184"/>
      <c r="D54" s="61" t="s">
        <v>134</v>
      </c>
      <c r="E54" s="62">
        <v>0</v>
      </c>
      <c r="F54" s="63">
        <f t="shared" si="36"/>
        <v>0</v>
      </c>
      <c r="G54" s="63">
        <v>0</v>
      </c>
      <c r="H54" s="64">
        <v>0</v>
      </c>
      <c r="I54" s="79">
        <f t="shared" si="37"/>
        <v>0</v>
      </c>
      <c r="J54" s="4">
        <f t="shared" si="38"/>
        <v>0</v>
      </c>
      <c r="K54" s="4">
        <f t="shared" si="39"/>
        <v>0</v>
      </c>
      <c r="L54" s="65" t="e">
        <f t="shared" si="40"/>
        <v>#DIV/0!</v>
      </c>
      <c r="M54" s="66">
        <v>53.515999999999998</v>
      </c>
      <c r="N54" s="67">
        <f t="shared" si="41"/>
        <v>0</v>
      </c>
      <c r="O54" s="67">
        <f t="shared" si="42"/>
        <v>0</v>
      </c>
      <c r="P54" s="1186"/>
    </row>
    <row r="55" spans="2:16" x14ac:dyDescent="0.3">
      <c r="B55" s="1181"/>
      <c r="C55" s="1184"/>
      <c r="D55" s="61" t="s">
        <v>72</v>
      </c>
      <c r="E55" s="62">
        <v>0</v>
      </c>
      <c r="F55" s="63">
        <f t="shared" si="36"/>
        <v>0</v>
      </c>
      <c r="G55" s="63">
        <v>0</v>
      </c>
      <c r="H55" s="64">
        <v>0</v>
      </c>
      <c r="I55" s="79">
        <f t="shared" si="37"/>
        <v>0</v>
      </c>
      <c r="J55" s="4">
        <f t="shared" si="38"/>
        <v>0</v>
      </c>
      <c r="K55" s="4">
        <f t="shared" si="39"/>
        <v>0</v>
      </c>
      <c r="L55" s="65" t="e">
        <f t="shared" si="40"/>
        <v>#DIV/0!</v>
      </c>
      <c r="M55" s="66">
        <v>58.836300000000001</v>
      </c>
      <c r="N55" s="67">
        <f t="shared" si="41"/>
        <v>0</v>
      </c>
      <c r="O55" s="67">
        <f t="shared" si="42"/>
        <v>0</v>
      </c>
      <c r="P55" s="1186"/>
    </row>
    <row r="56" spans="2:16" x14ac:dyDescent="0.3">
      <c r="B56" s="1181"/>
      <c r="C56" s="1188" t="s">
        <v>76</v>
      </c>
      <c r="D56" s="61" t="s">
        <v>77</v>
      </c>
      <c r="E56" s="62">
        <v>0</v>
      </c>
      <c r="F56" s="63">
        <f>G56+H56</f>
        <v>0</v>
      </c>
      <c r="G56" s="63">
        <v>0</v>
      </c>
      <c r="H56" s="64">
        <v>0</v>
      </c>
      <c r="I56" s="79">
        <f t="shared" si="37"/>
        <v>0</v>
      </c>
      <c r="J56" s="4">
        <f t="shared" si="38"/>
        <v>0</v>
      </c>
      <c r="K56" s="4">
        <f t="shared" si="39"/>
        <v>0</v>
      </c>
      <c r="L56" s="65" t="e">
        <f t="shared" si="40"/>
        <v>#DIV/0!</v>
      </c>
      <c r="M56" s="66">
        <v>25.687200000000001</v>
      </c>
      <c r="N56" s="67">
        <f t="shared" si="41"/>
        <v>0</v>
      </c>
      <c r="O56" s="67">
        <f t="shared" si="42"/>
        <v>0</v>
      </c>
      <c r="P56" s="1186"/>
    </row>
    <row r="57" spans="2:16" x14ac:dyDescent="0.3">
      <c r="B57" s="1181"/>
      <c r="C57" s="1189"/>
      <c r="D57" s="61" t="s">
        <v>117</v>
      </c>
      <c r="E57" s="62">
        <v>0</v>
      </c>
      <c r="F57" s="63">
        <f>G57+H57</f>
        <v>0</v>
      </c>
      <c r="G57" s="63">
        <v>0</v>
      </c>
      <c r="H57" s="64">
        <v>0</v>
      </c>
      <c r="I57" s="79">
        <f t="shared" si="37"/>
        <v>0</v>
      </c>
      <c r="J57" s="4">
        <f t="shared" si="38"/>
        <v>0</v>
      </c>
      <c r="K57" s="4">
        <f t="shared" si="39"/>
        <v>0</v>
      </c>
      <c r="L57" s="65" t="e">
        <f t="shared" si="40"/>
        <v>#DIV/0!</v>
      </c>
      <c r="M57" s="66">
        <v>25.033899999999999</v>
      </c>
      <c r="N57" s="67">
        <f t="shared" si="41"/>
        <v>0</v>
      </c>
      <c r="O57" s="67">
        <f t="shared" si="42"/>
        <v>0</v>
      </c>
      <c r="P57" s="1186"/>
    </row>
    <row r="58" spans="2:16" x14ac:dyDescent="0.3">
      <c r="B58" s="1181"/>
      <c r="C58" s="1188" t="s">
        <v>78</v>
      </c>
      <c r="D58" s="61" t="s">
        <v>79</v>
      </c>
      <c r="E58" s="62">
        <v>0</v>
      </c>
      <c r="F58" s="63">
        <f t="shared" ref="F58:F77" si="43">G58+H58</f>
        <v>0</v>
      </c>
      <c r="G58" s="63">
        <v>0</v>
      </c>
      <c r="H58" s="64">
        <v>0</v>
      </c>
      <c r="I58" s="79">
        <f t="shared" si="37"/>
        <v>0</v>
      </c>
      <c r="J58" s="4">
        <f t="shared" si="38"/>
        <v>0</v>
      </c>
      <c r="K58" s="4">
        <f>H58</f>
        <v>0</v>
      </c>
      <c r="L58" s="65" t="e">
        <f t="shared" si="40"/>
        <v>#DIV/0!</v>
      </c>
      <c r="M58" s="66">
        <v>41.992699999999999</v>
      </c>
      <c r="N58" s="67">
        <f t="shared" si="41"/>
        <v>0</v>
      </c>
      <c r="O58" s="67">
        <f t="shared" si="42"/>
        <v>0</v>
      </c>
      <c r="P58" s="1186"/>
    </row>
    <row r="59" spans="2:16" x14ac:dyDescent="0.3">
      <c r="B59" s="1181"/>
      <c r="C59" s="1189"/>
      <c r="D59" s="61" t="s">
        <v>72</v>
      </c>
      <c r="E59" s="62">
        <v>0</v>
      </c>
      <c r="F59" s="63">
        <f t="shared" si="43"/>
        <v>0</v>
      </c>
      <c r="G59" s="63">
        <v>0</v>
      </c>
      <c r="H59" s="64">
        <v>0</v>
      </c>
      <c r="I59" s="79">
        <f t="shared" si="37"/>
        <v>0</v>
      </c>
      <c r="J59" s="4">
        <f t="shared" si="38"/>
        <v>0</v>
      </c>
      <c r="K59" s="4">
        <f t="shared" si="39"/>
        <v>0</v>
      </c>
      <c r="L59" s="65" t="e">
        <f t="shared" si="40"/>
        <v>#DIV/0!</v>
      </c>
      <c r="M59" s="66">
        <v>42.283799999999999</v>
      </c>
      <c r="N59" s="67">
        <f t="shared" si="41"/>
        <v>0</v>
      </c>
      <c r="O59" s="67">
        <f t="shared" si="42"/>
        <v>0</v>
      </c>
      <c r="P59" s="1186"/>
    </row>
    <row r="60" spans="2:16" x14ac:dyDescent="0.3">
      <c r="B60" s="1181"/>
      <c r="C60" s="160" t="s">
        <v>80</v>
      </c>
      <c r="D60" s="61" t="s">
        <v>81</v>
      </c>
      <c r="E60" s="62">
        <v>0</v>
      </c>
      <c r="F60" s="63">
        <f t="shared" si="43"/>
        <v>0</v>
      </c>
      <c r="G60" s="63">
        <v>0</v>
      </c>
      <c r="H60" s="64">
        <v>0</v>
      </c>
      <c r="I60" s="79">
        <f t="shared" si="37"/>
        <v>0</v>
      </c>
      <c r="J60" s="4">
        <f t="shared" si="38"/>
        <v>0</v>
      </c>
      <c r="K60" s="4">
        <f t="shared" si="39"/>
        <v>0</v>
      </c>
      <c r="L60" s="65" t="e">
        <f t="shared" si="40"/>
        <v>#DIV/0!</v>
      </c>
      <c r="M60" s="66">
        <v>4.3535000000000004</v>
      </c>
      <c r="N60" s="67">
        <f t="shared" si="41"/>
        <v>0</v>
      </c>
      <c r="O60" s="67">
        <f t="shared" si="42"/>
        <v>0</v>
      </c>
      <c r="P60" s="1186"/>
    </row>
    <row r="61" spans="2:16" x14ac:dyDescent="0.3">
      <c r="B61" s="1181"/>
      <c r="C61" s="1184" t="s">
        <v>82</v>
      </c>
      <c r="D61" s="61" t="s">
        <v>77</v>
      </c>
      <c r="E61" s="62">
        <v>0</v>
      </c>
      <c r="F61" s="63">
        <f t="shared" si="43"/>
        <v>0</v>
      </c>
      <c r="G61" s="63">
        <v>0</v>
      </c>
      <c r="H61" s="64">
        <v>0</v>
      </c>
      <c r="I61" s="79">
        <f t="shared" si="37"/>
        <v>0</v>
      </c>
      <c r="J61" s="4">
        <f t="shared" si="38"/>
        <v>0</v>
      </c>
      <c r="K61" s="4">
        <f t="shared" si="39"/>
        <v>0</v>
      </c>
      <c r="L61" s="65" t="e">
        <f t="shared" si="40"/>
        <v>#DIV/0!</v>
      </c>
      <c r="M61" s="66">
        <v>4.6184000000000003</v>
      </c>
      <c r="N61" s="67">
        <f t="shared" si="41"/>
        <v>0</v>
      </c>
      <c r="O61" s="67">
        <f>M61*J61</f>
        <v>0</v>
      </c>
      <c r="P61" s="1186"/>
    </row>
    <row r="62" spans="2:16" x14ac:dyDescent="0.3">
      <c r="B62" s="1181"/>
      <c r="C62" s="1184"/>
      <c r="D62" s="61" t="s">
        <v>119</v>
      </c>
      <c r="E62" s="62">
        <v>0</v>
      </c>
      <c r="F62" s="63">
        <f t="shared" si="43"/>
        <v>0</v>
      </c>
      <c r="G62" s="63">
        <v>0</v>
      </c>
      <c r="H62" s="64">
        <v>0</v>
      </c>
      <c r="I62" s="79">
        <f>J62+K62</f>
        <v>0</v>
      </c>
      <c r="J62" s="4">
        <f t="shared" si="38"/>
        <v>0</v>
      </c>
      <c r="K62" s="4">
        <f t="shared" si="39"/>
        <v>0</v>
      </c>
      <c r="L62" s="65" t="e">
        <f t="shared" si="40"/>
        <v>#DIV/0!</v>
      </c>
      <c r="M62" s="153">
        <v>4.6184000000000003</v>
      </c>
      <c r="N62" s="67">
        <f t="shared" si="41"/>
        <v>0</v>
      </c>
      <c r="O62" s="67">
        <f>M62*J62</f>
        <v>0</v>
      </c>
      <c r="P62" s="1186"/>
    </row>
    <row r="63" spans="2:16" x14ac:dyDescent="0.3">
      <c r="B63" s="1181"/>
      <c r="C63" s="1184"/>
      <c r="D63" s="61" t="s">
        <v>123</v>
      </c>
      <c r="E63" s="62">
        <v>0</v>
      </c>
      <c r="F63" s="63">
        <f t="shared" si="43"/>
        <v>0</v>
      </c>
      <c r="G63" s="63">
        <v>0</v>
      </c>
      <c r="H63" s="64">
        <v>0</v>
      </c>
      <c r="I63" s="79">
        <f t="shared" ref="I63:I77" si="44">J63+K63</f>
        <v>0</v>
      </c>
      <c r="J63" s="4">
        <f t="shared" si="38"/>
        <v>0</v>
      </c>
      <c r="K63" s="4">
        <f>H63</f>
        <v>0</v>
      </c>
      <c r="L63" s="65" t="e">
        <f t="shared" si="40"/>
        <v>#DIV/0!</v>
      </c>
      <c r="M63" s="153">
        <v>4.6184000000000003</v>
      </c>
      <c r="N63" s="67">
        <f t="shared" si="41"/>
        <v>0</v>
      </c>
      <c r="O63" s="67">
        <f t="shared" ref="O63:O68" si="45">M63*J63</f>
        <v>0</v>
      </c>
      <c r="P63" s="1186"/>
    </row>
    <row r="64" spans="2:16" x14ac:dyDescent="0.3">
      <c r="B64" s="1181"/>
      <c r="C64" s="1184"/>
      <c r="D64" s="61" t="s">
        <v>124</v>
      </c>
      <c r="E64" s="62">
        <v>0</v>
      </c>
      <c r="F64" s="63">
        <f t="shared" si="43"/>
        <v>24100</v>
      </c>
      <c r="G64" s="63">
        <v>23100</v>
      </c>
      <c r="H64" s="64">
        <v>1000</v>
      </c>
      <c r="I64" s="79">
        <f t="shared" si="44"/>
        <v>24100</v>
      </c>
      <c r="J64" s="4">
        <f t="shared" si="38"/>
        <v>23100</v>
      </c>
      <c r="K64" s="4">
        <f t="shared" si="39"/>
        <v>1000</v>
      </c>
      <c r="L64" s="65" t="e">
        <f t="shared" si="40"/>
        <v>#DIV/0!</v>
      </c>
      <c r="M64" s="153">
        <v>4.7636000000000003</v>
      </c>
      <c r="N64" s="67">
        <f t="shared" si="41"/>
        <v>110039.16</v>
      </c>
      <c r="O64" s="67">
        <f t="shared" si="45"/>
        <v>110039.16</v>
      </c>
      <c r="P64" s="1186"/>
    </row>
    <row r="65" spans="2:16" x14ac:dyDescent="0.3">
      <c r="B65" s="1181"/>
      <c r="C65" s="1184"/>
      <c r="D65" s="61" t="s">
        <v>83</v>
      </c>
      <c r="E65" s="62">
        <v>0</v>
      </c>
      <c r="F65" s="63">
        <f t="shared" si="43"/>
        <v>0</v>
      </c>
      <c r="G65" s="63">
        <v>0</v>
      </c>
      <c r="H65" s="64">
        <v>0</v>
      </c>
      <c r="I65" s="79">
        <f t="shared" si="44"/>
        <v>0</v>
      </c>
      <c r="J65" s="4">
        <f t="shared" si="38"/>
        <v>0</v>
      </c>
      <c r="K65" s="4">
        <f t="shared" si="39"/>
        <v>0</v>
      </c>
      <c r="L65" s="65" t="e">
        <f t="shared" si="40"/>
        <v>#DIV/0!</v>
      </c>
      <c r="M65" s="66">
        <v>4.8738000000000001</v>
      </c>
      <c r="N65" s="67">
        <f t="shared" si="41"/>
        <v>0</v>
      </c>
      <c r="O65" s="67">
        <f t="shared" si="45"/>
        <v>0</v>
      </c>
      <c r="P65" s="1186"/>
    </row>
    <row r="66" spans="2:16" x14ac:dyDescent="0.3">
      <c r="B66" s="1181"/>
      <c r="C66" s="160" t="s">
        <v>128</v>
      </c>
      <c r="D66" s="61" t="s">
        <v>124</v>
      </c>
      <c r="E66" s="62"/>
      <c r="F66" s="63">
        <f t="shared" si="43"/>
        <v>0</v>
      </c>
      <c r="G66" s="63">
        <v>0</v>
      </c>
      <c r="H66" s="64">
        <v>0</v>
      </c>
      <c r="I66" s="79">
        <f t="shared" si="44"/>
        <v>0</v>
      </c>
      <c r="J66" s="4">
        <f t="shared" si="38"/>
        <v>0</v>
      </c>
      <c r="K66" s="4">
        <f t="shared" si="39"/>
        <v>0</v>
      </c>
      <c r="L66" s="65"/>
      <c r="M66" s="66">
        <v>4.8738000000000001</v>
      </c>
      <c r="N66" s="67">
        <f t="shared" si="41"/>
        <v>0</v>
      </c>
      <c r="O66" s="67">
        <f t="shared" si="45"/>
        <v>0</v>
      </c>
      <c r="P66" s="1186"/>
    </row>
    <row r="67" spans="2:16" x14ac:dyDescent="0.3">
      <c r="B67" s="1181"/>
      <c r="C67" s="1184" t="s">
        <v>84</v>
      </c>
      <c r="D67" s="61" t="s">
        <v>77</v>
      </c>
      <c r="E67" s="62">
        <v>0</v>
      </c>
      <c r="F67" s="63">
        <f t="shared" si="43"/>
        <v>34900</v>
      </c>
      <c r="G67" s="63">
        <v>34750</v>
      </c>
      <c r="H67" s="64">
        <v>150</v>
      </c>
      <c r="I67" s="79">
        <f t="shared" si="44"/>
        <v>34900</v>
      </c>
      <c r="J67" s="4">
        <f t="shared" si="38"/>
        <v>34750</v>
      </c>
      <c r="K67" s="4">
        <f t="shared" si="39"/>
        <v>150</v>
      </c>
      <c r="L67" s="65" t="e">
        <f t="shared" ref="L67:L77" si="46">+J67/E67</f>
        <v>#DIV/0!</v>
      </c>
      <c r="M67" s="66">
        <v>4.9344999999999999</v>
      </c>
      <c r="N67" s="67">
        <f t="shared" si="41"/>
        <v>171473.875</v>
      </c>
      <c r="O67" s="67">
        <f t="shared" si="45"/>
        <v>171473.875</v>
      </c>
      <c r="P67" s="1186"/>
    </row>
    <row r="68" spans="2:16" x14ac:dyDescent="0.3">
      <c r="B68" s="1181"/>
      <c r="C68" s="1184"/>
      <c r="D68" s="61" t="s">
        <v>135</v>
      </c>
      <c r="E68" s="62"/>
      <c r="F68" s="63">
        <f t="shared" si="43"/>
        <v>0</v>
      </c>
      <c r="G68" s="63">
        <v>0</v>
      </c>
      <c r="H68" s="64">
        <v>0</v>
      </c>
      <c r="I68" s="79">
        <f t="shared" si="44"/>
        <v>0</v>
      </c>
      <c r="J68" s="4">
        <f t="shared" si="38"/>
        <v>0</v>
      </c>
      <c r="K68" s="4">
        <f t="shared" si="39"/>
        <v>0</v>
      </c>
      <c r="L68" s="65" t="e">
        <f t="shared" si="46"/>
        <v>#DIV/0!</v>
      </c>
      <c r="M68" s="66">
        <v>4.9344999999999999</v>
      </c>
      <c r="N68" s="67">
        <f t="shared" si="41"/>
        <v>0</v>
      </c>
      <c r="O68" s="67">
        <f t="shared" si="45"/>
        <v>0</v>
      </c>
      <c r="P68" s="1186"/>
    </row>
    <row r="69" spans="2:16" x14ac:dyDescent="0.3">
      <c r="B69" s="1181"/>
      <c r="C69" s="1184"/>
      <c r="D69" s="61" t="s">
        <v>129</v>
      </c>
      <c r="E69" s="62">
        <v>0</v>
      </c>
      <c r="F69" s="63">
        <f t="shared" si="43"/>
        <v>0</v>
      </c>
      <c r="G69" s="155">
        <v>0</v>
      </c>
      <c r="H69" s="156">
        <v>0</v>
      </c>
      <c r="I69" s="157">
        <f t="shared" si="44"/>
        <v>0</v>
      </c>
      <c r="J69" s="4">
        <f t="shared" si="38"/>
        <v>0</v>
      </c>
      <c r="K69" s="4">
        <f>H69</f>
        <v>0</v>
      </c>
      <c r="L69" s="158" t="e">
        <f t="shared" si="46"/>
        <v>#DIV/0!</v>
      </c>
      <c r="M69" s="66">
        <v>4.9344999999999999</v>
      </c>
      <c r="N69" s="159">
        <f t="shared" si="41"/>
        <v>0</v>
      </c>
      <c r="O69" s="67">
        <f>M69*J69</f>
        <v>0</v>
      </c>
      <c r="P69" s="1186"/>
    </row>
    <row r="70" spans="2:16" x14ac:dyDescent="0.3">
      <c r="B70" s="1181"/>
      <c r="C70" s="1184" t="s">
        <v>85</v>
      </c>
      <c r="D70" s="61" t="s">
        <v>77</v>
      </c>
      <c r="E70" s="62">
        <v>0</v>
      </c>
      <c r="F70" s="63">
        <f t="shared" si="43"/>
        <v>18900</v>
      </c>
      <c r="G70" s="63">
        <v>18000</v>
      </c>
      <c r="H70" s="64">
        <v>900</v>
      </c>
      <c r="I70" s="79">
        <f t="shared" si="44"/>
        <v>18900</v>
      </c>
      <c r="J70" s="4">
        <f t="shared" si="38"/>
        <v>18000</v>
      </c>
      <c r="K70" s="4">
        <f t="shared" si="39"/>
        <v>900</v>
      </c>
      <c r="L70" s="65" t="e">
        <f t="shared" si="46"/>
        <v>#DIV/0!</v>
      </c>
      <c r="M70" s="148">
        <v>5.5069999999999997</v>
      </c>
      <c r="N70" s="67">
        <f t="shared" si="41"/>
        <v>99126</v>
      </c>
      <c r="O70" s="67">
        <f>M70*J70</f>
        <v>99126</v>
      </c>
      <c r="P70" s="1186"/>
    </row>
    <row r="71" spans="2:16" x14ac:dyDescent="0.3">
      <c r="B71" s="1181"/>
      <c r="C71" s="1184"/>
      <c r="D71" s="61" t="s">
        <v>112</v>
      </c>
      <c r="E71" s="62">
        <v>0</v>
      </c>
      <c r="F71" s="63">
        <f t="shared" si="43"/>
        <v>0</v>
      </c>
      <c r="G71" s="63">
        <v>0</v>
      </c>
      <c r="H71" s="64">
        <v>0</v>
      </c>
      <c r="I71" s="79">
        <f t="shared" si="44"/>
        <v>0</v>
      </c>
      <c r="J71" s="4">
        <f t="shared" si="38"/>
        <v>0</v>
      </c>
      <c r="K71" s="4">
        <f t="shared" si="39"/>
        <v>0</v>
      </c>
      <c r="L71" s="65" t="e">
        <f t="shared" si="46"/>
        <v>#DIV/0!</v>
      </c>
      <c r="M71" s="147">
        <v>5.6550000000000002</v>
      </c>
      <c r="N71" s="67">
        <f t="shared" si="41"/>
        <v>0</v>
      </c>
      <c r="O71" s="67">
        <f>M71*J71</f>
        <v>0</v>
      </c>
      <c r="P71" s="1186"/>
    </row>
    <row r="72" spans="2:16" x14ac:dyDescent="0.3">
      <c r="B72" s="1181"/>
      <c r="C72" s="1184"/>
      <c r="D72" s="61" t="s">
        <v>118</v>
      </c>
      <c r="E72" s="62">
        <v>0</v>
      </c>
      <c r="F72" s="63">
        <f t="shared" si="43"/>
        <v>0</v>
      </c>
      <c r="G72" s="63">
        <v>0</v>
      </c>
      <c r="H72" s="64">
        <v>0</v>
      </c>
      <c r="I72" s="79">
        <f t="shared" si="44"/>
        <v>0</v>
      </c>
      <c r="J72" s="4">
        <f t="shared" si="38"/>
        <v>0</v>
      </c>
      <c r="K72" s="4">
        <f t="shared" si="39"/>
        <v>0</v>
      </c>
      <c r="L72" s="65" t="e">
        <f t="shared" si="46"/>
        <v>#DIV/0!</v>
      </c>
      <c r="M72" s="152">
        <v>5.6550000000000002</v>
      </c>
      <c r="N72" s="67">
        <f t="shared" si="41"/>
        <v>0</v>
      </c>
      <c r="O72" s="67">
        <f>M72*J72</f>
        <v>0</v>
      </c>
      <c r="P72" s="1186"/>
    </row>
    <row r="73" spans="2:16" x14ac:dyDescent="0.3">
      <c r="B73" s="1181"/>
      <c r="C73" s="1184"/>
      <c r="D73" s="61" t="s">
        <v>121</v>
      </c>
      <c r="E73" s="62">
        <v>0</v>
      </c>
      <c r="F73" s="63">
        <f t="shared" si="43"/>
        <v>6000</v>
      </c>
      <c r="G73" s="63">
        <v>5500</v>
      </c>
      <c r="H73" s="64">
        <v>500</v>
      </c>
      <c r="I73" s="79">
        <f t="shared" si="44"/>
        <v>6000</v>
      </c>
      <c r="J73" s="4">
        <f t="shared" si="38"/>
        <v>5500</v>
      </c>
      <c r="K73" s="4">
        <f t="shared" si="39"/>
        <v>500</v>
      </c>
      <c r="L73" s="65" t="e">
        <f t="shared" si="46"/>
        <v>#DIV/0!</v>
      </c>
      <c r="M73" s="66">
        <v>5.7885299999999997</v>
      </c>
      <c r="N73" s="67">
        <f>+M73*G73</f>
        <v>31836.914999999997</v>
      </c>
      <c r="O73" s="67">
        <f>M73*J73</f>
        <v>31836.914999999997</v>
      </c>
      <c r="P73" s="1186"/>
    </row>
    <row r="74" spans="2:16" x14ac:dyDescent="0.3">
      <c r="B74" s="1181"/>
      <c r="C74" s="1184"/>
      <c r="D74" s="61" t="s">
        <v>136</v>
      </c>
      <c r="E74" s="62">
        <v>0</v>
      </c>
      <c r="F74" s="63">
        <f t="shared" si="43"/>
        <v>0</v>
      </c>
      <c r="G74" s="63">
        <v>0</v>
      </c>
      <c r="H74" s="64">
        <v>0</v>
      </c>
      <c r="I74" s="79">
        <f t="shared" si="44"/>
        <v>0</v>
      </c>
      <c r="J74" s="4">
        <f t="shared" si="38"/>
        <v>0</v>
      </c>
      <c r="K74" s="4">
        <f t="shared" si="39"/>
        <v>0</v>
      </c>
      <c r="L74" s="65" t="e">
        <f t="shared" si="46"/>
        <v>#DIV/0!</v>
      </c>
      <c r="M74" s="152">
        <v>5.6550000000000002</v>
      </c>
      <c r="N74" s="67">
        <f t="shared" ref="N74:N76" si="47">+M74*G74</f>
        <v>0</v>
      </c>
      <c r="O74" s="67">
        <f t="shared" ref="O74:O77" si="48">M74*J74</f>
        <v>0</v>
      </c>
      <c r="P74" s="1186"/>
    </row>
    <row r="75" spans="2:16" x14ac:dyDescent="0.3">
      <c r="B75" s="1181"/>
      <c r="C75" s="160" t="s">
        <v>86</v>
      </c>
      <c r="D75" s="61" t="s">
        <v>77</v>
      </c>
      <c r="E75" s="62">
        <v>0</v>
      </c>
      <c r="F75" s="63">
        <f t="shared" si="43"/>
        <v>0</v>
      </c>
      <c r="G75" s="63">
        <v>0</v>
      </c>
      <c r="H75" s="64">
        <v>0</v>
      </c>
      <c r="I75" s="79">
        <f t="shared" si="44"/>
        <v>0</v>
      </c>
      <c r="J75" s="4">
        <f t="shared" si="38"/>
        <v>0</v>
      </c>
      <c r="K75" s="4">
        <f>H75</f>
        <v>0</v>
      </c>
      <c r="L75" s="65" t="e">
        <f t="shared" si="46"/>
        <v>#DIV/0!</v>
      </c>
      <c r="M75" s="66">
        <v>3.2963</v>
      </c>
      <c r="N75" s="67">
        <f t="shared" si="47"/>
        <v>0</v>
      </c>
      <c r="O75" s="67">
        <f t="shared" si="48"/>
        <v>0</v>
      </c>
      <c r="P75" s="1186"/>
    </row>
    <row r="76" spans="2:16" x14ac:dyDescent="0.3">
      <c r="B76" s="1181"/>
      <c r="C76" s="160" t="s">
        <v>87</v>
      </c>
      <c r="D76" s="61" t="s">
        <v>77</v>
      </c>
      <c r="E76" s="62">
        <v>0</v>
      </c>
      <c r="F76" s="63">
        <f t="shared" si="43"/>
        <v>0</v>
      </c>
      <c r="G76" s="63">
        <v>0</v>
      </c>
      <c r="H76" s="64">
        <v>0</v>
      </c>
      <c r="I76" s="79">
        <f t="shared" si="44"/>
        <v>0</v>
      </c>
      <c r="J76" s="4">
        <f t="shared" si="38"/>
        <v>0</v>
      </c>
      <c r="K76" s="4">
        <f t="shared" si="39"/>
        <v>0</v>
      </c>
      <c r="L76" s="65" t="e">
        <f t="shared" si="46"/>
        <v>#DIV/0!</v>
      </c>
      <c r="M76" s="66">
        <v>3.2963</v>
      </c>
      <c r="N76" s="67">
        <f t="shared" si="47"/>
        <v>0</v>
      </c>
      <c r="O76" s="67">
        <f t="shared" si="48"/>
        <v>0</v>
      </c>
      <c r="P76" s="1186"/>
    </row>
    <row r="77" spans="2:16" ht="15" thickBot="1" x14ac:dyDescent="0.35">
      <c r="B77" s="1181"/>
      <c r="C77" s="68" t="s">
        <v>88</v>
      </c>
      <c r="D77" s="69" t="s">
        <v>89</v>
      </c>
      <c r="E77" s="70">
        <v>0</v>
      </c>
      <c r="F77" s="71">
        <f t="shared" si="43"/>
        <v>0</v>
      </c>
      <c r="G77" s="71">
        <v>0</v>
      </c>
      <c r="H77" s="72">
        <v>0</v>
      </c>
      <c r="I77" s="80">
        <f t="shared" si="44"/>
        <v>0</v>
      </c>
      <c r="J77" s="4">
        <f t="shared" si="38"/>
        <v>0</v>
      </c>
      <c r="K77" s="4">
        <f t="shared" si="39"/>
        <v>0</v>
      </c>
      <c r="L77" s="65" t="e">
        <f t="shared" si="46"/>
        <v>#DIV/0!</v>
      </c>
      <c r="M77" s="73">
        <v>2.3201000000000001</v>
      </c>
      <c r="N77" s="74">
        <f t="shared" ref="N77" si="49">M77*G77</f>
        <v>0</v>
      </c>
      <c r="O77" s="74">
        <f t="shared" si="48"/>
        <v>0</v>
      </c>
      <c r="P77" s="1187"/>
    </row>
    <row r="78" spans="2:16" ht="15" thickBot="1" x14ac:dyDescent="0.35">
      <c r="B78" s="1182"/>
      <c r="C78" s="1190" t="s">
        <v>99</v>
      </c>
      <c r="D78" s="1191"/>
      <c r="E78" s="1191"/>
      <c r="F78" s="1191"/>
      <c r="G78" s="1191"/>
      <c r="H78" s="1192"/>
      <c r="I78" s="116">
        <f>J78+K78</f>
        <v>83900</v>
      </c>
      <c r="J78" s="115">
        <f>SUM(J50:J77)</f>
        <v>81350</v>
      </c>
      <c r="K78" s="115">
        <f>SUM(K50:K77)</f>
        <v>2550</v>
      </c>
      <c r="L78" s="114"/>
      <c r="M78" s="113"/>
      <c r="N78" s="114"/>
      <c r="O78" s="97">
        <f>SUM(O50:O77)</f>
        <v>412475.95</v>
      </c>
      <c r="P78" s="96"/>
    </row>
    <row r="79" spans="2:16" ht="15" thickBot="1" x14ac:dyDescent="0.35">
      <c r="B79" s="100"/>
      <c r="C79" s="101"/>
      <c r="D79" s="101"/>
      <c r="E79" s="101"/>
      <c r="F79" s="101"/>
      <c r="G79" s="101"/>
      <c r="H79" s="101"/>
      <c r="I79" s="101"/>
      <c r="J79" s="101"/>
      <c r="K79" s="101"/>
      <c r="L79" s="101"/>
      <c r="M79" s="101"/>
      <c r="N79" s="101"/>
      <c r="O79" s="101"/>
      <c r="P79" s="102"/>
    </row>
    <row r="80" spans="2:16" ht="15" thickBot="1" x14ac:dyDescent="0.35">
      <c r="B80" s="1175" t="s">
        <v>100</v>
      </c>
      <c r="C80" s="1176"/>
      <c r="D80" s="1176"/>
      <c r="E80" s="1176"/>
      <c r="F80" s="1176"/>
      <c r="G80" s="1176"/>
      <c r="H80" s="1176"/>
      <c r="I80" s="1176"/>
      <c r="J80" s="1176"/>
      <c r="K80" s="1176"/>
      <c r="L80" s="1176"/>
      <c r="M80" s="1176"/>
      <c r="N80" s="1177"/>
      <c r="O80" s="103">
        <f>+O78+O49+O34</f>
        <v>1349521.7749999999</v>
      </c>
      <c r="P80" s="96"/>
    </row>
    <row r="81" spans="2:16" ht="15" thickBot="1" x14ac:dyDescent="0.35"/>
    <row r="82" spans="2:16" x14ac:dyDescent="0.3">
      <c r="B82" s="1209" t="s">
        <v>1</v>
      </c>
      <c r="C82" s="1211" t="s">
        <v>2</v>
      </c>
      <c r="D82" s="1214" t="s">
        <v>3</v>
      </c>
      <c r="E82" s="1217" t="s">
        <v>4</v>
      </c>
      <c r="F82" s="1218"/>
      <c r="G82" s="1218"/>
      <c r="H82" s="1218"/>
      <c r="I82" s="1218"/>
      <c r="J82" s="1218"/>
      <c r="K82" s="1218"/>
      <c r="L82" s="1219"/>
      <c r="M82" s="1220" t="s">
        <v>5</v>
      </c>
      <c r="N82" s="1221"/>
      <c r="O82" s="1222"/>
      <c r="P82" s="1214" t="s">
        <v>6</v>
      </c>
    </row>
    <row r="83" spans="2:16" x14ac:dyDescent="0.3">
      <c r="B83" s="1210"/>
      <c r="C83" s="1212"/>
      <c r="D83" s="1215"/>
      <c r="E83" s="1223" t="s">
        <v>7</v>
      </c>
      <c r="F83" s="1225" t="s">
        <v>140</v>
      </c>
      <c r="G83" s="1225"/>
      <c r="H83" s="1226"/>
      <c r="I83" s="1227" t="s">
        <v>8</v>
      </c>
      <c r="J83" s="1225"/>
      <c r="K83" s="1225"/>
      <c r="L83" s="1226" t="s">
        <v>9</v>
      </c>
      <c r="M83" s="1229" t="s">
        <v>10</v>
      </c>
      <c r="N83" s="1231" t="s">
        <v>11</v>
      </c>
      <c r="O83" s="1233" t="s">
        <v>12</v>
      </c>
      <c r="P83" s="1215"/>
    </row>
    <row r="84" spans="2:16" ht="15" thickBot="1" x14ac:dyDescent="0.35">
      <c r="B84" s="1210"/>
      <c r="C84" s="1213"/>
      <c r="D84" s="1216"/>
      <c r="E84" s="1224"/>
      <c r="F84" s="2" t="s">
        <v>13</v>
      </c>
      <c r="G84" s="2" t="s">
        <v>14</v>
      </c>
      <c r="H84" s="164" t="s">
        <v>15</v>
      </c>
      <c r="I84" s="142" t="s">
        <v>13</v>
      </c>
      <c r="J84" s="2" t="s">
        <v>14</v>
      </c>
      <c r="K84" s="2" t="s">
        <v>15</v>
      </c>
      <c r="L84" s="1228"/>
      <c r="M84" s="1230"/>
      <c r="N84" s="1232"/>
      <c r="O84" s="1234"/>
      <c r="P84" s="1216"/>
    </row>
    <row r="85" spans="2:16" x14ac:dyDescent="0.3">
      <c r="B85" s="1193" t="s">
        <v>53</v>
      </c>
      <c r="C85" s="29"/>
      <c r="D85" s="117" t="s">
        <v>54</v>
      </c>
      <c r="E85" s="98">
        <v>0</v>
      </c>
      <c r="F85" s="4">
        <f>+G85+H85</f>
        <v>0</v>
      </c>
      <c r="G85" s="4">
        <v>0</v>
      </c>
      <c r="H85" s="8">
        <v>0</v>
      </c>
      <c r="I85" s="6">
        <f>J85+K85</f>
        <v>0</v>
      </c>
      <c r="J85" s="4">
        <f>G85+J20</f>
        <v>0</v>
      </c>
      <c r="K85" s="4">
        <f>H85+K20</f>
        <v>0</v>
      </c>
      <c r="L85" s="33" t="e">
        <f>+J85/E85</f>
        <v>#DIV/0!</v>
      </c>
      <c r="M85" s="104">
        <v>1.3652</v>
      </c>
      <c r="N85" s="31">
        <f>G85*M85</f>
        <v>0</v>
      </c>
      <c r="O85" s="86">
        <f>M85*J85</f>
        <v>0</v>
      </c>
      <c r="P85" s="1195"/>
    </row>
    <row r="86" spans="2:16" x14ac:dyDescent="0.3">
      <c r="B86" s="1194"/>
      <c r="C86" s="32"/>
      <c r="D86" s="118" t="s">
        <v>109</v>
      </c>
      <c r="E86" s="99">
        <v>0</v>
      </c>
      <c r="F86" s="9">
        <f>+G86+H86</f>
        <v>0</v>
      </c>
      <c r="G86" s="9">
        <v>0</v>
      </c>
      <c r="H86" s="10">
        <v>0</v>
      </c>
      <c r="I86" s="6">
        <f>J86+K86</f>
        <v>0</v>
      </c>
      <c r="J86" s="4">
        <f>+G86+J21</f>
        <v>0</v>
      </c>
      <c r="K86" s="4">
        <f>+H86+K21</f>
        <v>0</v>
      </c>
      <c r="L86" s="33"/>
      <c r="M86" s="105">
        <v>5.9917999999999996</v>
      </c>
      <c r="N86" s="34">
        <f>M86*G86</f>
        <v>0</v>
      </c>
      <c r="O86" s="87">
        <f>M86*J86</f>
        <v>0</v>
      </c>
      <c r="P86" s="1196"/>
    </row>
    <row r="87" spans="2:16" x14ac:dyDescent="0.3">
      <c r="B87" s="1194"/>
      <c r="C87" s="35"/>
      <c r="D87" s="119" t="s">
        <v>55</v>
      </c>
      <c r="E87" s="99">
        <v>0</v>
      </c>
      <c r="F87" s="9">
        <f t="shared" ref="F87:F91" si="50">+G87+H87</f>
        <v>173895</v>
      </c>
      <c r="G87" s="9">
        <v>172500</v>
      </c>
      <c r="H87" s="10">
        <v>1395</v>
      </c>
      <c r="I87" s="6">
        <f t="shared" ref="I87:I91" si="51">J87+K87</f>
        <v>347837</v>
      </c>
      <c r="J87" s="4">
        <f t="shared" ref="J87:J91" si="52">+G87+J22</f>
        <v>345000</v>
      </c>
      <c r="K87" s="4">
        <f t="shared" ref="K87:K91" si="53">+H87+K22</f>
        <v>2837</v>
      </c>
      <c r="L87" s="33" t="e">
        <f t="shared" ref="L87" si="54">+J87/E87</f>
        <v>#DIV/0!</v>
      </c>
      <c r="M87" s="106">
        <v>2.3807999999999998</v>
      </c>
      <c r="N87" s="36">
        <f>G87*M87</f>
        <v>410687.99999999994</v>
      </c>
      <c r="O87" s="88">
        <f>M87*J87</f>
        <v>821375.99999999988</v>
      </c>
      <c r="P87" s="1196"/>
    </row>
    <row r="88" spans="2:16" x14ac:dyDescent="0.3">
      <c r="B88" s="1194"/>
      <c r="C88" s="35"/>
      <c r="D88" s="119" t="s">
        <v>56</v>
      </c>
      <c r="E88" s="99">
        <v>0</v>
      </c>
      <c r="F88" s="9">
        <f t="shared" si="50"/>
        <v>0</v>
      </c>
      <c r="G88" s="9">
        <v>0</v>
      </c>
      <c r="H88" s="10">
        <v>0</v>
      </c>
      <c r="I88" s="6">
        <f t="shared" si="51"/>
        <v>0</v>
      </c>
      <c r="J88" s="4">
        <f t="shared" si="52"/>
        <v>0</v>
      </c>
      <c r="K88" s="4">
        <f t="shared" si="53"/>
        <v>0</v>
      </c>
      <c r="L88" s="33"/>
      <c r="M88" s="106">
        <v>2.1457999999999999</v>
      </c>
      <c r="N88" s="36">
        <f t="shared" ref="N88:N91" si="55">G88*M88</f>
        <v>0</v>
      </c>
      <c r="O88" s="88">
        <f>M88*J88</f>
        <v>0</v>
      </c>
      <c r="P88" s="1196"/>
    </row>
    <row r="89" spans="2:16" x14ac:dyDescent="0.3">
      <c r="B89" s="1194"/>
      <c r="C89" s="35"/>
      <c r="D89" s="119" t="s">
        <v>106</v>
      </c>
      <c r="E89" s="99">
        <v>0</v>
      </c>
      <c r="F89" s="9">
        <f t="shared" si="50"/>
        <v>0</v>
      </c>
      <c r="G89" s="9">
        <v>0</v>
      </c>
      <c r="H89" s="10">
        <v>0</v>
      </c>
      <c r="I89" s="6">
        <f t="shared" si="51"/>
        <v>0</v>
      </c>
      <c r="J89" s="4">
        <f t="shared" si="52"/>
        <v>0</v>
      </c>
      <c r="K89" s="4">
        <f t="shared" si="53"/>
        <v>0</v>
      </c>
      <c r="L89" s="33" t="e">
        <f t="shared" ref="L89:L90" si="56">+J89/E89</f>
        <v>#DIV/0!</v>
      </c>
      <c r="M89" s="143">
        <v>4.0426000000000002</v>
      </c>
      <c r="N89" s="36">
        <f t="shared" si="55"/>
        <v>0</v>
      </c>
      <c r="O89" s="88">
        <f>M89*J89</f>
        <v>0</v>
      </c>
      <c r="P89" s="1196"/>
    </row>
    <row r="90" spans="2:16" x14ac:dyDescent="0.3">
      <c r="B90" s="1194"/>
      <c r="C90" s="35"/>
      <c r="D90" s="119" t="s">
        <v>110</v>
      </c>
      <c r="E90" s="99">
        <v>0</v>
      </c>
      <c r="F90" s="9">
        <f t="shared" si="50"/>
        <v>0</v>
      </c>
      <c r="G90" s="9">
        <v>0</v>
      </c>
      <c r="H90" s="10">
        <v>0</v>
      </c>
      <c r="I90" s="6">
        <f t="shared" si="51"/>
        <v>0</v>
      </c>
      <c r="J90" s="4">
        <f t="shared" si="52"/>
        <v>0</v>
      </c>
      <c r="K90" s="4">
        <f t="shared" si="53"/>
        <v>0</v>
      </c>
      <c r="L90" s="33" t="e">
        <f t="shared" si="56"/>
        <v>#DIV/0!</v>
      </c>
      <c r="M90" s="143">
        <v>3.8715000000000002</v>
      </c>
      <c r="N90" s="36">
        <f t="shared" si="55"/>
        <v>0</v>
      </c>
      <c r="O90" s="88">
        <f t="shared" ref="O90:O91" si="57">M90*J90</f>
        <v>0</v>
      </c>
      <c r="P90" s="1196"/>
    </row>
    <row r="91" spans="2:16" ht="15" thickBot="1" x14ac:dyDescent="0.35">
      <c r="B91" s="1194"/>
      <c r="C91" s="82"/>
      <c r="D91" s="120" t="s">
        <v>57</v>
      </c>
      <c r="E91" s="108">
        <v>0</v>
      </c>
      <c r="F91" s="12">
        <f t="shared" si="50"/>
        <v>0</v>
      </c>
      <c r="G91" s="12">
        <v>0</v>
      </c>
      <c r="H91" s="13">
        <v>0</v>
      </c>
      <c r="I91" s="21">
        <f t="shared" si="51"/>
        <v>0</v>
      </c>
      <c r="J91" s="4">
        <f t="shared" si="52"/>
        <v>0</v>
      </c>
      <c r="K91" s="4">
        <f t="shared" si="53"/>
        <v>0</v>
      </c>
      <c r="L91" s="81"/>
      <c r="M91" s="127">
        <v>12.284700000000001</v>
      </c>
      <c r="N91" s="36">
        <f t="shared" si="55"/>
        <v>0</v>
      </c>
      <c r="O91" s="128">
        <f t="shared" si="57"/>
        <v>0</v>
      </c>
      <c r="P91" s="1196"/>
    </row>
    <row r="92" spans="2:16" ht="15" thickBot="1" x14ac:dyDescent="0.35">
      <c r="B92" s="1194"/>
      <c r="C92" s="1199" t="s">
        <v>104</v>
      </c>
      <c r="D92" s="1200"/>
      <c r="E92" s="129"/>
      <c r="F92" s="130">
        <f>SUM(F85:F91)</f>
        <v>173895</v>
      </c>
      <c r="G92" s="130">
        <f>SUM(G85:G91)</f>
        <v>172500</v>
      </c>
      <c r="H92" s="131">
        <f>SUM(H85:H91)</f>
        <v>1395</v>
      </c>
      <c r="I92" s="132">
        <f>+J92+K92</f>
        <v>347837</v>
      </c>
      <c r="J92" s="133">
        <f>SUM(J85:J91)</f>
        <v>345000</v>
      </c>
      <c r="K92" s="133">
        <f>SUM(K85:K91)</f>
        <v>2837</v>
      </c>
      <c r="L92" s="134"/>
      <c r="M92" s="135"/>
      <c r="N92" s="136"/>
      <c r="O92" s="137">
        <f>SUM(O85:O91)</f>
        <v>821375.99999999988</v>
      </c>
      <c r="P92" s="1197"/>
    </row>
    <row r="93" spans="2:16" x14ac:dyDescent="0.3">
      <c r="B93" s="1194"/>
      <c r="C93" s="32"/>
      <c r="D93" s="118" t="s">
        <v>58</v>
      </c>
      <c r="E93" s="98">
        <v>0</v>
      </c>
      <c r="F93" s="4">
        <f t="shared" ref="F93:F96" si="58">+G93+H93</f>
        <v>0</v>
      </c>
      <c r="G93" s="4">
        <v>0</v>
      </c>
      <c r="H93" s="8">
        <v>0</v>
      </c>
      <c r="I93" s="6">
        <f t="shared" ref="I93:I97" si="59">J93+K93</f>
        <v>0</v>
      </c>
      <c r="J93" s="4">
        <f>G93+J28</f>
        <v>0</v>
      </c>
      <c r="K93" s="4">
        <f>H93+K28</f>
        <v>0</v>
      </c>
      <c r="L93" s="33" t="e">
        <f t="shared" ref="L93" si="60">+J93/E93</f>
        <v>#DIV/0!</v>
      </c>
      <c r="M93" s="105">
        <v>12.029500000000001</v>
      </c>
      <c r="N93" s="34">
        <f>M93*G93</f>
        <v>0</v>
      </c>
      <c r="O93" s="87">
        <f t="shared" ref="O93:O95" si="61">M93*J93</f>
        <v>0</v>
      </c>
      <c r="P93" s="1196"/>
    </row>
    <row r="94" spans="2:16" x14ac:dyDescent="0.3">
      <c r="B94" s="1194"/>
      <c r="C94" s="35"/>
      <c r="D94" s="119" t="s">
        <v>59</v>
      </c>
      <c r="E94" s="99">
        <v>0</v>
      </c>
      <c r="F94" s="9">
        <f t="shared" si="58"/>
        <v>0</v>
      </c>
      <c r="G94" s="9">
        <v>0</v>
      </c>
      <c r="H94" s="10">
        <v>0</v>
      </c>
      <c r="I94" s="6">
        <f t="shared" si="59"/>
        <v>0</v>
      </c>
      <c r="J94" s="4">
        <f>G94+J29</f>
        <v>0</v>
      </c>
      <c r="K94" s="4">
        <f>H94+K29</f>
        <v>0</v>
      </c>
      <c r="L94" s="33"/>
      <c r="M94" s="106">
        <v>0</v>
      </c>
      <c r="N94" s="36"/>
      <c r="O94" s="88">
        <f t="shared" si="61"/>
        <v>0</v>
      </c>
      <c r="P94" s="1196"/>
    </row>
    <row r="95" spans="2:16" x14ac:dyDescent="0.3">
      <c r="B95" s="1194"/>
      <c r="C95" s="35"/>
      <c r="D95" s="119" t="s">
        <v>97</v>
      </c>
      <c r="E95" s="99">
        <v>0</v>
      </c>
      <c r="F95" s="9">
        <f t="shared" si="58"/>
        <v>0</v>
      </c>
      <c r="G95" s="9">
        <v>0</v>
      </c>
      <c r="H95" s="10">
        <v>0</v>
      </c>
      <c r="I95" s="6">
        <f t="shared" si="59"/>
        <v>0</v>
      </c>
      <c r="J95" s="4">
        <f t="shared" ref="J95:J97" si="62">G95+J30</f>
        <v>0</v>
      </c>
      <c r="K95" s="4">
        <f t="shared" ref="K95:K97" si="63">H95+K30</f>
        <v>0</v>
      </c>
      <c r="L95" s="33" t="e">
        <f t="shared" ref="L95:L97" si="64">+J95/E95</f>
        <v>#DIV/0!</v>
      </c>
      <c r="M95" s="106">
        <v>19.688600000000001</v>
      </c>
      <c r="N95" s="36">
        <f>M95*G95</f>
        <v>0</v>
      </c>
      <c r="O95" s="88">
        <f t="shared" si="61"/>
        <v>0</v>
      </c>
      <c r="P95" s="1196"/>
    </row>
    <row r="96" spans="2:16" x14ac:dyDescent="0.3">
      <c r="B96" s="1194"/>
      <c r="C96" s="35"/>
      <c r="D96" s="119" t="s">
        <v>61</v>
      </c>
      <c r="E96" s="99">
        <v>0</v>
      </c>
      <c r="F96" s="9">
        <f t="shared" si="58"/>
        <v>0</v>
      </c>
      <c r="G96" s="9">
        <v>0</v>
      </c>
      <c r="H96" s="10">
        <v>0</v>
      </c>
      <c r="I96" s="6">
        <f t="shared" si="59"/>
        <v>0</v>
      </c>
      <c r="J96" s="4">
        <f t="shared" si="62"/>
        <v>0</v>
      </c>
      <c r="K96" s="4">
        <f t="shared" si="63"/>
        <v>0</v>
      </c>
      <c r="L96" s="33" t="e">
        <f t="shared" si="64"/>
        <v>#DIV/0!</v>
      </c>
      <c r="M96" s="106">
        <v>1.2824</v>
      </c>
      <c r="N96" s="151">
        <f>M96*G96</f>
        <v>0</v>
      </c>
      <c r="O96" s="88">
        <f>M96*J96</f>
        <v>0</v>
      </c>
      <c r="P96" s="1196"/>
    </row>
    <row r="97" spans="2:16" ht="15" thickBot="1" x14ac:dyDescent="0.35">
      <c r="B97" s="1194"/>
      <c r="C97" s="82"/>
      <c r="D97" s="120" t="s">
        <v>60</v>
      </c>
      <c r="E97" s="108">
        <v>0</v>
      </c>
      <c r="F97" s="12">
        <v>0</v>
      </c>
      <c r="G97" s="12">
        <v>0</v>
      </c>
      <c r="H97" s="13">
        <v>0</v>
      </c>
      <c r="I97" s="21">
        <f t="shared" si="59"/>
        <v>0</v>
      </c>
      <c r="J97" s="4">
        <f t="shared" si="62"/>
        <v>0</v>
      </c>
      <c r="K97" s="4">
        <f t="shared" si="63"/>
        <v>0</v>
      </c>
      <c r="L97" s="81" t="e">
        <f t="shared" si="64"/>
        <v>#DIV/0!</v>
      </c>
      <c r="M97" s="107">
        <v>18.2316</v>
      </c>
      <c r="N97" s="75"/>
      <c r="O97" s="89">
        <f t="shared" ref="O97" si="65">M97*J97</f>
        <v>0</v>
      </c>
      <c r="P97" s="1198"/>
    </row>
    <row r="98" spans="2:16" ht="15" thickBot="1" x14ac:dyDescent="0.35">
      <c r="B98" s="1178" t="s">
        <v>105</v>
      </c>
      <c r="C98" s="1179"/>
      <c r="D98" s="1179"/>
      <c r="E98" s="124"/>
      <c r="F98" s="125">
        <f>+G98+H98</f>
        <v>0</v>
      </c>
      <c r="G98" s="125">
        <f>SUM(G93:G97)</f>
        <v>0</v>
      </c>
      <c r="H98" s="126">
        <f>SUM(H93:H97)</f>
        <v>0</v>
      </c>
      <c r="I98" s="121">
        <f>J98+K98</f>
        <v>0</v>
      </c>
      <c r="J98" s="122">
        <f>SUM(J93:J97)</f>
        <v>0</v>
      </c>
      <c r="K98" s="123">
        <f>SUM(K93:K97)</f>
        <v>0</v>
      </c>
      <c r="L98" s="138"/>
      <c r="M98" s="139"/>
      <c r="N98" s="140"/>
      <c r="O98" s="141">
        <f>SUM(O93:O97)</f>
        <v>0</v>
      </c>
      <c r="P98" s="165"/>
    </row>
    <row r="99" spans="2:16" ht="15" thickBot="1" x14ac:dyDescent="0.35">
      <c r="B99" s="1178" t="s">
        <v>98</v>
      </c>
      <c r="C99" s="1179"/>
      <c r="D99" s="1179"/>
      <c r="E99" s="1201"/>
      <c r="F99" s="1201"/>
      <c r="G99" s="1201"/>
      <c r="H99" s="1201"/>
      <c r="I99" s="1179"/>
      <c r="J99" s="1179"/>
      <c r="K99" s="1179"/>
      <c r="L99" s="1179"/>
      <c r="M99" s="1179"/>
      <c r="N99" s="1202"/>
      <c r="O99" s="83">
        <f>O92+O98</f>
        <v>821375.99999999988</v>
      </c>
      <c r="P99" s="165"/>
    </row>
    <row r="100" spans="2:16" x14ac:dyDescent="0.3">
      <c r="B100" s="1193" t="s">
        <v>62</v>
      </c>
      <c r="C100" s="37" t="s">
        <v>63</v>
      </c>
      <c r="D100" s="28" t="s">
        <v>64</v>
      </c>
      <c r="E100" s="38">
        <v>0</v>
      </c>
      <c r="F100" s="14">
        <f>+G100+H100</f>
        <v>0</v>
      </c>
      <c r="G100" s="14">
        <v>0</v>
      </c>
      <c r="H100" s="5">
        <v>0</v>
      </c>
      <c r="I100" s="17">
        <f t="shared" ref="I100:I106" si="66">J100+K100</f>
        <v>0</v>
      </c>
      <c r="J100" s="4">
        <f>G100+J35</f>
        <v>0</v>
      </c>
      <c r="K100" s="4">
        <f>H100+K35</f>
        <v>0</v>
      </c>
      <c r="L100" s="30" t="e">
        <f>+J100/E100</f>
        <v>#DIV/0!</v>
      </c>
      <c r="M100" s="146">
        <v>2.2141000000000002</v>
      </c>
      <c r="N100" s="15">
        <f>+M100*G100</f>
        <v>0</v>
      </c>
      <c r="O100" s="90">
        <f>+M100*J100</f>
        <v>0</v>
      </c>
      <c r="P100" s="1204"/>
    </row>
    <row r="101" spans="2:16" x14ac:dyDescent="0.3">
      <c r="B101" s="1194"/>
      <c r="C101" s="39"/>
      <c r="D101" s="22" t="s">
        <v>65</v>
      </c>
      <c r="E101" s="3">
        <v>0</v>
      </c>
      <c r="F101" s="9">
        <f t="shared" ref="F101:F106" si="67">+G101+H101</f>
        <v>0</v>
      </c>
      <c r="G101" s="4">
        <v>0</v>
      </c>
      <c r="H101" s="8">
        <v>0</v>
      </c>
      <c r="I101" s="6">
        <f t="shared" si="66"/>
        <v>0</v>
      </c>
      <c r="J101" s="4">
        <f>+G101+J36</f>
        <v>0</v>
      </c>
      <c r="K101" s="4">
        <f>+H101+K36</f>
        <v>0</v>
      </c>
      <c r="L101" s="40" t="e">
        <f t="shared" ref="L101:L102" si="68">+J101/E101</f>
        <v>#DIV/0!</v>
      </c>
      <c r="M101" s="145">
        <v>2.4565999999999999</v>
      </c>
      <c r="N101" s="11">
        <f t="shared" ref="N101:N103" si="69">+M101*G101</f>
        <v>0</v>
      </c>
      <c r="O101" s="91">
        <f t="shared" ref="O101:O103" si="70">+M101*J101</f>
        <v>0</v>
      </c>
      <c r="P101" s="1205"/>
    </row>
    <row r="102" spans="2:16" x14ac:dyDescent="0.3">
      <c r="B102" s="1194"/>
      <c r="C102" s="39"/>
      <c r="D102" s="23" t="s">
        <v>126</v>
      </c>
      <c r="E102" s="3">
        <v>0</v>
      </c>
      <c r="F102" s="9">
        <f t="shared" si="67"/>
        <v>0</v>
      </c>
      <c r="G102" s="4">
        <v>0</v>
      </c>
      <c r="H102" s="8">
        <v>0</v>
      </c>
      <c r="I102" s="6">
        <f t="shared" si="66"/>
        <v>0</v>
      </c>
      <c r="J102" s="4">
        <f t="shared" ref="J102:J106" si="71">+G102+J37</f>
        <v>0</v>
      </c>
      <c r="K102" s="4">
        <f t="shared" ref="K102:K106" si="72">+H102+K37</f>
        <v>0</v>
      </c>
      <c r="L102" s="40" t="e">
        <f t="shared" si="68"/>
        <v>#DIV/0!</v>
      </c>
      <c r="M102" s="145">
        <v>2.2907000000000002</v>
      </c>
      <c r="N102" s="11">
        <f t="shared" si="69"/>
        <v>0</v>
      </c>
      <c r="O102" s="91">
        <f t="shared" si="70"/>
        <v>0</v>
      </c>
      <c r="P102" s="1205"/>
    </row>
    <row r="103" spans="2:16" x14ac:dyDescent="0.3">
      <c r="B103" s="1194"/>
      <c r="C103" s="39"/>
      <c r="D103" s="22" t="s">
        <v>131</v>
      </c>
      <c r="E103" s="3"/>
      <c r="F103" s="9">
        <f t="shared" si="67"/>
        <v>0</v>
      </c>
      <c r="G103" s="4">
        <v>0</v>
      </c>
      <c r="H103" s="8">
        <v>0</v>
      </c>
      <c r="I103" s="6">
        <f t="shared" si="66"/>
        <v>0</v>
      </c>
      <c r="J103" s="4">
        <f t="shared" si="71"/>
        <v>0</v>
      </c>
      <c r="K103" s="4">
        <f t="shared" si="72"/>
        <v>0</v>
      </c>
      <c r="L103" s="33"/>
      <c r="M103" s="150">
        <v>2.544</v>
      </c>
      <c r="N103" s="11">
        <f t="shared" si="69"/>
        <v>0</v>
      </c>
      <c r="O103" s="91">
        <f t="shared" si="70"/>
        <v>0</v>
      </c>
      <c r="P103" s="1205"/>
    </row>
    <row r="104" spans="2:16" x14ac:dyDescent="0.3">
      <c r="B104" s="1194"/>
      <c r="C104" s="39" t="s">
        <v>66</v>
      </c>
      <c r="D104" s="22" t="s">
        <v>133</v>
      </c>
      <c r="E104" s="3">
        <v>0</v>
      </c>
      <c r="F104" s="9">
        <f t="shared" si="67"/>
        <v>0</v>
      </c>
      <c r="G104" s="4">
        <v>0</v>
      </c>
      <c r="H104" s="8">
        <v>0</v>
      </c>
      <c r="I104" s="6">
        <f t="shared" si="66"/>
        <v>40072</v>
      </c>
      <c r="J104" s="4">
        <f t="shared" si="71"/>
        <v>38500</v>
      </c>
      <c r="K104" s="4">
        <f t="shared" si="72"/>
        <v>1572</v>
      </c>
      <c r="L104" s="33" t="e">
        <f>+J104/E104</f>
        <v>#DIV/0!</v>
      </c>
      <c r="M104" s="144">
        <v>2.2141000000000002</v>
      </c>
      <c r="N104" s="7">
        <f>+M104*G104</f>
        <v>0</v>
      </c>
      <c r="O104" s="85">
        <f>+M104*J104</f>
        <v>85242.85</v>
      </c>
      <c r="P104" s="1205"/>
    </row>
    <row r="105" spans="2:16" x14ac:dyDescent="0.3">
      <c r="B105" s="1194"/>
      <c r="C105" s="39"/>
      <c r="D105" s="22" t="s">
        <v>65</v>
      </c>
      <c r="E105" s="3">
        <v>0</v>
      </c>
      <c r="F105" s="9">
        <f t="shared" si="67"/>
        <v>0</v>
      </c>
      <c r="G105" s="4">
        <v>0</v>
      </c>
      <c r="H105" s="8">
        <v>0</v>
      </c>
      <c r="I105" s="6">
        <f t="shared" si="66"/>
        <v>0</v>
      </c>
      <c r="J105" s="4">
        <f t="shared" si="71"/>
        <v>0</v>
      </c>
      <c r="K105" s="4">
        <f t="shared" si="72"/>
        <v>0</v>
      </c>
      <c r="L105" s="40" t="e">
        <f t="shared" ref="L105:L106" si="73">+J105/E105</f>
        <v>#DIV/0!</v>
      </c>
      <c r="M105" s="145">
        <v>2.4565999999999999</v>
      </c>
      <c r="N105" s="11">
        <f t="shared" ref="N105:N106" si="74">+M105*G105</f>
        <v>0</v>
      </c>
      <c r="O105" s="91">
        <f t="shared" ref="O105" si="75">+M105*J105</f>
        <v>0</v>
      </c>
      <c r="P105" s="1205"/>
    </row>
    <row r="106" spans="2:16" ht="15" thickBot="1" x14ac:dyDescent="0.35">
      <c r="B106" s="1194"/>
      <c r="C106" s="39"/>
      <c r="D106" s="22" t="s">
        <v>126</v>
      </c>
      <c r="E106" s="3">
        <v>0</v>
      </c>
      <c r="F106" s="9">
        <f t="shared" si="67"/>
        <v>0</v>
      </c>
      <c r="G106" s="4">
        <v>0</v>
      </c>
      <c r="H106" s="8">
        <v>0</v>
      </c>
      <c r="I106" s="6">
        <f t="shared" si="66"/>
        <v>0</v>
      </c>
      <c r="J106" s="4">
        <f t="shared" si="71"/>
        <v>0</v>
      </c>
      <c r="K106" s="4">
        <f t="shared" si="72"/>
        <v>0</v>
      </c>
      <c r="L106" s="40" t="e">
        <f t="shared" si="73"/>
        <v>#DIV/0!</v>
      </c>
      <c r="M106" s="145">
        <v>2.2907000000000002</v>
      </c>
      <c r="N106" s="11">
        <f t="shared" si="74"/>
        <v>0</v>
      </c>
      <c r="O106" s="154">
        <f>+M106*J106</f>
        <v>0</v>
      </c>
      <c r="P106" s="1206"/>
    </row>
    <row r="107" spans="2:16" ht="15" thickBot="1" x14ac:dyDescent="0.35">
      <c r="B107" s="1194"/>
      <c r="C107" s="41" t="s">
        <v>29</v>
      </c>
      <c r="D107" s="27" t="str">
        <f>+C107</f>
        <v>TOTAL 1/2</v>
      </c>
      <c r="E107" s="42">
        <f>SUM(E100:E106)</f>
        <v>0</v>
      </c>
      <c r="F107" s="43">
        <f>SUM(F100:F106)</f>
        <v>0</v>
      </c>
      <c r="G107" s="43">
        <f>SUM(G100:G106)</f>
        <v>0</v>
      </c>
      <c r="H107" s="44">
        <f>SUM(H100:H106)</f>
        <v>0</v>
      </c>
      <c r="I107" s="45">
        <f>SUM(I104:I106)</f>
        <v>40072</v>
      </c>
      <c r="J107" s="43">
        <f>SUM(J100:J106)</f>
        <v>38500</v>
      </c>
      <c r="K107" s="43">
        <f>SUM(K100:K106)</f>
        <v>1572</v>
      </c>
      <c r="L107" s="46" t="e">
        <f>+J107/E107</f>
        <v>#DIV/0!</v>
      </c>
      <c r="M107" s="47"/>
      <c r="N107" s="48">
        <f>SUM(N104:N106)</f>
        <v>0</v>
      </c>
      <c r="O107" s="49">
        <f>SUM(O100:O106)</f>
        <v>85242.85</v>
      </c>
      <c r="P107" s="166"/>
    </row>
    <row r="108" spans="2:16" x14ac:dyDescent="0.3">
      <c r="B108" s="1194"/>
      <c r="C108" s="1207" t="s">
        <v>67</v>
      </c>
      <c r="D108" s="22" t="s">
        <v>64</v>
      </c>
      <c r="E108" s="3">
        <v>0</v>
      </c>
      <c r="F108" s="4">
        <f>G108+H108</f>
        <v>0</v>
      </c>
      <c r="G108" s="4">
        <v>0</v>
      </c>
      <c r="H108" s="8">
        <v>0</v>
      </c>
      <c r="I108" s="16">
        <f>J108+K108</f>
        <v>109220</v>
      </c>
      <c r="J108" s="4">
        <f>G108+J43</f>
        <v>105750</v>
      </c>
      <c r="K108" s="4">
        <f>H108+K43</f>
        <v>3470</v>
      </c>
      <c r="L108" s="50" t="e">
        <f>+J108/E108</f>
        <v>#DIV/0!</v>
      </c>
      <c r="M108" s="144">
        <v>4.1712999999999996</v>
      </c>
      <c r="N108" s="7">
        <f>+M108*G108</f>
        <v>0</v>
      </c>
      <c r="O108" s="93">
        <f>+M108*J108</f>
        <v>441114.97499999998</v>
      </c>
      <c r="P108" s="1204"/>
    </row>
    <row r="109" spans="2:16" x14ac:dyDescent="0.3">
      <c r="B109" s="1194"/>
      <c r="C109" s="1208"/>
      <c r="D109" s="22" t="s">
        <v>65</v>
      </c>
      <c r="E109" s="3">
        <v>0</v>
      </c>
      <c r="F109" s="4">
        <f>G109+H109</f>
        <v>0</v>
      </c>
      <c r="G109" s="4">
        <v>0</v>
      </c>
      <c r="H109" s="8">
        <v>0</v>
      </c>
      <c r="I109" s="6">
        <f>+R1153+F109</f>
        <v>0</v>
      </c>
      <c r="J109" s="4">
        <f>G109+J44</f>
        <v>0</v>
      </c>
      <c r="K109" s="4">
        <f>H109+K44</f>
        <v>0</v>
      </c>
      <c r="L109" s="51" t="e">
        <f t="shared" ref="L109:L113" si="76">+J109/E109</f>
        <v>#DIV/0!</v>
      </c>
      <c r="M109" s="145">
        <v>4.8285999999999998</v>
      </c>
      <c r="N109" s="11">
        <f t="shared" ref="N109:N111" si="77">+M109*G109</f>
        <v>0</v>
      </c>
      <c r="O109" s="94">
        <f t="shared" ref="O109:O111" si="78">+M109*J109</f>
        <v>0</v>
      </c>
      <c r="P109" s="1205"/>
    </row>
    <row r="110" spans="2:16" x14ac:dyDescent="0.3">
      <c r="B110" s="1194"/>
      <c r="C110" s="1208"/>
      <c r="D110" s="22" t="s">
        <v>127</v>
      </c>
      <c r="E110" s="3"/>
      <c r="F110" s="4">
        <f>G110+H110</f>
        <v>0</v>
      </c>
      <c r="G110" s="4">
        <v>0</v>
      </c>
      <c r="H110" s="8">
        <v>0</v>
      </c>
      <c r="I110" s="6">
        <f>+R1154+F110</f>
        <v>0</v>
      </c>
      <c r="J110" s="4">
        <f t="shared" ref="J110:J111" si="79">G110+J45</f>
        <v>0</v>
      </c>
      <c r="K110" s="4">
        <f t="shared" ref="K110:K111" si="80">H110+K45</f>
        <v>0</v>
      </c>
      <c r="L110" s="51" t="e">
        <f t="shared" si="76"/>
        <v>#DIV/0!</v>
      </c>
      <c r="M110" s="144">
        <v>4.5023</v>
      </c>
      <c r="N110" s="11">
        <f t="shared" si="77"/>
        <v>0</v>
      </c>
      <c r="O110" s="94">
        <f t="shared" si="78"/>
        <v>0</v>
      </c>
      <c r="P110" s="1205"/>
    </row>
    <row r="111" spans="2:16" ht="15" thickBot="1" x14ac:dyDescent="0.35">
      <c r="B111" s="1194"/>
      <c r="C111" s="1208"/>
      <c r="D111" s="22" t="s">
        <v>111</v>
      </c>
      <c r="E111" s="3">
        <v>0</v>
      </c>
      <c r="F111" s="4">
        <f t="shared" ref="F111" si="81">G111+H111</f>
        <v>0</v>
      </c>
      <c r="G111" s="4">
        <v>0</v>
      </c>
      <c r="H111" s="8">
        <v>0</v>
      </c>
      <c r="I111" s="6">
        <f>+R1154+F111</f>
        <v>0</v>
      </c>
      <c r="J111" s="4">
        <f t="shared" si="79"/>
        <v>0</v>
      </c>
      <c r="K111" s="4">
        <f t="shared" si="80"/>
        <v>0</v>
      </c>
      <c r="L111" s="51" t="e">
        <f t="shared" si="76"/>
        <v>#DIV/0!</v>
      </c>
      <c r="M111" s="144">
        <v>4.4065000000000003</v>
      </c>
      <c r="N111" s="11">
        <f t="shared" si="77"/>
        <v>0</v>
      </c>
      <c r="O111" s="94">
        <f t="shared" si="78"/>
        <v>0</v>
      </c>
      <c r="P111" s="1205"/>
    </row>
    <row r="112" spans="2:16" ht="15" thickBot="1" x14ac:dyDescent="0.35">
      <c r="B112" s="1194"/>
      <c r="C112" s="41" t="s">
        <v>31</v>
      </c>
      <c r="D112" s="18" t="str">
        <f>+C112</f>
        <v>TOTAL 4/4</v>
      </c>
      <c r="E112" s="42">
        <f t="shared" ref="E112:K112" si="82">SUM(E108:E111)</f>
        <v>0</v>
      </c>
      <c r="F112" s="43">
        <f t="shared" si="82"/>
        <v>0</v>
      </c>
      <c r="G112" s="43">
        <f t="shared" si="82"/>
        <v>0</v>
      </c>
      <c r="H112" s="44">
        <f t="shared" si="82"/>
        <v>0</v>
      </c>
      <c r="I112" s="45">
        <f t="shared" si="82"/>
        <v>109220</v>
      </c>
      <c r="J112" s="43">
        <f t="shared" si="82"/>
        <v>105750</v>
      </c>
      <c r="K112" s="43">
        <f t="shared" si="82"/>
        <v>3470</v>
      </c>
      <c r="L112" s="46" t="e">
        <f t="shared" si="76"/>
        <v>#DIV/0!</v>
      </c>
      <c r="M112" s="47"/>
      <c r="N112" s="48">
        <f>SUM(N108:N111)</f>
        <v>0</v>
      </c>
      <c r="O112" s="92">
        <f>SUM(O108:O111)</f>
        <v>441114.97499999998</v>
      </c>
      <c r="P112" s="1206"/>
    </row>
    <row r="113" spans="2:16" ht="15" thickBot="1" x14ac:dyDescent="0.35">
      <c r="B113" s="1203"/>
      <c r="C113" s="41" t="s">
        <v>68</v>
      </c>
      <c r="D113" s="27" t="s">
        <v>64</v>
      </c>
      <c r="E113" s="25">
        <v>0</v>
      </c>
      <c r="F113" s="20">
        <f>G113+H113</f>
        <v>0</v>
      </c>
      <c r="G113" s="20">
        <v>0</v>
      </c>
      <c r="H113" s="24">
        <v>0</v>
      </c>
      <c r="I113" s="19">
        <f>J113+K113</f>
        <v>0</v>
      </c>
      <c r="J113" s="4">
        <f>G113+J48</f>
        <v>0</v>
      </c>
      <c r="K113" s="4">
        <f>H113+K48</f>
        <v>0</v>
      </c>
      <c r="L113" s="52" t="e">
        <f t="shared" si="76"/>
        <v>#DIV/0!</v>
      </c>
      <c r="M113" s="149">
        <v>1.4086000000000001</v>
      </c>
      <c r="N113" s="26">
        <f t="shared" ref="N113" si="83">+M113*G113</f>
        <v>0</v>
      </c>
      <c r="O113" s="95">
        <f t="shared" ref="O113" si="84">+M113*J113</f>
        <v>0</v>
      </c>
      <c r="P113" s="53"/>
    </row>
    <row r="114" spans="2:16" ht="15" thickBot="1" x14ac:dyDescent="0.35">
      <c r="B114" s="1178" t="s">
        <v>95</v>
      </c>
      <c r="C114" s="1179"/>
      <c r="D114" s="1179"/>
      <c r="E114" s="1179"/>
      <c r="F114" s="1179"/>
      <c r="G114" s="1179"/>
      <c r="H114" s="1179"/>
      <c r="I114" s="110">
        <f>J114+K114</f>
        <v>149292</v>
      </c>
      <c r="J114" s="110">
        <f>J107+J112+J113</f>
        <v>144250</v>
      </c>
      <c r="K114" s="110">
        <f>K107+K112+K113</f>
        <v>5042</v>
      </c>
      <c r="L114" s="111"/>
      <c r="M114" s="112"/>
      <c r="N114" s="109"/>
      <c r="O114" s="77">
        <f>+O113+O112+O107</f>
        <v>526357.82499999995</v>
      </c>
      <c r="P114" s="84"/>
    </row>
    <row r="115" spans="2:16" x14ac:dyDescent="0.3">
      <c r="B115" s="1180" t="s">
        <v>69</v>
      </c>
      <c r="C115" s="1183" t="s">
        <v>70</v>
      </c>
      <c r="D115" s="54" t="s">
        <v>71</v>
      </c>
      <c r="E115" s="55">
        <v>0</v>
      </c>
      <c r="F115" s="56">
        <f>G115+H115</f>
        <v>0</v>
      </c>
      <c r="G115" s="56">
        <v>0</v>
      </c>
      <c r="H115" s="57">
        <v>0</v>
      </c>
      <c r="I115" s="78">
        <f>J115+K115</f>
        <v>0</v>
      </c>
      <c r="J115" s="4">
        <f>G115+J50</f>
        <v>0</v>
      </c>
      <c r="K115" s="4">
        <f>H115+K50</f>
        <v>0</v>
      </c>
      <c r="L115" s="58" t="e">
        <f t="shared" ref="L115" si="85">+J115/E115</f>
        <v>#DIV/0!</v>
      </c>
      <c r="M115" s="59">
        <v>32.946300000000001</v>
      </c>
      <c r="N115" s="60">
        <f>+M115*G115</f>
        <v>0</v>
      </c>
      <c r="O115" s="60">
        <f>M115*J115</f>
        <v>0</v>
      </c>
      <c r="P115" s="1185"/>
    </row>
    <row r="116" spans="2:16" x14ac:dyDescent="0.3">
      <c r="B116" s="1181"/>
      <c r="C116" s="1184"/>
      <c r="D116" s="61" t="s">
        <v>72</v>
      </c>
      <c r="E116" s="62">
        <v>0</v>
      </c>
      <c r="F116" s="63">
        <f>G116+H116</f>
        <v>0</v>
      </c>
      <c r="G116" s="63">
        <v>0</v>
      </c>
      <c r="H116" s="64">
        <v>0</v>
      </c>
      <c r="I116" s="79">
        <f>J116+K116</f>
        <v>0</v>
      </c>
      <c r="J116" s="4">
        <f>G116+J51</f>
        <v>0</v>
      </c>
      <c r="K116" s="4">
        <f>H116+K51</f>
        <v>0</v>
      </c>
      <c r="L116" s="65" t="e">
        <f>+J116/E116</f>
        <v>#DIV/0!</v>
      </c>
      <c r="M116" s="66">
        <v>35.398400000000002</v>
      </c>
      <c r="N116" s="67">
        <f>+M116*G116</f>
        <v>0</v>
      </c>
      <c r="O116" s="67">
        <f>M116*J116</f>
        <v>0</v>
      </c>
      <c r="P116" s="1186"/>
    </row>
    <row r="117" spans="2:16" x14ac:dyDescent="0.3">
      <c r="B117" s="1181"/>
      <c r="C117" s="1184"/>
      <c r="D117" s="61" t="s">
        <v>73</v>
      </c>
      <c r="E117" s="62">
        <v>0</v>
      </c>
      <c r="F117" s="63">
        <f t="shared" ref="F117:F120" si="86">G117+H117</f>
        <v>0</v>
      </c>
      <c r="G117" s="63">
        <v>0</v>
      </c>
      <c r="H117" s="64">
        <v>0</v>
      </c>
      <c r="I117" s="79">
        <f t="shared" ref="I117:I126" si="87">J117+K117</f>
        <v>0</v>
      </c>
      <c r="J117" s="4">
        <f t="shared" ref="J117:J142" si="88">G117+J52</f>
        <v>0</v>
      </c>
      <c r="K117" s="4">
        <f t="shared" ref="K117:K121" si="89">H117+K52</f>
        <v>0</v>
      </c>
      <c r="L117" s="65" t="e">
        <f t="shared" ref="L117:L130" si="90">+J117/E117</f>
        <v>#DIV/0!</v>
      </c>
      <c r="M117" s="66">
        <v>32.946300000000001</v>
      </c>
      <c r="N117" s="67">
        <f t="shared" ref="N117:N137" si="91">+M117*G117</f>
        <v>0</v>
      </c>
      <c r="O117" s="67">
        <f t="shared" ref="O117:O125" si="92">M117*J117</f>
        <v>0</v>
      </c>
      <c r="P117" s="1186"/>
    </row>
    <row r="118" spans="2:16" x14ac:dyDescent="0.3">
      <c r="B118" s="1181"/>
      <c r="C118" s="1184" t="s">
        <v>74</v>
      </c>
      <c r="D118" s="61" t="s">
        <v>75</v>
      </c>
      <c r="E118" s="62">
        <v>0</v>
      </c>
      <c r="F118" s="63">
        <f t="shared" si="86"/>
        <v>4976</v>
      </c>
      <c r="G118" s="63">
        <v>4800</v>
      </c>
      <c r="H118" s="64">
        <v>176</v>
      </c>
      <c r="I118" s="79">
        <f t="shared" si="87"/>
        <v>4976</v>
      </c>
      <c r="J118" s="4">
        <f t="shared" si="88"/>
        <v>4800</v>
      </c>
      <c r="K118" s="4">
        <f t="shared" si="89"/>
        <v>176</v>
      </c>
      <c r="L118" s="65" t="e">
        <f t="shared" si="90"/>
        <v>#DIV/0!</v>
      </c>
      <c r="M118" s="66">
        <v>55.4758</v>
      </c>
      <c r="N118" s="67">
        <f t="shared" si="91"/>
        <v>266283.84000000003</v>
      </c>
      <c r="O118" s="67">
        <f t="shared" si="92"/>
        <v>266283.84000000003</v>
      </c>
      <c r="P118" s="1186"/>
    </row>
    <row r="119" spans="2:16" x14ac:dyDescent="0.3">
      <c r="B119" s="1181"/>
      <c r="C119" s="1184"/>
      <c r="D119" s="61" t="s">
        <v>134</v>
      </c>
      <c r="E119" s="62">
        <v>0</v>
      </c>
      <c r="F119" s="63">
        <f t="shared" si="86"/>
        <v>0</v>
      </c>
      <c r="G119" s="63">
        <v>0</v>
      </c>
      <c r="H119" s="64">
        <v>0</v>
      </c>
      <c r="I119" s="79">
        <f t="shared" si="87"/>
        <v>0</v>
      </c>
      <c r="J119" s="4">
        <f t="shared" si="88"/>
        <v>0</v>
      </c>
      <c r="K119" s="4">
        <f t="shared" si="89"/>
        <v>0</v>
      </c>
      <c r="L119" s="65" t="e">
        <f t="shared" si="90"/>
        <v>#DIV/0!</v>
      </c>
      <c r="M119" s="66">
        <v>53.515999999999998</v>
      </c>
      <c r="N119" s="67">
        <f t="shared" si="91"/>
        <v>0</v>
      </c>
      <c r="O119" s="67">
        <f t="shared" si="92"/>
        <v>0</v>
      </c>
      <c r="P119" s="1186"/>
    </row>
    <row r="120" spans="2:16" x14ac:dyDescent="0.3">
      <c r="B120" s="1181"/>
      <c r="C120" s="1184"/>
      <c r="D120" s="61" t="s">
        <v>72</v>
      </c>
      <c r="E120" s="62">
        <v>0</v>
      </c>
      <c r="F120" s="63">
        <f t="shared" si="86"/>
        <v>0</v>
      </c>
      <c r="G120" s="63">
        <v>0</v>
      </c>
      <c r="H120" s="64">
        <v>0</v>
      </c>
      <c r="I120" s="79">
        <f t="shared" si="87"/>
        <v>0</v>
      </c>
      <c r="J120" s="4">
        <f t="shared" si="88"/>
        <v>0</v>
      </c>
      <c r="K120" s="4">
        <f t="shared" si="89"/>
        <v>0</v>
      </c>
      <c r="L120" s="65" t="e">
        <f t="shared" si="90"/>
        <v>#DIV/0!</v>
      </c>
      <c r="M120" s="66">
        <v>58.836300000000001</v>
      </c>
      <c r="N120" s="67">
        <f t="shared" si="91"/>
        <v>0</v>
      </c>
      <c r="O120" s="67">
        <f t="shared" si="92"/>
        <v>0</v>
      </c>
      <c r="P120" s="1186"/>
    </row>
    <row r="121" spans="2:16" x14ac:dyDescent="0.3">
      <c r="B121" s="1181"/>
      <c r="C121" s="1188" t="s">
        <v>76</v>
      </c>
      <c r="D121" s="61" t="s">
        <v>77</v>
      </c>
      <c r="E121" s="62">
        <v>0</v>
      </c>
      <c r="F121" s="63">
        <f>G121+H121</f>
        <v>0</v>
      </c>
      <c r="G121" s="63">
        <v>0</v>
      </c>
      <c r="H121" s="64">
        <v>0</v>
      </c>
      <c r="I121" s="79">
        <f t="shared" si="87"/>
        <v>0</v>
      </c>
      <c r="J121" s="4">
        <f t="shared" si="88"/>
        <v>0</v>
      </c>
      <c r="K121" s="4">
        <f t="shared" si="89"/>
        <v>0</v>
      </c>
      <c r="L121" s="65" t="e">
        <f t="shared" si="90"/>
        <v>#DIV/0!</v>
      </c>
      <c r="M121" s="66">
        <v>25.687200000000001</v>
      </c>
      <c r="N121" s="67">
        <f t="shared" si="91"/>
        <v>0</v>
      </c>
      <c r="O121" s="67">
        <f t="shared" si="92"/>
        <v>0</v>
      </c>
      <c r="P121" s="1186"/>
    </row>
    <row r="122" spans="2:16" x14ac:dyDescent="0.3">
      <c r="B122" s="1181"/>
      <c r="C122" s="1189"/>
      <c r="D122" s="61" t="s">
        <v>117</v>
      </c>
      <c r="E122" s="62">
        <v>0</v>
      </c>
      <c r="F122" s="63">
        <f>G122+H122</f>
        <v>0</v>
      </c>
      <c r="G122" s="63">
        <v>0</v>
      </c>
      <c r="H122" s="64">
        <v>0</v>
      </c>
      <c r="I122" s="79">
        <f t="shared" si="87"/>
        <v>0</v>
      </c>
      <c r="J122" s="4">
        <f t="shared" si="88"/>
        <v>0</v>
      </c>
      <c r="K122" s="4">
        <f>H122+K57</f>
        <v>0</v>
      </c>
      <c r="L122" s="65" t="e">
        <f t="shared" si="90"/>
        <v>#DIV/0!</v>
      </c>
      <c r="M122" s="66">
        <v>25.033899999999999</v>
      </c>
      <c r="N122" s="67">
        <f t="shared" si="91"/>
        <v>0</v>
      </c>
      <c r="O122" s="67">
        <f t="shared" si="92"/>
        <v>0</v>
      </c>
      <c r="P122" s="1186"/>
    </row>
    <row r="123" spans="2:16" x14ac:dyDescent="0.3">
      <c r="B123" s="1181"/>
      <c r="C123" s="1188" t="s">
        <v>78</v>
      </c>
      <c r="D123" s="61" t="s">
        <v>79</v>
      </c>
      <c r="E123" s="62">
        <v>0</v>
      </c>
      <c r="F123" s="63">
        <f t="shared" ref="F123:F142" si="93">G123+H123</f>
        <v>0</v>
      </c>
      <c r="G123" s="63">
        <v>0</v>
      </c>
      <c r="H123" s="64">
        <v>0</v>
      </c>
      <c r="I123" s="79">
        <f t="shared" si="87"/>
        <v>0</v>
      </c>
      <c r="J123" s="4">
        <f t="shared" si="88"/>
        <v>0</v>
      </c>
      <c r="K123" s="4">
        <f t="shared" ref="K123:K142" si="94">H123+K58</f>
        <v>0</v>
      </c>
      <c r="L123" s="65" t="e">
        <f t="shared" si="90"/>
        <v>#DIV/0!</v>
      </c>
      <c r="M123" s="66">
        <v>41.992699999999999</v>
      </c>
      <c r="N123" s="67">
        <f t="shared" si="91"/>
        <v>0</v>
      </c>
      <c r="O123" s="67">
        <f t="shared" si="92"/>
        <v>0</v>
      </c>
      <c r="P123" s="1186"/>
    </row>
    <row r="124" spans="2:16" x14ac:dyDescent="0.3">
      <c r="B124" s="1181"/>
      <c r="C124" s="1189"/>
      <c r="D124" s="61" t="s">
        <v>72</v>
      </c>
      <c r="E124" s="62">
        <v>0</v>
      </c>
      <c r="F124" s="63">
        <f t="shared" si="93"/>
        <v>0</v>
      </c>
      <c r="G124" s="63">
        <v>0</v>
      </c>
      <c r="H124" s="64">
        <v>0</v>
      </c>
      <c r="I124" s="79">
        <f t="shared" si="87"/>
        <v>0</v>
      </c>
      <c r="J124" s="4">
        <f t="shared" si="88"/>
        <v>0</v>
      </c>
      <c r="K124" s="4">
        <f t="shared" si="94"/>
        <v>0</v>
      </c>
      <c r="L124" s="65" t="e">
        <f t="shared" si="90"/>
        <v>#DIV/0!</v>
      </c>
      <c r="M124" s="66">
        <v>42.283799999999999</v>
      </c>
      <c r="N124" s="67">
        <f t="shared" si="91"/>
        <v>0</v>
      </c>
      <c r="O124" s="67">
        <f t="shared" si="92"/>
        <v>0</v>
      </c>
      <c r="P124" s="1186"/>
    </row>
    <row r="125" spans="2:16" x14ac:dyDescent="0.3">
      <c r="B125" s="1181"/>
      <c r="C125" s="167" t="s">
        <v>80</v>
      </c>
      <c r="D125" s="61" t="s">
        <v>81</v>
      </c>
      <c r="E125" s="62">
        <v>0</v>
      </c>
      <c r="F125" s="63">
        <f t="shared" si="93"/>
        <v>0</v>
      </c>
      <c r="G125" s="63">
        <v>0</v>
      </c>
      <c r="H125" s="64">
        <v>0</v>
      </c>
      <c r="I125" s="79">
        <f t="shared" si="87"/>
        <v>0</v>
      </c>
      <c r="J125" s="4">
        <f t="shared" si="88"/>
        <v>0</v>
      </c>
      <c r="K125" s="4">
        <f t="shared" si="94"/>
        <v>0</v>
      </c>
      <c r="L125" s="65" t="e">
        <f t="shared" si="90"/>
        <v>#DIV/0!</v>
      </c>
      <c r="M125" s="66">
        <v>4.3535000000000004</v>
      </c>
      <c r="N125" s="67">
        <f t="shared" si="91"/>
        <v>0</v>
      </c>
      <c r="O125" s="67">
        <f t="shared" si="92"/>
        <v>0</v>
      </c>
      <c r="P125" s="1186"/>
    </row>
    <row r="126" spans="2:16" x14ac:dyDescent="0.3">
      <c r="B126" s="1181"/>
      <c r="C126" s="1184" t="s">
        <v>82</v>
      </c>
      <c r="D126" s="61" t="s">
        <v>77</v>
      </c>
      <c r="E126" s="62">
        <v>0</v>
      </c>
      <c r="F126" s="63">
        <f t="shared" si="93"/>
        <v>0</v>
      </c>
      <c r="G126" s="63">
        <v>0</v>
      </c>
      <c r="H126" s="64">
        <v>0</v>
      </c>
      <c r="I126" s="79">
        <f t="shared" si="87"/>
        <v>0</v>
      </c>
      <c r="J126" s="4">
        <f t="shared" si="88"/>
        <v>0</v>
      </c>
      <c r="K126" s="4">
        <f t="shared" si="94"/>
        <v>0</v>
      </c>
      <c r="L126" s="65" t="e">
        <f t="shared" si="90"/>
        <v>#DIV/0!</v>
      </c>
      <c r="M126" s="66">
        <v>4.6184000000000003</v>
      </c>
      <c r="N126" s="67">
        <f t="shared" si="91"/>
        <v>0</v>
      </c>
      <c r="O126" s="67">
        <f>M126*J126</f>
        <v>0</v>
      </c>
      <c r="P126" s="1186"/>
    </row>
    <row r="127" spans="2:16" x14ac:dyDescent="0.3">
      <c r="B127" s="1181"/>
      <c r="C127" s="1184"/>
      <c r="D127" s="61" t="s">
        <v>119</v>
      </c>
      <c r="E127" s="62">
        <v>0</v>
      </c>
      <c r="F127" s="63">
        <f t="shared" si="93"/>
        <v>0</v>
      </c>
      <c r="G127" s="63">
        <v>0</v>
      </c>
      <c r="H127" s="64">
        <v>0</v>
      </c>
      <c r="I127" s="79">
        <f>J127+K127</f>
        <v>0</v>
      </c>
      <c r="J127" s="4">
        <f t="shared" si="88"/>
        <v>0</v>
      </c>
      <c r="K127" s="4">
        <f t="shared" si="94"/>
        <v>0</v>
      </c>
      <c r="L127" s="65" t="e">
        <f t="shared" si="90"/>
        <v>#DIV/0!</v>
      </c>
      <c r="M127" s="153">
        <v>4.6184000000000003</v>
      </c>
      <c r="N127" s="67">
        <f t="shared" si="91"/>
        <v>0</v>
      </c>
      <c r="O127" s="67">
        <f>M127*J127</f>
        <v>0</v>
      </c>
      <c r="P127" s="1186"/>
    </row>
    <row r="128" spans="2:16" x14ac:dyDescent="0.3">
      <c r="B128" s="1181"/>
      <c r="C128" s="1184"/>
      <c r="D128" s="61" t="s">
        <v>123</v>
      </c>
      <c r="E128" s="62">
        <v>0</v>
      </c>
      <c r="F128" s="63">
        <f t="shared" si="93"/>
        <v>0</v>
      </c>
      <c r="G128" s="63">
        <v>0</v>
      </c>
      <c r="H128" s="64">
        <v>0</v>
      </c>
      <c r="I128" s="79">
        <f t="shared" ref="I128:I142" si="95">J128+K128</f>
        <v>0</v>
      </c>
      <c r="J128" s="4">
        <f t="shared" si="88"/>
        <v>0</v>
      </c>
      <c r="K128" s="4">
        <f t="shared" si="94"/>
        <v>0</v>
      </c>
      <c r="L128" s="65" t="e">
        <f t="shared" si="90"/>
        <v>#DIV/0!</v>
      </c>
      <c r="M128" s="153">
        <v>4.6184000000000003</v>
      </c>
      <c r="N128" s="67">
        <f t="shared" si="91"/>
        <v>0</v>
      </c>
      <c r="O128" s="67">
        <f t="shared" ref="O128:O133" si="96">M128*J128</f>
        <v>0</v>
      </c>
      <c r="P128" s="1186"/>
    </row>
    <row r="129" spans="2:16" x14ac:dyDescent="0.3">
      <c r="B129" s="1181"/>
      <c r="C129" s="1184"/>
      <c r="D129" s="61" t="s">
        <v>124</v>
      </c>
      <c r="E129" s="62">
        <v>0</v>
      </c>
      <c r="F129" s="63">
        <f t="shared" si="93"/>
        <v>20169</v>
      </c>
      <c r="G129" s="63">
        <v>19800</v>
      </c>
      <c r="H129" s="64">
        <v>369</v>
      </c>
      <c r="I129" s="79">
        <f t="shared" si="95"/>
        <v>44269</v>
      </c>
      <c r="J129" s="4">
        <f t="shared" si="88"/>
        <v>42900</v>
      </c>
      <c r="K129" s="4">
        <f t="shared" si="94"/>
        <v>1369</v>
      </c>
      <c r="L129" s="65" t="e">
        <f t="shared" si="90"/>
        <v>#DIV/0!</v>
      </c>
      <c r="M129" s="153">
        <v>4.7636000000000003</v>
      </c>
      <c r="N129" s="67">
        <f t="shared" si="91"/>
        <v>94319.28</v>
      </c>
      <c r="O129" s="67">
        <f t="shared" si="96"/>
        <v>204358.44</v>
      </c>
      <c r="P129" s="1186"/>
    </row>
    <row r="130" spans="2:16" x14ac:dyDescent="0.3">
      <c r="B130" s="1181"/>
      <c r="C130" s="1184"/>
      <c r="D130" s="61" t="s">
        <v>83</v>
      </c>
      <c r="E130" s="62">
        <v>0</v>
      </c>
      <c r="F130" s="63">
        <f t="shared" si="93"/>
        <v>0</v>
      </c>
      <c r="G130" s="63">
        <v>0</v>
      </c>
      <c r="H130" s="64">
        <v>0</v>
      </c>
      <c r="I130" s="79">
        <f t="shared" si="95"/>
        <v>0</v>
      </c>
      <c r="J130" s="4">
        <f t="shared" si="88"/>
        <v>0</v>
      </c>
      <c r="K130" s="4">
        <f t="shared" si="94"/>
        <v>0</v>
      </c>
      <c r="L130" s="65" t="e">
        <f t="shared" si="90"/>
        <v>#DIV/0!</v>
      </c>
      <c r="M130" s="66">
        <v>4.8738000000000001</v>
      </c>
      <c r="N130" s="67">
        <f t="shared" si="91"/>
        <v>0</v>
      </c>
      <c r="O130" s="67">
        <f t="shared" si="96"/>
        <v>0</v>
      </c>
      <c r="P130" s="1186"/>
    </row>
    <row r="131" spans="2:16" x14ac:dyDescent="0.3">
      <c r="B131" s="1181"/>
      <c r="C131" s="167" t="s">
        <v>128</v>
      </c>
      <c r="D131" s="61" t="s">
        <v>124</v>
      </c>
      <c r="E131" s="62"/>
      <c r="F131" s="63">
        <f t="shared" si="93"/>
        <v>0</v>
      </c>
      <c r="G131" s="63">
        <v>0</v>
      </c>
      <c r="H131" s="64">
        <v>0</v>
      </c>
      <c r="I131" s="79">
        <f t="shared" si="95"/>
        <v>0</v>
      </c>
      <c r="J131" s="4">
        <f t="shared" si="88"/>
        <v>0</v>
      </c>
      <c r="K131" s="4">
        <f t="shared" si="94"/>
        <v>0</v>
      </c>
      <c r="L131" s="65"/>
      <c r="M131" s="66">
        <v>4.8738000000000001</v>
      </c>
      <c r="N131" s="67">
        <f t="shared" si="91"/>
        <v>0</v>
      </c>
      <c r="O131" s="67">
        <f t="shared" si="96"/>
        <v>0</v>
      </c>
      <c r="P131" s="1186"/>
    </row>
    <row r="132" spans="2:16" x14ac:dyDescent="0.3">
      <c r="B132" s="1181"/>
      <c r="C132" s="1184" t="s">
        <v>84</v>
      </c>
      <c r="D132" s="61" t="s">
        <v>77</v>
      </c>
      <c r="E132" s="62">
        <v>0</v>
      </c>
      <c r="F132" s="63">
        <f t="shared" si="93"/>
        <v>9879</v>
      </c>
      <c r="G132" s="63">
        <v>9750</v>
      </c>
      <c r="H132" s="64">
        <v>129</v>
      </c>
      <c r="I132" s="79">
        <f t="shared" si="95"/>
        <v>44779</v>
      </c>
      <c r="J132" s="4">
        <f t="shared" si="88"/>
        <v>44500</v>
      </c>
      <c r="K132" s="4">
        <f t="shared" si="94"/>
        <v>279</v>
      </c>
      <c r="L132" s="65" t="e">
        <f t="shared" ref="L132:L142" si="97">+J132/E132</f>
        <v>#DIV/0!</v>
      </c>
      <c r="M132" s="66">
        <v>4.9344999999999999</v>
      </c>
      <c r="N132" s="67">
        <f t="shared" si="91"/>
        <v>48111.375</v>
      </c>
      <c r="O132" s="67">
        <f t="shared" si="96"/>
        <v>219585.25</v>
      </c>
      <c r="P132" s="1186"/>
    </row>
    <row r="133" spans="2:16" x14ac:dyDescent="0.3">
      <c r="B133" s="1181"/>
      <c r="C133" s="1184"/>
      <c r="D133" s="61" t="s">
        <v>135</v>
      </c>
      <c r="E133" s="62"/>
      <c r="F133" s="63">
        <f t="shared" si="93"/>
        <v>0</v>
      </c>
      <c r="G133" s="63">
        <v>0</v>
      </c>
      <c r="H133" s="64">
        <v>0</v>
      </c>
      <c r="I133" s="79">
        <f t="shared" si="95"/>
        <v>0</v>
      </c>
      <c r="J133" s="4">
        <f t="shared" si="88"/>
        <v>0</v>
      </c>
      <c r="K133" s="4">
        <f t="shared" si="94"/>
        <v>0</v>
      </c>
      <c r="L133" s="65" t="e">
        <f t="shared" si="97"/>
        <v>#DIV/0!</v>
      </c>
      <c r="M133" s="66">
        <v>4.9344999999999999</v>
      </c>
      <c r="N133" s="67">
        <f t="shared" si="91"/>
        <v>0</v>
      </c>
      <c r="O133" s="67">
        <f t="shared" si="96"/>
        <v>0</v>
      </c>
      <c r="P133" s="1186"/>
    </row>
    <row r="134" spans="2:16" x14ac:dyDescent="0.3">
      <c r="B134" s="1181"/>
      <c r="C134" s="1184"/>
      <c r="D134" s="61" t="s">
        <v>129</v>
      </c>
      <c r="E134" s="62">
        <v>0</v>
      </c>
      <c r="F134" s="63">
        <f t="shared" si="93"/>
        <v>0</v>
      </c>
      <c r="G134" s="155">
        <v>0</v>
      </c>
      <c r="H134" s="156">
        <v>0</v>
      </c>
      <c r="I134" s="157">
        <f t="shared" si="95"/>
        <v>0</v>
      </c>
      <c r="J134" s="4">
        <f t="shared" si="88"/>
        <v>0</v>
      </c>
      <c r="K134" s="4">
        <f t="shared" si="94"/>
        <v>0</v>
      </c>
      <c r="L134" s="158" t="e">
        <f t="shared" si="97"/>
        <v>#DIV/0!</v>
      </c>
      <c r="M134" s="66">
        <v>4.9344999999999999</v>
      </c>
      <c r="N134" s="159">
        <f t="shared" si="91"/>
        <v>0</v>
      </c>
      <c r="O134" s="67">
        <f>M134*J134</f>
        <v>0</v>
      </c>
      <c r="P134" s="1186"/>
    </row>
    <row r="135" spans="2:16" x14ac:dyDescent="0.3">
      <c r="B135" s="1181"/>
      <c r="C135" s="1184" t="s">
        <v>85</v>
      </c>
      <c r="D135" s="61" t="s">
        <v>77</v>
      </c>
      <c r="E135" s="62">
        <v>0</v>
      </c>
      <c r="F135" s="63">
        <f t="shared" si="93"/>
        <v>7673</v>
      </c>
      <c r="G135" s="63">
        <v>7200</v>
      </c>
      <c r="H135" s="64">
        <v>473</v>
      </c>
      <c r="I135" s="79">
        <f t="shared" si="95"/>
        <v>26573</v>
      </c>
      <c r="J135" s="4">
        <f t="shared" si="88"/>
        <v>25200</v>
      </c>
      <c r="K135" s="4">
        <f t="shared" si="94"/>
        <v>1373</v>
      </c>
      <c r="L135" s="65" t="e">
        <f t="shared" si="97"/>
        <v>#DIV/0!</v>
      </c>
      <c r="M135" s="148">
        <v>5.5069999999999997</v>
      </c>
      <c r="N135" s="67">
        <f t="shared" si="91"/>
        <v>39650.399999999994</v>
      </c>
      <c r="O135" s="67">
        <f>M135*J135</f>
        <v>138776.4</v>
      </c>
      <c r="P135" s="1186"/>
    </row>
    <row r="136" spans="2:16" x14ac:dyDescent="0.3">
      <c r="B136" s="1181"/>
      <c r="C136" s="1184"/>
      <c r="D136" s="61" t="s">
        <v>112</v>
      </c>
      <c r="E136" s="62">
        <v>0</v>
      </c>
      <c r="F136" s="63">
        <f t="shared" si="93"/>
        <v>0</v>
      </c>
      <c r="G136" s="63">
        <v>0</v>
      </c>
      <c r="H136" s="64">
        <v>0</v>
      </c>
      <c r="I136" s="79">
        <f t="shared" si="95"/>
        <v>0</v>
      </c>
      <c r="J136" s="4">
        <f t="shared" si="88"/>
        <v>0</v>
      </c>
      <c r="K136" s="4">
        <f t="shared" si="94"/>
        <v>0</v>
      </c>
      <c r="L136" s="65" t="e">
        <f t="shared" si="97"/>
        <v>#DIV/0!</v>
      </c>
      <c r="M136" s="147">
        <v>5.6550000000000002</v>
      </c>
      <c r="N136" s="67">
        <f t="shared" si="91"/>
        <v>0</v>
      </c>
      <c r="O136" s="67">
        <f>M136*J136</f>
        <v>0</v>
      </c>
      <c r="P136" s="1186"/>
    </row>
    <row r="137" spans="2:16" x14ac:dyDescent="0.3">
      <c r="B137" s="1181"/>
      <c r="C137" s="1184"/>
      <c r="D137" s="61" t="s">
        <v>118</v>
      </c>
      <c r="E137" s="62">
        <v>0</v>
      </c>
      <c r="F137" s="63">
        <f t="shared" si="93"/>
        <v>0</v>
      </c>
      <c r="G137" s="63">
        <v>0</v>
      </c>
      <c r="H137" s="64">
        <v>0</v>
      </c>
      <c r="I137" s="79">
        <f t="shared" si="95"/>
        <v>0</v>
      </c>
      <c r="J137" s="4">
        <f t="shared" si="88"/>
        <v>0</v>
      </c>
      <c r="K137" s="4">
        <f t="shared" si="94"/>
        <v>0</v>
      </c>
      <c r="L137" s="65" t="e">
        <f t="shared" si="97"/>
        <v>#DIV/0!</v>
      </c>
      <c r="M137" s="152">
        <v>5.6550000000000002</v>
      </c>
      <c r="N137" s="67">
        <f t="shared" si="91"/>
        <v>0</v>
      </c>
      <c r="O137" s="67">
        <f>M137*J137</f>
        <v>0</v>
      </c>
      <c r="P137" s="1186"/>
    </row>
    <row r="138" spans="2:16" x14ac:dyDescent="0.3">
      <c r="B138" s="1181"/>
      <c r="C138" s="1184"/>
      <c r="D138" s="61" t="s">
        <v>121</v>
      </c>
      <c r="E138" s="62">
        <v>0</v>
      </c>
      <c r="F138" s="63">
        <f t="shared" si="93"/>
        <v>3700</v>
      </c>
      <c r="G138" s="63">
        <v>2700</v>
      </c>
      <c r="H138" s="64">
        <v>1000</v>
      </c>
      <c r="I138" s="79">
        <f t="shared" si="95"/>
        <v>9700</v>
      </c>
      <c r="J138" s="4">
        <f t="shared" si="88"/>
        <v>8200</v>
      </c>
      <c r="K138" s="4">
        <f t="shared" si="94"/>
        <v>1500</v>
      </c>
      <c r="L138" s="65" t="e">
        <f t="shared" si="97"/>
        <v>#DIV/0!</v>
      </c>
      <c r="M138" s="66">
        <v>5.7885299999999997</v>
      </c>
      <c r="N138" s="67">
        <f>+M138*G138</f>
        <v>15629.030999999999</v>
      </c>
      <c r="O138" s="67">
        <f>M138*J138</f>
        <v>47465.945999999996</v>
      </c>
      <c r="P138" s="1186"/>
    </row>
    <row r="139" spans="2:16" x14ac:dyDescent="0.3">
      <c r="B139" s="1181"/>
      <c r="C139" s="1184"/>
      <c r="D139" s="61" t="s">
        <v>136</v>
      </c>
      <c r="E139" s="62">
        <v>0</v>
      </c>
      <c r="F139" s="63">
        <f t="shared" si="93"/>
        <v>0</v>
      </c>
      <c r="G139" s="63">
        <v>0</v>
      </c>
      <c r="H139" s="64">
        <v>0</v>
      </c>
      <c r="I139" s="79">
        <f t="shared" si="95"/>
        <v>0</v>
      </c>
      <c r="J139" s="4">
        <f t="shared" si="88"/>
        <v>0</v>
      </c>
      <c r="K139" s="4">
        <f t="shared" si="94"/>
        <v>0</v>
      </c>
      <c r="L139" s="65" t="e">
        <f t="shared" si="97"/>
        <v>#DIV/0!</v>
      </c>
      <c r="M139" s="152">
        <v>5.6550000000000002</v>
      </c>
      <c r="N139" s="67">
        <f t="shared" ref="N139:N141" si="98">+M139*G139</f>
        <v>0</v>
      </c>
      <c r="O139" s="67">
        <f t="shared" ref="O139:O142" si="99">M139*J139</f>
        <v>0</v>
      </c>
      <c r="P139" s="1186"/>
    </row>
    <row r="140" spans="2:16" x14ac:dyDescent="0.3">
      <c r="B140" s="1181"/>
      <c r="C140" s="167" t="s">
        <v>86</v>
      </c>
      <c r="D140" s="61" t="s">
        <v>77</v>
      </c>
      <c r="E140" s="62">
        <v>0</v>
      </c>
      <c r="F140" s="63">
        <f t="shared" si="93"/>
        <v>0</v>
      </c>
      <c r="G140" s="63">
        <v>0</v>
      </c>
      <c r="H140" s="64">
        <v>0</v>
      </c>
      <c r="I140" s="79">
        <f t="shared" si="95"/>
        <v>0</v>
      </c>
      <c r="J140" s="4">
        <f t="shared" si="88"/>
        <v>0</v>
      </c>
      <c r="K140" s="4">
        <f t="shared" si="94"/>
        <v>0</v>
      </c>
      <c r="L140" s="65" t="e">
        <f t="shared" si="97"/>
        <v>#DIV/0!</v>
      </c>
      <c r="M140" s="66">
        <v>3.2963</v>
      </c>
      <c r="N140" s="67">
        <f t="shared" si="98"/>
        <v>0</v>
      </c>
      <c r="O140" s="67">
        <f t="shared" si="99"/>
        <v>0</v>
      </c>
      <c r="P140" s="1186"/>
    </row>
    <row r="141" spans="2:16" x14ac:dyDescent="0.3">
      <c r="B141" s="1181"/>
      <c r="C141" s="167" t="s">
        <v>87</v>
      </c>
      <c r="D141" s="61" t="s">
        <v>77</v>
      </c>
      <c r="E141" s="62">
        <v>0</v>
      </c>
      <c r="F141" s="63">
        <f t="shared" si="93"/>
        <v>0</v>
      </c>
      <c r="G141" s="63">
        <v>0</v>
      </c>
      <c r="H141" s="64">
        <v>0</v>
      </c>
      <c r="I141" s="79">
        <f t="shared" si="95"/>
        <v>0</v>
      </c>
      <c r="J141" s="4">
        <f t="shared" si="88"/>
        <v>0</v>
      </c>
      <c r="K141" s="4">
        <f t="shared" si="94"/>
        <v>0</v>
      </c>
      <c r="L141" s="65" t="e">
        <f t="shared" si="97"/>
        <v>#DIV/0!</v>
      </c>
      <c r="M141" s="66">
        <v>3.2963</v>
      </c>
      <c r="N141" s="67">
        <f t="shared" si="98"/>
        <v>0</v>
      </c>
      <c r="O141" s="67">
        <f t="shared" si="99"/>
        <v>0</v>
      </c>
      <c r="P141" s="1186"/>
    </row>
    <row r="142" spans="2:16" ht="15" thickBot="1" x14ac:dyDescent="0.35">
      <c r="B142" s="1181"/>
      <c r="C142" s="68" t="s">
        <v>88</v>
      </c>
      <c r="D142" s="69" t="s">
        <v>89</v>
      </c>
      <c r="E142" s="70">
        <v>0</v>
      </c>
      <c r="F142" s="71">
        <f t="shared" si="93"/>
        <v>0</v>
      </c>
      <c r="G142" s="71">
        <v>0</v>
      </c>
      <c r="H142" s="72">
        <v>0</v>
      </c>
      <c r="I142" s="80">
        <f t="shared" si="95"/>
        <v>0</v>
      </c>
      <c r="J142" s="4">
        <f t="shared" si="88"/>
        <v>0</v>
      </c>
      <c r="K142" s="4">
        <f t="shared" si="94"/>
        <v>0</v>
      </c>
      <c r="L142" s="65" t="e">
        <f t="shared" si="97"/>
        <v>#DIV/0!</v>
      </c>
      <c r="M142" s="73">
        <v>2.3201000000000001</v>
      </c>
      <c r="N142" s="74">
        <f t="shared" ref="N142" si="100">M142*G142</f>
        <v>0</v>
      </c>
      <c r="O142" s="74">
        <f t="shared" si="99"/>
        <v>0</v>
      </c>
      <c r="P142" s="1187"/>
    </row>
    <row r="143" spans="2:16" ht="15" thickBot="1" x14ac:dyDescent="0.35">
      <c r="B143" s="1182"/>
      <c r="C143" s="1190" t="s">
        <v>99</v>
      </c>
      <c r="D143" s="1191"/>
      <c r="E143" s="1191"/>
      <c r="F143" s="1191"/>
      <c r="G143" s="1191"/>
      <c r="H143" s="1192"/>
      <c r="I143" s="116">
        <f>J143+K143</f>
        <v>130297</v>
      </c>
      <c r="J143" s="115">
        <f>SUM(J115:J142)</f>
        <v>125600</v>
      </c>
      <c r="K143" s="115">
        <f>SUM(K115:K142)</f>
        <v>4697</v>
      </c>
      <c r="L143" s="114"/>
      <c r="M143" s="113"/>
      <c r="N143" s="114"/>
      <c r="O143" s="97">
        <f>SUM(O115:O142)</f>
        <v>876469.87600000005</v>
      </c>
      <c r="P143" s="96"/>
    </row>
    <row r="144" spans="2:16" ht="15" thickBot="1" x14ac:dyDescent="0.35">
      <c r="B144" s="100"/>
      <c r="C144" s="101"/>
      <c r="D144" s="101"/>
      <c r="E144" s="101"/>
      <c r="F144" s="101"/>
      <c r="G144" s="101"/>
      <c r="H144" s="101"/>
      <c r="I144" s="101"/>
      <c r="J144" s="101"/>
      <c r="K144" s="101"/>
      <c r="L144" s="101"/>
      <c r="M144" s="101"/>
      <c r="N144" s="101"/>
      <c r="O144" s="101"/>
      <c r="P144" s="102"/>
    </row>
    <row r="145" spans="2:16" ht="15" thickBot="1" x14ac:dyDescent="0.35">
      <c r="B145" s="1175" t="s">
        <v>100</v>
      </c>
      <c r="C145" s="1176"/>
      <c r="D145" s="1176"/>
      <c r="E145" s="1176"/>
      <c r="F145" s="1176"/>
      <c r="G145" s="1176"/>
      <c r="H145" s="1176"/>
      <c r="I145" s="1176"/>
      <c r="J145" s="1176"/>
      <c r="K145" s="1176"/>
      <c r="L145" s="1176"/>
      <c r="M145" s="1176"/>
      <c r="N145" s="1177"/>
      <c r="O145" s="103">
        <f>+O143+O114+O99</f>
        <v>2224203.7009999999</v>
      </c>
      <c r="P145" s="96"/>
    </row>
    <row r="146" spans="2:16" ht="15" thickBot="1" x14ac:dyDescent="0.35"/>
    <row r="147" spans="2:16" x14ac:dyDescent="0.3">
      <c r="B147" s="1209" t="s">
        <v>1</v>
      </c>
      <c r="C147" s="1211" t="s">
        <v>2</v>
      </c>
      <c r="D147" s="1214" t="s">
        <v>3</v>
      </c>
      <c r="E147" s="1217" t="s">
        <v>4</v>
      </c>
      <c r="F147" s="1218"/>
      <c r="G147" s="1218"/>
      <c r="H147" s="1218"/>
      <c r="I147" s="1218"/>
      <c r="J147" s="1218"/>
      <c r="K147" s="1218"/>
      <c r="L147" s="1219"/>
      <c r="M147" s="1220" t="s">
        <v>5</v>
      </c>
      <c r="N147" s="1221"/>
      <c r="O147" s="1222"/>
      <c r="P147" s="1214" t="s">
        <v>6</v>
      </c>
    </row>
    <row r="148" spans="2:16" x14ac:dyDescent="0.3">
      <c r="B148" s="1210"/>
      <c r="C148" s="1212"/>
      <c r="D148" s="1215"/>
      <c r="E148" s="1223" t="s">
        <v>7</v>
      </c>
      <c r="F148" s="1225" t="s">
        <v>141</v>
      </c>
      <c r="G148" s="1225"/>
      <c r="H148" s="1226"/>
      <c r="I148" s="1227" t="s">
        <v>8</v>
      </c>
      <c r="J148" s="1225"/>
      <c r="K148" s="1225"/>
      <c r="L148" s="1226" t="s">
        <v>9</v>
      </c>
      <c r="M148" s="1229" t="s">
        <v>10</v>
      </c>
      <c r="N148" s="1231" t="s">
        <v>11</v>
      </c>
      <c r="O148" s="1233" t="s">
        <v>12</v>
      </c>
      <c r="P148" s="1215"/>
    </row>
    <row r="149" spans="2:16" ht="15" thickBot="1" x14ac:dyDescent="0.35">
      <c r="B149" s="1210"/>
      <c r="C149" s="1213"/>
      <c r="D149" s="1216"/>
      <c r="E149" s="1224"/>
      <c r="F149" s="2" t="s">
        <v>13</v>
      </c>
      <c r="G149" s="2" t="s">
        <v>14</v>
      </c>
      <c r="H149" s="171" t="s">
        <v>15</v>
      </c>
      <c r="I149" s="142" t="s">
        <v>13</v>
      </c>
      <c r="J149" s="2" t="s">
        <v>14</v>
      </c>
      <c r="K149" s="2" t="s">
        <v>15</v>
      </c>
      <c r="L149" s="1228"/>
      <c r="M149" s="1230"/>
      <c r="N149" s="1232"/>
      <c r="O149" s="1234"/>
      <c r="P149" s="1216"/>
    </row>
    <row r="150" spans="2:16" x14ac:dyDescent="0.3">
      <c r="B150" s="1193" t="s">
        <v>53</v>
      </c>
      <c r="C150" s="29"/>
      <c r="D150" s="117" t="s">
        <v>54</v>
      </c>
      <c r="E150" s="98">
        <v>0</v>
      </c>
      <c r="F150" s="4">
        <f>+G150+H150</f>
        <v>0</v>
      </c>
      <c r="G150" s="4">
        <v>0</v>
      </c>
      <c r="H150" s="8">
        <v>0</v>
      </c>
      <c r="I150" s="6">
        <f>J150+K150</f>
        <v>0</v>
      </c>
      <c r="J150" s="4">
        <f>G150+J85</f>
        <v>0</v>
      </c>
      <c r="K150" s="4">
        <f>H150+K85</f>
        <v>0</v>
      </c>
      <c r="L150" s="33" t="e">
        <f>+J150/E150</f>
        <v>#DIV/0!</v>
      </c>
      <c r="M150" s="104">
        <v>1.3652</v>
      </c>
      <c r="N150" s="31">
        <f>G150*M150</f>
        <v>0</v>
      </c>
      <c r="O150" s="86">
        <f>M150*J150</f>
        <v>0</v>
      </c>
      <c r="P150" s="1195"/>
    </row>
    <row r="151" spans="2:16" x14ac:dyDescent="0.3">
      <c r="B151" s="1194"/>
      <c r="C151" s="32"/>
      <c r="D151" s="118" t="s">
        <v>109</v>
      </c>
      <c r="E151" s="99">
        <v>0</v>
      </c>
      <c r="F151" s="9">
        <f>+G151+H151</f>
        <v>0</v>
      </c>
      <c r="G151" s="9">
        <v>0</v>
      </c>
      <c r="H151" s="10">
        <v>0</v>
      </c>
      <c r="I151" s="6">
        <f>J151+K151</f>
        <v>0</v>
      </c>
      <c r="J151" s="4">
        <f>+G151+J86</f>
        <v>0</v>
      </c>
      <c r="K151" s="4">
        <f>+H151+K86</f>
        <v>0</v>
      </c>
      <c r="L151" s="33"/>
      <c r="M151" s="105">
        <v>5.9917999999999996</v>
      </c>
      <c r="N151" s="34">
        <f>M151*G151</f>
        <v>0</v>
      </c>
      <c r="O151" s="87">
        <f>M151*J151</f>
        <v>0</v>
      </c>
      <c r="P151" s="1196"/>
    </row>
    <row r="152" spans="2:16" x14ac:dyDescent="0.3">
      <c r="B152" s="1194"/>
      <c r="C152" s="35"/>
      <c r="D152" s="119" t="s">
        <v>55</v>
      </c>
      <c r="E152" s="99">
        <v>0</v>
      </c>
      <c r="F152" s="9">
        <f t="shared" ref="F152:F156" si="101">+G152+H152</f>
        <v>177508</v>
      </c>
      <c r="G152" s="9">
        <f>93250+82500</f>
        <v>175750</v>
      </c>
      <c r="H152" s="10">
        <f>884+874</f>
        <v>1758</v>
      </c>
      <c r="I152" s="6">
        <f t="shared" ref="I152:I156" si="102">J152+K152</f>
        <v>525345</v>
      </c>
      <c r="J152" s="4">
        <f t="shared" ref="J152:J156" si="103">+G152+J87</f>
        <v>520750</v>
      </c>
      <c r="K152" s="4">
        <f t="shared" ref="K152:K156" si="104">+H152+K87</f>
        <v>4595</v>
      </c>
      <c r="L152" s="33" t="e">
        <f t="shared" ref="L152" si="105">+J152/E152</f>
        <v>#DIV/0!</v>
      </c>
      <c r="M152" s="106">
        <v>2.3807999999999998</v>
      </c>
      <c r="N152" s="36">
        <f>G152*M152</f>
        <v>418425.59999999998</v>
      </c>
      <c r="O152" s="88">
        <f>M152*J152</f>
        <v>1239801.5999999999</v>
      </c>
      <c r="P152" s="1196"/>
    </row>
    <row r="153" spans="2:16" x14ac:dyDescent="0.3">
      <c r="B153" s="1194"/>
      <c r="C153" s="35"/>
      <c r="D153" s="119" t="s">
        <v>56</v>
      </c>
      <c r="E153" s="99">
        <v>0</v>
      </c>
      <c r="F153" s="9">
        <f t="shared" si="101"/>
        <v>0</v>
      </c>
      <c r="G153" s="9">
        <v>0</v>
      </c>
      <c r="H153" s="10">
        <v>0</v>
      </c>
      <c r="I153" s="6">
        <f t="shared" si="102"/>
        <v>0</v>
      </c>
      <c r="J153" s="4">
        <f t="shared" si="103"/>
        <v>0</v>
      </c>
      <c r="K153" s="4">
        <f t="shared" si="104"/>
        <v>0</v>
      </c>
      <c r="L153" s="33"/>
      <c r="M153" s="106">
        <v>2.1457999999999999</v>
      </c>
      <c r="N153" s="36">
        <f t="shared" ref="N153:N156" si="106">G153*M153</f>
        <v>0</v>
      </c>
      <c r="O153" s="88">
        <f>M153*J153</f>
        <v>0</v>
      </c>
      <c r="P153" s="1196"/>
    </row>
    <row r="154" spans="2:16" x14ac:dyDescent="0.3">
      <c r="B154" s="1194"/>
      <c r="C154" s="35"/>
      <c r="D154" s="119" t="s">
        <v>106</v>
      </c>
      <c r="E154" s="99">
        <v>0</v>
      </c>
      <c r="F154" s="9">
        <f t="shared" si="101"/>
        <v>0</v>
      </c>
      <c r="G154" s="9">
        <v>0</v>
      </c>
      <c r="H154" s="10">
        <v>0</v>
      </c>
      <c r="I154" s="6">
        <f t="shared" si="102"/>
        <v>0</v>
      </c>
      <c r="J154" s="4">
        <f t="shared" si="103"/>
        <v>0</v>
      </c>
      <c r="K154" s="4">
        <f t="shared" si="104"/>
        <v>0</v>
      </c>
      <c r="L154" s="33" t="e">
        <f t="shared" ref="L154:L155" si="107">+J154/E154</f>
        <v>#DIV/0!</v>
      </c>
      <c r="M154" s="143">
        <v>4.0426000000000002</v>
      </c>
      <c r="N154" s="36">
        <f t="shared" si="106"/>
        <v>0</v>
      </c>
      <c r="O154" s="88">
        <f>M154*J154</f>
        <v>0</v>
      </c>
      <c r="P154" s="1196"/>
    </row>
    <row r="155" spans="2:16" x14ac:dyDescent="0.3">
      <c r="B155" s="1194"/>
      <c r="C155" s="35"/>
      <c r="D155" s="119" t="s">
        <v>110</v>
      </c>
      <c r="E155" s="99">
        <v>0</v>
      </c>
      <c r="F155" s="9">
        <f t="shared" si="101"/>
        <v>0</v>
      </c>
      <c r="G155" s="9">
        <v>0</v>
      </c>
      <c r="H155" s="10">
        <v>0</v>
      </c>
      <c r="I155" s="6">
        <f t="shared" si="102"/>
        <v>0</v>
      </c>
      <c r="J155" s="4">
        <f t="shared" si="103"/>
        <v>0</v>
      </c>
      <c r="K155" s="4">
        <f t="shared" si="104"/>
        <v>0</v>
      </c>
      <c r="L155" s="33" t="e">
        <f t="shared" si="107"/>
        <v>#DIV/0!</v>
      </c>
      <c r="M155" s="143">
        <v>3.8715000000000002</v>
      </c>
      <c r="N155" s="36">
        <f t="shared" si="106"/>
        <v>0</v>
      </c>
      <c r="O155" s="88">
        <f t="shared" ref="O155:O156" si="108">M155*J155</f>
        <v>0</v>
      </c>
      <c r="P155" s="1196"/>
    </row>
    <row r="156" spans="2:16" ht="15" thickBot="1" x14ac:dyDescent="0.35">
      <c r="B156" s="1194"/>
      <c r="C156" s="82"/>
      <c r="D156" s="120" t="s">
        <v>57</v>
      </c>
      <c r="E156" s="108">
        <v>0</v>
      </c>
      <c r="F156" s="12">
        <f t="shared" si="101"/>
        <v>0</v>
      </c>
      <c r="G156" s="12">
        <v>0</v>
      </c>
      <c r="H156" s="13">
        <v>0</v>
      </c>
      <c r="I156" s="21">
        <f t="shared" si="102"/>
        <v>0</v>
      </c>
      <c r="J156" s="4">
        <f t="shared" si="103"/>
        <v>0</v>
      </c>
      <c r="K156" s="4">
        <f t="shared" si="104"/>
        <v>0</v>
      </c>
      <c r="L156" s="81"/>
      <c r="M156" s="127">
        <v>12.284700000000001</v>
      </c>
      <c r="N156" s="36">
        <f t="shared" si="106"/>
        <v>0</v>
      </c>
      <c r="O156" s="128">
        <f t="shared" si="108"/>
        <v>0</v>
      </c>
      <c r="P156" s="1196"/>
    </row>
    <row r="157" spans="2:16" ht="15" thickBot="1" x14ac:dyDescent="0.35">
      <c r="B157" s="1194"/>
      <c r="C157" s="1199" t="s">
        <v>104</v>
      </c>
      <c r="D157" s="1200"/>
      <c r="E157" s="129"/>
      <c r="F157" s="130">
        <f>SUM(F150:F156)</f>
        <v>177508</v>
      </c>
      <c r="G157" s="130">
        <f>SUM(G150:G156)</f>
        <v>175750</v>
      </c>
      <c r="H157" s="131">
        <f>SUM(H150:H156)</f>
        <v>1758</v>
      </c>
      <c r="I157" s="132">
        <f>+J157+K157</f>
        <v>525345</v>
      </c>
      <c r="J157" s="133">
        <f>SUM(J150:J156)</f>
        <v>520750</v>
      </c>
      <c r="K157" s="133">
        <f>SUM(K150:K156)</f>
        <v>4595</v>
      </c>
      <c r="L157" s="134"/>
      <c r="M157" s="135"/>
      <c r="N157" s="136"/>
      <c r="O157" s="137">
        <f>SUM(O150:O156)</f>
        <v>1239801.5999999999</v>
      </c>
      <c r="P157" s="1197"/>
    </row>
    <row r="158" spans="2:16" x14ac:dyDescent="0.3">
      <c r="B158" s="1194"/>
      <c r="C158" s="32"/>
      <c r="D158" s="118" t="s">
        <v>58</v>
      </c>
      <c r="E158" s="98">
        <v>0</v>
      </c>
      <c r="F158" s="4">
        <f t="shared" ref="F158:F161" si="109">+G158+H158</f>
        <v>0</v>
      </c>
      <c r="G158" s="4">
        <v>0</v>
      </c>
      <c r="H158" s="8">
        <v>0</v>
      </c>
      <c r="I158" s="6">
        <f t="shared" ref="I158:I162" si="110">J158+K158</f>
        <v>0</v>
      </c>
      <c r="J158" s="4">
        <f>G158+J93</f>
        <v>0</v>
      </c>
      <c r="K158" s="4">
        <f>H158+K93</f>
        <v>0</v>
      </c>
      <c r="L158" s="33" t="e">
        <f t="shared" ref="L158" si="111">+J158/E158</f>
        <v>#DIV/0!</v>
      </c>
      <c r="M158" s="105">
        <v>12.029500000000001</v>
      </c>
      <c r="N158" s="34">
        <f>M158*G158</f>
        <v>0</v>
      </c>
      <c r="O158" s="87">
        <f t="shared" ref="O158:O160" si="112">M158*J158</f>
        <v>0</v>
      </c>
      <c r="P158" s="1196"/>
    </row>
    <row r="159" spans="2:16" x14ac:dyDescent="0.3">
      <c r="B159" s="1194"/>
      <c r="C159" s="35"/>
      <c r="D159" s="119" t="s">
        <v>59</v>
      </c>
      <c r="E159" s="99">
        <v>0</v>
      </c>
      <c r="F159" s="9">
        <f t="shared" si="109"/>
        <v>0</v>
      </c>
      <c r="G159" s="9">
        <v>0</v>
      </c>
      <c r="H159" s="10">
        <v>0</v>
      </c>
      <c r="I159" s="6">
        <f t="shared" si="110"/>
        <v>0</v>
      </c>
      <c r="J159" s="4">
        <f>G159+J94</f>
        <v>0</v>
      </c>
      <c r="K159" s="4">
        <f>H159+K94</f>
        <v>0</v>
      </c>
      <c r="L159" s="33"/>
      <c r="M159" s="106">
        <v>0</v>
      </c>
      <c r="N159" s="36"/>
      <c r="O159" s="88">
        <f t="shared" si="112"/>
        <v>0</v>
      </c>
      <c r="P159" s="1196"/>
    </row>
    <row r="160" spans="2:16" x14ac:dyDescent="0.3">
      <c r="B160" s="1194"/>
      <c r="C160" s="35"/>
      <c r="D160" s="119" t="s">
        <v>97</v>
      </c>
      <c r="E160" s="99">
        <v>0</v>
      </c>
      <c r="F160" s="9">
        <f t="shared" si="109"/>
        <v>0</v>
      </c>
      <c r="G160" s="9">
        <v>0</v>
      </c>
      <c r="H160" s="10">
        <v>0</v>
      </c>
      <c r="I160" s="6">
        <f t="shared" si="110"/>
        <v>0</v>
      </c>
      <c r="J160" s="4">
        <f t="shared" ref="J160:J162" si="113">G160+J95</f>
        <v>0</v>
      </c>
      <c r="K160" s="4">
        <f t="shared" ref="K160:K162" si="114">H160+K95</f>
        <v>0</v>
      </c>
      <c r="L160" s="33" t="e">
        <f t="shared" ref="L160:L162" si="115">+J160/E160</f>
        <v>#DIV/0!</v>
      </c>
      <c r="M160" s="106">
        <v>19.688600000000001</v>
      </c>
      <c r="N160" s="36">
        <f>M160*G160</f>
        <v>0</v>
      </c>
      <c r="O160" s="88">
        <f t="shared" si="112"/>
        <v>0</v>
      </c>
      <c r="P160" s="1196"/>
    </row>
    <row r="161" spans="2:16" x14ac:dyDescent="0.3">
      <c r="B161" s="1194"/>
      <c r="C161" s="35"/>
      <c r="D161" s="119" t="s">
        <v>61</v>
      </c>
      <c r="E161" s="99">
        <v>0</v>
      </c>
      <c r="F161" s="9">
        <f t="shared" si="109"/>
        <v>0</v>
      </c>
      <c r="G161" s="9">
        <v>0</v>
      </c>
      <c r="H161" s="10">
        <v>0</v>
      </c>
      <c r="I161" s="6">
        <f t="shared" si="110"/>
        <v>0</v>
      </c>
      <c r="J161" s="4">
        <f t="shared" si="113"/>
        <v>0</v>
      </c>
      <c r="K161" s="4">
        <f t="shared" si="114"/>
        <v>0</v>
      </c>
      <c r="L161" s="33" t="e">
        <f t="shared" si="115"/>
        <v>#DIV/0!</v>
      </c>
      <c r="M161" s="106">
        <v>1.2824</v>
      </c>
      <c r="N161" s="151">
        <f>M161*G161</f>
        <v>0</v>
      </c>
      <c r="O161" s="88">
        <f>M161*J161</f>
        <v>0</v>
      </c>
      <c r="P161" s="1196"/>
    </row>
    <row r="162" spans="2:16" ht="15" thickBot="1" x14ac:dyDescent="0.35">
      <c r="B162" s="1194"/>
      <c r="C162" s="82"/>
      <c r="D162" s="120" t="s">
        <v>60</v>
      </c>
      <c r="E162" s="108">
        <v>0</v>
      </c>
      <c r="F162" s="12">
        <v>0</v>
      </c>
      <c r="G162" s="12">
        <v>0</v>
      </c>
      <c r="H162" s="13">
        <v>0</v>
      </c>
      <c r="I162" s="21">
        <f t="shared" si="110"/>
        <v>0</v>
      </c>
      <c r="J162" s="4">
        <f t="shared" si="113"/>
        <v>0</v>
      </c>
      <c r="K162" s="4">
        <f t="shared" si="114"/>
        <v>0</v>
      </c>
      <c r="L162" s="81" t="e">
        <f t="shared" si="115"/>
        <v>#DIV/0!</v>
      </c>
      <c r="M162" s="107">
        <v>18.2316</v>
      </c>
      <c r="N162" s="75"/>
      <c r="O162" s="89">
        <f t="shared" ref="O162" si="116">M162*J162</f>
        <v>0</v>
      </c>
      <c r="P162" s="1198"/>
    </row>
    <row r="163" spans="2:16" ht="15" thickBot="1" x14ac:dyDescent="0.35">
      <c r="B163" s="1178" t="s">
        <v>105</v>
      </c>
      <c r="C163" s="1179"/>
      <c r="D163" s="1179"/>
      <c r="E163" s="124"/>
      <c r="F163" s="125">
        <f>+G163+H163</f>
        <v>0</v>
      </c>
      <c r="G163" s="125">
        <f>SUM(G158:G162)</f>
        <v>0</v>
      </c>
      <c r="H163" s="126">
        <f>SUM(H158:H162)</f>
        <v>0</v>
      </c>
      <c r="I163" s="121">
        <f>J163+K163</f>
        <v>0</v>
      </c>
      <c r="J163" s="122">
        <f>SUM(J158:J162)</f>
        <v>0</v>
      </c>
      <c r="K163" s="123">
        <f>SUM(K158:K162)</f>
        <v>0</v>
      </c>
      <c r="L163" s="138"/>
      <c r="M163" s="139"/>
      <c r="N163" s="140"/>
      <c r="O163" s="141">
        <f>SUM(O158:O162)</f>
        <v>0</v>
      </c>
      <c r="P163" s="170"/>
    </row>
    <row r="164" spans="2:16" ht="15" thickBot="1" x14ac:dyDescent="0.35">
      <c r="B164" s="1178" t="s">
        <v>98</v>
      </c>
      <c r="C164" s="1179"/>
      <c r="D164" s="1179"/>
      <c r="E164" s="1201"/>
      <c r="F164" s="1201"/>
      <c r="G164" s="1201"/>
      <c r="H164" s="1201"/>
      <c r="I164" s="1179"/>
      <c r="J164" s="1179"/>
      <c r="K164" s="1179"/>
      <c r="L164" s="1179"/>
      <c r="M164" s="1179"/>
      <c r="N164" s="1202"/>
      <c r="O164" s="83">
        <f>O157+O163</f>
        <v>1239801.5999999999</v>
      </c>
      <c r="P164" s="170"/>
    </row>
    <row r="165" spans="2:16" x14ac:dyDescent="0.3">
      <c r="B165" s="1193" t="s">
        <v>62</v>
      </c>
      <c r="C165" s="37" t="s">
        <v>63</v>
      </c>
      <c r="D165" s="28" t="s">
        <v>64</v>
      </c>
      <c r="E165" s="38">
        <v>0</v>
      </c>
      <c r="F165" s="14">
        <f>+G165+H165</f>
        <v>0</v>
      </c>
      <c r="G165" s="14">
        <v>0</v>
      </c>
      <c r="H165" s="5">
        <v>0</v>
      </c>
      <c r="I165" s="17">
        <f t="shared" ref="I165:I171" si="117">J165+K165</f>
        <v>0</v>
      </c>
      <c r="J165" s="4">
        <f>G165+J100</f>
        <v>0</v>
      </c>
      <c r="K165" s="4">
        <f>H165+K100</f>
        <v>0</v>
      </c>
      <c r="L165" s="30" t="e">
        <f>+J165/E165</f>
        <v>#DIV/0!</v>
      </c>
      <c r="M165" s="146">
        <v>2.2141000000000002</v>
      </c>
      <c r="N165" s="15">
        <f>+M165*G165</f>
        <v>0</v>
      </c>
      <c r="O165" s="90">
        <f>+M165*J165</f>
        <v>0</v>
      </c>
      <c r="P165" s="1204"/>
    </row>
    <row r="166" spans="2:16" x14ac:dyDescent="0.3">
      <c r="B166" s="1194"/>
      <c r="C166" s="39"/>
      <c r="D166" s="22" t="s">
        <v>65</v>
      </c>
      <c r="E166" s="3">
        <v>0</v>
      </c>
      <c r="F166" s="9">
        <f t="shared" ref="F166:F171" si="118">+G166+H166</f>
        <v>0</v>
      </c>
      <c r="G166" s="4">
        <v>0</v>
      </c>
      <c r="H166" s="8">
        <v>0</v>
      </c>
      <c r="I166" s="6">
        <f t="shared" si="117"/>
        <v>0</v>
      </c>
      <c r="J166" s="4">
        <f>+G166+J101</f>
        <v>0</v>
      </c>
      <c r="K166" s="4">
        <f>+H166+K101</f>
        <v>0</v>
      </c>
      <c r="L166" s="40" t="e">
        <f t="shared" ref="L166:L167" si="119">+J166/E166</f>
        <v>#DIV/0!</v>
      </c>
      <c r="M166" s="145">
        <v>2.4565999999999999</v>
      </c>
      <c r="N166" s="11">
        <f t="shared" ref="N166:N168" si="120">+M166*G166</f>
        <v>0</v>
      </c>
      <c r="O166" s="91">
        <f t="shared" ref="O166:O168" si="121">+M166*J166</f>
        <v>0</v>
      </c>
      <c r="P166" s="1205"/>
    </row>
    <row r="167" spans="2:16" x14ac:dyDescent="0.3">
      <c r="B167" s="1194"/>
      <c r="C167" s="39"/>
      <c r="D167" s="23" t="s">
        <v>126</v>
      </c>
      <c r="E167" s="3">
        <v>0</v>
      </c>
      <c r="F167" s="9">
        <f t="shared" si="118"/>
        <v>0</v>
      </c>
      <c r="G167" s="4">
        <v>0</v>
      </c>
      <c r="H167" s="8">
        <v>0</v>
      </c>
      <c r="I167" s="6">
        <f t="shared" si="117"/>
        <v>0</v>
      </c>
      <c r="J167" s="4">
        <f t="shared" ref="J167:J171" si="122">+G167+J102</f>
        <v>0</v>
      </c>
      <c r="K167" s="4">
        <f t="shared" ref="K167:K171" si="123">+H167+K102</f>
        <v>0</v>
      </c>
      <c r="L167" s="40" t="e">
        <f t="shared" si="119"/>
        <v>#DIV/0!</v>
      </c>
      <c r="M167" s="145">
        <v>2.2907000000000002</v>
      </c>
      <c r="N167" s="11">
        <f t="shared" si="120"/>
        <v>0</v>
      </c>
      <c r="O167" s="91">
        <f t="shared" si="121"/>
        <v>0</v>
      </c>
      <c r="P167" s="1205"/>
    </row>
    <row r="168" spans="2:16" x14ac:dyDescent="0.3">
      <c r="B168" s="1194"/>
      <c r="C168" s="39"/>
      <c r="D168" s="22" t="s">
        <v>131</v>
      </c>
      <c r="E168" s="3"/>
      <c r="F168" s="9">
        <f t="shared" si="118"/>
        <v>0</v>
      </c>
      <c r="G168" s="4">
        <v>0</v>
      </c>
      <c r="H168" s="8">
        <v>0</v>
      </c>
      <c r="I168" s="6">
        <f t="shared" si="117"/>
        <v>0</v>
      </c>
      <c r="J168" s="4">
        <f t="shared" si="122"/>
        <v>0</v>
      </c>
      <c r="K168" s="4">
        <f t="shared" si="123"/>
        <v>0</v>
      </c>
      <c r="L168" s="33"/>
      <c r="M168" s="150">
        <v>2.544</v>
      </c>
      <c r="N168" s="11">
        <f t="shared" si="120"/>
        <v>0</v>
      </c>
      <c r="O168" s="91">
        <f t="shared" si="121"/>
        <v>0</v>
      </c>
      <c r="P168" s="1205"/>
    </row>
    <row r="169" spans="2:16" x14ac:dyDescent="0.3">
      <c r="B169" s="1194"/>
      <c r="C169" s="39" t="s">
        <v>66</v>
      </c>
      <c r="D169" s="22" t="s">
        <v>133</v>
      </c>
      <c r="E169" s="3">
        <v>0</v>
      </c>
      <c r="F169" s="9">
        <f t="shared" si="118"/>
        <v>0</v>
      </c>
      <c r="G169" s="4">
        <v>0</v>
      </c>
      <c r="H169" s="8">
        <v>0</v>
      </c>
      <c r="I169" s="6">
        <f t="shared" si="117"/>
        <v>40072</v>
      </c>
      <c r="J169" s="4">
        <f t="shared" si="122"/>
        <v>38500</v>
      </c>
      <c r="K169" s="4">
        <f t="shared" si="123"/>
        <v>1572</v>
      </c>
      <c r="L169" s="33" t="e">
        <f>+J169/E169</f>
        <v>#DIV/0!</v>
      </c>
      <c r="M169" s="144">
        <v>2.2141000000000002</v>
      </c>
      <c r="N169" s="7">
        <f>+M169*G169</f>
        <v>0</v>
      </c>
      <c r="O169" s="85">
        <f>+M169*J169</f>
        <v>85242.85</v>
      </c>
      <c r="P169" s="1205"/>
    </row>
    <row r="170" spans="2:16" x14ac:dyDescent="0.3">
      <c r="B170" s="1194"/>
      <c r="C170" s="39"/>
      <c r="D170" s="22" t="s">
        <v>65</v>
      </c>
      <c r="E170" s="3">
        <v>0</v>
      </c>
      <c r="F170" s="9">
        <f t="shared" si="118"/>
        <v>0</v>
      </c>
      <c r="G170" s="4">
        <v>0</v>
      </c>
      <c r="H170" s="8">
        <v>0</v>
      </c>
      <c r="I170" s="6">
        <f t="shared" si="117"/>
        <v>0</v>
      </c>
      <c r="J170" s="4">
        <f t="shared" si="122"/>
        <v>0</v>
      </c>
      <c r="K170" s="4">
        <f t="shared" si="123"/>
        <v>0</v>
      </c>
      <c r="L170" s="40" t="e">
        <f t="shared" ref="L170:L171" si="124">+J170/E170</f>
        <v>#DIV/0!</v>
      </c>
      <c r="M170" s="145">
        <v>2.4565999999999999</v>
      </c>
      <c r="N170" s="11">
        <f t="shared" ref="N170:N171" si="125">+M170*G170</f>
        <v>0</v>
      </c>
      <c r="O170" s="91">
        <f t="shared" ref="O170" si="126">+M170*J170</f>
        <v>0</v>
      </c>
      <c r="P170" s="1205"/>
    </row>
    <row r="171" spans="2:16" ht="15" thickBot="1" x14ac:dyDescent="0.35">
      <c r="B171" s="1194"/>
      <c r="C171" s="39"/>
      <c r="D171" s="22" t="s">
        <v>126</v>
      </c>
      <c r="E171" s="3">
        <v>0</v>
      </c>
      <c r="F171" s="9">
        <f t="shared" si="118"/>
        <v>0</v>
      </c>
      <c r="G171" s="4">
        <v>0</v>
      </c>
      <c r="H171" s="8">
        <v>0</v>
      </c>
      <c r="I171" s="6">
        <f t="shared" si="117"/>
        <v>0</v>
      </c>
      <c r="J171" s="4">
        <f t="shared" si="122"/>
        <v>0</v>
      </c>
      <c r="K171" s="4">
        <f t="shared" si="123"/>
        <v>0</v>
      </c>
      <c r="L171" s="40" t="e">
        <f t="shared" si="124"/>
        <v>#DIV/0!</v>
      </c>
      <c r="M171" s="145">
        <v>2.2907000000000002</v>
      </c>
      <c r="N171" s="11">
        <f t="shared" si="125"/>
        <v>0</v>
      </c>
      <c r="O171" s="154">
        <f>+M171*J171</f>
        <v>0</v>
      </c>
      <c r="P171" s="1206"/>
    </row>
    <row r="172" spans="2:16" ht="15" thickBot="1" x14ac:dyDescent="0.35">
      <c r="B172" s="1194"/>
      <c r="C172" s="41" t="s">
        <v>29</v>
      </c>
      <c r="D172" s="27" t="str">
        <f>+C172</f>
        <v>TOTAL 1/2</v>
      </c>
      <c r="E172" s="42">
        <f>SUM(E165:E171)</f>
        <v>0</v>
      </c>
      <c r="F172" s="43">
        <f>SUM(F165:F171)</f>
        <v>0</v>
      </c>
      <c r="G172" s="43">
        <f>SUM(G165:G171)</f>
        <v>0</v>
      </c>
      <c r="H172" s="44">
        <f>SUM(H165:H171)</f>
        <v>0</v>
      </c>
      <c r="I172" s="45">
        <f>SUM(I169:I171)</f>
        <v>40072</v>
      </c>
      <c r="J172" s="43">
        <f>SUM(J165:J171)</f>
        <v>38500</v>
      </c>
      <c r="K172" s="43">
        <f>SUM(K165:K171)</f>
        <v>1572</v>
      </c>
      <c r="L172" s="46" t="e">
        <f>+J172/E172</f>
        <v>#DIV/0!</v>
      </c>
      <c r="M172" s="47"/>
      <c r="N172" s="48">
        <f>SUM(N169:N171)</f>
        <v>0</v>
      </c>
      <c r="O172" s="49">
        <f>SUM(O165:O171)</f>
        <v>85242.85</v>
      </c>
      <c r="P172" s="168"/>
    </row>
    <row r="173" spans="2:16" x14ac:dyDescent="0.3">
      <c r="B173" s="1194"/>
      <c r="C173" s="1207" t="s">
        <v>67</v>
      </c>
      <c r="D173" s="22" t="s">
        <v>64</v>
      </c>
      <c r="E173" s="3">
        <v>0</v>
      </c>
      <c r="F173" s="4">
        <f>G173+H173</f>
        <v>0</v>
      </c>
      <c r="G173" s="4">
        <v>0</v>
      </c>
      <c r="H173" s="8">
        <v>0</v>
      </c>
      <c r="I173" s="16">
        <f>J173+K173</f>
        <v>109220</v>
      </c>
      <c r="J173" s="4">
        <f>G173+J108</f>
        <v>105750</v>
      </c>
      <c r="K173" s="4">
        <f>H173+K108</f>
        <v>3470</v>
      </c>
      <c r="L173" s="50" t="e">
        <f>+J173/E173</f>
        <v>#DIV/0!</v>
      </c>
      <c r="M173" s="144">
        <v>4.1712999999999996</v>
      </c>
      <c r="N173" s="7">
        <f>+M173*G173</f>
        <v>0</v>
      </c>
      <c r="O173" s="93">
        <f>+M173*J173</f>
        <v>441114.97499999998</v>
      </c>
      <c r="P173" s="1204"/>
    </row>
    <row r="174" spans="2:16" x14ac:dyDescent="0.3">
      <c r="B174" s="1194"/>
      <c r="C174" s="1208"/>
      <c r="D174" s="22" t="s">
        <v>65</v>
      </c>
      <c r="E174" s="3">
        <v>0</v>
      </c>
      <c r="F174" s="4">
        <f>G174+H174</f>
        <v>61600</v>
      </c>
      <c r="G174" s="4">
        <v>60000</v>
      </c>
      <c r="H174" s="8">
        <v>1600</v>
      </c>
      <c r="I174" s="6">
        <f>+R1218+F174</f>
        <v>61600</v>
      </c>
      <c r="J174" s="4">
        <f>G174+J109</f>
        <v>60000</v>
      </c>
      <c r="K174" s="4">
        <f>H174+K109</f>
        <v>1600</v>
      </c>
      <c r="L174" s="51" t="e">
        <f t="shared" ref="L174:L178" si="127">+J174/E174</f>
        <v>#DIV/0!</v>
      </c>
      <c r="M174" s="145">
        <v>4.8285999999999998</v>
      </c>
      <c r="N174" s="11">
        <f t="shared" ref="N174:N176" si="128">+M174*G174</f>
        <v>289716</v>
      </c>
      <c r="O174" s="94">
        <f t="shared" ref="O174:O176" si="129">+M174*J174</f>
        <v>289716</v>
      </c>
      <c r="P174" s="1205"/>
    </row>
    <row r="175" spans="2:16" x14ac:dyDescent="0.3">
      <c r="B175" s="1194"/>
      <c r="C175" s="1208"/>
      <c r="D175" s="22" t="s">
        <v>127</v>
      </c>
      <c r="E175" s="3"/>
      <c r="F175" s="4">
        <f>G175+H175</f>
        <v>0</v>
      </c>
      <c r="G175" s="4">
        <v>0</v>
      </c>
      <c r="H175" s="8">
        <v>0</v>
      </c>
      <c r="I175" s="6">
        <f>+R1219+F175</f>
        <v>0</v>
      </c>
      <c r="J175" s="4">
        <f t="shared" ref="J175:J176" si="130">G175+J110</f>
        <v>0</v>
      </c>
      <c r="K175" s="4">
        <f t="shared" ref="K175:K176" si="131">H175+K110</f>
        <v>0</v>
      </c>
      <c r="L175" s="51" t="e">
        <f t="shared" si="127"/>
        <v>#DIV/0!</v>
      </c>
      <c r="M175" s="144">
        <v>4.5023</v>
      </c>
      <c r="N175" s="11">
        <f t="shared" si="128"/>
        <v>0</v>
      </c>
      <c r="O175" s="94">
        <f t="shared" si="129"/>
        <v>0</v>
      </c>
      <c r="P175" s="1205"/>
    </row>
    <row r="176" spans="2:16" ht="15" thickBot="1" x14ac:dyDescent="0.35">
      <c r="B176" s="1194"/>
      <c r="C176" s="1208"/>
      <c r="D176" s="22" t="s">
        <v>111</v>
      </c>
      <c r="E176" s="3">
        <v>0</v>
      </c>
      <c r="F176" s="4">
        <f t="shared" ref="F176" si="132">G176+H176</f>
        <v>0</v>
      </c>
      <c r="G176" s="4">
        <v>0</v>
      </c>
      <c r="H176" s="8">
        <v>0</v>
      </c>
      <c r="I176" s="6">
        <f>+R1219+F176</f>
        <v>0</v>
      </c>
      <c r="J176" s="4">
        <f t="shared" si="130"/>
        <v>0</v>
      </c>
      <c r="K176" s="4">
        <f t="shared" si="131"/>
        <v>0</v>
      </c>
      <c r="L176" s="51" t="e">
        <f t="shared" si="127"/>
        <v>#DIV/0!</v>
      </c>
      <c r="M176" s="144">
        <v>4.4065000000000003</v>
      </c>
      <c r="N176" s="11">
        <f t="shared" si="128"/>
        <v>0</v>
      </c>
      <c r="O176" s="94">
        <f t="shared" si="129"/>
        <v>0</v>
      </c>
      <c r="P176" s="1205"/>
    </row>
    <row r="177" spans="2:16" ht="15" thickBot="1" x14ac:dyDescent="0.35">
      <c r="B177" s="1194"/>
      <c r="C177" s="41" t="s">
        <v>31</v>
      </c>
      <c r="D177" s="18" t="str">
        <f>+C177</f>
        <v>TOTAL 4/4</v>
      </c>
      <c r="E177" s="42">
        <f t="shared" ref="E177:K177" si="133">SUM(E173:E176)</f>
        <v>0</v>
      </c>
      <c r="F177" s="43">
        <f t="shared" si="133"/>
        <v>61600</v>
      </c>
      <c r="G177" s="43">
        <f t="shared" si="133"/>
        <v>60000</v>
      </c>
      <c r="H177" s="44">
        <f t="shared" si="133"/>
        <v>1600</v>
      </c>
      <c r="I177" s="45">
        <f t="shared" si="133"/>
        <v>170820</v>
      </c>
      <c r="J177" s="43">
        <f t="shared" si="133"/>
        <v>165750</v>
      </c>
      <c r="K177" s="43">
        <f t="shared" si="133"/>
        <v>5070</v>
      </c>
      <c r="L177" s="46" t="e">
        <f t="shared" si="127"/>
        <v>#DIV/0!</v>
      </c>
      <c r="M177" s="47"/>
      <c r="N177" s="48">
        <f>SUM(N173:N176)</f>
        <v>289716</v>
      </c>
      <c r="O177" s="92">
        <f>SUM(O173:O176)</f>
        <v>730830.97499999998</v>
      </c>
      <c r="P177" s="1206"/>
    </row>
    <row r="178" spans="2:16" ht="15" thickBot="1" x14ac:dyDescent="0.35">
      <c r="B178" s="1203"/>
      <c r="C178" s="41" t="s">
        <v>68</v>
      </c>
      <c r="D178" s="27" t="s">
        <v>64</v>
      </c>
      <c r="E178" s="25">
        <v>0</v>
      </c>
      <c r="F178" s="20">
        <f>G178+H178</f>
        <v>0</v>
      </c>
      <c r="G178" s="20">
        <v>0</v>
      </c>
      <c r="H178" s="24">
        <v>0</v>
      </c>
      <c r="I178" s="19">
        <f>J178+K178</f>
        <v>0</v>
      </c>
      <c r="J178" s="4">
        <f>G178+J113</f>
        <v>0</v>
      </c>
      <c r="K178" s="4">
        <f>H178+K113</f>
        <v>0</v>
      </c>
      <c r="L178" s="52" t="e">
        <f t="shared" si="127"/>
        <v>#DIV/0!</v>
      </c>
      <c r="M178" s="149">
        <v>1.4086000000000001</v>
      </c>
      <c r="N178" s="26">
        <f t="shared" ref="N178" si="134">+M178*G178</f>
        <v>0</v>
      </c>
      <c r="O178" s="95">
        <f t="shared" ref="O178" si="135">+M178*J178</f>
        <v>0</v>
      </c>
      <c r="P178" s="53"/>
    </row>
    <row r="179" spans="2:16" ht="15" thickBot="1" x14ac:dyDescent="0.35">
      <c r="B179" s="1178" t="s">
        <v>95</v>
      </c>
      <c r="C179" s="1179"/>
      <c r="D179" s="1179"/>
      <c r="E179" s="1179"/>
      <c r="F179" s="1179"/>
      <c r="G179" s="1179"/>
      <c r="H179" s="1179"/>
      <c r="I179" s="110">
        <f>J179+K179</f>
        <v>210892</v>
      </c>
      <c r="J179" s="110">
        <f>J172+J177+J178</f>
        <v>204250</v>
      </c>
      <c r="K179" s="110">
        <f>K172+K177+K178</f>
        <v>6642</v>
      </c>
      <c r="L179" s="111"/>
      <c r="M179" s="112"/>
      <c r="N179" s="109"/>
      <c r="O179" s="77">
        <f>+O178+O177+O172</f>
        <v>816073.82499999995</v>
      </c>
      <c r="P179" s="84"/>
    </row>
    <row r="180" spans="2:16" x14ac:dyDescent="0.3">
      <c r="B180" s="1180" t="s">
        <v>69</v>
      </c>
      <c r="C180" s="1183" t="s">
        <v>70</v>
      </c>
      <c r="D180" s="54" t="s">
        <v>71</v>
      </c>
      <c r="E180" s="55">
        <v>0</v>
      </c>
      <c r="F180" s="56">
        <f>G180+H180</f>
        <v>0</v>
      </c>
      <c r="G180" s="56">
        <v>0</v>
      </c>
      <c r="H180" s="57">
        <v>0</v>
      </c>
      <c r="I180" s="78">
        <f>J180+K180</f>
        <v>0</v>
      </c>
      <c r="J180" s="4">
        <f>G180+J115</f>
        <v>0</v>
      </c>
      <c r="K180" s="4">
        <f>H180+K115</f>
        <v>0</v>
      </c>
      <c r="L180" s="58" t="e">
        <f t="shared" ref="L180" si="136">+J180/E180</f>
        <v>#DIV/0!</v>
      </c>
      <c r="M180" s="59">
        <v>32.946300000000001</v>
      </c>
      <c r="N180" s="60">
        <f>+M180*G180</f>
        <v>0</v>
      </c>
      <c r="O180" s="60">
        <f>M180*J180</f>
        <v>0</v>
      </c>
      <c r="P180" s="1185"/>
    </row>
    <row r="181" spans="2:16" x14ac:dyDescent="0.3">
      <c r="B181" s="1181"/>
      <c r="C181" s="1184"/>
      <c r="D181" s="61" t="s">
        <v>72</v>
      </c>
      <c r="E181" s="62">
        <v>0</v>
      </c>
      <c r="F181" s="63">
        <f>G181+H181</f>
        <v>0</v>
      </c>
      <c r="G181" s="63">
        <v>0</v>
      </c>
      <c r="H181" s="64">
        <v>0</v>
      </c>
      <c r="I181" s="79">
        <f>J181+K181</f>
        <v>0</v>
      </c>
      <c r="J181" s="4">
        <f>G181+J116</f>
        <v>0</v>
      </c>
      <c r="K181" s="4">
        <f>H181+K116</f>
        <v>0</v>
      </c>
      <c r="L181" s="65" t="e">
        <f>+J181/E181</f>
        <v>#DIV/0!</v>
      </c>
      <c r="M181" s="66">
        <v>35.398400000000002</v>
      </c>
      <c r="N181" s="67">
        <f>+M181*G181</f>
        <v>0</v>
      </c>
      <c r="O181" s="67">
        <f>M181*J181</f>
        <v>0</v>
      </c>
      <c r="P181" s="1186"/>
    </row>
    <row r="182" spans="2:16" x14ac:dyDescent="0.3">
      <c r="B182" s="1181"/>
      <c r="C182" s="1184"/>
      <c r="D182" s="61" t="s">
        <v>73</v>
      </c>
      <c r="E182" s="62">
        <v>0</v>
      </c>
      <c r="F182" s="63">
        <f t="shared" ref="F182:F185" si="137">G182+H182</f>
        <v>0</v>
      </c>
      <c r="G182" s="63">
        <v>0</v>
      </c>
      <c r="H182" s="64">
        <v>0</v>
      </c>
      <c r="I182" s="79">
        <f t="shared" ref="I182:I191" si="138">J182+K182</f>
        <v>0</v>
      </c>
      <c r="J182" s="4">
        <f t="shared" ref="J182:J207" si="139">G182+J117</f>
        <v>0</v>
      </c>
      <c r="K182" s="4">
        <f t="shared" ref="K182:K186" si="140">H182+K117</f>
        <v>0</v>
      </c>
      <c r="L182" s="65" t="e">
        <f t="shared" ref="L182:L195" si="141">+J182/E182</f>
        <v>#DIV/0!</v>
      </c>
      <c r="M182" s="66">
        <v>32.946300000000001</v>
      </c>
      <c r="N182" s="67">
        <f t="shared" ref="N182:N202" si="142">+M182*G182</f>
        <v>0</v>
      </c>
      <c r="O182" s="67">
        <f t="shared" ref="O182:O190" si="143">M182*J182</f>
        <v>0</v>
      </c>
      <c r="P182" s="1186"/>
    </row>
    <row r="183" spans="2:16" x14ac:dyDescent="0.3">
      <c r="B183" s="1181"/>
      <c r="C183" s="1184" t="s">
        <v>74</v>
      </c>
      <c r="D183" s="61" t="s">
        <v>75</v>
      </c>
      <c r="E183" s="62">
        <v>0</v>
      </c>
      <c r="F183" s="63">
        <f t="shared" si="137"/>
        <v>0</v>
      </c>
      <c r="G183" s="63">
        <v>0</v>
      </c>
      <c r="H183" s="64">
        <v>0</v>
      </c>
      <c r="I183" s="79">
        <f t="shared" si="138"/>
        <v>4976</v>
      </c>
      <c r="J183" s="4">
        <f t="shared" si="139"/>
        <v>4800</v>
      </c>
      <c r="K183" s="4">
        <f t="shared" si="140"/>
        <v>176</v>
      </c>
      <c r="L183" s="65" t="e">
        <f t="shared" si="141"/>
        <v>#DIV/0!</v>
      </c>
      <c r="M183" s="66">
        <v>55.4758</v>
      </c>
      <c r="N183" s="67">
        <f t="shared" si="142"/>
        <v>0</v>
      </c>
      <c r="O183" s="67">
        <f t="shared" si="143"/>
        <v>266283.84000000003</v>
      </c>
      <c r="P183" s="1186"/>
    </row>
    <row r="184" spans="2:16" x14ac:dyDescent="0.3">
      <c r="B184" s="1181"/>
      <c r="C184" s="1184"/>
      <c r="D184" s="61" t="s">
        <v>134</v>
      </c>
      <c r="E184" s="62">
        <v>0</v>
      </c>
      <c r="F184" s="63">
        <f t="shared" si="137"/>
        <v>0</v>
      </c>
      <c r="G184" s="63">
        <v>0</v>
      </c>
      <c r="H184" s="64">
        <v>0</v>
      </c>
      <c r="I184" s="79">
        <f t="shared" si="138"/>
        <v>0</v>
      </c>
      <c r="J184" s="4">
        <f t="shared" si="139"/>
        <v>0</v>
      </c>
      <c r="K184" s="4">
        <f t="shared" si="140"/>
        <v>0</v>
      </c>
      <c r="L184" s="65" t="e">
        <f t="shared" si="141"/>
        <v>#DIV/0!</v>
      </c>
      <c r="M184" s="66">
        <v>53.515999999999998</v>
      </c>
      <c r="N184" s="67">
        <f t="shared" si="142"/>
        <v>0</v>
      </c>
      <c r="O184" s="67">
        <f t="shared" si="143"/>
        <v>0</v>
      </c>
      <c r="P184" s="1186"/>
    </row>
    <row r="185" spans="2:16" x14ac:dyDescent="0.3">
      <c r="B185" s="1181"/>
      <c r="C185" s="1184"/>
      <c r="D185" s="61" t="s">
        <v>72</v>
      </c>
      <c r="E185" s="62">
        <v>0</v>
      </c>
      <c r="F185" s="63">
        <f t="shared" si="137"/>
        <v>0</v>
      </c>
      <c r="G185" s="63">
        <v>0</v>
      </c>
      <c r="H185" s="64">
        <v>0</v>
      </c>
      <c r="I185" s="79">
        <f t="shared" si="138"/>
        <v>0</v>
      </c>
      <c r="J185" s="4">
        <f t="shared" si="139"/>
        <v>0</v>
      </c>
      <c r="K185" s="4">
        <f t="shared" si="140"/>
        <v>0</v>
      </c>
      <c r="L185" s="65" t="e">
        <f t="shared" si="141"/>
        <v>#DIV/0!</v>
      </c>
      <c r="M185" s="66">
        <v>58.836300000000001</v>
      </c>
      <c r="N185" s="67">
        <f t="shared" si="142"/>
        <v>0</v>
      </c>
      <c r="O185" s="67">
        <f t="shared" si="143"/>
        <v>0</v>
      </c>
      <c r="P185" s="1186"/>
    </row>
    <row r="186" spans="2:16" x14ac:dyDescent="0.3">
      <c r="B186" s="1181"/>
      <c r="C186" s="1188" t="s">
        <v>76</v>
      </c>
      <c r="D186" s="61" t="s">
        <v>77</v>
      </c>
      <c r="E186" s="62">
        <v>0</v>
      </c>
      <c r="F186" s="63">
        <f>G186+H186</f>
        <v>0</v>
      </c>
      <c r="G186" s="63">
        <v>0</v>
      </c>
      <c r="H186" s="64">
        <v>0</v>
      </c>
      <c r="I186" s="79">
        <f t="shared" si="138"/>
        <v>0</v>
      </c>
      <c r="J186" s="4">
        <f t="shared" si="139"/>
        <v>0</v>
      </c>
      <c r="K186" s="4">
        <f t="shared" si="140"/>
        <v>0</v>
      </c>
      <c r="L186" s="65" t="e">
        <f t="shared" si="141"/>
        <v>#DIV/0!</v>
      </c>
      <c r="M186" s="66">
        <v>25.687200000000001</v>
      </c>
      <c r="N186" s="67">
        <f t="shared" si="142"/>
        <v>0</v>
      </c>
      <c r="O186" s="67">
        <f t="shared" si="143"/>
        <v>0</v>
      </c>
      <c r="P186" s="1186"/>
    </row>
    <row r="187" spans="2:16" x14ac:dyDescent="0.3">
      <c r="B187" s="1181"/>
      <c r="C187" s="1189"/>
      <c r="D187" s="61" t="s">
        <v>117</v>
      </c>
      <c r="E187" s="62">
        <v>0</v>
      </c>
      <c r="F187" s="63">
        <f>G187+H187</f>
        <v>0</v>
      </c>
      <c r="G187" s="63">
        <v>0</v>
      </c>
      <c r="H187" s="64">
        <v>0</v>
      </c>
      <c r="I187" s="79">
        <f t="shared" si="138"/>
        <v>0</v>
      </c>
      <c r="J187" s="4">
        <f t="shared" si="139"/>
        <v>0</v>
      </c>
      <c r="K187" s="4">
        <f>H187+K122</f>
        <v>0</v>
      </c>
      <c r="L187" s="65" t="e">
        <f t="shared" si="141"/>
        <v>#DIV/0!</v>
      </c>
      <c r="M187" s="66">
        <v>25.033899999999999</v>
      </c>
      <c r="N187" s="67">
        <f t="shared" si="142"/>
        <v>0</v>
      </c>
      <c r="O187" s="67">
        <f t="shared" si="143"/>
        <v>0</v>
      </c>
      <c r="P187" s="1186"/>
    </row>
    <row r="188" spans="2:16" x14ac:dyDescent="0.3">
      <c r="B188" s="1181"/>
      <c r="C188" s="1188" t="s">
        <v>78</v>
      </c>
      <c r="D188" s="61" t="s">
        <v>79</v>
      </c>
      <c r="E188" s="62">
        <v>0</v>
      </c>
      <c r="F188" s="63">
        <f t="shared" ref="F188:F207" si="144">G188+H188</f>
        <v>2065</v>
      </c>
      <c r="G188" s="63">
        <v>2000</v>
      </c>
      <c r="H188" s="64">
        <v>65</v>
      </c>
      <c r="I188" s="79">
        <f t="shared" si="138"/>
        <v>2065</v>
      </c>
      <c r="J188" s="4">
        <f t="shared" si="139"/>
        <v>2000</v>
      </c>
      <c r="K188" s="4">
        <f t="shared" ref="K188:K207" si="145">H188+K123</f>
        <v>65</v>
      </c>
      <c r="L188" s="65" t="e">
        <f t="shared" si="141"/>
        <v>#DIV/0!</v>
      </c>
      <c r="M188" s="66">
        <v>41.992699999999999</v>
      </c>
      <c r="N188" s="67">
        <f t="shared" si="142"/>
        <v>83985.4</v>
      </c>
      <c r="O188" s="67">
        <f t="shared" si="143"/>
        <v>83985.4</v>
      </c>
      <c r="P188" s="1186"/>
    </row>
    <row r="189" spans="2:16" x14ac:dyDescent="0.3">
      <c r="B189" s="1181"/>
      <c r="C189" s="1189"/>
      <c r="D189" s="61" t="s">
        <v>72</v>
      </c>
      <c r="E189" s="62">
        <v>0</v>
      </c>
      <c r="F189" s="63">
        <f t="shared" si="144"/>
        <v>0</v>
      </c>
      <c r="G189" s="63">
        <v>0</v>
      </c>
      <c r="H189" s="64">
        <v>0</v>
      </c>
      <c r="I189" s="79">
        <f t="shared" si="138"/>
        <v>0</v>
      </c>
      <c r="J189" s="4">
        <f t="shared" si="139"/>
        <v>0</v>
      </c>
      <c r="K189" s="4">
        <f t="shared" si="145"/>
        <v>0</v>
      </c>
      <c r="L189" s="65" t="e">
        <f t="shared" si="141"/>
        <v>#DIV/0!</v>
      </c>
      <c r="M189" s="66">
        <v>42.283799999999999</v>
      </c>
      <c r="N189" s="67">
        <f t="shared" si="142"/>
        <v>0</v>
      </c>
      <c r="O189" s="67">
        <f t="shared" si="143"/>
        <v>0</v>
      </c>
      <c r="P189" s="1186"/>
    </row>
    <row r="190" spans="2:16" x14ac:dyDescent="0.3">
      <c r="B190" s="1181"/>
      <c r="C190" s="169" t="s">
        <v>80</v>
      </c>
      <c r="D190" s="61" t="s">
        <v>81</v>
      </c>
      <c r="E190" s="62">
        <v>0</v>
      </c>
      <c r="F190" s="63">
        <f t="shared" si="144"/>
        <v>0</v>
      </c>
      <c r="G190" s="63">
        <v>0</v>
      </c>
      <c r="H190" s="64">
        <v>0</v>
      </c>
      <c r="I190" s="79">
        <f t="shared" si="138"/>
        <v>0</v>
      </c>
      <c r="J190" s="4">
        <f t="shared" si="139"/>
        <v>0</v>
      </c>
      <c r="K190" s="4">
        <f t="shared" si="145"/>
        <v>0</v>
      </c>
      <c r="L190" s="65" t="e">
        <f t="shared" si="141"/>
        <v>#DIV/0!</v>
      </c>
      <c r="M190" s="66">
        <v>4.3535000000000004</v>
      </c>
      <c r="N190" s="67">
        <f t="shared" si="142"/>
        <v>0</v>
      </c>
      <c r="O190" s="67">
        <f t="shared" si="143"/>
        <v>0</v>
      </c>
      <c r="P190" s="1186"/>
    </row>
    <row r="191" spans="2:16" x14ac:dyDescent="0.3">
      <c r="B191" s="1181"/>
      <c r="C191" s="1184" t="s">
        <v>82</v>
      </c>
      <c r="D191" s="61" t="s">
        <v>77</v>
      </c>
      <c r="E191" s="62">
        <v>0</v>
      </c>
      <c r="F191" s="63">
        <f t="shared" si="144"/>
        <v>0</v>
      </c>
      <c r="G191" s="63">
        <v>0</v>
      </c>
      <c r="H191" s="64">
        <v>0</v>
      </c>
      <c r="I191" s="79">
        <f t="shared" si="138"/>
        <v>0</v>
      </c>
      <c r="J191" s="4">
        <f t="shared" si="139"/>
        <v>0</v>
      </c>
      <c r="K191" s="4">
        <f t="shared" si="145"/>
        <v>0</v>
      </c>
      <c r="L191" s="65" t="e">
        <f t="shared" si="141"/>
        <v>#DIV/0!</v>
      </c>
      <c r="M191" s="66">
        <v>4.6184000000000003</v>
      </c>
      <c r="N191" s="67">
        <f t="shared" si="142"/>
        <v>0</v>
      </c>
      <c r="O191" s="67">
        <f>M191*J191</f>
        <v>0</v>
      </c>
      <c r="P191" s="1186"/>
    </row>
    <row r="192" spans="2:16" x14ac:dyDescent="0.3">
      <c r="B192" s="1181"/>
      <c r="C192" s="1184"/>
      <c r="D192" s="61" t="s">
        <v>119</v>
      </c>
      <c r="E192" s="62">
        <v>0</v>
      </c>
      <c r="F192" s="63">
        <f t="shared" si="144"/>
        <v>0</v>
      </c>
      <c r="G192" s="63">
        <v>0</v>
      </c>
      <c r="H192" s="64">
        <v>0</v>
      </c>
      <c r="I192" s="79">
        <f>J192+K192</f>
        <v>0</v>
      </c>
      <c r="J192" s="4">
        <f t="shared" si="139"/>
        <v>0</v>
      </c>
      <c r="K192" s="4">
        <f t="shared" si="145"/>
        <v>0</v>
      </c>
      <c r="L192" s="65" t="e">
        <f t="shared" si="141"/>
        <v>#DIV/0!</v>
      </c>
      <c r="M192" s="153">
        <v>4.6184000000000003</v>
      </c>
      <c r="N192" s="67">
        <f t="shared" si="142"/>
        <v>0</v>
      </c>
      <c r="O192" s="67">
        <f>M192*J192</f>
        <v>0</v>
      </c>
      <c r="P192" s="1186"/>
    </row>
    <row r="193" spans="2:16" x14ac:dyDescent="0.3">
      <c r="B193" s="1181"/>
      <c r="C193" s="1184"/>
      <c r="D193" s="61" t="s">
        <v>123</v>
      </c>
      <c r="E193" s="62">
        <v>0</v>
      </c>
      <c r="F193" s="63">
        <f t="shared" si="144"/>
        <v>0</v>
      </c>
      <c r="G193" s="63">
        <v>0</v>
      </c>
      <c r="H193" s="64">
        <v>0</v>
      </c>
      <c r="I193" s="79">
        <f t="shared" ref="I193:I207" si="146">J193+K193</f>
        <v>0</v>
      </c>
      <c r="J193" s="4">
        <f t="shared" si="139"/>
        <v>0</v>
      </c>
      <c r="K193" s="4">
        <f t="shared" si="145"/>
        <v>0</v>
      </c>
      <c r="L193" s="65" t="e">
        <f t="shared" si="141"/>
        <v>#DIV/0!</v>
      </c>
      <c r="M193" s="153">
        <v>4.6184000000000003</v>
      </c>
      <c r="N193" s="67">
        <f t="shared" si="142"/>
        <v>0</v>
      </c>
      <c r="O193" s="67">
        <f t="shared" ref="O193:O198" si="147">M193*J193</f>
        <v>0</v>
      </c>
      <c r="P193" s="1186"/>
    </row>
    <row r="194" spans="2:16" x14ac:dyDescent="0.3">
      <c r="B194" s="1181"/>
      <c r="C194" s="1184"/>
      <c r="D194" s="61" t="s">
        <v>124</v>
      </c>
      <c r="E194" s="62">
        <v>0</v>
      </c>
      <c r="F194" s="63">
        <f t="shared" si="144"/>
        <v>20600</v>
      </c>
      <c r="G194" s="63">
        <v>19600</v>
      </c>
      <c r="H194" s="64">
        <v>1000</v>
      </c>
      <c r="I194" s="79">
        <f t="shared" si="146"/>
        <v>64869</v>
      </c>
      <c r="J194" s="4">
        <f t="shared" si="139"/>
        <v>62500</v>
      </c>
      <c r="K194" s="4">
        <f t="shared" si="145"/>
        <v>2369</v>
      </c>
      <c r="L194" s="65" t="e">
        <f t="shared" si="141"/>
        <v>#DIV/0!</v>
      </c>
      <c r="M194" s="153">
        <v>4.7636000000000003</v>
      </c>
      <c r="N194" s="67">
        <f t="shared" si="142"/>
        <v>93366.560000000012</v>
      </c>
      <c r="O194" s="67">
        <f t="shared" si="147"/>
        <v>297725</v>
      </c>
      <c r="P194" s="1186"/>
    </row>
    <row r="195" spans="2:16" x14ac:dyDescent="0.3">
      <c r="B195" s="1181"/>
      <c r="C195" s="1184"/>
      <c r="D195" s="61" t="s">
        <v>83</v>
      </c>
      <c r="E195" s="62">
        <v>0</v>
      </c>
      <c r="F195" s="63">
        <f t="shared" si="144"/>
        <v>0</v>
      </c>
      <c r="G195" s="63">
        <v>0</v>
      </c>
      <c r="H195" s="64">
        <v>0</v>
      </c>
      <c r="I195" s="79">
        <f t="shared" si="146"/>
        <v>0</v>
      </c>
      <c r="J195" s="4">
        <f t="shared" si="139"/>
        <v>0</v>
      </c>
      <c r="K195" s="4">
        <f t="shared" si="145"/>
        <v>0</v>
      </c>
      <c r="L195" s="65" t="e">
        <f t="shared" si="141"/>
        <v>#DIV/0!</v>
      </c>
      <c r="M195" s="66">
        <v>4.8738000000000001</v>
      </c>
      <c r="N195" s="67">
        <f t="shared" si="142"/>
        <v>0</v>
      </c>
      <c r="O195" s="67">
        <f t="shared" si="147"/>
        <v>0</v>
      </c>
      <c r="P195" s="1186"/>
    </row>
    <row r="196" spans="2:16" x14ac:dyDescent="0.3">
      <c r="B196" s="1181"/>
      <c r="C196" s="169" t="s">
        <v>128</v>
      </c>
      <c r="D196" s="61" t="s">
        <v>124</v>
      </c>
      <c r="E196" s="62"/>
      <c r="F196" s="63">
        <f t="shared" si="144"/>
        <v>0</v>
      </c>
      <c r="G196" s="63">
        <v>0</v>
      </c>
      <c r="H196" s="64">
        <v>0</v>
      </c>
      <c r="I196" s="79">
        <f t="shared" si="146"/>
        <v>0</v>
      </c>
      <c r="J196" s="4">
        <f t="shared" si="139"/>
        <v>0</v>
      </c>
      <c r="K196" s="4">
        <f t="shared" si="145"/>
        <v>0</v>
      </c>
      <c r="L196" s="65"/>
      <c r="M196" s="66">
        <v>4.8738000000000001</v>
      </c>
      <c r="N196" s="67">
        <f t="shared" si="142"/>
        <v>0</v>
      </c>
      <c r="O196" s="67">
        <f t="shared" si="147"/>
        <v>0</v>
      </c>
      <c r="P196" s="1186"/>
    </row>
    <row r="197" spans="2:16" x14ac:dyDescent="0.3">
      <c r="B197" s="1181"/>
      <c r="C197" s="1184" t="s">
        <v>84</v>
      </c>
      <c r="D197" s="61" t="s">
        <v>77</v>
      </c>
      <c r="E197" s="62">
        <v>0</v>
      </c>
      <c r="F197" s="63">
        <f t="shared" si="144"/>
        <v>31750</v>
      </c>
      <c r="G197" s="63">
        <v>31050</v>
      </c>
      <c r="H197" s="64">
        <v>700</v>
      </c>
      <c r="I197" s="79">
        <f t="shared" si="146"/>
        <v>76529</v>
      </c>
      <c r="J197" s="4">
        <f t="shared" si="139"/>
        <v>75550</v>
      </c>
      <c r="K197" s="4">
        <f t="shared" si="145"/>
        <v>979</v>
      </c>
      <c r="L197" s="65" t="e">
        <f t="shared" ref="L197:L207" si="148">+J197/E197</f>
        <v>#DIV/0!</v>
      </c>
      <c r="M197" s="66">
        <v>4.9344999999999999</v>
      </c>
      <c r="N197" s="67">
        <f t="shared" si="142"/>
        <v>153216.22500000001</v>
      </c>
      <c r="O197" s="67">
        <f t="shared" si="147"/>
        <v>372801.47499999998</v>
      </c>
      <c r="P197" s="1186"/>
    </row>
    <row r="198" spans="2:16" x14ac:dyDescent="0.3">
      <c r="B198" s="1181"/>
      <c r="C198" s="1184"/>
      <c r="D198" s="61" t="s">
        <v>135</v>
      </c>
      <c r="E198" s="62"/>
      <c r="F198" s="63">
        <f t="shared" si="144"/>
        <v>0</v>
      </c>
      <c r="G198" s="63">
        <v>0</v>
      </c>
      <c r="H198" s="64">
        <v>0</v>
      </c>
      <c r="I198" s="79">
        <f t="shared" si="146"/>
        <v>0</v>
      </c>
      <c r="J198" s="4">
        <f t="shared" si="139"/>
        <v>0</v>
      </c>
      <c r="K198" s="4">
        <f t="shared" si="145"/>
        <v>0</v>
      </c>
      <c r="L198" s="65" t="e">
        <f t="shared" si="148"/>
        <v>#DIV/0!</v>
      </c>
      <c r="M198" s="66">
        <v>4.9344999999999999</v>
      </c>
      <c r="N198" s="67">
        <f t="shared" si="142"/>
        <v>0</v>
      </c>
      <c r="O198" s="67">
        <f t="shared" si="147"/>
        <v>0</v>
      </c>
      <c r="P198" s="1186"/>
    </row>
    <row r="199" spans="2:16" x14ac:dyDescent="0.3">
      <c r="B199" s="1181"/>
      <c r="C199" s="1184"/>
      <c r="D199" s="61" t="s">
        <v>129</v>
      </c>
      <c r="E199" s="62">
        <v>0</v>
      </c>
      <c r="F199" s="63">
        <f t="shared" si="144"/>
        <v>0</v>
      </c>
      <c r="G199" s="155">
        <v>0</v>
      </c>
      <c r="H199" s="156">
        <v>0</v>
      </c>
      <c r="I199" s="157">
        <f t="shared" si="146"/>
        <v>0</v>
      </c>
      <c r="J199" s="4">
        <f t="shared" si="139"/>
        <v>0</v>
      </c>
      <c r="K199" s="4">
        <f t="shared" si="145"/>
        <v>0</v>
      </c>
      <c r="L199" s="158" t="e">
        <f t="shared" si="148"/>
        <v>#DIV/0!</v>
      </c>
      <c r="M199" s="66">
        <v>4.9344999999999999</v>
      </c>
      <c r="N199" s="159">
        <f t="shared" si="142"/>
        <v>0</v>
      </c>
      <c r="O199" s="67">
        <f>M199*J199</f>
        <v>0</v>
      </c>
      <c r="P199" s="1186"/>
    </row>
    <row r="200" spans="2:16" x14ac:dyDescent="0.3">
      <c r="B200" s="1181"/>
      <c r="C200" s="1184" t="s">
        <v>85</v>
      </c>
      <c r="D200" s="61" t="s">
        <v>77</v>
      </c>
      <c r="E200" s="62">
        <v>0</v>
      </c>
      <c r="F200" s="63">
        <f t="shared" si="144"/>
        <v>21450</v>
      </c>
      <c r="G200" s="63">
        <v>18450</v>
      </c>
      <c r="H200" s="64">
        <v>3000</v>
      </c>
      <c r="I200" s="79">
        <f t="shared" si="146"/>
        <v>48023</v>
      </c>
      <c r="J200" s="4">
        <f t="shared" si="139"/>
        <v>43650</v>
      </c>
      <c r="K200" s="4">
        <f t="shared" si="145"/>
        <v>4373</v>
      </c>
      <c r="L200" s="65" t="e">
        <f t="shared" si="148"/>
        <v>#DIV/0!</v>
      </c>
      <c r="M200" s="148">
        <v>5.5069999999999997</v>
      </c>
      <c r="N200" s="67">
        <f t="shared" si="142"/>
        <v>101604.15</v>
      </c>
      <c r="O200" s="67">
        <f>M200*J200</f>
        <v>240380.55</v>
      </c>
      <c r="P200" s="1186"/>
    </row>
    <row r="201" spans="2:16" x14ac:dyDescent="0.3">
      <c r="B201" s="1181"/>
      <c r="C201" s="1184"/>
      <c r="D201" s="61" t="s">
        <v>112</v>
      </c>
      <c r="E201" s="62">
        <v>0</v>
      </c>
      <c r="F201" s="63">
        <f t="shared" si="144"/>
        <v>0</v>
      </c>
      <c r="G201" s="63">
        <v>0</v>
      </c>
      <c r="H201" s="64">
        <v>0</v>
      </c>
      <c r="I201" s="79">
        <f t="shared" si="146"/>
        <v>0</v>
      </c>
      <c r="J201" s="4">
        <f t="shared" si="139"/>
        <v>0</v>
      </c>
      <c r="K201" s="4">
        <f t="shared" si="145"/>
        <v>0</v>
      </c>
      <c r="L201" s="65" t="e">
        <f t="shared" si="148"/>
        <v>#DIV/0!</v>
      </c>
      <c r="M201" s="147">
        <v>5.6550000000000002</v>
      </c>
      <c r="N201" s="67">
        <f t="shared" si="142"/>
        <v>0</v>
      </c>
      <c r="O201" s="67">
        <f>M201*J201</f>
        <v>0</v>
      </c>
      <c r="P201" s="1186"/>
    </row>
    <row r="202" spans="2:16" x14ac:dyDescent="0.3">
      <c r="B202" s="1181"/>
      <c r="C202" s="1184"/>
      <c r="D202" s="61" t="s">
        <v>118</v>
      </c>
      <c r="E202" s="62">
        <v>0</v>
      </c>
      <c r="F202" s="63">
        <f t="shared" si="144"/>
        <v>0</v>
      </c>
      <c r="G202" s="63">
        <v>0</v>
      </c>
      <c r="H202" s="64">
        <v>0</v>
      </c>
      <c r="I202" s="79">
        <f t="shared" si="146"/>
        <v>0</v>
      </c>
      <c r="J202" s="4">
        <f t="shared" si="139"/>
        <v>0</v>
      </c>
      <c r="K202" s="4">
        <f t="shared" si="145"/>
        <v>0</v>
      </c>
      <c r="L202" s="65" t="e">
        <f t="shared" si="148"/>
        <v>#DIV/0!</v>
      </c>
      <c r="M202" s="152">
        <v>5.6550000000000002</v>
      </c>
      <c r="N202" s="67">
        <f t="shared" si="142"/>
        <v>0</v>
      </c>
      <c r="O202" s="67">
        <f>M202*J202</f>
        <v>0</v>
      </c>
      <c r="P202" s="1186"/>
    </row>
    <row r="203" spans="2:16" x14ac:dyDescent="0.3">
      <c r="B203" s="1181"/>
      <c r="C203" s="1184"/>
      <c r="D203" s="61" t="s">
        <v>121</v>
      </c>
      <c r="E203" s="62">
        <v>0</v>
      </c>
      <c r="F203" s="63">
        <f t="shared" si="144"/>
        <v>0</v>
      </c>
      <c r="G203" s="63">
        <v>0</v>
      </c>
      <c r="H203" s="64">
        <v>0</v>
      </c>
      <c r="I203" s="79">
        <f t="shared" si="146"/>
        <v>9700</v>
      </c>
      <c r="J203" s="4">
        <f t="shared" si="139"/>
        <v>8200</v>
      </c>
      <c r="K203" s="4">
        <f t="shared" si="145"/>
        <v>1500</v>
      </c>
      <c r="L203" s="65" t="e">
        <f t="shared" si="148"/>
        <v>#DIV/0!</v>
      </c>
      <c r="M203" s="66">
        <v>5.7885299999999997</v>
      </c>
      <c r="N203" s="67">
        <f>+M203*G203</f>
        <v>0</v>
      </c>
      <c r="O203" s="67">
        <f>M203*J203</f>
        <v>47465.945999999996</v>
      </c>
      <c r="P203" s="1186"/>
    </row>
    <row r="204" spans="2:16" x14ac:dyDescent="0.3">
      <c r="B204" s="1181"/>
      <c r="C204" s="1184"/>
      <c r="D204" s="61" t="s">
        <v>136</v>
      </c>
      <c r="E204" s="62">
        <v>0</v>
      </c>
      <c r="F204" s="63">
        <f t="shared" si="144"/>
        <v>0</v>
      </c>
      <c r="G204" s="63">
        <v>0</v>
      </c>
      <c r="H204" s="64">
        <v>0</v>
      </c>
      <c r="I204" s="79">
        <f t="shared" si="146"/>
        <v>0</v>
      </c>
      <c r="J204" s="4">
        <f t="shared" si="139"/>
        <v>0</v>
      </c>
      <c r="K204" s="4">
        <f t="shared" si="145"/>
        <v>0</v>
      </c>
      <c r="L204" s="65" t="e">
        <f t="shared" si="148"/>
        <v>#DIV/0!</v>
      </c>
      <c r="M204" s="152">
        <v>5.6550000000000002</v>
      </c>
      <c r="N204" s="67">
        <f t="shared" ref="N204:N206" si="149">+M204*G204</f>
        <v>0</v>
      </c>
      <c r="O204" s="67">
        <f t="shared" ref="O204:O207" si="150">M204*J204</f>
        <v>0</v>
      </c>
      <c r="P204" s="1186"/>
    </row>
    <row r="205" spans="2:16" x14ac:dyDescent="0.3">
      <c r="B205" s="1181"/>
      <c r="C205" s="169" t="s">
        <v>86</v>
      </c>
      <c r="D205" s="61" t="s">
        <v>77</v>
      </c>
      <c r="E205" s="62">
        <v>0</v>
      </c>
      <c r="F205" s="63">
        <f t="shared" si="144"/>
        <v>0</v>
      </c>
      <c r="G205" s="63">
        <v>0</v>
      </c>
      <c r="H205" s="64">
        <v>0</v>
      </c>
      <c r="I205" s="79">
        <f t="shared" si="146"/>
        <v>0</v>
      </c>
      <c r="J205" s="4">
        <f t="shared" si="139"/>
        <v>0</v>
      </c>
      <c r="K205" s="4">
        <f t="shared" si="145"/>
        <v>0</v>
      </c>
      <c r="L205" s="65" t="e">
        <f t="shared" si="148"/>
        <v>#DIV/0!</v>
      </c>
      <c r="M205" s="66">
        <v>3.2963</v>
      </c>
      <c r="N205" s="67">
        <f t="shared" si="149"/>
        <v>0</v>
      </c>
      <c r="O205" s="67">
        <f t="shared" si="150"/>
        <v>0</v>
      </c>
      <c r="P205" s="1186"/>
    </row>
    <row r="206" spans="2:16" x14ac:dyDescent="0.3">
      <c r="B206" s="1181"/>
      <c r="C206" s="169" t="s">
        <v>87</v>
      </c>
      <c r="D206" s="61" t="s">
        <v>77</v>
      </c>
      <c r="E206" s="62">
        <v>0</v>
      </c>
      <c r="F206" s="63">
        <f t="shared" si="144"/>
        <v>0</v>
      </c>
      <c r="G206" s="63">
        <v>0</v>
      </c>
      <c r="H206" s="64">
        <v>0</v>
      </c>
      <c r="I206" s="79">
        <f t="shared" si="146"/>
        <v>0</v>
      </c>
      <c r="J206" s="4">
        <f t="shared" si="139"/>
        <v>0</v>
      </c>
      <c r="K206" s="4">
        <f t="shared" si="145"/>
        <v>0</v>
      </c>
      <c r="L206" s="65" t="e">
        <f t="shared" si="148"/>
        <v>#DIV/0!</v>
      </c>
      <c r="M206" s="66">
        <v>3.2963</v>
      </c>
      <c r="N206" s="67">
        <f t="shared" si="149"/>
        <v>0</v>
      </c>
      <c r="O206" s="67">
        <f t="shared" si="150"/>
        <v>0</v>
      </c>
      <c r="P206" s="1186"/>
    </row>
    <row r="207" spans="2:16" ht="15" thickBot="1" x14ac:dyDescent="0.35">
      <c r="B207" s="1181"/>
      <c r="C207" s="68" t="s">
        <v>88</v>
      </c>
      <c r="D207" s="69" t="s">
        <v>89</v>
      </c>
      <c r="E207" s="70">
        <v>0</v>
      </c>
      <c r="F207" s="71">
        <f t="shared" si="144"/>
        <v>0</v>
      </c>
      <c r="G207" s="71">
        <v>0</v>
      </c>
      <c r="H207" s="72">
        <v>0</v>
      </c>
      <c r="I207" s="80">
        <f t="shared" si="146"/>
        <v>0</v>
      </c>
      <c r="J207" s="4">
        <f t="shared" si="139"/>
        <v>0</v>
      </c>
      <c r="K207" s="4">
        <f t="shared" si="145"/>
        <v>0</v>
      </c>
      <c r="L207" s="65" t="e">
        <f t="shared" si="148"/>
        <v>#DIV/0!</v>
      </c>
      <c r="M207" s="73">
        <v>2.3201000000000001</v>
      </c>
      <c r="N207" s="74">
        <f t="shared" ref="N207" si="151">M207*G207</f>
        <v>0</v>
      </c>
      <c r="O207" s="74">
        <f t="shared" si="150"/>
        <v>0</v>
      </c>
      <c r="P207" s="1187"/>
    </row>
    <row r="208" spans="2:16" ht="15" thickBot="1" x14ac:dyDescent="0.35">
      <c r="B208" s="1182"/>
      <c r="C208" s="1190" t="s">
        <v>99</v>
      </c>
      <c r="D208" s="1191"/>
      <c r="E208" s="1191"/>
      <c r="F208" s="1191"/>
      <c r="G208" s="1191"/>
      <c r="H208" s="1192"/>
      <c r="I208" s="116">
        <f>J208+K208</f>
        <v>206162</v>
      </c>
      <c r="J208" s="115">
        <f>SUM(J180:J207)</f>
        <v>196700</v>
      </c>
      <c r="K208" s="115">
        <f>SUM(K180:K207)</f>
        <v>9462</v>
      </c>
      <c r="L208" s="114"/>
      <c r="M208" s="113"/>
      <c r="N208" s="114"/>
      <c r="O208" s="97">
        <f>SUM(O180:O207)</f>
        <v>1308642.2109999999</v>
      </c>
      <c r="P208" s="96"/>
    </row>
    <row r="209" spans="2:16" ht="15" thickBot="1" x14ac:dyDescent="0.35">
      <c r="B209" s="100"/>
      <c r="C209" s="101"/>
      <c r="D209" s="101"/>
      <c r="E209" s="101"/>
      <c r="F209" s="101"/>
      <c r="G209" s="101"/>
      <c r="H209" s="101"/>
      <c r="I209" s="101"/>
      <c r="J209" s="101"/>
      <c r="K209" s="101"/>
      <c r="L209" s="101"/>
      <c r="M209" s="101"/>
      <c r="N209" s="101"/>
      <c r="O209" s="101"/>
      <c r="P209" s="102"/>
    </row>
    <row r="210" spans="2:16" ht="15" thickBot="1" x14ac:dyDescent="0.35">
      <c r="B210" s="1175" t="s">
        <v>100</v>
      </c>
      <c r="C210" s="1176"/>
      <c r="D210" s="1176"/>
      <c r="E210" s="1176"/>
      <c r="F210" s="1176"/>
      <c r="G210" s="1176"/>
      <c r="H210" s="1176"/>
      <c r="I210" s="1176"/>
      <c r="J210" s="1176"/>
      <c r="K210" s="1176"/>
      <c r="L210" s="1176"/>
      <c r="M210" s="1176"/>
      <c r="N210" s="1177"/>
      <c r="O210" s="103">
        <f>+O208+O179+O164</f>
        <v>3364517.6359999999</v>
      </c>
      <c r="P210" s="96"/>
    </row>
    <row r="211" spans="2:16" ht="15" thickBot="1" x14ac:dyDescent="0.35"/>
    <row r="212" spans="2:16" x14ac:dyDescent="0.3">
      <c r="B212" s="1209" t="s">
        <v>1</v>
      </c>
      <c r="C212" s="1211" t="s">
        <v>2</v>
      </c>
      <c r="D212" s="1214" t="s">
        <v>3</v>
      </c>
      <c r="E212" s="1217" t="s">
        <v>4</v>
      </c>
      <c r="F212" s="1218"/>
      <c r="G212" s="1218"/>
      <c r="H212" s="1218"/>
      <c r="I212" s="1218"/>
      <c r="J212" s="1218"/>
      <c r="K212" s="1218"/>
      <c r="L212" s="1219"/>
      <c r="M212" s="1220" t="s">
        <v>5</v>
      </c>
      <c r="N212" s="1221"/>
      <c r="O212" s="1222"/>
      <c r="P212" s="1214" t="s">
        <v>6</v>
      </c>
    </row>
    <row r="213" spans="2:16" x14ac:dyDescent="0.3">
      <c r="B213" s="1210"/>
      <c r="C213" s="1212"/>
      <c r="D213" s="1215"/>
      <c r="E213" s="1223" t="s">
        <v>7</v>
      </c>
      <c r="F213" s="1225" t="s">
        <v>142</v>
      </c>
      <c r="G213" s="1225"/>
      <c r="H213" s="1226"/>
      <c r="I213" s="1227" t="s">
        <v>8</v>
      </c>
      <c r="J213" s="1225"/>
      <c r="K213" s="1225"/>
      <c r="L213" s="1226" t="s">
        <v>9</v>
      </c>
      <c r="M213" s="1229" t="s">
        <v>10</v>
      </c>
      <c r="N213" s="1231" t="s">
        <v>11</v>
      </c>
      <c r="O213" s="1233" t="s">
        <v>12</v>
      </c>
      <c r="P213" s="1215"/>
    </row>
    <row r="214" spans="2:16" ht="15" thickBot="1" x14ac:dyDescent="0.35">
      <c r="B214" s="1210"/>
      <c r="C214" s="1213"/>
      <c r="D214" s="1216"/>
      <c r="E214" s="1224"/>
      <c r="F214" s="2" t="s">
        <v>13</v>
      </c>
      <c r="G214" s="2" t="s">
        <v>14</v>
      </c>
      <c r="H214" s="174" t="s">
        <v>15</v>
      </c>
      <c r="I214" s="142" t="s">
        <v>13</v>
      </c>
      <c r="J214" s="2" t="s">
        <v>14</v>
      </c>
      <c r="K214" s="2" t="s">
        <v>15</v>
      </c>
      <c r="L214" s="1228"/>
      <c r="M214" s="1230"/>
      <c r="N214" s="1232"/>
      <c r="O214" s="1234"/>
      <c r="P214" s="1216"/>
    </row>
    <row r="215" spans="2:16" x14ac:dyDescent="0.3">
      <c r="B215" s="1193" t="s">
        <v>53</v>
      </c>
      <c r="C215" s="29"/>
      <c r="D215" s="117" t="s">
        <v>143</v>
      </c>
      <c r="E215" s="98">
        <v>0</v>
      </c>
      <c r="F215" s="4">
        <f>+G215+H215</f>
        <v>113814</v>
      </c>
      <c r="G215" s="4">
        <v>112840</v>
      </c>
      <c r="H215" s="8">
        <v>974</v>
      </c>
      <c r="I215" s="6">
        <f>J215+K215</f>
        <v>113814</v>
      </c>
      <c r="J215" s="4">
        <f>G215+J150</f>
        <v>112840</v>
      </c>
      <c r="K215" s="4">
        <f>H215+K150</f>
        <v>974</v>
      </c>
      <c r="L215" s="33" t="e">
        <f>+J215/E215</f>
        <v>#DIV/0!</v>
      </c>
      <c r="M215" s="104">
        <v>1.3652</v>
      </c>
      <c r="N215" s="31">
        <f>G215*M215</f>
        <v>154049.16800000001</v>
      </c>
      <c r="O215" s="86">
        <f>M215*J215</f>
        <v>154049.16800000001</v>
      </c>
      <c r="P215" s="1195"/>
    </row>
    <row r="216" spans="2:16" x14ac:dyDescent="0.3">
      <c r="B216" s="1194"/>
      <c r="C216" s="32"/>
      <c r="D216" s="118" t="s">
        <v>109</v>
      </c>
      <c r="E216" s="99">
        <v>0</v>
      </c>
      <c r="F216" s="9">
        <f>+G216+H216</f>
        <v>0</v>
      </c>
      <c r="G216" s="9">
        <v>0</v>
      </c>
      <c r="H216" s="10">
        <v>0</v>
      </c>
      <c r="I216" s="6">
        <f>J216+K216</f>
        <v>0</v>
      </c>
      <c r="J216" s="4">
        <f>+G216+J151</f>
        <v>0</v>
      </c>
      <c r="K216" s="4">
        <f>+H216+K151</f>
        <v>0</v>
      </c>
      <c r="L216" s="33"/>
      <c r="M216" s="105">
        <v>5.9917999999999996</v>
      </c>
      <c r="N216" s="34">
        <f>M216*G216</f>
        <v>0</v>
      </c>
      <c r="O216" s="87">
        <f>M216*J216</f>
        <v>0</v>
      </c>
      <c r="P216" s="1196"/>
    </row>
    <row r="217" spans="2:16" x14ac:dyDescent="0.3">
      <c r="B217" s="1194"/>
      <c r="C217" s="35"/>
      <c r="D217" s="119" t="s">
        <v>55</v>
      </c>
      <c r="E217" s="99">
        <v>0</v>
      </c>
      <c r="F217" s="9">
        <f t="shared" ref="F217:F221" si="152">+G217+H217</f>
        <v>231616</v>
      </c>
      <c r="G217" s="9">
        <v>230000</v>
      </c>
      <c r="H217" s="10">
        <f>774+842</f>
        <v>1616</v>
      </c>
      <c r="I217" s="6">
        <f t="shared" ref="I217:I221" si="153">J217+K217</f>
        <v>756961</v>
      </c>
      <c r="J217" s="4">
        <f t="shared" ref="J217:J221" si="154">+G217+J152</f>
        <v>750750</v>
      </c>
      <c r="K217" s="4">
        <f t="shared" ref="K217:K221" si="155">+H217+K152</f>
        <v>6211</v>
      </c>
      <c r="L217" s="33" t="e">
        <f t="shared" ref="L217" si="156">+J217/E217</f>
        <v>#DIV/0!</v>
      </c>
      <c r="M217" s="106">
        <v>2.3807999999999998</v>
      </c>
      <c r="N217" s="36">
        <f>G217*M217</f>
        <v>547584</v>
      </c>
      <c r="O217" s="88">
        <f>M217*J217</f>
        <v>1787385.5999999999</v>
      </c>
      <c r="P217" s="1196"/>
    </row>
    <row r="218" spans="2:16" x14ac:dyDescent="0.3">
      <c r="B218" s="1194"/>
      <c r="C218" s="35"/>
      <c r="D218" s="119" t="s">
        <v>56</v>
      </c>
      <c r="E218" s="99">
        <v>0</v>
      </c>
      <c r="F218" s="9">
        <f t="shared" si="152"/>
        <v>0</v>
      </c>
      <c r="G218" s="9">
        <v>0</v>
      </c>
      <c r="H218" s="10">
        <v>0</v>
      </c>
      <c r="I218" s="6">
        <f t="shared" si="153"/>
        <v>0</v>
      </c>
      <c r="J218" s="4">
        <f t="shared" si="154"/>
        <v>0</v>
      </c>
      <c r="K218" s="4">
        <f t="shared" si="155"/>
        <v>0</v>
      </c>
      <c r="L218" s="33"/>
      <c r="M218" s="106">
        <v>2.1457999999999999</v>
      </c>
      <c r="N218" s="36">
        <f t="shared" ref="N218:N221" si="157">G218*M218</f>
        <v>0</v>
      </c>
      <c r="O218" s="88">
        <f>M218*J218</f>
        <v>0</v>
      </c>
      <c r="P218" s="1196"/>
    </row>
    <row r="219" spans="2:16" x14ac:dyDescent="0.3">
      <c r="B219" s="1194"/>
      <c r="C219" s="35"/>
      <c r="D219" s="119" t="s">
        <v>106</v>
      </c>
      <c r="E219" s="99">
        <v>0</v>
      </c>
      <c r="F219" s="9">
        <f t="shared" si="152"/>
        <v>0</v>
      </c>
      <c r="G219" s="9">
        <v>0</v>
      </c>
      <c r="H219" s="10">
        <v>0</v>
      </c>
      <c r="I219" s="6">
        <f t="shared" si="153"/>
        <v>0</v>
      </c>
      <c r="J219" s="4">
        <f t="shared" si="154"/>
        <v>0</v>
      </c>
      <c r="K219" s="4">
        <f t="shared" si="155"/>
        <v>0</v>
      </c>
      <c r="L219" s="33" t="e">
        <f t="shared" ref="L219:L220" si="158">+J219/E219</f>
        <v>#DIV/0!</v>
      </c>
      <c r="M219" s="143">
        <v>4.0426000000000002</v>
      </c>
      <c r="N219" s="36">
        <f t="shared" si="157"/>
        <v>0</v>
      </c>
      <c r="O219" s="88">
        <f>M219*J219</f>
        <v>0</v>
      </c>
      <c r="P219" s="1196"/>
    </row>
    <row r="220" spans="2:16" x14ac:dyDescent="0.3">
      <c r="B220" s="1194"/>
      <c r="C220" s="35"/>
      <c r="D220" s="119" t="s">
        <v>110</v>
      </c>
      <c r="E220" s="99">
        <v>0</v>
      </c>
      <c r="F220" s="9">
        <f t="shared" si="152"/>
        <v>0</v>
      </c>
      <c r="G220" s="9">
        <v>0</v>
      </c>
      <c r="H220" s="10">
        <v>0</v>
      </c>
      <c r="I220" s="6">
        <f t="shared" si="153"/>
        <v>0</v>
      </c>
      <c r="J220" s="4">
        <f t="shared" si="154"/>
        <v>0</v>
      </c>
      <c r="K220" s="4">
        <f t="shared" si="155"/>
        <v>0</v>
      </c>
      <c r="L220" s="33" t="e">
        <f t="shared" si="158"/>
        <v>#DIV/0!</v>
      </c>
      <c r="M220" s="143">
        <v>3.8715000000000002</v>
      </c>
      <c r="N220" s="36">
        <f t="shared" si="157"/>
        <v>0</v>
      </c>
      <c r="O220" s="88">
        <f t="shared" ref="O220:O221" si="159">M220*J220</f>
        <v>0</v>
      </c>
      <c r="P220" s="1196"/>
    </row>
    <row r="221" spans="2:16" ht="15" thickBot="1" x14ac:dyDescent="0.35">
      <c r="B221" s="1194"/>
      <c r="C221" s="82"/>
      <c r="D221" s="120" t="s">
        <v>57</v>
      </c>
      <c r="E221" s="108">
        <v>0</v>
      </c>
      <c r="F221" s="12">
        <f t="shared" si="152"/>
        <v>0</v>
      </c>
      <c r="G221" s="12">
        <v>0</v>
      </c>
      <c r="H221" s="13">
        <v>0</v>
      </c>
      <c r="I221" s="21">
        <f t="shared" si="153"/>
        <v>0</v>
      </c>
      <c r="J221" s="4">
        <f t="shared" si="154"/>
        <v>0</v>
      </c>
      <c r="K221" s="4">
        <f t="shared" si="155"/>
        <v>0</v>
      </c>
      <c r="L221" s="81"/>
      <c r="M221" s="127">
        <v>12.284700000000001</v>
      </c>
      <c r="N221" s="36">
        <f t="shared" si="157"/>
        <v>0</v>
      </c>
      <c r="O221" s="128">
        <f t="shared" si="159"/>
        <v>0</v>
      </c>
      <c r="P221" s="1196"/>
    </row>
    <row r="222" spans="2:16" ht="15" thickBot="1" x14ac:dyDescent="0.35">
      <c r="B222" s="1194"/>
      <c r="C222" s="1199" t="s">
        <v>104</v>
      </c>
      <c r="D222" s="1200"/>
      <c r="E222" s="129"/>
      <c r="F222" s="130">
        <f>SUM(F215:F221)</f>
        <v>345430</v>
      </c>
      <c r="G222" s="130">
        <f>SUM(G215:G221)</f>
        <v>342840</v>
      </c>
      <c r="H222" s="131">
        <f>SUM(H215:H221)</f>
        <v>2590</v>
      </c>
      <c r="I222" s="132">
        <f>+J222+K222</f>
        <v>870775</v>
      </c>
      <c r="J222" s="133">
        <f>SUM(J215:J221)</f>
        <v>863590</v>
      </c>
      <c r="K222" s="133">
        <f>SUM(K215:K221)</f>
        <v>7185</v>
      </c>
      <c r="L222" s="134"/>
      <c r="M222" s="135"/>
      <c r="N222" s="136"/>
      <c r="O222" s="137">
        <f>SUM(O215:O221)</f>
        <v>1941434.7679999999</v>
      </c>
      <c r="P222" s="1197"/>
    </row>
    <row r="223" spans="2:16" x14ac:dyDescent="0.3">
      <c r="B223" s="1194"/>
      <c r="C223" s="32"/>
      <c r="D223" s="118" t="s">
        <v>58</v>
      </c>
      <c r="E223" s="98">
        <v>0</v>
      </c>
      <c r="F223" s="4">
        <f t="shared" ref="F223:F226" si="160">+G223+H223</f>
        <v>0</v>
      </c>
      <c r="G223" s="4">
        <v>0</v>
      </c>
      <c r="H223" s="8">
        <v>0</v>
      </c>
      <c r="I223" s="6">
        <f t="shared" ref="I223:I227" si="161">J223+K223</f>
        <v>0</v>
      </c>
      <c r="J223" s="4">
        <f>G223+J158</f>
        <v>0</v>
      </c>
      <c r="K223" s="4">
        <f>H223+K158</f>
        <v>0</v>
      </c>
      <c r="L223" s="33" t="e">
        <f t="shared" ref="L223" si="162">+J223/E223</f>
        <v>#DIV/0!</v>
      </c>
      <c r="M223" s="105">
        <v>12.029500000000001</v>
      </c>
      <c r="N223" s="34">
        <f>M223*G223</f>
        <v>0</v>
      </c>
      <c r="O223" s="87">
        <f t="shared" ref="O223:O225" si="163">M223*J223</f>
        <v>0</v>
      </c>
      <c r="P223" s="1196"/>
    </row>
    <row r="224" spans="2:16" x14ac:dyDescent="0.3">
      <c r="B224" s="1194"/>
      <c r="C224" s="35"/>
      <c r="D224" s="119" t="s">
        <v>59</v>
      </c>
      <c r="E224" s="99">
        <v>0</v>
      </c>
      <c r="F224" s="9">
        <f t="shared" si="160"/>
        <v>0</v>
      </c>
      <c r="G224" s="9">
        <v>0</v>
      </c>
      <c r="H224" s="10">
        <v>0</v>
      </c>
      <c r="I224" s="6">
        <f t="shared" si="161"/>
        <v>0</v>
      </c>
      <c r="J224" s="4">
        <f>G224+J159</f>
        <v>0</v>
      </c>
      <c r="K224" s="4">
        <f>H224+K159</f>
        <v>0</v>
      </c>
      <c r="L224" s="33"/>
      <c r="M224" s="106">
        <v>0</v>
      </c>
      <c r="N224" s="36"/>
      <c r="O224" s="88">
        <f t="shared" si="163"/>
        <v>0</v>
      </c>
      <c r="P224" s="1196"/>
    </row>
    <row r="225" spans="2:16" x14ac:dyDescent="0.3">
      <c r="B225" s="1194"/>
      <c r="C225" s="35"/>
      <c r="D225" s="119" t="s">
        <v>97</v>
      </c>
      <c r="E225" s="99">
        <v>0</v>
      </c>
      <c r="F225" s="9">
        <f t="shared" si="160"/>
        <v>0</v>
      </c>
      <c r="G225" s="9">
        <v>0</v>
      </c>
      <c r="H225" s="10">
        <v>0</v>
      </c>
      <c r="I225" s="6">
        <f t="shared" si="161"/>
        <v>0</v>
      </c>
      <c r="J225" s="4">
        <f t="shared" ref="J225:J227" si="164">G225+J160</f>
        <v>0</v>
      </c>
      <c r="K225" s="4">
        <f t="shared" ref="K225:K227" si="165">H225+K160</f>
        <v>0</v>
      </c>
      <c r="L225" s="33" t="e">
        <f t="shared" ref="L225:L227" si="166">+J225/E225</f>
        <v>#DIV/0!</v>
      </c>
      <c r="M225" s="106">
        <v>19.688600000000001</v>
      </c>
      <c r="N225" s="36">
        <f>M225*G225</f>
        <v>0</v>
      </c>
      <c r="O225" s="88">
        <f t="shared" si="163"/>
        <v>0</v>
      </c>
      <c r="P225" s="1196"/>
    </row>
    <row r="226" spans="2:16" x14ac:dyDescent="0.3">
      <c r="B226" s="1194"/>
      <c r="C226" s="35"/>
      <c r="D226" s="119" t="s">
        <v>61</v>
      </c>
      <c r="E226" s="99">
        <v>0</v>
      </c>
      <c r="F226" s="9">
        <f t="shared" si="160"/>
        <v>0</v>
      </c>
      <c r="G226" s="9">
        <v>0</v>
      </c>
      <c r="H226" s="10">
        <v>0</v>
      </c>
      <c r="I226" s="6">
        <f t="shared" si="161"/>
        <v>0</v>
      </c>
      <c r="J226" s="4">
        <f t="shared" si="164"/>
        <v>0</v>
      </c>
      <c r="K226" s="4">
        <f t="shared" si="165"/>
        <v>0</v>
      </c>
      <c r="L226" s="33" t="e">
        <f t="shared" si="166"/>
        <v>#DIV/0!</v>
      </c>
      <c r="M226" s="106">
        <v>1.2824</v>
      </c>
      <c r="N226" s="151">
        <f>M226*G226</f>
        <v>0</v>
      </c>
      <c r="O226" s="88">
        <f>M226*J226</f>
        <v>0</v>
      </c>
      <c r="P226" s="1196"/>
    </row>
    <row r="227" spans="2:16" ht="15" thickBot="1" x14ac:dyDescent="0.35">
      <c r="B227" s="1194"/>
      <c r="C227" s="82"/>
      <c r="D227" s="120" t="s">
        <v>60</v>
      </c>
      <c r="E227" s="108">
        <v>0</v>
      </c>
      <c r="F227" s="12">
        <v>0</v>
      </c>
      <c r="G227" s="12">
        <v>0</v>
      </c>
      <c r="H227" s="13">
        <v>0</v>
      </c>
      <c r="I227" s="21">
        <f t="shared" si="161"/>
        <v>0</v>
      </c>
      <c r="J227" s="4">
        <f t="shared" si="164"/>
        <v>0</v>
      </c>
      <c r="K227" s="4">
        <f t="shared" si="165"/>
        <v>0</v>
      </c>
      <c r="L227" s="81" t="e">
        <f t="shared" si="166"/>
        <v>#DIV/0!</v>
      </c>
      <c r="M227" s="107">
        <v>18.2316</v>
      </c>
      <c r="N227" s="75"/>
      <c r="O227" s="89">
        <f t="shared" ref="O227" si="167">M227*J227</f>
        <v>0</v>
      </c>
      <c r="P227" s="1198"/>
    </row>
    <row r="228" spans="2:16" ht="15" thickBot="1" x14ac:dyDescent="0.35">
      <c r="B228" s="1178" t="s">
        <v>105</v>
      </c>
      <c r="C228" s="1179"/>
      <c r="D228" s="1179"/>
      <c r="E228" s="124"/>
      <c r="F228" s="125">
        <f>+G228+H228</f>
        <v>0</v>
      </c>
      <c r="G228" s="125">
        <f>SUM(G223:G227)</f>
        <v>0</v>
      </c>
      <c r="H228" s="126">
        <f>SUM(H223:H227)</f>
        <v>0</v>
      </c>
      <c r="I228" s="121">
        <f>J228+K228</f>
        <v>0</v>
      </c>
      <c r="J228" s="122">
        <f>SUM(J223:J227)</f>
        <v>0</v>
      </c>
      <c r="K228" s="123">
        <f>SUM(K223:K227)</f>
        <v>0</v>
      </c>
      <c r="L228" s="138"/>
      <c r="M228" s="139"/>
      <c r="N228" s="140"/>
      <c r="O228" s="141">
        <f>SUM(O223:O227)</f>
        <v>0</v>
      </c>
      <c r="P228" s="175"/>
    </row>
    <row r="229" spans="2:16" ht="15" thickBot="1" x14ac:dyDescent="0.35">
      <c r="B229" s="1178" t="s">
        <v>98</v>
      </c>
      <c r="C229" s="1179"/>
      <c r="D229" s="1179"/>
      <c r="E229" s="1201"/>
      <c r="F229" s="1201"/>
      <c r="G229" s="1201"/>
      <c r="H229" s="1201"/>
      <c r="I229" s="1179"/>
      <c r="J229" s="1179"/>
      <c r="K229" s="1179"/>
      <c r="L229" s="1179"/>
      <c r="M229" s="1179"/>
      <c r="N229" s="1202"/>
      <c r="O229" s="83">
        <f>O222+O228</f>
        <v>1941434.7679999999</v>
      </c>
      <c r="P229" s="175"/>
    </row>
    <row r="230" spans="2:16" x14ac:dyDescent="0.3">
      <c r="B230" s="1193" t="s">
        <v>62</v>
      </c>
      <c r="C230" s="37" t="s">
        <v>63</v>
      </c>
      <c r="D230" s="28" t="s">
        <v>64</v>
      </c>
      <c r="E230" s="38">
        <v>0</v>
      </c>
      <c r="F230" s="14">
        <f>+G230+H230</f>
        <v>0</v>
      </c>
      <c r="G230" s="14">
        <v>0</v>
      </c>
      <c r="H230" s="5">
        <v>0</v>
      </c>
      <c r="I230" s="17">
        <f t="shared" ref="I230:I236" si="168">J230+K230</f>
        <v>0</v>
      </c>
      <c r="J230" s="4">
        <f>G230+J165</f>
        <v>0</v>
      </c>
      <c r="K230" s="4">
        <f>H230+K165</f>
        <v>0</v>
      </c>
      <c r="L230" s="30" t="e">
        <f>+J230/E230</f>
        <v>#DIV/0!</v>
      </c>
      <c r="M230" s="146">
        <v>2.2141000000000002</v>
      </c>
      <c r="N230" s="15">
        <f>+M230*G230</f>
        <v>0</v>
      </c>
      <c r="O230" s="90">
        <f>+M230*J230</f>
        <v>0</v>
      </c>
      <c r="P230" s="1204"/>
    </row>
    <row r="231" spans="2:16" x14ac:dyDescent="0.3">
      <c r="B231" s="1194"/>
      <c r="C231" s="39"/>
      <c r="D231" s="22" t="s">
        <v>65</v>
      </c>
      <c r="E231" s="3">
        <v>0</v>
      </c>
      <c r="F231" s="9">
        <f t="shared" ref="F231:F236" si="169">+G231+H231</f>
        <v>0</v>
      </c>
      <c r="G231" s="4">
        <v>0</v>
      </c>
      <c r="H231" s="8">
        <v>0</v>
      </c>
      <c r="I231" s="6">
        <f t="shared" si="168"/>
        <v>0</v>
      </c>
      <c r="J231" s="4">
        <f>+G231+J166</f>
        <v>0</v>
      </c>
      <c r="K231" s="4">
        <f>+H231+K166</f>
        <v>0</v>
      </c>
      <c r="L231" s="40" t="e">
        <f t="shared" ref="L231:L232" si="170">+J231/E231</f>
        <v>#DIV/0!</v>
      </c>
      <c r="M231" s="145">
        <v>2.4565999999999999</v>
      </c>
      <c r="N231" s="11">
        <f t="shared" ref="N231:N233" si="171">+M231*G231</f>
        <v>0</v>
      </c>
      <c r="O231" s="91">
        <f t="shared" ref="O231:O233" si="172">+M231*J231</f>
        <v>0</v>
      </c>
      <c r="P231" s="1205"/>
    </row>
    <row r="232" spans="2:16" x14ac:dyDescent="0.3">
      <c r="B232" s="1194"/>
      <c r="C232" s="39"/>
      <c r="D232" s="23" t="s">
        <v>126</v>
      </c>
      <c r="E232" s="3">
        <v>0</v>
      </c>
      <c r="F232" s="9">
        <f t="shared" si="169"/>
        <v>0</v>
      </c>
      <c r="G232" s="4">
        <v>0</v>
      </c>
      <c r="H232" s="8">
        <v>0</v>
      </c>
      <c r="I232" s="6">
        <f t="shared" si="168"/>
        <v>0</v>
      </c>
      <c r="J232" s="4">
        <f t="shared" ref="J232:J236" si="173">+G232+J167</f>
        <v>0</v>
      </c>
      <c r="K232" s="4">
        <f t="shared" ref="K232:K236" si="174">+H232+K167</f>
        <v>0</v>
      </c>
      <c r="L232" s="40" t="e">
        <f t="shared" si="170"/>
        <v>#DIV/0!</v>
      </c>
      <c r="M232" s="145">
        <v>2.2907000000000002</v>
      </c>
      <c r="N232" s="11">
        <f t="shared" si="171"/>
        <v>0</v>
      </c>
      <c r="O232" s="91">
        <f t="shared" si="172"/>
        <v>0</v>
      </c>
      <c r="P232" s="1205"/>
    </row>
    <row r="233" spans="2:16" x14ac:dyDescent="0.3">
      <c r="B233" s="1194"/>
      <c r="C233" s="39"/>
      <c r="D233" s="22" t="s">
        <v>131</v>
      </c>
      <c r="E233" s="3"/>
      <c r="F233" s="9">
        <f t="shared" si="169"/>
        <v>0</v>
      </c>
      <c r="G233" s="4">
        <v>0</v>
      </c>
      <c r="H233" s="8">
        <v>0</v>
      </c>
      <c r="I233" s="6">
        <f t="shared" si="168"/>
        <v>0</v>
      </c>
      <c r="J233" s="4">
        <f t="shared" si="173"/>
        <v>0</v>
      </c>
      <c r="K233" s="4">
        <f t="shared" si="174"/>
        <v>0</v>
      </c>
      <c r="L233" s="33"/>
      <c r="M233" s="150">
        <v>2.544</v>
      </c>
      <c r="N233" s="11">
        <f t="shared" si="171"/>
        <v>0</v>
      </c>
      <c r="O233" s="91">
        <f t="shared" si="172"/>
        <v>0</v>
      </c>
      <c r="P233" s="1205"/>
    </row>
    <row r="234" spans="2:16" x14ac:dyDescent="0.3">
      <c r="B234" s="1194"/>
      <c r="C234" s="39" t="s">
        <v>66</v>
      </c>
      <c r="D234" s="22" t="s">
        <v>133</v>
      </c>
      <c r="E234" s="3">
        <v>0</v>
      </c>
      <c r="F234" s="9">
        <f t="shared" si="169"/>
        <v>53810</v>
      </c>
      <c r="G234" s="4">
        <v>52250</v>
      </c>
      <c r="H234" s="8">
        <v>1560</v>
      </c>
      <c r="I234" s="6">
        <f t="shared" si="168"/>
        <v>93882</v>
      </c>
      <c r="J234" s="4">
        <f t="shared" si="173"/>
        <v>90750</v>
      </c>
      <c r="K234" s="4">
        <f t="shared" si="174"/>
        <v>3132</v>
      </c>
      <c r="L234" s="33" t="e">
        <f>+J234/E234</f>
        <v>#DIV/0!</v>
      </c>
      <c r="M234" s="144">
        <v>2.2141000000000002</v>
      </c>
      <c r="N234" s="7">
        <f>+M234*G234</f>
        <v>115686.72500000001</v>
      </c>
      <c r="O234" s="85">
        <f>+M234*J234</f>
        <v>200929.57500000001</v>
      </c>
      <c r="P234" s="1205"/>
    </row>
    <row r="235" spans="2:16" x14ac:dyDescent="0.3">
      <c r="B235" s="1194"/>
      <c r="C235" s="39"/>
      <c r="D235" s="22" t="s">
        <v>65</v>
      </c>
      <c r="E235" s="3">
        <v>0</v>
      </c>
      <c r="F235" s="9">
        <f t="shared" si="169"/>
        <v>0</v>
      </c>
      <c r="G235" s="4">
        <v>0</v>
      </c>
      <c r="H235" s="8">
        <v>0</v>
      </c>
      <c r="I235" s="6">
        <f t="shared" si="168"/>
        <v>0</v>
      </c>
      <c r="J235" s="4">
        <f t="shared" si="173"/>
        <v>0</v>
      </c>
      <c r="K235" s="4">
        <f t="shared" si="174"/>
        <v>0</v>
      </c>
      <c r="L235" s="40" t="e">
        <f t="shared" ref="L235:L236" si="175">+J235/E235</f>
        <v>#DIV/0!</v>
      </c>
      <c r="M235" s="145">
        <v>2.4565999999999999</v>
      </c>
      <c r="N235" s="11">
        <f t="shared" ref="N235:N236" si="176">+M235*G235</f>
        <v>0</v>
      </c>
      <c r="O235" s="91">
        <f t="shared" ref="O235" si="177">+M235*J235</f>
        <v>0</v>
      </c>
      <c r="P235" s="1205"/>
    </row>
    <row r="236" spans="2:16" ht="15" thickBot="1" x14ac:dyDescent="0.35">
      <c r="B236" s="1194"/>
      <c r="C236" s="39"/>
      <c r="D236" s="22" t="s">
        <v>126</v>
      </c>
      <c r="E236" s="3">
        <v>0</v>
      </c>
      <c r="F236" s="9">
        <f t="shared" si="169"/>
        <v>0</v>
      </c>
      <c r="G236" s="4">
        <v>0</v>
      </c>
      <c r="H236" s="8">
        <v>0</v>
      </c>
      <c r="I236" s="6">
        <f t="shared" si="168"/>
        <v>0</v>
      </c>
      <c r="J236" s="4">
        <f t="shared" si="173"/>
        <v>0</v>
      </c>
      <c r="K236" s="4">
        <f t="shared" si="174"/>
        <v>0</v>
      </c>
      <c r="L236" s="40" t="e">
        <f t="shared" si="175"/>
        <v>#DIV/0!</v>
      </c>
      <c r="M236" s="145">
        <v>2.2907000000000002</v>
      </c>
      <c r="N236" s="11">
        <f t="shared" si="176"/>
        <v>0</v>
      </c>
      <c r="O236" s="154">
        <f>+M236*J236</f>
        <v>0</v>
      </c>
      <c r="P236" s="1206"/>
    </row>
    <row r="237" spans="2:16" ht="15" thickBot="1" x14ac:dyDescent="0.35">
      <c r="B237" s="1194"/>
      <c r="C237" s="41" t="s">
        <v>29</v>
      </c>
      <c r="D237" s="27" t="str">
        <f>+C237</f>
        <v>TOTAL 1/2</v>
      </c>
      <c r="E237" s="42">
        <f>SUM(E230:E236)</f>
        <v>0</v>
      </c>
      <c r="F237" s="43">
        <f>SUM(F230:F236)</f>
        <v>53810</v>
      </c>
      <c r="G237" s="43">
        <f>SUM(G230:G236)</f>
        <v>52250</v>
      </c>
      <c r="H237" s="44">
        <f>SUM(H230:H236)</f>
        <v>1560</v>
      </c>
      <c r="I237" s="45">
        <f>SUM(I234:I236)</f>
        <v>93882</v>
      </c>
      <c r="J237" s="43">
        <f>SUM(J230:J236)</f>
        <v>90750</v>
      </c>
      <c r="K237" s="43">
        <f>SUM(K230:K236)</f>
        <v>3132</v>
      </c>
      <c r="L237" s="46" t="e">
        <f>+J237/E237</f>
        <v>#DIV/0!</v>
      </c>
      <c r="M237" s="47"/>
      <c r="N237" s="48">
        <f>SUM(N234:N236)</f>
        <v>115686.72500000001</v>
      </c>
      <c r="O237" s="49">
        <f>SUM(O230:O236)</f>
        <v>200929.57500000001</v>
      </c>
      <c r="P237" s="172"/>
    </row>
    <row r="238" spans="2:16" x14ac:dyDescent="0.3">
      <c r="B238" s="1194"/>
      <c r="C238" s="1207" t="s">
        <v>67</v>
      </c>
      <c r="D238" s="22" t="s">
        <v>64</v>
      </c>
      <c r="E238" s="3">
        <v>0</v>
      </c>
      <c r="F238" s="4">
        <f>G238+H238</f>
        <v>0</v>
      </c>
      <c r="G238" s="4">
        <v>0</v>
      </c>
      <c r="H238" s="8">
        <v>0</v>
      </c>
      <c r="I238" s="16">
        <f>J238+K238</f>
        <v>109220</v>
      </c>
      <c r="J238" s="4">
        <f>G238+J173</f>
        <v>105750</v>
      </c>
      <c r="K238" s="4">
        <f>H238+K173</f>
        <v>3470</v>
      </c>
      <c r="L238" s="50" t="e">
        <f>+J238/E238</f>
        <v>#DIV/0!</v>
      </c>
      <c r="M238" s="144">
        <v>4.1712999999999996</v>
      </c>
      <c r="N238" s="7">
        <f>+M238*G238</f>
        <v>0</v>
      </c>
      <c r="O238" s="93">
        <f>+M238*J238</f>
        <v>441114.97499999998</v>
      </c>
      <c r="P238" s="1204"/>
    </row>
    <row r="239" spans="2:16" x14ac:dyDescent="0.3">
      <c r="B239" s="1194"/>
      <c r="C239" s="1208"/>
      <c r="D239" s="22" t="s">
        <v>65</v>
      </c>
      <c r="E239" s="3">
        <v>0</v>
      </c>
      <c r="F239" s="4">
        <f>G239+H239</f>
        <v>61630</v>
      </c>
      <c r="G239" s="4">
        <v>60000</v>
      </c>
      <c r="H239" s="8">
        <v>1630</v>
      </c>
      <c r="I239" s="6">
        <f>+R1283+F239</f>
        <v>61630</v>
      </c>
      <c r="J239" s="4">
        <f>G239+J174</f>
        <v>120000</v>
      </c>
      <c r="K239" s="4">
        <f>H239+K174</f>
        <v>3230</v>
      </c>
      <c r="L239" s="51" t="e">
        <f t="shared" ref="L239:L243" si="178">+J239/E239</f>
        <v>#DIV/0!</v>
      </c>
      <c r="M239" s="145">
        <v>4.8285999999999998</v>
      </c>
      <c r="N239" s="11">
        <f t="shared" ref="N239:N241" si="179">+M239*G239</f>
        <v>289716</v>
      </c>
      <c r="O239" s="94">
        <f t="shared" ref="O239:O241" si="180">+M239*J239</f>
        <v>579432</v>
      </c>
      <c r="P239" s="1205"/>
    </row>
    <row r="240" spans="2:16" x14ac:dyDescent="0.3">
      <c r="B240" s="1194"/>
      <c r="C240" s="1208"/>
      <c r="D240" s="22" t="s">
        <v>127</v>
      </c>
      <c r="E240" s="3"/>
      <c r="F240" s="4">
        <f>G240+H240</f>
        <v>0</v>
      </c>
      <c r="G240" s="4">
        <v>0</v>
      </c>
      <c r="H240" s="8">
        <v>0</v>
      </c>
      <c r="I240" s="6">
        <f>+R1284+F240</f>
        <v>0</v>
      </c>
      <c r="J240" s="4">
        <f t="shared" ref="J240:J241" si="181">G240+J175</f>
        <v>0</v>
      </c>
      <c r="K240" s="4">
        <f t="shared" ref="K240:K241" si="182">H240+K175</f>
        <v>0</v>
      </c>
      <c r="L240" s="51" t="e">
        <f t="shared" si="178"/>
        <v>#DIV/0!</v>
      </c>
      <c r="M240" s="144">
        <v>4.5023</v>
      </c>
      <c r="N240" s="11">
        <f t="shared" si="179"/>
        <v>0</v>
      </c>
      <c r="O240" s="94">
        <f t="shared" si="180"/>
        <v>0</v>
      </c>
      <c r="P240" s="1205"/>
    </row>
    <row r="241" spans="2:16" ht="15" thickBot="1" x14ac:dyDescent="0.35">
      <c r="B241" s="1194"/>
      <c r="C241" s="1208"/>
      <c r="D241" s="22" t="s">
        <v>111</v>
      </c>
      <c r="E241" s="3">
        <v>0</v>
      </c>
      <c r="F241" s="4">
        <f t="shared" ref="F241" si="183">G241+H241</f>
        <v>0</v>
      </c>
      <c r="G241" s="4">
        <v>0</v>
      </c>
      <c r="H241" s="8">
        <v>0</v>
      </c>
      <c r="I241" s="6">
        <f>+R1284+F241</f>
        <v>0</v>
      </c>
      <c r="J241" s="4">
        <f t="shared" si="181"/>
        <v>0</v>
      </c>
      <c r="K241" s="4">
        <f t="shared" si="182"/>
        <v>0</v>
      </c>
      <c r="L241" s="51" t="e">
        <f t="shared" si="178"/>
        <v>#DIV/0!</v>
      </c>
      <c r="M241" s="144">
        <v>4.4065000000000003</v>
      </c>
      <c r="N241" s="11">
        <f t="shared" si="179"/>
        <v>0</v>
      </c>
      <c r="O241" s="94">
        <f t="shared" si="180"/>
        <v>0</v>
      </c>
      <c r="P241" s="1205"/>
    </row>
    <row r="242" spans="2:16" ht="15" thickBot="1" x14ac:dyDescent="0.35">
      <c r="B242" s="1194"/>
      <c r="C242" s="41" t="s">
        <v>31</v>
      </c>
      <c r="D242" s="18" t="str">
        <f>+C242</f>
        <v>TOTAL 4/4</v>
      </c>
      <c r="E242" s="42">
        <f t="shared" ref="E242:K242" si="184">SUM(E238:E241)</f>
        <v>0</v>
      </c>
      <c r="F242" s="43">
        <f t="shared" si="184"/>
        <v>61630</v>
      </c>
      <c r="G242" s="43">
        <f t="shared" si="184"/>
        <v>60000</v>
      </c>
      <c r="H242" s="44">
        <f t="shared" si="184"/>
        <v>1630</v>
      </c>
      <c r="I242" s="45">
        <f t="shared" si="184"/>
        <v>170850</v>
      </c>
      <c r="J242" s="43">
        <f t="shared" si="184"/>
        <v>225750</v>
      </c>
      <c r="K242" s="43">
        <f t="shared" si="184"/>
        <v>6700</v>
      </c>
      <c r="L242" s="46" t="e">
        <f t="shared" si="178"/>
        <v>#DIV/0!</v>
      </c>
      <c r="M242" s="47"/>
      <c r="N242" s="48">
        <f>SUM(N238:N241)</f>
        <v>289716</v>
      </c>
      <c r="O242" s="92">
        <f>SUM(O238:O241)</f>
        <v>1020546.975</v>
      </c>
      <c r="P242" s="1206"/>
    </row>
    <row r="243" spans="2:16" ht="15" thickBot="1" x14ac:dyDescent="0.35">
      <c r="B243" s="1203"/>
      <c r="C243" s="41" t="s">
        <v>68</v>
      </c>
      <c r="D243" s="27" t="s">
        <v>64</v>
      </c>
      <c r="E243" s="25">
        <v>0</v>
      </c>
      <c r="F243" s="20">
        <f>G243+H243</f>
        <v>0</v>
      </c>
      <c r="G243" s="20">
        <v>0</v>
      </c>
      <c r="H243" s="24">
        <v>0</v>
      </c>
      <c r="I243" s="19">
        <f>J243+K243</f>
        <v>0</v>
      </c>
      <c r="J243" s="4">
        <f>G243+J178</f>
        <v>0</v>
      </c>
      <c r="K243" s="4">
        <f>H243+K178</f>
        <v>0</v>
      </c>
      <c r="L243" s="52" t="e">
        <f t="shared" si="178"/>
        <v>#DIV/0!</v>
      </c>
      <c r="M243" s="149">
        <v>1.4086000000000001</v>
      </c>
      <c r="N243" s="26">
        <f t="shared" ref="N243" si="185">+M243*G243</f>
        <v>0</v>
      </c>
      <c r="O243" s="95">
        <f t="shared" ref="O243" si="186">+M243*J243</f>
        <v>0</v>
      </c>
      <c r="P243" s="53"/>
    </row>
    <row r="244" spans="2:16" ht="15" thickBot="1" x14ac:dyDescent="0.35">
      <c r="B244" s="1178" t="s">
        <v>95</v>
      </c>
      <c r="C244" s="1179"/>
      <c r="D244" s="1179"/>
      <c r="E244" s="1179"/>
      <c r="F244" s="1179"/>
      <c r="G244" s="1179"/>
      <c r="H244" s="1179"/>
      <c r="I244" s="110">
        <f>J244+K244</f>
        <v>326332</v>
      </c>
      <c r="J244" s="110">
        <f>J237+J242+J243</f>
        <v>316500</v>
      </c>
      <c r="K244" s="110">
        <f>K237+K242+K243</f>
        <v>9832</v>
      </c>
      <c r="L244" s="111"/>
      <c r="M244" s="112"/>
      <c r="N244" s="109"/>
      <c r="O244" s="77">
        <f>+O243+O242+O237</f>
        <v>1221476.55</v>
      </c>
      <c r="P244" s="84"/>
    </row>
    <row r="245" spans="2:16" x14ac:dyDescent="0.3">
      <c r="B245" s="1180" t="s">
        <v>69</v>
      </c>
      <c r="C245" s="1183" t="s">
        <v>70</v>
      </c>
      <c r="D245" s="54" t="s">
        <v>71</v>
      </c>
      <c r="E245" s="55">
        <v>0</v>
      </c>
      <c r="F245" s="56">
        <f>G245+H245</f>
        <v>0</v>
      </c>
      <c r="G245" s="56">
        <v>0</v>
      </c>
      <c r="H245" s="57">
        <v>0</v>
      </c>
      <c r="I245" s="78">
        <f>J245+K245</f>
        <v>0</v>
      </c>
      <c r="J245" s="4">
        <f>G245+J180</f>
        <v>0</v>
      </c>
      <c r="K245" s="4">
        <f>H245+K180</f>
        <v>0</v>
      </c>
      <c r="L245" s="58" t="e">
        <f t="shared" ref="L245" si="187">+J245/E245</f>
        <v>#DIV/0!</v>
      </c>
      <c r="M245" s="59">
        <v>32.946300000000001</v>
      </c>
      <c r="N245" s="60">
        <f>+M245*G245</f>
        <v>0</v>
      </c>
      <c r="O245" s="60">
        <f>M245*J245</f>
        <v>0</v>
      </c>
      <c r="P245" s="1185"/>
    </row>
    <row r="246" spans="2:16" x14ac:dyDescent="0.3">
      <c r="B246" s="1181"/>
      <c r="C246" s="1184"/>
      <c r="D246" s="61" t="s">
        <v>72</v>
      </c>
      <c r="E246" s="62">
        <v>0</v>
      </c>
      <c r="F246" s="63">
        <f>G246+H246</f>
        <v>5080</v>
      </c>
      <c r="G246" s="63">
        <v>5000</v>
      </c>
      <c r="H246" s="64">
        <v>80</v>
      </c>
      <c r="I246" s="79">
        <f>J246+K246</f>
        <v>5080</v>
      </c>
      <c r="J246" s="4">
        <f>G246+J181</f>
        <v>5000</v>
      </c>
      <c r="K246" s="4">
        <f>H246+K181</f>
        <v>80</v>
      </c>
      <c r="L246" s="65" t="e">
        <f>+J246/E246</f>
        <v>#DIV/0!</v>
      </c>
      <c r="M246" s="66">
        <v>35.398400000000002</v>
      </c>
      <c r="N246" s="67">
        <f>+M246*G246</f>
        <v>176992</v>
      </c>
      <c r="O246" s="67">
        <f>M246*J246</f>
        <v>176992</v>
      </c>
      <c r="P246" s="1186"/>
    </row>
    <row r="247" spans="2:16" x14ac:dyDescent="0.3">
      <c r="B247" s="1181"/>
      <c r="C247" s="1184"/>
      <c r="D247" s="61" t="s">
        <v>73</v>
      </c>
      <c r="E247" s="62">
        <v>0</v>
      </c>
      <c r="F247" s="63">
        <f t="shared" ref="F247:F250" si="188">G247+H247</f>
        <v>0</v>
      </c>
      <c r="G247" s="63">
        <v>0</v>
      </c>
      <c r="H247" s="64">
        <v>0</v>
      </c>
      <c r="I247" s="79">
        <f t="shared" ref="I247:I256" si="189">J247+K247</f>
        <v>0</v>
      </c>
      <c r="J247" s="4">
        <f t="shared" ref="J247:J272" si="190">G247+J182</f>
        <v>0</v>
      </c>
      <c r="K247" s="4">
        <f t="shared" ref="K247:K251" si="191">H247+K182</f>
        <v>0</v>
      </c>
      <c r="L247" s="65" t="e">
        <f t="shared" ref="L247:L260" si="192">+J247/E247</f>
        <v>#DIV/0!</v>
      </c>
      <c r="M247" s="66">
        <v>32.946300000000001</v>
      </c>
      <c r="N247" s="67">
        <f t="shared" ref="N247:N267" si="193">+M247*G247</f>
        <v>0</v>
      </c>
      <c r="O247" s="67">
        <f t="shared" ref="O247:O255" si="194">M247*J247</f>
        <v>0</v>
      </c>
      <c r="P247" s="1186"/>
    </row>
    <row r="248" spans="2:16" x14ac:dyDescent="0.3">
      <c r="B248" s="1181"/>
      <c r="C248" s="1184" t="s">
        <v>74</v>
      </c>
      <c r="D248" s="61" t="s">
        <v>75</v>
      </c>
      <c r="E248" s="62">
        <v>0</v>
      </c>
      <c r="F248" s="63">
        <f t="shared" si="188"/>
        <v>0</v>
      </c>
      <c r="G248" s="63">
        <v>0</v>
      </c>
      <c r="H248" s="64">
        <v>0</v>
      </c>
      <c r="I248" s="79">
        <f t="shared" si="189"/>
        <v>4976</v>
      </c>
      <c r="J248" s="4">
        <f t="shared" si="190"/>
        <v>4800</v>
      </c>
      <c r="K248" s="4">
        <f t="shared" si="191"/>
        <v>176</v>
      </c>
      <c r="L248" s="65" t="e">
        <f t="shared" si="192"/>
        <v>#DIV/0!</v>
      </c>
      <c r="M248" s="66">
        <v>55.4758</v>
      </c>
      <c r="N248" s="67">
        <f t="shared" si="193"/>
        <v>0</v>
      </c>
      <c r="O248" s="67">
        <f t="shared" si="194"/>
        <v>266283.84000000003</v>
      </c>
      <c r="P248" s="1186"/>
    </row>
    <row r="249" spans="2:16" x14ac:dyDescent="0.3">
      <c r="B249" s="1181"/>
      <c r="C249" s="1184"/>
      <c r="D249" s="61" t="s">
        <v>134</v>
      </c>
      <c r="E249" s="62">
        <v>0</v>
      </c>
      <c r="F249" s="63">
        <f t="shared" si="188"/>
        <v>0</v>
      </c>
      <c r="G249" s="63">
        <v>0</v>
      </c>
      <c r="H249" s="64">
        <v>0</v>
      </c>
      <c r="I249" s="79">
        <f t="shared" si="189"/>
        <v>0</v>
      </c>
      <c r="J249" s="4">
        <f t="shared" si="190"/>
        <v>0</v>
      </c>
      <c r="K249" s="4">
        <f t="shared" si="191"/>
        <v>0</v>
      </c>
      <c r="L249" s="65" t="e">
        <f t="shared" si="192"/>
        <v>#DIV/0!</v>
      </c>
      <c r="M249" s="66">
        <v>53.515999999999998</v>
      </c>
      <c r="N249" s="67">
        <f t="shared" si="193"/>
        <v>0</v>
      </c>
      <c r="O249" s="67">
        <f t="shared" si="194"/>
        <v>0</v>
      </c>
      <c r="P249" s="1186"/>
    </row>
    <row r="250" spans="2:16" x14ac:dyDescent="0.3">
      <c r="B250" s="1181"/>
      <c r="C250" s="1184"/>
      <c r="D250" s="61" t="s">
        <v>72</v>
      </c>
      <c r="E250" s="62">
        <v>0</v>
      </c>
      <c r="F250" s="63">
        <f t="shared" si="188"/>
        <v>0</v>
      </c>
      <c r="G250" s="63">
        <v>0</v>
      </c>
      <c r="H250" s="64">
        <v>0</v>
      </c>
      <c r="I250" s="79">
        <f t="shared" si="189"/>
        <v>0</v>
      </c>
      <c r="J250" s="4">
        <f t="shared" si="190"/>
        <v>0</v>
      </c>
      <c r="K250" s="4">
        <f t="shared" si="191"/>
        <v>0</v>
      </c>
      <c r="L250" s="65" t="e">
        <f t="shared" si="192"/>
        <v>#DIV/0!</v>
      </c>
      <c r="M250" s="66">
        <v>58.836300000000001</v>
      </c>
      <c r="N250" s="67">
        <f t="shared" si="193"/>
        <v>0</v>
      </c>
      <c r="O250" s="67">
        <f t="shared" si="194"/>
        <v>0</v>
      </c>
      <c r="P250" s="1186"/>
    </row>
    <row r="251" spans="2:16" x14ac:dyDescent="0.3">
      <c r="B251" s="1181"/>
      <c r="C251" s="1188" t="s">
        <v>76</v>
      </c>
      <c r="D251" s="61" t="s">
        <v>77</v>
      </c>
      <c r="E251" s="62">
        <v>0</v>
      </c>
      <c r="F251" s="63">
        <f>G251+H251</f>
        <v>3675</v>
      </c>
      <c r="G251" s="63">
        <v>3575</v>
      </c>
      <c r="H251" s="64">
        <v>100</v>
      </c>
      <c r="I251" s="79">
        <f t="shared" si="189"/>
        <v>3675</v>
      </c>
      <c r="J251" s="4">
        <f t="shared" si="190"/>
        <v>3575</v>
      </c>
      <c r="K251" s="4">
        <f t="shared" si="191"/>
        <v>100</v>
      </c>
      <c r="L251" s="65" t="e">
        <f t="shared" si="192"/>
        <v>#DIV/0!</v>
      </c>
      <c r="M251" s="66">
        <v>25.687200000000001</v>
      </c>
      <c r="N251" s="67">
        <f t="shared" si="193"/>
        <v>91831.74</v>
      </c>
      <c r="O251" s="67">
        <f t="shared" si="194"/>
        <v>91831.74</v>
      </c>
      <c r="P251" s="1186"/>
    </row>
    <row r="252" spans="2:16" x14ac:dyDescent="0.3">
      <c r="B252" s="1181"/>
      <c r="C252" s="1189"/>
      <c r="D252" s="61" t="s">
        <v>117</v>
      </c>
      <c r="E252" s="62">
        <v>0</v>
      </c>
      <c r="F252" s="63">
        <f>G252+H252</f>
        <v>0</v>
      </c>
      <c r="G252" s="63">
        <v>0</v>
      </c>
      <c r="H252" s="64">
        <v>0</v>
      </c>
      <c r="I252" s="79">
        <f t="shared" si="189"/>
        <v>0</v>
      </c>
      <c r="J252" s="4">
        <f t="shared" si="190"/>
        <v>0</v>
      </c>
      <c r="K252" s="4">
        <f>H252+K187</f>
        <v>0</v>
      </c>
      <c r="L252" s="65" t="e">
        <f t="shared" si="192"/>
        <v>#DIV/0!</v>
      </c>
      <c r="M252" s="66">
        <v>25.033899999999999</v>
      </c>
      <c r="N252" s="67">
        <f t="shared" si="193"/>
        <v>0</v>
      </c>
      <c r="O252" s="67">
        <f t="shared" si="194"/>
        <v>0</v>
      </c>
      <c r="P252" s="1186"/>
    </row>
    <row r="253" spans="2:16" x14ac:dyDescent="0.3">
      <c r="B253" s="1181"/>
      <c r="C253" s="1188" t="s">
        <v>78</v>
      </c>
      <c r="D253" s="61" t="s">
        <v>79</v>
      </c>
      <c r="E253" s="62">
        <v>0</v>
      </c>
      <c r="F253" s="63">
        <f t="shared" ref="F253:F272" si="195">G253+H253</f>
        <v>6048</v>
      </c>
      <c r="G253" s="63">
        <v>6000</v>
      </c>
      <c r="H253" s="64">
        <v>48</v>
      </c>
      <c r="I253" s="79">
        <f t="shared" si="189"/>
        <v>8113</v>
      </c>
      <c r="J253" s="4">
        <f t="shared" si="190"/>
        <v>8000</v>
      </c>
      <c r="K253" s="4">
        <f t="shared" ref="K253:K272" si="196">H253+K188</f>
        <v>113</v>
      </c>
      <c r="L253" s="65" t="e">
        <f t="shared" si="192"/>
        <v>#DIV/0!</v>
      </c>
      <c r="M253" s="66">
        <v>41.992699999999999</v>
      </c>
      <c r="N253" s="67">
        <f t="shared" si="193"/>
        <v>251956.19999999998</v>
      </c>
      <c r="O253" s="67">
        <f t="shared" si="194"/>
        <v>335941.6</v>
      </c>
      <c r="P253" s="1186"/>
    </row>
    <row r="254" spans="2:16" x14ac:dyDescent="0.3">
      <c r="B254" s="1181"/>
      <c r="C254" s="1189"/>
      <c r="D254" s="61" t="s">
        <v>72</v>
      </c>
      <c r="E254" s="62">
        <v>0</v>
      </c>
      <c r="F254" s="63">
        <f t="shared" si="195"/>
        <v>0</v>
      </c>
      <c r="G254" s="63">
        <v>0</v>
      </c>
      <c r="H254" s="64">
        <v>0</v>
      </c>
      <c r="I254" s="79">
        <f t="shared" si="189"/>
        <v>0</v>
      </c>
      <c r="J254" s="4">
        <f t="shared" si="190"/>
        <v>0</v>
      </c>
      <c r="K254" s="4">
        <f t="shared" si="196"/>
        <v>0</v>
      </c>
      <c r="L254" s="65" t="e">
        <f t="shared" si="192"/>
        <v>#DIV/0!</v>
      </c>
      <c r="M254" s="66">
        <v>42.283799999999999</v>
      </c>
      <c r="N254" s="67">
        <f t="shared" si="193"/>
        <v>0</v>
      </c>
      <c r="O254" s="67">
        <f t="shared" si="194"/>
        <v>0</v>
      </c>
      <c r="P254" s="1186"/>
    </row>
    <row r="255" spans="2:16" x14ac:dyDescent="0.3">
      <c r="B255" s="1181"/>
      <c r="C255" s="173" t="s">
        <v>80</v>
      </c>
      <c r="D255" s="61" t="s">
        <v>81</v>
      </c>
      <c r="E255" s="62">
        <v>0</v>
      </c>
      <c r="F255" s="63">
        <f t="shared" si="195"/>
        <v>0</v>
      </c>
      <c r="G255" s="63">
        <v>0</v>
      </c>
      <c r="H255" s="64">
        <v>0</v>
      </c>
      <c r="I255" s="79">
        <f t="shared" si="189"/>
        <v>0</v>
      </c>
      <c r="J255" s="4">
        <f t="shared" si="190"/>
        <v>0</v>
      </c>
      <c r="K255" s="4">
        <f t="shared" si="196"/>
        <v>0</v>
      </c>
      <c r="L255" s="65" t="e">
        <f t="shared" si="192"/>
        <v>#DIV/0!</v>
      </c>
      <c r="M255" s="66">
        <v>4.3535000000000004</v>
      </c>
      <c r="N255" s="67">
        <f t="shared" si="193"/>
        <v>0</v>
      </c>
      <c r="O255" s="67">
        <f t="shared" si="194"/>
        <v>0</v>
      </c>
      <c r="P255" s="1186"/>
    </row>
    <row r="256" spans="2:16" x14ac:dyDescent="0.3">
      <c r="B256" s="1181"/>
      <c r="C256" s="1184" t="s">
        <v>82</v>
      </c>
      <c r="D256" s="61" t="s">
        <v>77</v>
      </c>
      <c r="E256" s="62">
        <v>0</v>
      </c>
      <c r="F256" s="63">
        <f t="shared" si="195"/>
        <v>0</v>
      </c>
      <c r="G256" s="63">
        <v>0</v>
      </c>
      <c r="H256" s="64">
        <v>0</v>
      </c>
      <c r="I256" s="79">
        <f t="shared" si="189"/>
        <v>0</v>
      </c>
      <c r="J256" s="4">
        <f t="shared" si="190"/>
        <v>0</v>
      </c>
      <c r="K256" s="4">
        <f t="shared" si="196"/>
        <v>0</v>
      </c>
      <c r="L256" s="65" t="e">
        <f t="shared" si="192"/>
        <v>#DIV/0!</v>
      </c>
      <c r="M256" s="66">
        <v>4.6184000000000003</v>
      </c>
      <c r="N256" s="67">
        <f t="shared" si="193"/>
        <v>0</v>
      </c>
      <c r="O256" s="67">
        <f>M256*J256</f>
        <v>0</v>
      </c>
      <c r="P256" s="1186"/>
    </row>
    <row r="257" spans="2:16" x14ac:dyDescent="0.3">
      <c r="B257" s="1181"/>
      <c r="C257" s="1184"/>
      <c r="D257" s="61" t="s">
        <v>119</v>
      </c>
      <c r="E257" s="62">
        <v>0</v>
      </c>
      <c r="F257" s="63">
        <f t="shared" si="195"/>
        <v>0</v>
      </c>
      <c r="G257" s="63">
        <v>0</v>
      </c>
      <c r="H257" s="64">
        <v>0</v>
      </c>
      <c r="I257" s="79">
        <f>J257+K257</f>
        <v>0</v>
      </c>
      <c r="J257" s="4">
        <f t="shared" si="190"/>
        <v>0</v>
      </c>
      <c r="K257" s="4">
        <f t="shared" si="196"/>
        <v>0</v>
      </c>
      <c r="L257" s="65" t="e">
        <f t="shared" si="192"/>
        <v>#DIV/0!</v>
      </c>
      <c r="M257" s="153">
        <v>4.6184000000000003</v>
      </c>
      <c r="N257" s="67">
        <f t="shared" si="193"/>
        <v>0</v>
      </c>
      <c r="O257" s="67">
        <f>M257*J257</f>
        <v>0</v>
      </c>
      <c r="P257" s="1186"/>
    </row>
    <row r="258" spans="2:16" x14ac:dyDescent="0.3">
      <c r="B258" s="1181"/>
      <c r="C258" s="1184"/>
      <c r="D258" s="61" t="s">
        <v>123</v>
      </c>
      <c r="E258" s="62">
        <v>0</v>
      </c>
      <c r="F258" s="63">
        <f t="shared" si="195"/>
        <v>0</v>
      </c>
      <c r="G258" s="63">
        <v>0</v>
      </c>
      <c r="H258" s="64">
        <v>0</v>
      </c>
      <c r="I258" s="79">
        <f t="shared" ref="I258:I272" si="197">J258+K258</f>
        <v>0</v>
      </c>
      <c r="J258" s="4">
        <f t="shared" si="190"/>
        <v>0</v>
      </c>
      <c r="K258" s="4">
        <f t="shared" si="196"/>
        <v>0</v>
      </c>
      <c r="L258" s="65" t="e">
        <f t="shared" si="192"/>
        <v>#DIV/0!</v>
      </c>
      <c r="M258" s="153">
        <v>4.6184000000000003</v>
      </c>
      <c r="N258" s="67">
        <f t="shared" si="193"/>
        <v>0</v>
      </c>
      <c r="O258" s="67">
        <f t="shared" ref="O258:O263" si="198">M258*J258</f>
        <v>0</v>
      </c>
      <c r="P258" s="1186"/>
    </row>
    <row r="259" spans="2:16" x14ac:dyDescent="0.3">
      <c r="B259" s="1181"/>
      <c r="C259" s="1184"/>
      <c r="D259" s="61" t="s">
        <v>124</v>
      </c>
      <c r="E259" s="62">
        <v>0</v>
      </c>
      <c r="F259" s="63">
        <f t="shared" si="195"/>
        <v>15000</v>
      </c>
      <c r="G259" s="63">
        <v>14000</v>
      </c>
      <c r="H259" s="64">
        <v>1000</v>
      </c>
      <c r="I259" s="79">
        <f t="shared" si="197"/>
        <v>79869</v>
      </c>
      <c r="J259" s="4">
        <f t="shared" si="190"/>
        <v>76500</v>
      </c>
      <c r="K259" s="4">
        <f t="shared" si="196"/>
        <v>3369</v>
      </c>
      <c r="L259" s="65" t="e">
        <f t="shared" si="192"/>
        <v>#DIV/0!</v>
      </c>
      <c r="M259" s="153">
        <v>4.7636000000000003</v>
      </c>
      <c r="N259" s="67">
        <f t="shared" si="193"/>
        <v>66690.400000000009</v>
      </c>
      <c r="O259" s="67">
        <f t="shared" si="198"/>
        <v>364415.4</v>
      </c>
      <c r="P259" s="1186"/>
    </row>
    <row r="260" spans="2:16" x14ac:dyDescent="0.3">
      <c r="B260" s="1181"/>
      <c r="C260" s="1184"/>
      <c r="D260" s="61" t="s">
        <v>83</v>
      </c>
      <c r="E260" s="62">
        <v>0</v>
      </c>
      <c r="F260" s="63">
        <f t="shared" si="195"/>
        <v>0</v>
      </c>
      <c r="G260" s="63">
        <v>0</v>
      </c>
      <c r="H260" s="64">
        <v>0</v>
      </c>
      <c r="I260" s="79">
        <f t="shared" si="197"/>
        <v>0</v>
      </c>
      <c r="J260" s="4">
        <f t="shared" si="190"/>
        <v>0</v>
      </c>
      <c r="K260" s="4">
        <f t="shared" si="196"/>
        <v>0</v>
      </c>
      <c r="L260" s="65" t="e">
        <f t="shared" si="192"/>
        <v>#DIV/0!</v>
      </c>
      <c r="M260" s="66">
        <v>4.8738000000000001</v>
      </c>
      <c r="N260" s="67">
        <f t="shared" si="193"/>
        <v>0</v>
      </c>
      <c r="O260" s="67">
        <f t="shared" si="198"/>
        <v>0</v>
      </c>
      <c r="P260" s="1186"/>
    </row>
    <row r="261" spans="2:16" x14ac:dyDescent="0.3">
      <c r="B261" s="1181"/>
      <c r="C261" s="173" t="s">
        <v>128</v>
      </c>
      <c r="D261" s="61" t="s">
        <v>124</v>
      </c>
      <c r="E261" s="62"/>
      <c r="F261" s="63">
        <f t="shared" si="195"/>
        <v>0</v>
      </c>
      <c r="G261" s="63">
        <v>0</v>
      </c>
      <c r="H261" s="64">
        <v>0</v>
      </c>
      <c r="I261" s="79">
        <f t="shared" si="197"/>
        <v>0</v>
      </c>
      <c r="J261" s="4">
        <f t="shared" si="190"/>
        <v>0</v>
      </c>
      <c r="K261" s="4">
        <f t="shared" si="196"/>
        <v>0</v>
      </c>
      <c r="L261" s="65"/>
      <c r="M261" s="66">
        <v>4.8738000000000001</v>
      </c>
      <c r="N261" s="67">
        <f t="shared" si="193"/>
        <v>0</v>
      </c>
      <c r="O261" s="67">
        <f t="shared" si="198"/>
        <v>0</v>
      </c>
      <c r="P261" s="1186"/>
    </row>
    <row r="262" spans="2:16" x14ac:dyDescent="0.3">
      <c r="B262" s="1181"/>
      <c r="C262" s="1184" t="s">
        <v>84</v>
      </c>
      <c r="D262" s="61" t="s">
        <v>77</v>
      </c>
      <c r="E262" s="62">
        <v>0</v>
      </c>
      <c r="F262" s="63">
        <f t="shared" si="195"/>
        <v>21700</v>
      </c>
      <c r="G262" s="63">
        <v>21300</v>
      </c>
      <c r="H262" s="64">
        <v>400</v>
      </c>
      <c r="I262" s="79">
        <f t="shared" si="197"/>
        <v>98229</v>
      </c>
      <c r="J262" s="4">
        <f t="shared" si="190"/>
        <v>96850</v>
      </c>
      <c r="K262" s="4">
        <f t="shared" si="196"/>
        <v>1379</v>
      </c>
      <c r="L262" s="65" t="e">
        <f t="shared" ref="L262:L272" si="199">+J262/E262</f>
        <v>#DIV/0!</v>
      </c>
      <c r="M262" s="66">
        <v>4.9344999999999999</v>
      </c>
      <c r="N262" s="67">
        <f t="shared" si="193"/>
        <v>105104.84999999999</v>
      </c>
      <c r="O262" s="67">
        <f t="shared" si="198"/>
        <v>477906.32500000001</v>
      </c>
      <c r="P262" s="1186"/>
    </row>
    <row r="263" spans="2:16" x14ac:dyDescent="0.3">
      <c r="B263" s="1181"/>
      <c r="C263" s="1184"/>
      <c r="D263" s="61" t="s">
        <v>135</v>
      </c>
      <c r="E263" s="62"/>
      <c r="F263" s="63">
        <f t="shared" si="195"/>
        <v>0</v>
      </c>
      <c r="G263" s="63">
        <v>0</v>
      </c>
      <c r="H263" s="64">
        <v>0</v>
      </c>
      <c r="I263" s="79">
        <f t="shared" si="197"/>
        <v>0</v>
      </c>
      <c r="J263" s="4">
        <f t="shared" si="190"/>
        <v>0</v>
      </c>
      <c r="K263" s="4">
        <f t="shared" si="196"/>
        <v>0</v>
      </c>
      <c r="L263" s="65" t="e">
        <f t="shared" si="199"/>
        <v>#DIV/0!</v>
      </c>
      <c r="M263" s="66">
        <v>4.9344999999999999</v>
      </c>
      <c r="N263" s="67">
        <f t="shared" si="193"/>
        <v>0</v>
      </c>
      <c r="O263" s="67">
        <f t="shared" si="198"/>
        <v>0</v>
      </c>
      <c r="P263" s="1186"/>
    </row>
    <row r="264" spans="2:16" x14ac:dyDescent="0.3">
      <c r="B264" s="1181"/>
      <c r="C264" s="1184"/>
      <c r="D264" s="61" t="s">
        <v>129</v>
      </c>
      <c r="E264" s="62">
        <v>0</v>
      </c>
      <c r="F264" s="63">
        <f t="shared" si="195"/>
        <v>0</v>
      </c>
      <c r="G264" s="155">
        <v>0</v>
      </c>
      <c r="H264" s="156">
        <v>0</v>
      </c>
      <c r="I264" s="157">
        <f t="shared" si="197"/>
        <v>0</v>
      </c>
      <c r="J264" s="4">
        <f t="shared" si="190"/>
        <v>0</v>
      </c>
      <c r="K264" s="4">
        <f t="shared" si="196"/>
        <v>0</v>
      </c>
      <c r="L264" s="158" t="e">
        <f t="shared" si="199"/>
        <v>#DIV/0!</v>
      </c>
      <c r="M264" s="66">
        <v>4.9344999999999999</v>
      </c>
      <c r="N264" s="159">
        <f t="shared" si="193"/>
        <v>0</v>
      </c>
      <c r="O264" s="67">
        <f>M264*J264</f>
        <v>0</v>
      </c>
      <c r="P264" s="1186"/>
    </row>
    <row r="265" spans="2:16" x14ac:dyDescent="0.3">
      <c r="B265" s="1181"/>
      <c r="C265" s="1184" t="s">
        <v>85</v>
      </c>
      <c r="D265" s="61" t="s">
        <v>77</v>
      </c>
      <c r="E265" s="62">
        <v>0</v>
      </c>
      <c r="F265" s="63">
        <f t="shared" si="195"/>
        <v>19900</v>
      </c>
      <c r="G265" s="63">
        <v>18900</v>
      </c>
      <c r="H265" s="64">
        <v>1000</v>
      </c>
      <c r="I265" s="79">
        <f t="shared" si="197"/>
        <v>67923</v>
      </c>
      <c r="J265" s="4">
        <f t="shared" si="190"/>
        <v>62550</v>
      </c>
      <c r="K265" s="4">
        <f t="shared" si="196"/>
        <v>5373</v>
      </c>
      <c r="L265" s="65" t="e">
        <f t="shared" si="199"/>
        <v>#DIV/0!</v>
      </c>
      <c r="M265" s="148">
        <v>5.5069999999999997</v>
      </c>
      <c r="N265" s="67">
        <f t="shared" si="193"/>
        <v>104082.29999999999</v>
      </c>
      <c r="O265" s="67">
        <f>M265*J265</f>
        <v>344462.85</v>
      </c>
      <c r="P265" s="1186"/>
    </row>
    <row r="266" spans="2:16" x14ac:dyDescent="0.3">
      <c r="B266" s="1181"/>
      <c r="C266" s="1184"/>
      <c r="D266" s="61" t="s">
        <v>112</v>
      </c>
      <c r="E266" s="62">
        <v>0</v>
      </c>
      <c r="F266" s="63">
        <f t="shared" si="195"/>
        <v>0</v>
      </c>
      <c r="G266" s="63">
        <v>0</v>
      </c>
      <c r="H266" s="64">
        <v>0</v>
      </c>
      <c r="I266" s="79">
        <f t="shared" si="197"/>
        <v>0</v>
      </c>
      <c r="J266" s="4">
        <f t="shared" si="190"/>
        <v>0</v>
      </c>
      <c r="K266" s="4">
        <f t="shared" si="196"/>
        <v>0</v>
      </c>
      <c r="L266" s="65" t="e">
        <f t="shared" si="199"/>
        <v>#DIV/0!</v>
      </c>
      <c r="M266" s="147">
        <v>5.6550000000000002</v>
      </c>
      <c r="N266" s="67">
        <f t="shared" si="193"/>
        <v>0</v>
      </c>
      <c r="O266" s="67">
        <f>M266*J266</f>
        <v>0</v>
      </c>
      <c r="P266" s="1186"/>
    </row>
    <row r="267" spans="2:16" x14ac:dyDescent="0.3">
      <c r="B267" s="1181"/>
      <c r="C267" s="1184"/>
      <c r="D267" s="61" t="s">
        <v>118</v>
      </c>
      <c r="E267" s="62">
        <v>0</v>
      </c>
      <c r="F267" s="63">
        <f t="shared" si="195"/>
        <v>0</v>
      </c>
      <c r="G267" s="63">
        <v>0</v>
      </c>
      <c r="H267" s="64">
        <v>0</v>
      </c>
      <c r="I267" s="79">
        <f t="shared" si="197"/>
        <v>0</v>
      </c>
      <c r="J267" s="4">
        <f t="shared" si="190"/>
        <v>0</v>
      </c>
      <c r="K267" s="4">
        <f t="shared" si="196"/>
        <v>0</v>
      </c>
      <c r="L267" s="65" t="e">
        <f t="shared" si="199"/>
        <v>#DIV/0!</v>
      </c>
      <c r="M267" s="152">
        <v>5.6550000000000002</v>
      </c>
      <c r="N267" s="67">
        <f t="shared" si="193"/>
        <v>0</v>
      </c>
      <c r="O267" s="67">
        <f>M267*J267</f>
        <v>0</v>
      </c>
      <c r="P267" s="1186"/>
    </row>
    <row r="268" spans="2:16" x14ac:dyDescent="0.3">
      <c r="B268" s="1181"/>
      <c r="C268" s="1184"/>
      <c r="D268" s="61" t="s">
        <v>121</v>
      </c>
      <c r="E268" s="62">
        <v>0</v>
      </c>
      <c r="F268" s="63">
        <f t="shared" si="195"/>
        <v>0</v>
      </c>
      <c r="G268" s="63">
        <v>0</v>
      </c>
      <c r="H268" s="64">
        <v>0</v>
      </c>
      <c r="I268" s="79">
        <f t="shared" si="197"/>
        <v>9700</v>
      </c>
      <c r="J268" s="4">
        <f t="shared" si="190"/>
        <v>8200</v>
      </c>
      <c r="K268" s="4">
        <f t="shared" si="196"/>
        <v>1500</v>
      </c>
      <c r="L268" s="65" t="e">
        <f t="shared" si="199"/>
        <v>#DIV/0!</v>
      </c>
      <c r="M268" s="66">
        <v>5.7885299999999997</v>
      </c>
      <c r="N268" s="67">
        <f>+M268*G268</f>
        <v>0</v>
      </c>
      <c r="O268" s="67">
        <f>M268*J268</f>
        <v>47465.945999999996</v>
      </c>
      <c r="P268" s="1186"/>
    </row>
    <row r="269" spans="2:16" x14ac:dyDescent="0.3">
      <c r="B269" s="1181"/>
      <c r="C269" s="1184"/>
      <c r="D269" s="61" t="s">
        <v>136</v>
      </c>
      <c r="E269" s="62">
        <v>0</v>
      </c>
      <c r="F269" s="63">
        <f t="shared" si="195"/>
        <v>0</v>
      </c>
      <c r="G269" s="63">
        <v>0</v>
      </c>
      <c r="H269" s="64">
        <v>0</v>
      </c>
      <c r="I269" s="79">
        <f t="shared" si="197"/>
        <v>0</v>
      </c>
      <c r="J269" s="4">
        <f t="shared" si="190"/>
        <v>0</v>
      </c>
      <c r="K269" s="4">
        <f t="shared" si="196"/>
        <v>0</v>
      </c>
      <c r="L269" s="65" t="e">
        <f t="shared" si="199"/>
        <v>#DIV/0!</v>
      </c>
      <c r="M269" s="152">
        <v>5.6550000000000002</v>
      </c>
      <c r="N269" s="67">
        <f t="shared" ref="N269:N271" si="200">+M269*G269</f>
        <v>0</v>
      </c>
      <c r="O269" s="67">
        <f t="shared" ref="O269:O272" si="201">M269*J269</f>
        <v>0</v>
      </c>
      <c r="P269" s="1186"/>
    </row>
    <row r="270" spans="2:16" x14ac:dyDescent="0.3">
      <c r="B270" s="1181"/>
      <c r="C270" s="173" t="s">
        <v>86</v>
      </c>
      <c r="D270" s="61" t="s">
        <v>77</v>
      </c>
      <c r="E270" s="62">
        <v>0</v>
      </c>
      <c r="F270" s="63">
        <f t="shared" si="195"/>
        <v>0</v>
      </c>
      <c r="G270" s="63">
        <v>0</v>
      </c>
      <c r="H270" s="64">
        <v>0</v>
      </c>
      <c r="I270" s="79">
        <f t="shared" si="197"/>
        <v>0</v>
      </c>
      <c r="J270" s="4">
        <f t="shared" si="190"/>
        <v>0</v>
      </c>
      <c r="K270" s="4">
        <f t="shared" si="196"/>
        <v>0</v>
      </c>
      <c r="L270" s="65" t="e">
        <f t="shared" si="199"/>
        <v>#DIV/0!</v>
      </c>
      <c r="M270" s="66">
        <v>3.2963</v>
      </c>
      <c r="N270" s="67">
        <f t="shared" si="200"/>
        <v>0</v>
      </c>
      <c r="O270" s="67">
        <f t="shared" si="201"/>
        <v>0</v>
      </c>
      <c r="P270" s="1186"/>
    </row>
    <row r="271" spans="2:16" x14ac:dyDescent="0.3">
      <c r="B271" s="1181"/>
      <c r="C271" s="173" t="s">
        <v>87</v>
      </c>
      <c r="D271" s="61" t="s">
        <v>77</v>
      </c>
      <c r="E271" s="62">
        <v>0</v>
      </c>
      <c r="F271" s="63">
        <f t="shared" si="195"/>
        <v>0</v>
      </c>
      <c r="G271" s="63">
        <v>0</v>
      </c>
      <c r="H271" s="64">
        <v>0</v>
      </c>
      <c r="I271" s="79">
        <f t="shared" si="197"/>
        <v>0</v>
      </c>
      <c r="J271" s="4">
        <f t="shared" si="190"/>
        <v>0</v>
      </c>
      <c r="K271" s="4">
        <f t="shared" si="196"/>
        <v>0</v>
      </c>
      <c r="L271" s="65" t="e">
        <f t="shared" si="199"/>
        <v>#DIV/0!</v>
      </c>
      <c r="M271" s="66">
        <v>3.2963</v>
      </c>
      <c r="N271" s="67">
        <f t="shared" si="200"/>
        <v>0</v>
      </c>
      <c r="O271" s="67">
        <f t="shared" si="201"/>
        <v>0</v>
      </c>
      <c r="P271" s="1186"/>
    </row>
    <row r="272" spans="2:16" ht="15" thickBot="1" x14ac:dyDescent="0.35">
      <c r="B272" s="1181"/>
      <c r="C272" s="68" t="s">
        <v>88</v>
      </c>
      <c r="D272" s="69" t="s">
        <v>89</v>
      </c>
      <c r="E272" s="70">
        <v>0</v>
      </c>
      <c r="F272" s="71">
        <f t="shared" si="195"/>
        <v>0</v>
      </c>
      <c r="G272" s="71">
        <v>0</v>
      </c>
      <c r="H272" s="72">
        <v>0</v>
      </c>
      <c r="I272" s="80">
        <f t="shared" si="197"/>
        <v>0</v>
      </c>
      <c r="J272" s="4">
        <f t="shared" si="190"/>
        <v>0</v>
      </c>
      <c r="K272" s="4">
        <f t="shared" si="196"/>
        <v>0</v>
      </c>
      <c r="L272" s="65" t="e">
        <f t="shared" si="199"/>
        <v>#DIV/0!</v>
      </c>
      <c r="M272" s="73">
        <v>2.3201000000000001</v>
      </c>
      <c r="N272" s="74">
        <f t="shared" ref="N272" si="202">M272*G272</f>
        <v>0</v>
      </c>
      <c r="O272" s="74">
        <f t="shared" si="201"/>
        <v>0</v>
      </c>
      <c r="P272" s="1187"/>
    </row>
    <row r="273" spans="2:16" ht="15" thickBot="1" x14ac:dyDescent="0.35">
      <c r="B273" s="1182"/>
      <c r="C273" s="1190" t="s">
        <v>99</v>
      </c>
      <c r="D273" s="1191"/>
      <c r="E273" s="1191"/>
      <c r="F273" s="1191"/>
      <c r="G273" s="1191"/>
      <c r="H273" s="1192"/>
      <c r="I273" s="116">
        <f>J273+K273</f>
        <v>277565</v>
      </c>
      <c r="J273" s="115">
        <f>SUM(J245:J272)</f>
        <v>265475</v>
      </c>
      <c r="K273" s="115">
        <f>SUM(K245:K272)</f>
        <v>12090</v>
      </c>
      <c r="L273" s="114"/>
      <c r="M273" s="113"/>
      <c r="N273" s="114"/>
      <c r="O273" s="97">
        <f>SUM(O245:O272)</f>
        <v>2105299.7009999999</v>
      </c>
      <c r="P273" s="96"/>
    </row>
    <row r="274" spans="2:16" ht="15" thickBot="1" x14ac:dyDescent="0.35">
      <c r="B274" s="100"/>
      <c r="C274" s="101"/>
      <c r="D274" s="101"/>
      <c r="E274" s="101"/>
      <c r="F274" s="101"/>
      <c r="G274" s="101"/>
      <c r="H274" s="101"/>
      <c r="I274" s="101"/>
      <c r="J274" s="101"/>
      <c r="K274" s="101"/>
      <c r="L274" s="101"/>
      <c r="M274" s="101"/>
      <c r="N274" s="101"/>
      <c r="O274" s="101"/>
      <c r="P274" s="102"/>
    </row>
    <row r="275" spans="2:16" ht="15" thickBot="1" x14ac:dyDescent="0.35">
      <c r="B275" s="1175" t="s">
        <v>100</v>
      </c>
      <c r="C275" s="1176"/>
      <c r="D275" s="1176"/>
      <c r="E275" s="1176"/>
      <c r="F275" s="1176"/>
      <c r="G275" s="1176"/>
      <c r="H275" s="1176"/>
      <c r="I275" s="1176"/>
      <c r="J275" s="1176"/>
      <c r="K275" s="1176"/>
      <c r="L275" s="1176"/>
      <c r="M275" s="1176"/>
      <c r="N275" s="1177"/>
      <c r="O275" s="103">
        <f>+O273+O244+O229</f>
        <v>5268211.0190000003</v>
      </c>
      <c r="P275" s="96"/>
    </row>
    <row r="276" spans="2:16" ht="15" thickBot="1" x14ac:dyDescent="0.35"/>
    <row r="277" spans="2:16" x14ac:dyDescent="0.3">
      <c r="B277" s="1209" t="s">
        <v>1</v>
      </c>
      <c r="C277" s="1211" t="s">
        <v>2</v>
      </c>
      <c r="D277" s="1214" t="s">
        <v>3</v>
      </c>
      <c r="E277" s="1217" t="s">
        <v>4</v>
      </c>
      <c r="F277" s="1218"/>
      <c r="G277" s="1218"/>
      <c r="H277" s="1218"/>
      <c r="I277" s="1218"/>
      <c r="J277" s="1218"/>
      <c r="K277" s="1218"/>
      <c r="L277" s="1219"/>
      <c r="M277" s="1220" t="s">
        <v>5</v>
      </c>
      <c r="N277" s="1221"/>
      <c r="O277" s="1222"/>
      <c r="P277" s="1214" t="s">
        <v>6</v>
      </c>
    </row>
    <row r="278" spans="2:16" x14ac:dyDescent="0.3">
      <c r="B278" s="1210"/>
      <c r="C278" s="1212"/>
      <c r="D278" s="1215"/>
      <c r="E278" s="1223" t="s">
        <v>7</v>
      </c>
      <c r="F278" s="1225" t="s">
        <v>144</v>
      </c>
      <c r="G278" s="1225"/>
      <c r="H278" s="1226"/>
      <c r="I278" s="1227" t="s">
        <v>8</v>
      </c>
      <c r="J278" s="1225"/>
      <c r="K278" s="1225"/>
      <c r="L278" s="1226" t="s">
        <v>9</v>
      </c>
      <c r="M278" s="1229" t="s">
        <v>10</v>
      </c>
      <c r="N278" s="1231" t="s">
        <v>11</v>
      </c>
      <c r="O278" s="1233" t="s">
        <v>12</v>
      </c>
      <c r="P278" s="1215"/>
    </row>
    <row r="279" spans="2:16" ht="15" thickBot="1" x14ac:dyDescent="0.35">
      <c r="B279" s="1210"/>
      <c r="C279" s="1213"/>
      <c r="D279" s="1216"/>
      <c r="E279" s="1224"/>
      <c r="F279" s="2" t="s">
        <v>13</v>
      </c>
      <c r="G279" s="2" t="s">
        <v>14</v>
      </c>
      <c r="H279" s="179" t="s">
        <v>15</v>
      </c>
      <c r="I279" s="142" t="s">
        <v>13</v>
      </c>
      <c r="J279" s="2" t="s">
        <v>14</v>
      </c>
      <c r="K279" s="2" t="s">
        <v>15</v>
      </c>
      <c r="L279" s="1228"/>
      <c r="M279" s="1230"/>
      <c r="N279" s="1232"/>
      <c r="O279" s="1234"/>
      <c r="P279" s="1216"/>
    </row>
    <row r="280" spans="2:16" x14ac:dyDescent="0.3">
      <c r="B280" s="1193" t="s">
        <v>53</v>
      </c>
      <c r="C280" s="29"/>
      <c r="D280" s="117" t="s">
        <v>143</v>
      </c>
      <c r="E280" s="98">
        <v>0</v>
      </c>
      <c r="F280" s="4">
        <f>+G280+H280</f>
        <v>43254</v>
      </c>
      <c r="G280" s="4">
        <v>42280</v>
      </c>
      <c r="H280" s="8">
        <v>974</v>
      </c>
      <c r="I280" s="6">
        <f>J280+K280</f>
        <v>157068</v>
      </c>
      <c r="J280" s="4">
        <f>G280+J215</f>
        <v>155120</v>
      </c>
      <c r="K280" s="4">
        <f>H280+K215</f>
        <v>1948</v>
      </c>
      <c r="L280" s="33" t="e">
        <f>+J280/E280</f>
        <v>#DIV/0!</v>
      </c>
      <c r="M280" s="104">
        <v>1.3652</v>
      </c>
      <c r="N280" s="31">
        <f>G280*M280</f>
        <v>57720.655999999995</v>
      </c>
      <c r="O280" s="86">
        <f>M280*J280</f>
        <v>211769.82399999999</v>
      </c>
      <c r="P280" s="1195"/>
    </row>
    <row r="281" spans="2:16" x14ac:dyDescent="0.3">
      <c r="B281" s="1194"/>
      <c r="C281" s="32"/>
      <c r="D281" s="118" t="s">
        <v>109</v>
      </c>
      <c r="E281" s="99">
        <v>0</v>
      </c>
      <c r="F281" s="9">
        <f>+G281+H281</f>
        <v>0</v>
      </c>
      <c r="G281" s="9">
        <v>0</v>
      </c>
      <c r="H281" s="10">
        <v>0</v>
      </c>
      <c r="I281" s="6">
        <f>J281+K281</f>
        <v>0</v>
      </c>
      <c r="J281" s="4">
        <f>+G281+J216</f>
        <v>0</v>
      </c>
      <c r="K281" s="4">
        <f>+H281+K216</f>
        <v>0</v>
      </c>
      <c r="L281" s="33"/>
      <c r="M281" s="105">
        <v>5.9917999999999996</v>
      </c>
      <c r="N281" s="34">
        <f>M281*G281</f>
        <v>0</v>
      </c>
      <c r="O281" s="87">
        <f>M281*J281</f>
        <v>0</v>
      </c>
      <c r="P281" s="1196"/>
    </row>
    <row r="282" spans="2:16" x14ac:dyDescent="0.3">
      <c r="B282" s="1194"/>
      <c r="C282" s="35"/>
      <c r="D282" s="119" t="s">
        <v>55</v>
      </c>
      <c r="E282" s="99">
        <v>0</v>
      </c>
      <c r="F282" s="9">
        <f t="shared" ref="F282:F286" si="203">+G282+H282</f>
        <v>174116</v>
      </c>
      <c r="G282" s="9">
        <f>57500+115000</f>
        <v>172500</v>
      </c>
      <c r="H282" s="10">
        <f>774+842</f>
        <v>1616</v>
      </c>
      <c r="I282" s="6">
        <f t="shared" ref="I282:I286" si="204">J282+K282</f>
        <v>931077</v>
      </c>
      <c r="J282" s="4">
        <f t="shared" ref="J282:J286" si="205">+G282+J217</f>
        <v>923250</v>
      </c>
      <c r="K282" s="4">
        <f t="shared" ref="K282:K286" si="206">+H282+K217</f>
        <v>7827</v>
      </c>
      <c r="L282" s="33" t="e">
        <f t="shared" ref="L282" si="207">+J282/E282</f>
        <v>#DIV/0!</v>
      </c>
      <c r="M282" s="106">
        <v>2.3807999999999998</v>
      </c>
      <c r="N282" s="36">
        <f>G282*M282</f>
        <v>410687.99999999994</v>
      </c>
      <c r="O282" s="88">
        <f>M282*J282</f>
        <v>2198073.5999999996</v>
      </c>
      <c r="P282" s="1196"/>
    </row>
    <row r="283" spans="2:16" x14ac:dyDescent="0.3">
      <c r="B283" s="1194"/>
      <c r="C283" s="35"/>
      <c r="D283" s="119" t="s">
        <v>56</v>
      </c>
      <c r="E283" s="99">
        <v>0</v>
      </c>
      <c r="F283" s="9">
        <f t="shared" si="203"/>
        <v>0</v>
      </c>
      <c r="G283" s="9">
        <v>0</v>
      </c>
      <c r="H283" s="10">
        <v>0</v>
      </c>
      <c r="I283" s="6">
        <f t="shared" si="204"/>
        <v>0</v>
      </c>
      <c r="J283" s="4">
        <f t="shared" si="205"/>
        <v>0</v>
      </c>
      <c r="K283" s="4">
        <f t="shared" si="206"/>
        <v>0</v>
      </c>
      <c r="L283" s="33"/>
      <c r="M283" s="106">
        <v>2.1457999999999999</v>
      </c>
      <c r="N283" s="36">
        <f t="shared" ref="N283:N286" si="208">G283*M283</f>
        <v>0</v>
      </c>
      <c r="O283" s="88">
        <f>M283*J283</f>
        <v>0</v>
      </c>
      <c r="P283" s="1196"/>
    </row>
    <row r="284" spans="2:16" x14ac:dyDescent="0.3">
      <c r="B284" s="1194"/>
      <c r="C284" s="35"/>
      <c r="D284" s="119" t="s">
        <v>106</v>
      </c>
      <c r="E284" s="99">
        <v>0</v>
      </c>
      <c r="F284" s="9">
        <f t="shared" si="203"/>
        <v>0</v>
      </c>
      <c r="G284" s="9">
        <v>0</v>
      </c>
      <c r="H284" s="10">
        <v>0</v>
      </c>
      <c r="I284" s="6">
        <f t="shared" si="204"/>
        <v>0</v>
      </c>
      <c r="J284" s="4">
        <f t="shared" si="205"/>
        <v>0</v>
      </c>
      <c r="K284" s="4">
        <f t="shared" si="206"/>
        <v>0</v>
      </c>
      <c r="L284" s="33" t="e">
        <f t="shared" ref="L284:L285" si="209">+J284/E284</f>
        <v>#DIV/0!</v>
      </c>
      <c r="M284" s="143">
        <v>4.0426000000000002</v>
      </c>
      <c r="N284" s="36">
        <f t="shared" si="208"/>
        <v>0</v>
      </c>
      <c r="O284" s="88">
        <f>M284*J284</f>
        <v>0</v>
      </c>
      <c r="P284" s="1196"/>
    </row>
    <row r="285" spans="2:16" x14ac:dyDescent="0.3">
      <c r="B285" s="1194"/>
      <c r="C285" s="35"/>
      <c r="D285" s="119" t="s">
        <v>110</v>
      </c>
      <c r="E285" s="99">
        <v>0</v>
      </c>
      <c r="F285" s="9">
        <f t="shared" si="203"/>
        <v>0</v>
      </c>
      <c r="G285" s="9">
        <v>0</v>
      </c>
      <c r="H285" s="10">
        <v>0</v>
      </c>
      <c r="I285" s="6">
        <f t="shared" si="204"/>
        <v>0</v>
      </c>
      <c r="J285" s="4">
        <f t="shared" si="205"/>
        <v>0</v>
      </c>
      <c r="K285" s="4">
        <f t="shared" si="206"/>
        <v>0</v>
      </c>
      <c r="L285" s="33" t="e">
        <f t="shared" si="209"/>
        <v>#DIV/0!</v>
      </c>
      <c r="M285" s="143">
        <v>3.8715000000000002</v>
      </c>
      <c r="N285" s="36">
        <f t="shared" si="208"/>
        <v>0</v>
      </c>
      <c r="O285" s="88">
        <f t="shared" ref="O285:O286" si="210">M285*J285</f>
        <v>0</v>
      </c>
      <c r="P285" s="1196"/>
    </row>
    <row r="286" spans="2:16" ht="15" thickBot="1" x14ac:dyDescent="0.35">
      <c r="B286" s="1194"/>
      <c r="C286" s="82"/>
      <c r="D286" s="120" t="s">
        <v>57</v>
      </c>
      <c r="E286" s="108">
        <v>0</v>
      </c>
      <c r="F286" s="12">
        <f t="shared" si="203"/>
        <v>0</v>
      </c>
      <c r="G286" s="12">
        <v>0</v>
      </c>
      <c r="H286" s="13">
        <v>0</v>
      </c>
      <c r="I286" s="21">
        <f t="shared" si="204"/>
        <v>0</v>
      </c>
      <c r="J286" s="4">
        <f t="shared" si="205"/>
        <v>0</v>
      </c>
      <c r="K286" s="4">
        <f t="shared" si="206"/>
        <v>0</v>
      </c>
      <c r="L286" s="81"/>
      <c r="M286" s="127">
        <v>12.284700000000001</v>
      </c>
      <c r="N286" s="36">
        <f t="shared" si="208"/>
        <v>0</v>
      </c>
      <c r="O286" s="128">
        <f t="shared" si="210"/>
        <v>0</v>
      </c>
      <c r="P286" s="1196"/>
    </row>
    <row r="287" spans="2:16" ht="15" thickBot="1" x14ac:dyDescent="0.35">
      <c r="B287" s="1194"/>
      <c r="C287" s="1199" t="s">
        <v>104</v>
      </c>
      <c r="D287" s="1200"/>
      <c r="E287" s="129"/>
      <c r="F287" s="130">
        <f>SUM(F280:F286)</f>
        <v>217370</v>
      </c>
      <c r="G287" s="130">
        <f>SUM(G280:G286)</f>
        <v>214780</v>
      </c>
      <c r="H287" s="131">
        <f>SUM(H280:H286)</f>
        <v>2590</v>
      </c>
      <c r="I287" s="132">
        <f>+J287+K287</f>
        <v>1088145</v>
      </c>
      <c r="J287" s="133">
        <f>SUM(J280:J286)</f>
        <v>1078370</v>
      </c>
      <c r="K287" s="133">
        <f>SUM(K280:K286)</f>
        <v>9775</v>
      </c>
      <c r="L287" s="134"/>
      <c r="M287" s="135"/>
      <c r="N287" s="136"/>
      <c r="O287" s="137">
        <f>SUM(O280:O286)</f>
        <v>2409843.4239999996</v>
      </c>
      <c r="P287" s="1197"/>
    </row>
    <row r="288" spans="2:16" x14ac:dyDescent="0.3">
      <c r="B288" s="1194"/>
      <c r="C288" s="32"/>
      <c r="D288" s="118" t="s">
        <v>58</v>
      </c>
      <c r="E288" s="98">
        <v>0</v>
      </c>
      <c r="F288" s="4">
        <f t="shared" ref="F288:F291" si="211">+G288+H288</f>
        <v>0</v>
      </c>
      <c r="G288" s="4">
        <v>0</v>
      </c>
      <c r="H288" s="8">
        <v>0</v>
      </c>
      <c r="I288" s="6">
        <f t="shared" ref="I288:I292" si="212">J288+K288</f>
        <v>0</v>
      </c>
      <c r="J288" s="4">
        <f>G288+J223</f>
        <v>0</v>
      </c>
      <c r="K288" s="4">
        <f>H288+K223</f>
        <v>0</v>
      </c>
      <c r="L288" s="33" t="e">
        <f t="shared" ref="L288" si="213">+J288/E288</f>
        <v>#DIV/0!</v>
      </c>
      <c r="M288" s="105">
        <v>12.029500000000001</v>
      </c>
      <c r="N288" s="34">
        <f>M288*G288</f>
        <v>0</v>
      </c>
      <c r="O288" s="87">
        <f t="shared" ref="O288:O290" si="214">M288*J288</f>
        <v>0</v>
      </c>
      <c r="P288" s="1196"/>
    </row>
    <row r="289" spans="2:16" x14ac:dyDescent="0.3">
      <c r="B289" s="1194"/>
      <c r="C289" s="35"/>
      <c r="D289" s="119" t="s">
        <v>59</v>
      </c>
      <c r="E289" s="99">
        <v>0</v>
      </c>
      <c r="F289" s="9">
        <f t="shared" si="211"/>
        <v>0</v>
      </c>
      <c r="G289" s="9">
        <v>0</v>
      </c>
      <c r="H289" s="10">
        <v>0</v>
      </c>
      <c r="I289" s="6">
        <f t="shared" si="212"/>
        <v>0</v>
      </c>
      <c r="J289" s="4">
        <f>G289+J224</f>
        <v>0</v>
      </c>
      <c r="K289" s="4">
        <f>H289+K224</f>
        <v>0</v>
      </c>
      <c r="L289" s="33"/>
      <c r="M289" s="106">
        <v>0</v>
      </c>
      <c r="N289" s="36"/>
      <c r="O289" s="88">
        <f t="shared" si="214"/>
        <v>0</v>
      </c>
      <c r="P289" s="1196"/>
    </row>
    <row r="290" spans="2:16" x14ac:dyDescent="0.3">
      <c r="B290" s="1194"/>
      <c r="C290" s="35"/>
      <c r="D290" s="119" t="s">
        <v>97</v>
      </c>
      <c r="E290" s="99">
        <v>0</v>
      </c>
      <c r="F290" s="9">
        <f t="shared" si="211"/>
        <v>0</v>
      </c>
      <c r="G290" s="9">
        <v>0</v>
      </c>
      <c r="H290" s="10">
        <v>0</v>
      </c>
      <c r="I290" s="6">
        <f t="shared" si="212"/>
        <v>0</v>
      </c>
      <c r="J290" s="4">
        <f t="shared" ref="J290:J292" si="215">G290+J225</f>
        <v>0</v>
      </c>
      <c r="K290" s="4">
        <f t="shared" ref="K290:K292" si="216">H290+K225</f>
        <v>0</v>
      </c>
      <c r="L290" s="33" t="e">
        <f t="shared" ref="L290:L292" si="217">+J290/E290</f>
        <v>#DIV/0!</v>
      </c>
      <c r="M290" s="106">
        <v>19.688600000000001</v>
      </c>
      <c r="N290" s="36">
        <f>M290*G290</f>
        <v>0</v>
      </c>
      <c r="O290" s="88">
        <f t="shared" si="214"/>
        <v>0</v>
      </c>
      <c r="P290" s="1196"/>
    </row>
    <row r="291" spans="2:16" x14ac:dyDescent="0.3">
      <c r="B291" s="1194"/>
      <c r="C291" s="35"/>
      <c r="D291" s="119" t="s">
        <v>61</v>
      </c>
      <c r="E291" s="99">
        <v>0</v>
      </c>
      <c r="F291" s="9">
        <f t="shared" si="211"/>
        <v>0</v>
      </c>
      <c r="G291" s="9">
        <v>0</v>
      </c>
      <c r="H291" s="10">
        <v>0</v>
      </c>
      <c r="I291" s="6">
        <f t="shared" si="212"/>
        <v>0</v>
      </c>
      <c r="J291" s="4">
        <f t="shared" si="215"/>
        <v>0</v>
      </c>
      <c r="K291" s="4">
        <f t="shared" si="216"/>
        <v>0</v>
      </c>
      <c r="L291" s="33" t="e">
        <f t="shared" si="217"/>
        <v>#DIV/0!</v>
      </c>
      <c r="M291" s="106">
        <v>1.2824</v>
      </c>
      <c r="N291" s="151">
        <f>M291*G291</f>
        <v>0</v>
      </c>
      <c r="O291" s="88">
        <f>M291*J291</f>
        <v>0</v>
      </c>
      <c r="P291" s="1196"/>
    </row>
    <row r="292" spans="2:16" ht="15" thickBot="1" x14ac:dyDescent="0.35">
      <c r="B292" s="1194"/>
      <c r="C292" s="82"/>
      <c r="D292" s="120" t="s">
        <v>60</v>
      </c>
      <c r="E292" s="108">
        <v>0</v>
      </c>
      <c r="F292" s="12">
        <v>0</v>
      </c>
      <c r="G292" s="12">
        <v>0</v>
      </c>
      <c r="H292" s="13">
        <v>0</v>
      </c>
      <c r="I292" s="21">
        <f t="shared" si="212"/>
        <v>0</v>
      </c>
      <c r="J292" s="4">
        <f t="shared" si="215"/>
        <v>0</v>
      </c>
      <c r="K292" s="4">
        <f t="shared" si="216"/>
        <v>0</v>
      </c>
      <c r="L292" s="81" t="e">
        <f t="shared" si="217"/>
        <v>#DIV/0!</v>
      </c>
      <c r="M292" s="107">
        <v>18.2316</v>
      </c>
      <c r="N292" s="75"/>
      <c r="O292" s="89">
        <f t="shared" ref="O292" si="218">M292*J292</f>
        <v>0</v>
      </c>
      <c r="P292" s="1198"/>
    </row>
    <row r="293" spans="2:16" ht="15" thickBot="1" x14ac:dyDescent="0.35">
      <c r="B293" s="1178" t="s">
        <v>105</v>
      </c>
      <c r="C293" s="1179"/>
      <c r="D293" s="1179"/>
      <c r="E293" s="124"/>
      <c r="F293" s="125">
        <f>+G293+H293</f>
        <v>0</v>
      </c>
      <c r="G293" s="125">
        <f>SUM(G288:G292)</f>
        <v>0</v>
      </c>
      <c r="H293" s="126">
        <f>SUM(H288:H292)</f>
        <v>0</v>
      </c>
      <c r="I293" s="121">
        <f>J293+K293</f>
        <v>0</v>
      </c>
      <c r="J293" s="122">
        <f>SUM(J288:J292)</f>
        <v>0</v>
      </c>
      <c r="K293" s="123">
        <f>SUM(K288:K292)</f>
        <v>0</v>
      </c>
      <c r="L293" s="138"/>
      <c r="M293" s="139"/>
      <c r="N293" s="140"/>
      <c r="O293" s="141">
        <f>SUM(O288:O292)</f>
        <v>0</v>
      </c>
      <c r="P293" s="177"/>
    </row>
    <row r="294" spans="2:16" ht="15" thickBot="1" x14ac:dyDescent="0.35">
      <c r="B294" s="1178" t="s">
        <v>98</v>
      </c>
      <c r="C294" s="1179"/>
      <c r="D294" s="1179"/>
      <c r="E294" s="1201"/>
      <c r="F294" s="1201"/>
      <c r="G294" s="1201"/>
      <c r="H294" s="1201"/>
      <c r="I294" s="1179"/>
      <c r="J294" s="1179"/>
      <c r="K294" s="1179"/>
      <c r="L294" s="1179"/>
      <c r="M294" s="1179"/>
      <c r="N294" s="1202"/>
      <c r="O294" s="83">
        <f>O287+O293</f>
        <v>2409843.4239999996</v>
      </c>
      <c r="P294" s="177"/>
    </row>
    <row r="295" spans="2:16" x14ac:dyDescent="0.3">
      <c r="B295" s="1193" t="s">
        <v>62</v>
      </c>
      <c r="C295" s="37" t="s">
        <v>63</v>
      </c>
      <c r="D295" s="28" t="s">
        <v>64</v>
      </c>
      <c r="E295" s="38">
        <v>0</v>
      </c>
      <c r="F295" s="14">
        <f>+G295+H295</f>
        <v>0</v>
      </c>
      <c r="G295" s="14">
        <v>0</v>
      </c>
      <c r="H295" s="5">
        <v>0</v>
      </c>
      <c r="I295" s="17">
        <f t="shared" ref="I295:I301" si="219">J295+K295</f>
        <v>0</v>
      </c>
      <c r="J295" s="4">
        <f>G295+J230</f>
        <v>0</v>
      </c>
      <c r="K295" s="4">
        <f>H295+K230</f>
        <v>0</v>
      </c>
      <c r="L295" s="30" t="e">
        <f>+J295/E295</f>
        <v>#DIV/0!</v>
      </c>
      <c r="M295" s="146">
        <v>2.2141000000000002</v>
      </c>
      <c r="N295" s="15">
        <f>+M295*G295</f>
        <v>0</v>
      </c>
      <c r="O295" s="90">
        <f>+M295*J295</f>
        <v>0</v>
      </c>
      <c r="P295" s="1204"/>
    </row>
    <row r="296" spans="2:16" x14ac:dyDescent="0.3">
      <c r="B296" s="1194"/>
      <c r="C296" s="39"/>
      <c r="D296" s="22" t="s">
        <v>65</v>
      </c>
      <c r="E296" s="3">
        <v>0</v>
      </c>
      <c r="F296" s="9">
        <f t="shared" ref="F296:F301" si="220">+G296+H296</f>
        <v>0</v>
      </c>
      <c r="G296" s="4">
        <v>0</v>
      </c>
      <c r="H296" s="8">
        <v>0</v>
      </c>
      <c r="I296" s="6">
        <f t="shared" si="219"/>
        <v>0</v>
      </c>
      <c r="J296" s="4">
        <f>+G296+J231</f>
        <v>0</v>
      </c>
      <c r="K296" s="4">
        <f>+H296+K231</f>
        <v>0</v>
      </c>
      <c r="L296" s="40" t="e">
        <f t="shared" ref="L296:L297" si="221">+J296/E296</f>
        <v>#DIV/0!</v>
      </c>
      <c r="M296" s="145">
        <v>2.4565999999999999</v>
      </c>
      <c r="N296" s="11">
        <f t="shared" ref="N296:N298" si="222">+M296*G296</f>
        <v>0</v>
      </c>
      <c r="O296" s="91">
        <f t="shared" ref="O296:O298" si="223">+M296*J296</f>
        <v>0</v>
      </c>
      <c r="P296" s="1205"/>
    </row>
    <row r="297" spans="2:16" x14ac:dyDescent="0.3">
      <c r="B297" s="1194"/>
      <c r="C297" s="39"/>
      <c r="D297" s="23" t="s">
        <v>126</v>
      </c>
      <c r="E297" s="3">
        <v>0</v>
      </c>
      <c r="F297" s="9">
        <f t="shared" si="220"/>
        <v>0</v>
      </c>
      <c r="G297" s="4">
        <v>0</v>
      </c>
      <c r="H297" s="8">
        <v>0</v>
      </c>
      <c r="I297" s="6">
        <f t="shared" si="219"/>
        <v>0</v>
      </c>
      <c r="J297" s="4">
        <f t="shared" ref="J297:J301" si="224">+G297+J232</f>
        <v>0</v>
      </c>
      <c r="K297" s="4">
        <f t="shared" ref="K297:K301" si="225">+H297+K232</f>
        <v>0</v>
      </c>
      <c r="L297" s="40" t="e">
        <f t="shared" si="221"/>
        <v>#DIV/0!</v>
      </c>
      <c r="M297" s="145">
        <v>2.2907000000000002</v>
      </c>
      <c r="N297" s="11">
        <f t="shared" si="222"/>
        <v>0</v>
      </c>
      <c r="O297" s="91">
        <f t="shared" si="223"/>
        <v>0</v>
      </c>
      <c r="P297" s="1205"/>
    </row>
    <row r="298" spans="2:16" x14ac:dyDescent="0.3">
      <c r="B298" s="1194"/>
      <c r="C298" s="39"/>
      <c r="D298" s="22" t="s">
        <v>131</v>
      </c>
      <c r="E298" s="3"/>
      <c r="F298" s="9">
        <f t="shared" si="220"/>
        <v>0</v>
      </c>
      <c r="G298" s="4">
        <v>0</v>
      </c>
      <c r="H298" s="8">
        <v>0</v>
      </c>
      <c r="I298" s="6">
        <f t="shared" si="219"/>
        <v>0</v>
      </c>
      <c r="J298" s="4">
        <f t="shared" si="224"/>
        <v>0</v>
      </c>
      <c r="K298" s="4">
        <f t="shared" si="225"/>
        <v>0</v>
      </c>
      <c r="L298" s="33"/>
      <c r="M298" s="150">
        <v>2.544</v>
      </c>
      <c r="N298" s="11">
        <f t="shared" si="222"/>
        <v>0</v>
      </c>
      <c r="O298" s="91">
        <f t="shared" si="223"/>
        <v>0</v>
      </c>
      <c r="P298" s="1205"/>
    </row>
    <row r="299" spans="2:16" x14ac:dyDescent="0.3">
      <c r="B299" s="1194"/>
      <c r="C299" s="39" t="s">
        <v>66</v>
      </c>
      <c r="D299" s="22" t="s">
        <v>133</v>
      </c>
      <c r="E299" s="3">
        <v>0</v>
      </c>
      <c r="F299" s="9">
        <f t="shared" si="220"/>
        <v>78150</v>
      </c>
      <c r="G299" s="4">
        <v>76500</v>
      </c>
      <c r="H299" s="8">
        <v>1650</v>
      </c>
      <c r="I299" s="6">
        <f t="shared" si="219"/>
        <v>172032</v>
      </c>
      <c r="J299" s="4">
        <f t="shared" si="224"/>
        <v>167250</v>
      </c>
      <c r="K299" s="4">
        <f t="shared" si="225"/>
        <v>4782</v>
      </c>
      <c r="L299" s="33" t="e">
        <f>+J299/E299</f>
        <v>#DIV/0!</v>
      </c>
      <c r="M299" s="144">
        <v>2.2141000000000002</v>
      </c>
      <c r="N299" s="7">
        <f>+M299*G299</f>
        <v>169378.65000000002</v>
      </c>
      <c r="O299" s="85">
        <f>+M299*J299</f>
        <v>370308.22500000003</v>
      </c>
      <c r="P299" s="1205"/>
    </row>
    <row r="300" spans="2:16" x14ac:dyDescent="0.3">
      <c r="B300" s="1194"/>
      <c r="C300" s="39"/>
      <c r="D300" s="22" t="s">
        <v>65</v>
      </c>
      <c r="E300" s="3">
        <v>0</v>
      </c>
      <c r="F300" s="9">
        <f t="shared" si="220"/>
        <v>0</v>
      </c>
      <c r="G300" s="4">
        <v>0</v>
      </c>
      <c r="H300" s="8">
        <v>0</v>
      </c>
      <c r="I300" s="6">
        <f t="shared" si="219"/>
        <v>0</v>
      </c>
      <c r="J300" s="4">
        <f t="shared" si="224"/>
        <v>0</v>
      </c>
      <c r="K300" s="4">
        <f t="shared" si="225"/>
        <v>0</v>
      </c>
      <c r="L300" s="40" t="e">
        <f t="shared" ref="L300:L301" si="226">+J300/E300</f>
        <v>#DIV/0!</v>
      </c>
      <c r="M300" s="145">
        <v>2.4565999999999999</v>
      </c>
      <c r="N300" s="11">
        <f t="shared" ref="N300:N301" si="227">+M300*G300</f>
        <v>0</v>
      </c>
      <c r="O300" s="91">
        <f t="shared" ref="O300" si="228">+M300*J300</f>
        <v>0</v>
      </c>
      <c r="P300" s="1205"/>
    </row>
    <row r="301" spans="2:16" ht="15" thickBot="1" x14ac:dyDescent="0.35">
      <c r="B301" s="1194"/>
      <c r="C301" s="39"/>
      <c r="D301" s="22" t="s">
        <v>126</v>
      </c>
      <c r="E301" s="3">
        <v>0</v>
      </c>
      <c r="F301" s="9">
        <f t="shared" si="220"/>
        <v>0</v>
      </c>
      <c r="G301" s="4">
        <v>0</v>
      </c>
      <c r="H301" s="8">
        <v>0</v>
      </c>
      <c r="I301" s="6">
        <f t="shared" si="219"/>
        <v>0</v>
      </c>
      <c r="J301" s="4">
        <f t="shared" si="224"/>
        <v>0</v>
      </c>
      <c r="K301" s="4">
        <f t="shared" si="225"/>
        <v>0</v>
      </c>
      <c r="L301" s="40" t="e">
        <f t="shared" si="226"/>
        <v>#DIV/0!</v>
      </c>
      <c r="M301" s="145">
        <v>2.2907000000000002</v>
      </c>
      <c r="N301" s="11">
        <f t="shared" si="227"/>
        <v>0</v>
      </c>
      <c r="O301" s="154">
        <f>+M301*J301</f>
        <v>0</v>
      </c>
      <c r="P301" s="1206"/>
    </row>
    <row r="302" spans="2:16" ht="15" thickBot="1" x14ac:dyDescent="0.35">
      <c r="B302" s="1194"/>
      <c r="C302" s="41" t="s">
        <v>29</v>
      </c>
      <c r="D302" s="27" t="str">
        <f>+C302</f>
        <v>TOTAL 1/2</v>
      </c>
      <c r="E302" s="42">
        <f>SUM(E295:E301)</f>
        <v>0</v>
      </c>
      <c r="F302" s="43">
        <f>SUM(F295:F301)</f>
        <v>78150</v>
      </c>
      <c r="G302" s="43">
        <f>SUM(G295:G301)</f>
        <v>76500</v>
      </c>
      <c r="H302" s="44">
        <f>SUM(H295:H301)</f>
        <v>1650</v>
      </c>
      <c r="I302" s="45">
        <f>SUM(I299:I301)</f>
        <v>172032</v>
      </c>
      <c r="J302" s="43">
        <f>SUM(J295:J301)</f>
        <v>167250</v>
      </c>
      <c r="K302" s="43">
        <f>SUM(K295:K301)</f>
        <v>4782</v>
      </c>
      <c r="L302" s="46" t="e">
        <f>+J302/E302</f>
        <v>#DIV/0!</v>
      </c>
      <c r="M302" s="47"/>
      <c r="N302" s="48">
        <f>SUM(N299:N301)</f>
        <v>169378.65000000002</v>
      </c>
      <c r="O302" s="49">
        <f>SUM(O295:O301)</f>
        <v>370308.22500000003</v>
      </c>
      <c r="P302" s="178"/>
    </row>
    <row r="303" spans="2:16" x14ac:dyDescent="0.3">
      <c r="B303" s="1194"/>
      <c r="C303" s="1207" t="s">
        <v>67</v>
      </c>
      <c r="D303" s="22" t="s">
        <v>64</v>
      </c>
      <c r="E303" s="3">
        <v>0</v>
      </c>
      <c r="F303" s="4">
        <f>G303+H303</f>
        <v>0</v>
      </c>
      <c r="G303" s="4">
        <v>0</v>
      </c>
      <c r="H303" s="8">
        <v>0</v>
      </c>
      <c r="I303" s="16">
        <f>J303+K303</f>
        <v>109220</v>
      </c>
      <c r="J303" s="4">
        <f>G303+J238</f>
        <v>105750</v>
      </c>
      <c r="K303" s="4">
        <f>H303+K238</f>
        <v>3470</v>
      </c>
      <c r="L303" s="50" t="e">
        <f>+J303/E303</f>
        <v>#DIV/0!</v>
      </c>
      <c r="M303" s="144">
        <v>4.1712999999999996</v>
      </c>
      <c r="N303" s="7">
        <f>+M303*G303</f>
        <v>0</v>
      </c>
      <c r="O303" s="93">
        <f>+M303*J303</f>
        <v>441114.97499999998</v>
      </c>
      <c r="P303" s="1204"/>
    </row>
    <row r="304" spans="2:16" x14ac:dyDescent="0.3">
      <c r="B304" s="1194"/>
      <c r="C304" s="1208"/>
      <c r="D304" s="22" t="s">
        <v>65</v>
      </c>
      <c r="E304" s="3">
        <v>0</v>
      </c>
      <c r="F304" s="4">
        <f>G304+H304</f>
        <v>0</v>
      </c>
      <c r="G304" s="4">
        <v>0</v>
      </c>
      <c r="H304" s="8">
        <v>0</v>
      </c>
      <c r="I304" s="6">
        <f>+R1348+F304</f>
        <v>0</v>
      </c>
      <c r="J304" s="4">
        <f>G304+J239</f>
        <v>120000</v>
      </c>
      <c r="K304" s="4">
        <f>H304+K239</f>
        <v>3230</v>
      </c>
      <c r="L304" s="51" t="e">
        <f t="shared" ref="L304:L308" si="229">+J304/E304</f>
        <v>#DIV/0!</v>
      </c>
      <c r="M304" s="145">
        <v>4.8285999999999998</v>
      </c>
      <c r="N304" s="11">
        <f t="shared" ref="N304:N306" si="230">+M304*G304</f>
        <v>0</v>
      </c>
      <c r="O304" s="94">
        <f t="shared" ref="O304:O306" si="231">+M304*J304</f>
        <v>579432</v>
      </c>
      <c r="P304" s="1205"/>
    </row>
    <row r="305" spans="2:16" x14ac:dyDescent="0.3">
      <c r="B305" s="1194"/>
      <c r="C305" s="1208"/>
      <c r="D305" s="22" t="s">
        <v>127</v>
      </c>
      <c r="E305" s="3"/>
      <c r="F305" s="4">
        <f>G305+H305</f>
        <v>0</v>
      </c>
      <c r="G305" s="4">
        <v>0</v>
      </c>
      <c r="H305" s="8">
        <v>0</v>
      </c>
      <c r="I305" s="6">
        <f>+R1349+F305</f>
        <v>0</v>
      </c>
      <c r="J305" s="4">
        <f t="shared" ref="J305:J306" si="232">G305+J240</f>
        <v>0</v>
      </c>
      <c r="K305" s="4">
        <f t="shared" ref="K305:K306" si="233">H305+K240</f>
        <v>0</v>
      </c>
      <c r="L305" s="51" t="e">
        <f t="shared" si="229"/>
        <v>#DIV/0!</v>
      </c>
      <c r="M305" s="144">
        <v>4.5023</v>
      </c>
      <c r="N305" s="11">
        <f t="shared" si="230"/>
        <v>0</v>
      </c>
      <c r="O305" s="94">
        <f t="shared" si="231"/>
        <v>0</v>
      </c>
      <c r="P305" s="1205"/>
    </row>
    <row r="306" spans="2:16" ht="15" thickBot="1" x14ac:dyDescent="0.35">
      <c r="B306" s="1194"/>
      <c r="C306" s="1208"/>
      <c r="D306" s="22" t="s">
        <v>111</v>
      </c>
      <c r="E306" s="3">
        <v>0</v>
      </c>
      <c r="F306" s="4">
        <f t="shared" ref="F306" si="234">G306+H306</f>
        <v>0</v>
      </c>
      <c r="G306" s="4">
        <v>0</v>
      </c>
      <c r="H306" s="8">
        <v>0</v>
      </c>
      <c r="I306" s="6">
        <f>+R1349+F306</f>
        <v>0</v>
      </c>
      <c r="J306" s="4">
        <f t="shared" si="232"/>
        <v>0</v>
      </c>
      <c r="K306" s="4">
        <f t="shared" si="233"/>
        <v>0</v>
      </c>
      <c r="L306" s="51" t="e">
        <f t="shared" si="229"/>
        <v>#DIV/0!</v>
      </c>
      <c r="M306" s="144">
        <v>4.4065000000000003</v>
      </c>
      <c r="N306" s="11">
        <f t="shared" si="230"/>
        <v>0</v>
      </c>
      <c r="O306" s="94">
        <f t="shared" si="231"/>
        <v>0</v>
      </c>
      <c r="P306" s="1205"/>
    </row>
    <row r="307" spans="2:16" ht="15" thickBot="1" x14ac:dyDescent="0.35">
      <c r="B307" s="1194"/>
      <c r="C307" s="41" t="s">
        <v>31</v>
      </c>
      <c r="D307" s="18" t="str">
        <f>+C307</f>
        <v>TOTAL 4/4</v>
      </c>
      <c r="E307" s="42">
        <f t="shared" ref="E307:K307" si="235">SUM(E303:E306)</f>
        <v>0</v>
      </c>
      <c r="F307" s="43">
        <f t="shared" si="235"/>
        <v>0</v>
      </c>
      <c r="G307" s="43">
        <f t="shared" si="235"/>
        <v>0</v>
      </c>
      <c r="H307" s="44">
        <f t="shared" si="235"/>
        <v>0</v>
      </c>
      <c r="I307" s="45">
        <f t="shared" si="235"/>
        <v>109220</v>
      </c>
      <c r="J307" s="43">
        <f t="shared" si="235"/>
        <v>225750</v>
      </c>
      <c r="K307" s="43">
        <f t="shared" si="235"/>
        <v>6700</v>
      </c>
      <c r="L307" s="46" t="e">
        <f t="shared" si="229"/>
        <v>#DIV/0!</v>
      </c>
      <c r="M307" s="47"/>
      <c r="N307" s="48">
        <f>SUM(N303:N306)</f>
        <v>0</v>
      </c>
      <c r="O307" s="92">
        <f>SUM(O303:O306)</f>
        <v>1020546.975</v>
      </c>
      <c r="P307" s="1206"/>
    </row>
    <row r="308" spans="2:16" ht="15" thickBot="1" x14ac:dyDescent="0.35">
      <c r="B308" s="1203"/>
      <c r="C308" s="41" t="s">
        <v>68</v>
      </c>
      <c r="D308" s="27" t="s">
        <v>64</v>
      </c>
      <c r="E308" s="25">
        <v>0</v>
      </c>
      <c r="F308" s="20">
        <f>G308+H308</f>
        <v>0</v>
      </c>
      <c r="G308" s="20">
        <v>0</v>
      </c>
      <c r="H308" s="24">
        <v>0</v>
      </c>
      <c r="I308" s="19">
        <f>J308+K308</f>
        <v>0</v>
      </c>
      <c r="J308" s="4">
        <f>G308+J243</f>
        <v>0</v>
      </c>
      <c r="K308" s="4">
        <f>H308+K243</f>
        <v>0</v>
      </c>
      <c r="L308" s="52" t="e">
        <f t="shared" si="229"/>
        <v>#DIV/0!</v>
      </c>
      <c r="M308" s="149">
        <v>1.4086000000000001</v>
      </c>
      <c r="N308" s="26">
        <f t="shared" ref="N308" si="236">+M308*G308</f>
        <v>0</v>
      </c>
      <c r="O308" s="95">
        <f t="shared" ref="O308" si="237">+M308*J308</f>
        <v>0</v>
      </c>
      <c r="P308" s="53"/>
    </row>
    <row r="309" spans="2:16" ht="15" thickBot="1" x14ac:dyDescent="0.35">
      <c r="B309" s="1178" t="s">
        <v>95</v>
      </c>
      <c r="C309" s="1179"/>
      <c r="D309" s="1179"/>
      <c r="E309" s="1179"/>
      <c r="F309" s="1179"/>
      <c r="G309" s="1179"/>
      <c r="H309" s="1179"/>
      <c r="I309" s="110">
        <f>J309+K309</f>
        <v>404482</v>
      </c>
      <c r="J309" s="110">
        <f>J302+J307+J308</f>
        <v>393000</v>
      </c>
      <c r="K309" s="110">
        <f>K302+K307+K308</f>
        <v>11482</v>
      </c>
      <c r="L309" s="111"/>
      <c r="M309" s="112"/>
      <c r="N309" s="109"/>
      <c r="O309" s="77">
        <f>+O308+O307+O302</f>
        <v>1390855.2</v>
      </c>
      <c r="P309" s="84"/>
    </row>
    <row r="310" spans="2:16" x14ac:dyDescent="0.3">
      <c r="B310" s="1180" t="s">
        <v>69</v>
      </c>
      <c r="C310" s="1183" t="s">
        <v>70</v>
      </c>
      <c r="D310" s="54" t="s">
        <v>71</v>
      </c>
      <c r="E310" s="55">
        <v>0</v>
      </c>
      <c r="F310" s="56">
        <f>G310+H310</f>
        <v>0</v>
      </c>
      <c r="G310" s="56">
        <v>0</v>
      </c>
      <c r="H310" s="57">
        <v>0</v>
      </c>
      <c r="I310" s="78">
        <f>J310+K310</f>
        <v>0</v>
      </c>
      <c r="J310" s="4">
        <f>G310+J245</f>
        <v>0</v>
      </c>
      <c r="K310" s="4">
        <f>H310+K245</f>
        <v>0</v>
      </c>
      <c r="L310" s="58" t="e">
        <f t="shared" ref="L310" si="238">+J310/E310</f>
        <v>#DIV/0!</v>
      </c>
      <c r="M310" s="59">
        <v>32.946300000000001</v>
      </c>
      <c r="N310" s="60">
        <f>+M310*G310</f>
        <v>0</v>
      </c>
      <c r="O310" s="60">
        <f>M310*J310</f>
        <v>0</v>
      </c>
      <c r="P310" s="1185"/>
    </row>
    <row r="311" spans="2:16" x14ac:dyDescent="0.3">
      <c r="B311" s="1181"/>
      <c r="C311" s="1184"/>
      <c r="D311" s="61" t="s">
        <v>72</v>
      </c>
      <c r="E311" s="62">
        <v>0</v>
      </c>
      <c r="F311" s="63">
        <f>G311+H311</f>
        <v>5070</v>
      </c>
      <c r="G311" s="63">
        <v>5000</v>
      </c>
      <c r="H311" s="64">
        <v>70</v>
      </c>
      <c r="I311" s="79">
        <f>J311+K311</f>
        <v>10150</v>
      </c>
      <c r="J311" s="4">
        <f>G311+J246</f>
        <v>10000</v>
      </c>
      <c r="K311" s="4">
        <f>H311+K246</f>
        <v>150</v>
      </c>
      <c r="L311" s="65" t="e">
        <f>+J311/E311</f>
        <v>#DIV/0!</v>
      </c>
      <c r="M311" s="66">
        <v>35.398400000000002</v>
      </c>
      <c r="N311" s="67">
        <f>+M311*G311</f>
        <v>176992</v>
      </c>
      <c r="O311" s="67">
        <f>M311*J311</f>
        <v>353984</v>
      </c>
      <c r="P311" s="1186"/>
    </row>
    <row r="312" spans="2:16" x14ac:dyDescent="0.3">
      <c r="B312" s="1181"/>
      <c r="C312" s="1184"/>
      <c r="D312" s="61" t="s">
        <v>73</v>
      </c>
      <c r="E312" s="62">
        <v>0</v>
      </c>
      <c r="F312" s="63">
        <f t="shared" ref="F312:F315" si="239">G312+H312</f>
        <v>0</v>
      </c>
      <c r="G312" s="63">
        <v>0</v>
      </c>
      <c r="H312" s="64">
        <v>0</v>
      </c>
      <c r="I312" s="79">
        <f t="shared" ref="I312:I321" si="240">J312+K312</f>
        <v>0</v>
      </c>
      <c r="J312" s="4">
        <f t="shared" ref="J312:J337" si="241">G312+J247</f>
        <v>0</v>
      </c>
      <c r="K312" s="4">
        <f t="shared" ref="K312:K316" si="242">H312+K247</f>
        <v>0</v>
      </c>
      <c r="L312" s="65" t="e">
        <f t="shared" ref="L312:L325" si="243">+J312/E312</f>
        <v>#DIV/0!</v>
      </c>
      <c r="M312" s="66">
        <v>32.946300000000001</v>
      </c>
      <c r="N312" s="67">
        <f t="shared" ref="N312:N332" si="244">+M312*G312</f>
        <v>0</v>
      </c>
      <c r="O312" s="67">
        <f t="shared" ref="O312:O320" si="245">M312*J312</f>
        <v>0</v>
      </c>
      <c r="P312" s="1186"/>
    </row>
    <row r="313" spans="2:16" x14ac:dyDescent="0.3">
      <c r="B313" s="1181"/>
      <c r="C313" s="1184" t="s">
        <v>74</v>
      </c>
      <c r="D313" s="61" t="s">
        <v>75</v>
      </c>
      <c r="E313" s="62">
        <v>0</v>
      </c>
      <c r="F313" s="63">
        <f t="shared" si="239"/>
        <v>0</v>
      </c>
      <c r="G313" s="63">
        <v>0</v>
      </c>
      <c r="H313" s="64">
        <v>0</v>
      </c>
      <c r="I313" s="79">
        <f t="shared" si="240"/>
        <v>4976</v>
      </c>
      <c r="J313" s="4">
        <f t="shared" si="241"/>
        <v>4800</v>
      </c>
      <c r="K313" s="4">
        <f t="shared" si="242"/>
        <v>176</v>
      </c>
      <c r="L313" s="65" t="e">
        <f t="shared" si="243"/>
        <v>#DIV/0!</v>
      </c>
      <c r="M313" s="66">
        <v>55.4758</v>
      </c>
      <c r="N313" s="67">
        <f t="shared" si="244"/>
        <v>0</v>
      </c>
      <c r="O313" s="67">
        <f t="shared" si="245"/>
        <v>266283.84000000003</v>
      </c>
      <c r="P313" s="1186"/>
    </row>
    <row r="314" spans="2:16" x14ac:dyDescent="0.3">
      <c r="B314" s="1181"/>
      <c r="C314" s="1184"/>
      <c r="D314" s="61" t="s">
        <v>134</v>
      </c>
      <c r="E314" s="62">
        <v>0</v>
      </c>
      <c r="F314" s="63">
        <f t="shared" si="239"/>
        <v>0</v>
      </c>
      <c r="G314" s="63">
        <v>0</v>
      </c>
      <c r="H314" s="64">
        <v>0</v>
      </c>
      <c r="I314" s="79">
        <f t="shared" si="240"/>
        <v>0</v>
      </c>
      <c r="J314" s="4">
        <f t="shared" si="241"/>
        <v>0</v>
      </c>
      <c r="K314" s="4">
        <f t="shared" si="242"/>
        <v>0</v>
      </c>
      <c r="L314" s="65" t="e">
        <f t="shared" si="243"/>
        <v>#DIV/0!</v>
      </c>
      <c r="M314" s="66">
        <v>53.515999999999998</v>
      </c>
      <c r="N314" s="67">
        <f t="shared" si="244"/>
        <v>0</v>
      </c>
      <c r="O314" s="67">
        <f t="shared" si="245"/>
        <v>0</v>
      </c>
      <c r="P314" s="1186"/>
    </row>
    <row r="315" spans="2:16" x14ac:dyDescent="0.3">
      <c r="B315" s="1181"/>
      <c r="C315" s="1184"/>
      <c r="D315" s="61" t="s">
        <v>72</v>
      </c>
      <c r="E315" s="62">
        <v>0</v>
      </c>
      <c r="F315" s="63">
        <f t="shared" si="239"/>
        <v>2440</v>
      </c>
      <c r="G315" s="63">
        <v>2400</v>
      </c>
      <c r="H315" s="64">
        <v>40</v>
      </c>
      <c r="I315" s="79">
        <f t="shared" si="240"/>
        <v>2440</v>
      </c>
      <c r="J315" s="4">
        <f t="shared" si="241"/>
        <v>2400</v>
      </c>
      <c r="K315" s="4">
        <f t="shared" si="242"/>
        <v>40</v>
      </c>
      <c r="L315" s="65" t="e">
        <f t="shared" si="243"/>
        <v>#DIV/0!</v>
      </c>
      <c r="M315" s="66">
        <v>58.836300000000001</v>
      </c>
      <c r="N315" s="67">
        <f t="shared" si="244"/>
        <v>141207.12</v>
      </c>
      <c r="O315" s="67">
        <f t="shared" si="245"/>
        <v>141207.12</v>
      </c>
      <c r="P315" s="1186"/>
    </row>
    <row r="316" spans="2:16" x14ac:dyDescent="0.3">
      <c r="B316" s="1181"/>
      <c r="C316" s="1188" t="s">
        <v>76</v>
      </c>
      <c r="D316" s="61" t="s">
        <v>77</v>
      </c>
      <c r="E316" s="62">
        <v>0</v>
      </c>
      <c r="F316" s="63">
        <f>G316+H316</f>
        <v>0</v>
      </c>
      <c r="G316" s="63">
        <v>0</v>
      </c>
      <c r="H316" s="64">
        <v>0</v>
      </c>
      <c r="I316" s="79">
        <f t="shared" si="240"/>
        <v>3675</v>
      </c>
      <c r="J316" s="4">
        <f t="shared" si="241"/>
        <v>3575</v>
      </c>
      <c r="K316" s="4">
        <f t="shared" si="242"/>
        <v>100</v>
      </c>
      <c r="L316" s="65" t="e">
        <f t="shared" si="243"/>
        <v>#DIV/0!</v>
      </c>
      <c r="M316" s="66">
        <v>25.687200000000001</v>
      </c>
      <c r="N316" s="67">
        <f t="shared" si="244"/>
        <v>0</v>
      </c>
      <c r="O316" s="67">
        <f t="shared" si="245"/>
        <v>91831.74</v>
      </c>
      <c r="P316" s="1186"/>
    </row>
    <row r="317" spans="2:16" x14ac:dyDescent="0.3">
      <c r="B317" s="1181"/>
      <c r="C317" s="1189"/>
      <c r="D317" s="61" t="s">
        <v>117</v>
      </c>
      <c r="E317" s="62">
        <v>0</v>
      </c>
      <c r="F317" s="63">
        <f>G317+H317</f>
        <v>0</v>
      </c>
      <c r="G317" s="63">
        <v>0</v>
      </c>
      <c r="H317" s="64">
        <v>0</v>
      </c>
      <c r="I317" s="79">
        <f t="shared" si="240"/>
        <v>0</v>
      </c>
      <c r="J317" s="4">
        <f t="shared" si="241"/>
        <v>0</v>
      </c>
      <c r="K317" s="4">
        <f>H317+K252</f>
        <v>0</v>
      </c>
      <c r="L317" s="65" t="e">
        <f t="shared" si="243"/>
        <v>#DIV/0!</v>
      </c>
      <c r="M317" s="66">
        <v>25.033899999999999</v>
      </c>
      <c r="N317" s="67">
        <f t="shared" si="244"/>
        <v>0</v>
      </c>
      <c r="O317" s="67">
        <f t="shared" si="245"/>
        <v>0</v>
      </c>
      <c r="P317" s="1186"/>
    </row>
    <row r="318" spans="2:16" x14ac:dyDescent="0.3">
      <c r="B318" s="1181"/>
      <c r="C318" s="1188" t="s">
        <v>78</v>
      </c>
      <c r="D318" s="61" t="s">
        <v>79</v>
      </c>
      <c r="E318" s="62">
        <v>0</v>
      </c>
      <c r="F318" s="63">
        <f t="shared" ref="F318:F337" si="246">G318+H318</f>
        <v>0</v>
      </c>
      <c r="G318" s="63">
        <v>0</v>
      </c>
      <c r="H318" s="64">
        <v>0</v>
      </c>
      <c r="I318" s="79">
        <f t="shared" si="240"/>
        <v>8113</v>
      </c>
      <c r="J318" s="4">
        <f t="shared" si="241"/>
        <v>8000</v>
      </c>
      <c r="K318" s="4">
        <f t="shared" ref="K318:K337" si="247">H318+K253</f>
        <v>113</v>
      </c>
      <c r="L318" s="65" t="e">
        <f t="shared" si="243"/>
        <v>#DIV/0!</v>
      </c>
      <c r="M318" s="66">
        <v>41.992699999999999</v>
      </c>
      <c r="N318" s="67">
        <f t="shared" si="244"/>
        <v>0</v>
      </c>
      <c r="O318" s="67">
        <f t="shared" si="245"/>
        <v>335941.6</v>
      </c>
      <c r="P318" s="1186"/>
    </row>
    <row r="319" spans="2:16" x14ac:dyDescent="0.3">
      <c r="B319" s="1181"/>
      <c r="C319" s="1189"/>
      <c r="D319" s="61" t="s">
        <v>72</v>
      </c>
      <c r="E319" s="62">
        <v>0</v>
      </c>
      <c r="F319" s="63">
        <f t="shared" si="246"/>
        <v>0</v>
      </c>
      <c r="G319" s="63">
        <v>0</v>
      </c>
      <c r="H319" s="64">
        <v>0</v>
      </c>
      <c r="I319" s="79">
        <f t="shared" si="240"/>
        <v>0</v>
      </c>
      <c r="J319" s="4">
        <f t="shared" si="241"/>
        <v>0</v>
      </c>
      <c r="K319" s="4">
        <f t="shared" si="247"/>
        <v>0</v>
      </c>
      <c r="L319" s="65" t="e">
        <f t="shared" si="243"/>
        <v>#DIV/0!</v>
      </c>
      <c r="M319" s="66">
        <v>42.283799999999999</v>
      </c>
      <c r="N319" s="67">
        <f t="shared" si="244"/>
        <v>0</v>
      </c>
      <c r="O319" s="67">
        <f t="shared" si="245"/>
        <v>0</v>
      </c>
      <c r="P319" s="1186"/>
    </row>
    <row r="320" spans="2:16" x14ac:dyDescent="0.3">
      <c r="B320" s="1181"/>
      <c r="C320" s="176" t="s">
        <v>80</v>
      </c>
      <c r="D320" s="61" t="s">
        <v>81</v>
      </c>
      <c r="E320" s="62">
        <v>0</v>
      </c>
      <c r="F320" s="63">
        <f t="shared" si="246"/>
        <v>10898</v>
      </c>
      <c r="G320" s="63">
        <v>10500</v>
      </c>
      <c r="H320" s="64">
        <v>398</v>
      </c>
      <c r="I320" s="79">
        <f t="shared" si="240"/>
        <v>10898</v>
      </c>
      <c r="J320" s="4">
        <f t="shared" si="241"/>
        <v>10500</v>
      </c>
      <c r="K320" s="4">
        <f t="shared" si="247"/>
        <v>398</v>
      </c>
      <c r="L320" s="65" t="e">
        <f t="shared" si="243"/>
        <v>#DIV/0!</v>
      </c>
      <c r="M320" s="66">
        <v>4.3535000000000004</v>
      </c>
      <c r="N320" s="67">
        <f t="shared" si="244"/>
        <v>45711.750000000007</v>
      </c>
      <c r="O320" s="67">
        <f t="shared" si="245"/>
        <v>45711.750000000007</v>
      </c>
      <c r="P320" s="1186"/>
    </row>
    <row r="321" spans="2:16" x14ac:dyDescent="0.3">
      <c r="B321" s="1181"/>
      <c r="C321" s="1184" t="s">
        <v>82</v>
      </c>
      <c r="D321" s="61" t="s">
        <v>77</v>
      </c>
      <c r="E321" s="62">
        <v>0</v>
      </c>
      <c r="F321" s="63">
        <f t="shared" si="246"/>
        <v>0</v>
      </c>
      <c r="G321" s="63">
        <v>0</v>
      </c>
      <c r="H321" s="64">
        <v>0</v>
      </c>
      <c r="I321" s="79">
        <f t="shared" si="240"/>
        <v>0</v>
      </c>
      <c r="J321" s="4">
        <f t="shared" si="241"/>
        <v>0</v>
      </c>
      <c r="K321" s="4">
        <f t="shared" si="247"/>
        <v>0</v>
      </c>
      <c r="L321" s="65" t="e">
        <f t="shared" si="243"/>
        <v>#DIV/0!</v>
      </c>
      <c r="M321" s="66">
        <v>4.6184000000000003</v>
      </c>
      <c r="N321" s="67">
        <f t="shared" si="244"/>
        <v>0</v>
      </c>
      <c r="O321" s="67">
        <f>M321*J321</f>
        <v>0</v>
      </c>
      <c r="P321" s="1186"/>
    </row>
    <row r="322" spans="2:16" x14ac:dyDescent="0.3">
      <c r="B322" s="1181"/>
      <c r="C322" s="1184"/>
      <c r="D322" s="61" t="s">
        <v>119</v>
      </c>
      <c r="E322" s="62">
        <v>0</v>
      </c>
      <c r="F322" s="63">
        <f t="shared" si="246"/>
        <v>0</v>
      </c>
      <c r="G322" s="63">
        <v>0</v>
      </c>
      <c r="H322" s="64">
        <v>0</v>
      </c>
      <c r="I322" s="79">
        <f>J322+K322</f>
        <v>0</v>
      </c>
      <c r="J322" s="4">
        <f t="shared" si="241"/>
        <v>0</v>
      </c>
      <c r="K322" s="4">
        <f t="shared" si="247"/>
        <v>0</v>
      </c>
      <c r="L322" s="65" t="e">
        <f t="shared" si="243"/>
        <v>#DIV/0!</v>
      </c>
      <c r="M322" s="153">
        <v>4.6184000000000003</v>
      </c>
      <c r="N322" s="67">
        <f t="shared" si="244"/>
        <v>0</v>
      </c>
      <c r="O322" s="67">
        <f>M322*J322</f>
        <v>0</v>
      </c>
      <c r="P322" s="1186"/>
    </row>
    <row r="323" spans="2:16" x14ac:dyDescent="0.3">
      <c r="B323" s="1181"/>
      <c r="C323" s="1184"/>
      <c r="D323" s="61" t="s">
        <v>123</v>
      </c>
      <c r="E323" s="62">
        <v>0</v>
      </c>
      <c r="F323" s="63">
        <f t="shared" si="246"/>
        <v>0</v>
      </c>
      <c r="G323" s="63">
        <v>0</v>
      </c>
      <c r="H323" s="64">
        <v>0</v>
      </c>
      <c r="I323" s="79">
        <f t="shared" ref="I323:I337" si="248">J323+K323</f>
        <v>0</v>
      </c>
      <c r="J323" s="4">
        <f t="shared" si="241"/>
        <v>0</v>
      </c>
      <c r="K323" s="4">
        <f t="shared" si="247"/>
        <v>0</v>
      </c>
      <c r="L323" s="65" t="e">
        <f t="shared" si="243"/>
        <v>#DIV/0!</v>
      </c>
      <c r="M323" s="153">
        <v>4.6184000000000003</v>
      </c>
      <c r="N323" s="67">
        <f t="shared" si="244"/>
        <v>0</v>
      </c>
      <c r="O323" s="67">
        <f t="shared" ref="O323:O328" si="249">M323*J323</f>
        <v>0</v>
      </c>
      <c r="P323" s="1186"/>
    </row>
    <row r="324" spans="2:16" x14ac:dyDescent="0.3">
      <c r="B324" s="1181"/>
      <c r="C324" s="1184"/>
      <c r="D324" s="61" t="s">
        <v>124</v>
      </c>
      <c r="E324" s="62">
        <v>0</v>
      </c>
      <c r="F324" s="63">
        <f t="shared" si="246"/>
        <v>23055</v>
      </c>
      <c r="G324" s="63">
        <v>22755</v>
      </c>
      <c r="H324" s="64">
        <v>300</v>
      </c>
      <c r="I324" s="79">
        <f t="shared" si="248"/>
        <v>102924</v>
      </c>
      <c r="J324" s="4">
        <f t="shared" si="241"/>
        <v>99255</v>
      </c>
      <c r="K324" s="4">
        <f t="shared" si="247"/>
        <v>3669</v>
      </c>
      <c r="L324" s="65" t="e">
        <f t="shared" si="243"/>
        <v>#DIV/0!</v>
      </c>
      <c r="M324" s="153">
        <v>4.7636000000000003</v>
      </c>
      <c r="N324" s="67">
        <f t="shared" si="244"/>
        <v>108395.71800000001</v>
      </c>
      <c r="O324" s="67">
        <f t="shared" si="249"/>
        <v>472811.11800000002</v>
      </c>
      <c r="P324" s="1186"/>
    </row>
    <row r="325" spans="2:16" x14ac:dyDescent="0.3">
      <c r="B325" s="1181"/>
      <c r="C325" s="1184"/>
      <c r="D325" s="61" t="s">
        <v>83</v>
      </c>
      <c r="E325" s="62">
        <v>0</v>
      </c>
      <c r="F325" s="63">
        <f t="shared" si="246"/>
        <v>0</v>
      </c>
      <c r="G325" s="63">
        <v>0</v>
      </c>
      <c r="H325" s="64">
        <v>0</v>
      </c>
      <c r="I325" s="79">
        <f t="shared" si="248"/>
        <v>0</v>
      </c>
      <c r="J325" s="4">
        <f t="shared" si="241"/>
        <v>0</v>
      </c>
      <c r="K325" s="4">
        <f t="shared" si="247"/>
        <v>0</v>
      </c>
      <c r="L325" s="65" t="e">
        <f t="shared" si="243"/>
        <v>#DIV/0!</v>
      </c>
      <c r="M325" s="66">
        <v>4.8738000000000001</v>
      </c>
      <c r="N325" s="67">
        <f t="shared" si="244"/>
        <v>0</v>
      </c>
      <c r="O325" s="67">
        <f t="shared" si="249"/>
        <v>0</v>
      </c>
      <c r="P325" s="1186"/>
    </row>
    <row r="326" spans="2:16" x14ac:dyDescent="0.3">
      <c r="B326" s="1181"/>
      <c r="C326" s="176" t="s">
        <v>128</v>
      </c>
      <c r="D326" s="61" t="s">
        <v>124</v>
      </c>
      <c r="E326" s="62"/>
      <c r="F326" s="63">
        <f t="shared" si="246"/>
        <v>0</v>
      </c>
      <c r="G326" s="63">
        <v>0</v>
      </c>
      <c r="H326" s="64">
        <v>0</v>
      </c>
      <c r="I326" s="79">
        <f t="shared" si="248"/>
        <v>0</v>
      </c>
      <c r="J326" s="4">
        <f t="shared" si="241"/>
        <v>0</v>
      </c>
      <c r="K326" s="4">
        <f t="shared" si="247"/>
        <v>0</v>
      </c>
      <c r="L326" s="65"/>
      <c r="M326" s="66">
        <v>4.8738000000000001</v>
      </c>
      <c r="N326" s="67">
        <f t="shared" si="244"/>
        <v>0</v>
      </c>
      <c r="O326" s="67">
        <f t="shared" si="249"/>
        <v>0</v>
      </c>
      <c r="P326" s="1186"/>
    </row>
    <row r="327" spans="2:16" x14ac:dyDescent="0.3">
      <c r="B327" s="1181"/>
      <c r="C327" s="1184" t="s">
        <v>84</v>
      </c>
      <c r="D327" s="61" t="s">
        <v>77</v>
      </c>
      <c r="E327" s="62">
        <v>0</v>
      </c>
      <c r="F327" s="63">
        <f t="shared" si="246"/>
        <v>0</v>
      </c>
      <c r="G327" s="63">
        <v>0</v>
      </c>
      <c r="H327" s="64">
        <v>0</v>
      </c>
      <c r="I327" s="79">
        <f t="shared" si="248"/>
        <v>98229</v>
      </c>
      <c r="J327" s="4">
        <f t="shared" si="241"/>
        <v>96850</v>
      </c>
      <c r="K327" s="4">
        <f t="shared" si="247"/>
        <v>1379</v>
      </c>
      <c r="L327" s="65" t="e">
        <f t="shared" ref="L327:L337" si="250">+J327/E327</f>
        <v>#DIV/0!</v>
      </c>
      <c r="M327" s="66">
        <v>4.9344999999999999</v>
      </c>
      <c r="N327" s="67">
        <f t="shared" si="244"/>
        <v>0</v>
      </c>
      <c r="O327" s="67">
        <f t="shared" si="249"/>
        <v>477906.32500000001</v>
      </c>
      <c r="P327" s="1186"/>
    </row>
    <row r="328" spans="2:16" x14ac:dyDescent="0.3">
      <c r="B328" s="1181"/>
      <c r="C328" s="1184"/>
      <c r="D328" s="61" t="s">
        <v>135</v>
      </c>
      <c r="E328" s="62"/>
      <c r="F328" s="63">
        <f t="shared" si="246"/>
        <v>0</v>
      </c>
      <c r="G328" s="63">
        <v>0</v>
      </c>
      <c r="H328" s="64">
        <v>0</v>
      </c>
      <c r="I328" s="79">
        <f t="shared" si="248"/>
        <v>0</v>
      </c>
      <c r="J328" s="4">
        <f t="shared" si="241"/>
        <v>0</v>
      </c>
      <c r="K328" s="4">
        <f t="shared" si="247"/>
        <v>0</v>
      </c>
      <c r="L328" s="65" t="e">
        <f t="shared" si="250"/>
        <v>#DIV/0!</v>
      </c>
      <c r="M328" s="66">
        <v>4.9344999999999999</v>
      </c>
      <c r="N328" s="67">
        <f t="shared" si="244"/>
        <v>0</v>
      </c>
      <c r="O328" s="67">
        <f t="shared" si="249"/>
        <v>0</v>
      </c>
      <c r="P328" s="1186"/>
    </row>
    <row r="329" spans="2:16" x14ac:dyDescent="0.3">
      <c r="B329" s="1181"/>
      <c r="C329" s="1184"/>
      <c r="D329" s="61" t="s">
        <v>129</v>
      </c>
      <c r="E329" s="62">
        <v>0</v>
      </c>
      <c r="F329" s="63">
        <f t="shared" si="246"/>
        <v>0</v>
      </c>
      <c r="G329" s="155">
        <v>0</v>
      </c>
      <c r="H329" s="156">
        <v>0</v>
      </c>
      <c r="I329" s="157">
        <f t="shared" si="248"/>
        <v>0</v>
      </c>
      <c r="J329" s="4">
        <f t="shared" si="241"/>
        <v>0</v>
      </c>
      <c r="K329" s="4">
        <f t="shared" si="247"/>
        <v>0</v>
      </c>
      <c r="L329" s="158" t="e">
        <f t="shared" si="250"/>
        <v>#DIV/0!</v>
      </c>
      <c r="M329" s="66">
        <v>4.9344999999999999</v>
      </c>
      <c r="N329" s="159">
        <f t="shared" si="244"/>
        <v>0</v>
      </c>
      <c r="O329" s="67">
        <f>M329*J329</f>
        <v>0</v>
      </c>
      <c r="P329" s="1186"/>
    </row>
    <row r="330" spans="2:16" x14ac:dyDescent="0.3">
      <c r="B330" s="1181"/>
      <c r="C330" s="1184" t="s">
        <v>85</v>
      </c>
      <c r="D330" s="61" t="s">
        <v>77</v>
      </c>
      <c r="E330" s="62">
        <v>0</v>
      </c>
      <c r="F330" s="63">
        <f t="shared" si="246"/>
        <v>14800</v>
      </c>
      <c r="G330" s="63">
        <v>14400</v>
      </c>
      <c r="H330" s="64">
        <v>400</v>
      </c>
      <c r="I330" s="79">
        <f t="shared" si="248"/>
        <v>82723</v>
      </c>
      <c r="J330" s="4">
        <f t="shared" si="241"/>
        <v>76950</v>
      </c>
      <c r="K330" s="4">
        <f t="shared" si="247"/>
        <v>5773</v>
      </c>
      <c r="L330" s="65" t="e">
        <f t="shared" si="250"/>
        <v>#DIV/0!</v>
      </c>
      <c r="M330" s="148">
        <v>5.5069999999999997</v>
      </c>
      <c r="N330" s="67">
        <f t="shared" si="244"/>
        <v>79300.799999999988</v>
      </c>
      <c r="O330" s="67">
        <f>M330*J330</f>
        <v>423763.64999999997</v>
      </c>
      <c r="P330" s="1186"/>
    </row>
    <row r="331" spans="2:16" x14ac:dyDescent="0.3">
      <c r="B331" s="1181"/>
      <c r="C331" s="1184"/>
      <c r="D331" s="61" t="s">
        <v>112</v>
      </c>
      <c r="E331" s="62">
        <v>0</v>
      </c>
      <c r="F331" s="63">
        <f t="shared" si="246"/>
        <v>0</v>
      </c>
      <c r="G331" s="63">
        <v>0</v>
      </c>
      <c r="H331" s="64">
        <v>0</v>
      </c>
      <c r="I331" s="79">
        <f t="shared" si="248"/>
        <v>0</v>
      </c>
      <c r="J331" s="4">
        <f t="shared" si="241"/>
        <v>0</v>
      </c>
      <c r="K331" s="4">
        <f t="shared" si="247"/>
        <v>0</v>
      </c>
      <c r="L331" s="65" t="e">
        <f t="shared" si="250"/>
        <v>#DIV/0!</v>
      </c>
      <c r="M331" s="147">
        <v>5.6550000000000002</v>
      </c>
      <c r="N331" s="67">
        <f t="shared" si="244"/>
        <v>0</v>
      </c>
      <c r="O331" s="67">
        <f>M331*J331</f>
        <v>0</v>
      </c>
      <c r="P331" s="1186"/>
    </row>
    <row r="332" spans="2:16" x14ac:dyDescent="0.3">
      <c r="B332" s="1181"/>
      <c r="C332" s="1184"/>
      <c r="D332" s="61" t="s">
        <v>118</v>
      </c>
      <c r="E332" s="62">
        <v>0</v>
      </c>
      <c r="F332" s="63">
        <f t="shared" si="246"/>
        <v>0</v>
      </c>
      <c r="G332" s="63">
        <v>0</v>
      </c>
      <c r="H332" s="64">
        <v>0</v>
      </c>
      <c r="I332" s="79">
        <f t="shared" si="248"/>
        <v>0</v>
      </c>
      <c r="J332" s="4">
        <f t="shared" si="241"/>
        <v>0</v>
      </c>
      <c r="K332" s="4">
        <f t="shared" si="247"/>
        <v>0</v>
      </c>
      <c r="L332" s="65" t="e">
        <f t="shared" si="250"/>
        <v>#DIV/0!</v>
      </c>
      <c r="M332" s="152">
        <v>5.6550000000000002</v>
      </c>
      <c r="N332" s="67">
        <f t="shared" si="244"/>
        <v>0</v>
      </c>
      <c r="O332" s="67">
        <f>M332*J332</f>
        <v>0</v>
      </c>
      <c r="P332" s="1186"/>
    </row>
    <row r="333" spans="2:16" x14ac:dyDescent="0.3">
      <c r="B333" s="1181"/>
      <c r="C333" s="1184"/>
      <c r="D333" s="61" t="s">
        <v>121</v>
      </c>
      <c r="E333" s="62">
        <v>0</v>
      </c>
      <c r="F333" s="63">
        <f t="shared" si="246"/>
        <v>0</v>
      </c>
      <c r="G333" s="63">
        <v>0</v>
      </c>
      <c r="H333" s="64">
        <v>0</v>
      </c>
      <c r="I333" s="79">
        <f t="shared" si="248"/>
        <v>9700</v>
      </c>
      <c r="J333" s="4">
        <f t="shared" si="241"/>
        <v>8200</v>
      </c>
      <c r="K333" s="4">
        <f t="shared" si="247"/>
        <v>1500</v>
      </c>
      <c r="L333" s="65" t="e">
        <f t="shared" si="250"/>
        <v>#DIV/0!</v>
      </c>
      <c r="M333" s="66">
        <v>5.7885299999999997</v>
      </c>
      <c r="N333" s="67">
        <f>+M333*G333</f>
        <v>0</v>
      </c>
      <c r="O333" s="67">
        <f>M333*J333</f>
        <v>47465.945999999996</v>
      </c>
      <c r="P333" s="1186"/>
    </row>
    <row r="334" spans="2:16" x14ac:dyDescent="0.3">
      <c r="B334" s="1181"/>
      <c r="C334" s="1184"/>
      <c r="D334" s="61" t="s">
        <v>136</v>
      </c>
      <c r="E334" s="62">
        <v>0</v>
      </c>
      <c r="F334" s="63">
        <f t="shared" si="246"/>
        <v>0</v>
      </c>
      <c r="G334" s="63">
        <v>0</v>
      </c>
      <c r="H334" s="64">
        <v>0</v>
      </c>
      <c r="I334" s="79">
        <f t="shared" si="248"/>
        <v>0</v>
      </c>
      <c r="J334" s="4">
        <f t="shared" si="241"/>
        <v>0</v>
      </c>
      <c r="K334" s="4">
        <f t="shared" si="247"/>
        <v>0</v>
      </c>
      <c r="L334" s="65" t="e">
        <f t="shared" si="250"/>
        <v>#DIV/0!</v>
      </c>
      <c r="M334" s="152">
        <v>5.6550000000000002</v>
      </c>
      <c r="N334" s="67">
        <f t="shared" ref="N334:N336" si="251">+M334*G334</f>
        <v>0</v>
      </c>
      <c r="O334" s="67">
        <f t="shared" ref="O334:O337" si="252">M334*J334</f>
        <v>0</v>
      </c>
      <c r="P334" s="1186"/>
    </row>
    <row r="335" spans="2:16" x14ac:dyDescent="0.3">
      <c r="B335" s="1181"/>
      <c r="C335" s="176" t="s">
        <v>86</v>
      </c>
      <c r="D335" s="61" t="s">
        <v>77</v>
      </c>
      <c r="E335" s="62">
        <v>0</v>
      </c>
      <c r="F335" s="63">
        <f t="shared" si="246"/>
        <v>0</v>
      </c>
      <c r="G335" s="63">
        <v>0</v>
      </c>
      <c r="H335" s="64">
        <v>0</v>
      </c>
      <c r="I335" s="79">
        <f t="shared" si="248"/>
        <v>0</v>
      </c>
      <c r="J335" s="4">
        <f t="shared" si="241"/>
        <v>0</v>
      </c>
      <c r="K335" s="4">
        <f t="shared" si="247"/>
        <v>0</v>
      </c>
      <c r="L335" s="65" t="e">
        <f t="shared" si="250"/>
        <v>#DIV/0!</v>
      </c>
      <c r="M335" s="66">
        <v>3.2963</v>
      </c>
      <c r="N335" s="67">
        <f t="shared" si="251"/>
        <v>0</v>
      </c>
      <c r="O335" s="67">
        <f t="shared" si="252"/>
        <v>0</v>
      </c>
      <c r="P335" s="1186"/>
    </row>
    <row r="336" spans="2:16" x14ac:dyDescent="0.3">
      <c r="B336" s="1181"/>
      <c r="C336" s="176" t="s">
        <v>87</v>
      </c>
      <c r="D336" s="61" t="s">
        <v>77</v>
      </c>
      <c r="E336" s="62">
        <v>0</v>
      </c>
      <c r="F336" s="63">
        <f t="shared" si="246"/>
        <v>0</v>
      </c>
      <c r="G336" s="63">
        <v>0</v>
      </c>
      <c r="H336" s="64">
        <v>0</v>
      </c>
      <c r="I336" s="79">
        <f t="shared" si="248"/>
        <v>0</v>
      </c>
      <c r="J336" s="4">
        <f t="shared" si="241"/>
        <v>0</v>
      </c>
      <c r="K336" s="4">
        <f t="shared" si="247"/>
        <v>0</v>
      </c>
      <c r="L336" s="65" t="e">
        <f t="shared" si="250"/>
        <v>#DIV/0!</v>
      </c>
      <c r="M336" s="66">
        <v>3.2963</v>
      </c>
      <c r="N336" s="67">
        <f t="shared" si="251"/>
        <v>0</v>
      </c>
      <c r="O336" s="67">
        <f t="shared" si="252"/>
        <v>0</v>
      </c>
      <c r="P336" s="1186"/>
    </row>
    <row r="337" spans="2:16" ht="15" thickBot="1" x14ac:dyDescent="0.35">
      <c r="B337" s="1181"/>
      <c r="C337" s="68" t="s">
        <v>88</v>
      </c>
      <c r="D337" s="69" t="s">
        <v>89</v>
      </c>
      <c r="E337" s="70">
        <v>0</v>
      </c>
      <c r="F337" s="71">
        <f t="shared" si="246"/>
        <v>0</v>
      </c>
      <c r="G337" s="71">
        <v>0</v>
      </c>
      <c r="H337" s="72">
        <v>0</v>
      </c>
      <c r="I337" s="80">
        <f t="shared" si="248"/>
        <v>0</v>
      </c>
      <c r="J337" s="4">
        <f t="shared" si="241"/>
        <v>0</v>
      </c>
      <c r="K337" s="4">
        <f t="shared" si="247"/>
        <v>0</v>
      </c>
      <c r="L337" s="65" t="e">
        <f t="shared" si="250"/>
        <v>#DIV/0!</v>
      </c>
      <c r="M337" s="73">
        <v>2.3201000000000001</v>
      </c>
      <c r="N337" s="74">
        <f t="shared" ref="N337" si="253">M337*G337</f>
        <v>0</v>
      </c>
      <c r="O337" s="74">
        <f t="shared" si="252"/>
        <v>0</v>
      </c>
      <c r="P337" s="1187"/>
    </row>
    <row r="338" spans="2:16" ht="15" thickBot="1" x14ac:dyDescent="0.35">
      <c r="B338" s="1182"/>
      <c r="C338" s="1190" t="s">
        <v>99</v>
      </c>
      <c r="D338" s="1191"/>
      <c r="E338" s="1191"/>
      <c r="F338" s="1191"/>
      <c r="G338" s="1191"/>
      <c r="H338" s="1192"/>
      <c r="I338" s="116">
        <f>J338+K338</f>
        <v>333828</v>
      </c>
      <c r="J338" s="115">
        <f>SUM(J310:J337)</f>
        <v>320530</v>
      </c>
      <c r="K338" s="115">
        <f>SUM(K310:K337)</f>
        <v>13298</v>
      </c>
      <c r="L338" s="114"/>
      <c r="M338" s="113"/>
      <c r="N338" s="114"/>
      <c r="O338" s="97">
        <f>SUM(O310:O337)</f>
        <v>2656907.0890000002</v>
      </c>
      <c r="P338" s="96"/>
    </row>
    <row r="339" spans="2:16" ht="15" thickBot="1" x14ac:dyDescent="0.35">
      <c r="B339" s="100"/>
      <c r="C339" s="101"/>
      <c r="D339" s="101"/>
      <c r="E339" s="101"/>
      <c r="F339" s="101"/>
      <c r="G339" s="101"/>
      <c r="H339" s="101"/>
      <c r="I339" s="101"/>
      <c r="J339" s="101"/>
      <c r="K339" s="101"/>
      <c r="L339" s="101"/>
      <c r="M339" s="101"/>
      <c r="N339" s="101"/>
      <c r="O339" s="101"/>
      <c r="P339" s="102"/>
    </row>
    <row r="340" spans="2:16" ht="15" thickBot="1" x14ac:dyDescent="0.35">
      <c r="B340" s="1175" t="s">
        <v>100</v>
      </c>
      <c r="C340" s="1176"/>
      <c r="D340" s="1176"/>
      <c r="E340" s="1176"/>
      <c r="F340" s="1176"/>
      <c r="G340" s="1176"/>
      <c r="H340" s="1176"/>
      <c r="I340" s="1176"/>
      <c r="J340" s="1176"/>
      <c r="K340" s="1176"/>
      <c r="L340" s="1176"/>
      <c r="M340" s="1176"/>
      <c r="N340" s="1177"/>
      <c r="O340" s="103">
        <f>+O338+O309+O294</f>
        <v>6457605.7129999995</v>
      </c>
      <c r="P340" s="96"/>
    </row>
    <row r="341" spans="2:16" ht="15" thickBot="1" x14ac:dyDescent="0.35"/>
    <row r="342" spans="2:16" x14ac:dyDescent="0.3">
      <c r="B342" s="1209" t="s">
        <v>1</v>
      </c>
      <c r="C342" s="1211" t="s">
        <v>2</v>
      </c>
      <c r="D342" s="1214" t="s">
        <v>3</v>
      </c>
      <c r="E342" s="1217" t="s">
        <v>4</v>
      </c>
      <c r="F342" s="1218"/>
      <c r="G342" s="1218"/>
      <c r="H342" s="1218"/>
      <c r="I342" s="1218"/>
      <c r="J342" s="1218"/>
      <c r="K342" s="1218"/>
      <c r="L342" s="1219"/>
      <c r="M342" s="1220" t="s">
        <v>5</v>
      </c>
      <c r="N342" s="1221"/>
      <c r="O342" s="1222"/>
      <c r="P342" s="1214" t="s">
        <v>6</v>
      </c>
    </row>
    <row r="343" spans="2:16" x14ac:dyDescent="0.3">
      <c r="B343" s="1210"/>
      <c r="C343" s="1212"/>
      <c r="D343" s="1215"/>
      <c r="E343" s="1223" t="s">
        <v>7</v>
      </c>
      <c r="F343" s="1225" t="s">
        <v>145</v>
      </c>
      <c r="G343" s="1225"/>
      <c r="H343" s="1226"/>
      <c r="I343" s="1227" t="s">
        <v>8</v>
      </c>
      <c r="J343" s="1225"/>
      <c r="K343" s="1225"/>
      <c r="L343" s="1226" t="s">
        <v>9</v>
      </c>
      <c r="M343" s="1229" t="s">
        <v>10</v>
      </c>
      <c r="N343" s="1231" t="s">
        <v>11</v>
      </c>
      <c r="O343" s="1233" t="s">
        <v>12</v>
      </c>
      <c r="P343" s="1215"/>
    </row>
    <row r="344" spans="2:16" ht="15" thickBot="1" x14ac:dyDescent="0.35">
      <c r="B344" s="1210"/>
      <c r="C344" s="1213"/>
      <c r="D344" s="1216"/>
      <c r="E344" s="1224"/>
      <c r="F344" s="2" t="s">
        <v>13</v>
      </c>
      <c r="G344" s="2" t="s">
        <v>14</v>
      </c>
      <c r="H344" s="183" t="s">
        <v>15</v>
      </c>
      <c r="I344" s="142" t="s">
        <v>13</v>
      </c>
      <c r="J344" s="2" t="s">
        <v>14</v>
      </c>
      <c r="K344" s="2" t="s">
        <v>15</v>
      </c>
      <c r="L344" s="1228"/>
      <c r="M344" s="1230"/>
      <c r="N344" s="1232"/>
      <c r="O344" s="1234"/>
      <c r="P344" s="1216"/>
    </row>
    <row r="345" spans="2:16" x14ac:dyDescent="0.3">
      <c r="B345" s="1193" t="s">
        <v>53</v>
      </c>
      <c r="C345" s="29"/>
      <c r="D345" s="117" t="s">
        <v>143</v>
      </c>
      <c r="E345" s="98">
        <v>0</v>
      </c>
      <c r="F345" s="4">
        <f>+G345+H345</f>
        <v>874</v>
      </c>
      <c r="G345" s="4">
        <v>0</v>
      </c>
      <c r="H345" s="8">
        <v>874</v>
      </c>
      <c r="I345" s="6">
        <f>J345+K345</f>
        <v>157942</v>
      </c>
      <c r="J345" s="4">
        <f>G345+J280</f>
        <v>155120</v>
      </c>
      <c r="K345" s="4">
        <f>H345+K280</f>
        <v>2822</v>
      </c>
      <c r="L345" s="33" t="e">
        <f>+J345/E345</f>
        <v>#DIV/0!</v>
      </c>
      <c r="M345" s="104">
        <v>1.3652</v>
      </c>
      <c r="N345" s="31">
        <f>G345*M345</f>
        <v>0</v>
      </c>
      <c r="O345" s="86">
        <f>M345*J345</f>
        <v>211769.82399999999</v>
      </c>
      <c r="P345" s="1195"/>
    </row>
    <row r="346" spans="2:16" x14ac:dyDescent="0.3">
      <c r="B346" s="1194"/>
      <c r="C346" s="32"/>
      <c r="D346" s="118" t="s">
        <v>109</v>
      </c>
      <c r="E346" s="99">
        <v>0</v>
      </c>
      <c r="F346" s="9">
        <f>+G346+H346</f>
        <v>0</v>
      </c>
      <c r="G346" s="9">
        <v>0</v>
      </c>
      <c r="H346" s="10">
        <v>0</v>
      </c>
      <c r="I346" s="6">
        <f>J346+K346</f>
        <v>0</v>
      </c>
      <c r="J346" s="4">
        <f>+G346+J281</f>
        <v>0</v>
      </c>
      <c r="K346" s="4">
        <f>+H346+K281</f>
        <v>0</v>
      </c>
      <c r="L346" s="33"/>
      <c r="M346" s="105">
        <v>5.9917999999999996</v>
      </c>
      <c r="N346" s="34">
        <f>M346*G346</f>
        <v>0</v>
      </c>
      <c r="O346" s="87">
        <f>M346*J346</f>
        <v>0</v>
      </c>
      <c r="P346" s="1196"/>
    </row>
    <row r="347" spans="2:16" x14ac:dyDescent="0.3">
      <c r="B347" s="1194"/>
      <c r="C347" s="35"/>
      <c r="D347" s="119" t="s">
        <v>55</v>
      </c>
      <c r="E347" s="99">
        <v>0</v>
      </c>
      <c r="F347" s="9">
        <f t="shared" ref="F347:F351" si="254">+G347+H347</f>
        <v>231610</v>
      </c>
      <c r="G347" s="9">
        <v>230000</v>
      </c>
      <c r="H347" s="10">
        <f>876+734</f>
        <v>1610</v>
      </c>
      <c r="I347" s="6">
        <f t="shared" ref="I347:I351" si="255">J347+K347</f>
        <v>1162687</v>
      </c>
      <c r="J347" s="4">
        <f t="shared" ref="J347:J351" si="256">+G347+J282</f>
        <v>1153250</v>
      </c>
      <c r="K347" s="4">
        <f t="shared" ref="K347:K351" si="257">+H347+K282</f>
        <v>9437</v>
      </c>
      <c r="L347" s="33" t="e">
        <f t="shared" ref="L347" si="258">+J347/E347</f>
        <v>#DIV/0!</v>
      </c>
      <c r="M347" s="106">
        <v>2.3807999999999998</v>
      </c>
      <c r="N347" s="36">
        <f>G347*M347</f>
        <v>547584</v>
      </c>
      <c r="O347" s="88">
        <f>M347*J347</f>
        <v>2745657.5999999996</v>
      </c>
      <c r="P347" s="1196"/>
    </row>
    <row r="348" spans="2:16" x14ac:dyDescent="0.3">
      <c r="B348" s="1194"/>
      <c r="C348" s="35"/>
      <c r="D348" s="119" t="s">
        <v>56</v>
      </c>
      <c r="E348" s="99">
        <v>0</v>
      </c>
      <c r="F348" s="9">
        <f t="shared" si="254"/>
        <v>0</v>
      </c>
      <c r="G348" s="9">
        <v>0</v>
      </c>
      <c r="H348" s="10">
        <v>0</v>
      </c>
      <c r="I348" s="6">
        <f t="shared" si="255"/>
        <v>0</v>
      </c>
      <c r="J348" s="4">
        <f t="shared" si="256"/>
        <v>0</v>
      </c>
      <c r="K348" s="4">
        <f t="shared" si="257"/>
        <v>0</v>
      </c>
      <c r="L348" s="33"/>
      <c r="M348" s="106">
        <v>2.1457999999999999</v>
      </c>
      <c r="N348" s="36">
        <f t="shared" ref="N348:N351" si="259">G348*M348</f>
        <v>0</v>
      </c>
      <c r="O348" s="88">
        <f>M348*J348</f>
        <v>0</v>
      </c>
      <c r="P348" s="1196"/>
    </row>
    <row r="349" spans="2:16" x14ac:dyDescent="0.3">
      <c r="B349" s="1194"/>
      <c r="C349" s="35"/>
      <c r="D349" s="119" t="s">
        <v>106</v>
      </c>
      <c r="E349" s="99">
        <v>0</v>
      </c>
      <c r="F349" s="9">
        <f t="shared" si="254"/>
        <v>0</v>
      </c>
      <c r="G349" s="9">
        <v>0</v>
      </c>
      <c r="H349" s="10">
        <v>0</v>
      </c>
      <c r="I349" s="6">
        <f t="shared" si="255"/>
        <v>0</v>
      </c>
      <c r="J349" s="4">
        <f t="shared" si="256"/>
        <v>0</v>
      </c>
      <c r="K349" s="4">
        <f t="shared" si="257"/>
        <v>0</v>
      </c>
      <c r="L349" s="33" t="e">
        <f t="shared" ref="L349:L350" si="260">+J349/E349</f>
        <v>#DIV/0!</v>
      </c>
      <c r="M349" s="143">
        <v>4.0426000000000002</v>
      </c>
      <c r="N349" s="36">
        <f t="shared" si="259"/>
        <v>0</v>
      </c>
      <c r="O349" s="88">
        <f>M349*J349</f>
        <v>0</v>
      </c>
      <c r="P349" s="1196"/>
    </row>
    <row r="350" spans="2:16" x14ac:dyDescent="0.3">
      <c r="B350" s="1194"/>
      <c r="C350" s="35"/>
      <c r="D350" s="119" t="s">
        <v>110</v>
      </c>
      <c r="E350" s="99">
        <v>0</v>
      </c>
      <c r="F350" s="9">
        <f t="shared" si="254"/>
        <v>0</v>
      </c>
      <c r="G350" s="9">
        <v>0</v>
      </c>
      <c r="H350" s="10">
        <v>0</v>
      </c>
      <c r="I350" s="6">
        <f t="shared" si="255"/>
        <v>0</v>
      </c>
      <c r="J350" s="4">
        <f t="shared" si="256"/>
        <v>0</v>
      </c>
      <c r="K350" s="4">
        <f t="shared" si="257"/>
        <v>0</v>
      </c>
      <c r="L350" s="33" t="e">
        <f t="shared" si="260"/>
        <v>#DIV/0!</v>
      </c>
      <c r="M350" s="143">
        <v>3.8715000000000002</v>
      </c>
      <c r="N350" s="36">
        <f t="shared" si="259"/>
        <v>0</v>
      </c>
      <c r="O350" s="88">
        <f t="shared" ref="O350:O351" si="261">M350*J350</f>
        <v>0</v>
      </c>
      <c r="P350" s="1196"/>
    </row>
    <row r="351" spans="2:16" ht="15" thickBot="1" x14ac:dyDescent="0.35">
      <c r="B351" s="1194"/>
      <c r="C351" s="82"/>
      <c r="D351" s="120" t="s">
        <v>57</v>
      </c>
      <c r="E351" s="108">
        <v>0</v>
      </c>
      <c r="F351" s="12">
        <f t="shared" si="254"/>
        <v>0</v>
      </c>
      <c r="G351" s="12">
        <v>0</v>
      </c>
      <c r="H351" s="13">
        <v>0</v>
      </c>
      <c r="I351" s="21">
        <f t="shared" si="255"/>
        <v>0</v>
      </c>
      <c r="J351" s="4">
        <f t="shared" si="256"/>
        <v>0</v>
      </c>
      <c r="K351" s="4">
        <f t="shared" si="257"/>
        <v>0</v>
      </c>
      <c r="L351" s="81"/>
      <c r="M351" s="127">
        <v>12.284700000000001</v>
      </c>
      <c r="N351" s="36">
        <f t="shared" si="259"/>
        <v>0</v>
      </c>
      <c r="O351" s="128">
        <f t="shared" si="261"/>
        <v>0</v>
      </c>
      <c r="P351" s="1196"/>
    </row>
    <row r="352" spans="2:16" ht="15" thickBot="1" x14ac:dyDescent="0.35">
      <c r="B352" s="1194"/>
      <c r="C352" s="1199" t="s">
        <v>104</v>
      </c>
      <c r="D352" s="1200"/>
      <c r="E352" s="129"/>
      <c r="F352" s="130">
        <f>SUM(F345:F351)</f>
        <v>232484</v>
      </c>
      <c r="G352" s="130">
        <f>SUM(G345:G351)</f>
        <v>230000</v>
      </c>
      <c r="H352" s="131">
        <f>SUM(H345:H351)</f>
        <v>2484</v>
      </c>
      <c r="I352" s="132">
        <f>+J352+K352</f>
        <v>1320629</v>
      </c>
      <c r="J352" s="133">
        <f>SUM(J345:J351)</f>
        <v>1308370</v>
      </c>
      <c r="K352" s="133">
        <f>SUM(K345:K351)</f>
        <v>12259</v>
      </c>
      <c r="L352" s="134"/>
      <c r="M352" s="135"/>
      <c r="N352" s="136"/>
      <c r="O352" s="137">
        <f>SUM(O345:O351)</f>
        <v>2957427.4239999996</v>
      </c>
      <c r="P352" s="1197"/>
    </row>
    <row r="353" spans="2:16" x14ac:dyDescent="0.3">
      <c r="B353" s="1194"/>
      <c r="C353" s="32"/>
      <c r="D353" s="118" t="s">
        <v>58</v>
      </c>
      <c r="E353" s="98">
        <v>0</v>
      </c>
      <c r="F353" s="4">
        <f t="shared" ref="F353:F356" si="262">+G353+H353</f>
        <v>0</v>
      </c>
      <c r="G353" s="4">
        <v>0</v>
      </c>
      <c r="H353" s="8">
        <v>0</v>
      </c>
      <c r="I353" s="6">
        <f t="shared" ref="I353:I357" si="263">J353+K353</f>
        <v>0</v>
      </c>
      <c r="J353" s="4">
        <f>G353+J288</f>
        <v>0</v>
      </c>
      <c r="K353" s="4">
        <f>H353+K288</f>
        <v>0</v>
      </c>
      <c r="L353" s="33" t="e">
        <f t="shared" ref="L353" si="264">+J353/E353</f>
        <v>#DIV/0!</v>
      </c>
      <c r="M353" s="105">
        <v>12.029500000000001</v>
      </c>
      <c r="N353" s="34">
        <f>M353*G353</f>
        <v>0</v>
      </c>
      <c r="O353" s="87">
        <f t="shared" ref="O353:O355" si="265">M353*J353</f>
        <v>0</v>
      </c>
      <c r="P353" s="1196"/>
    </row>
    <row r="354" spans="2:16" x14ac:dyDescent="0.3">
      <c r="B354" s="1194"/>
      <c r="C354" s="35"/>
      <c r="D354" s="119" t="s">
        <v>59</v>
      </c>
      <c r="E354" s="99">
        <v>0</v>
      </c>
      <c r="F354" s="9">
        <f t="shared" si="262"/>
        <v>0</v>
      </c>
      <c r="G354" s="9">
        <v>0</v>
      </c>
      <c r="H354" s="10">
        <v>0</v>
      </c>
      <c r="I354" s="6">
        <f t="shared" si="263"/>
        <v>0</v>
      </c>
      <c r="J354" s="4">
        <f>G354+J289</f>
        <v>0</v>
      </c>
      <c r="K354" s="4">
        <f>H354+K289</f>
        <v>0</v>
      </c>
      <c r="L354" s="33"/>
      <c r="M354" s="106">
        <v>0</v>
      </c>
      <c r="N354" s="36"/>
      <c r="O354" s="88">
        <f t="shared" si="265"/>
        <v>0</v>
      </c>
      <c r="P354" s="1196"/>
    </row>
    <row r="355" spans="2:16" x14ac:dyDescent="0.3">
      <c r="B355" s="1194"/>
      <c r="C355" s="35"/>
      <c r="D355" s="119" t="s">
        <v>97</v>
      </c>
      <c r="E355" s="99">
        <v>0</v>
      </c>
      <c r="F355" s="9">
        <f t="shared" si="262"/>
        <v>0</v>
      </c>
      <c r="G355" s="9">
        <v>0</v>
      </c>
      <c r="H355" s="10">
        <v>0</v>
      </c>
      <c r="I355" s="6">
        <f t="shared" si="263"/>
        <v>0</v>
      </c>
      <c r="J355" s="4">
        <f t="shared" ref="J355:J357" si="266">G355+J290</f>
        <v>0</v>
      </c>
      <c r="K355" s="4">
        <f t="shared" ref="K355:K357" si="267">H355+K290</f>
        <v>0</v>
      </c>
      <c r="L355" s="33" t="e">
        <f t="shared" ref="L355:L357" si="268">+J355/E355</f>
        <v>#DIV/0!</v>
      </c>
      <c r="M355" s="106">
        <v>19.688600000000001</v>
      </c>
      <c r="N355" s="36">
        <f>M355*G355</f>
        <v>0</v>
      </c>
      <c r="O355" s="88">
        <f t="shared" si="265"/>
        <v>0</v>
      </c>
      <c r="P355" s="1196"/>
    </row>
    <row r="356" spans="2:16" x14ac:dyDescent="0.3">
      <c r="B356" s="1194"/>
      <c r="C356" s="35"/>
      <c r="D356" s="119" t="s">
        <v>61</v>
      </c>
      <c r="E356" s="99">
        <v>0</v>
      </c>
      <c r="F356" s="9">
        <f t="shared" si="262"/>
        <v>0</v>
      </c>
      <c r="G356" s="9">
        <v>0</v>
      </c>
      <c r="H356" s="10">
        <v>0</v>
      </c>
      <c r="I356" s="6">
        <f t="shared" si="263"/>
        <v>0</v>
      </c>
      <c r="J356" s="4">
        <f t="shared" si="266"/>
        <v>0</v>
      </c>
      <c r="K356" s="4">
        <f t="shared" si="267"/>
        <v>0</v>
      </c>
      <c r="L356" s="33" t="e">
        <f t="shared" si="268"/>
        <v>#DIV/0!</v>
      </c>
      <c r="M356" s="106">
        <v>1.2824</v>
      </c>
      <c r="N356" s="151">
        <f>M356*G356</f>
        <v>0</v>
      </c>
      <c r="O356" s="88">
        <f>M356*J356</f>
        <v>0</v>
      </c>
      <c r="P356" s="1196"/>
    </row>
    <row r="357" spans="2:16" ht="15" thickBot="1" x14ac:dyDescent="0.35">
      <c r="B357" s="1194"/>
      <c r="C357" s="82"/>
      <c r="D357" s="120" t="s">
        <v>60</v>
      </c>
      <c r="E357" s="108">
        <v>0</v>
      </c>
      <c r="F357" s="12">
        <v>0</v>
      </c>
      <c r="G357" s="12">
        <v>0</v>
      </c>
      <c r="H357" s="13">
        <v>0</v>
      </c>
      <c r="I357" s="21">
        <f t="shared" si="263"/>
        <v>0</v>
      </c>
      <c r="J357" s="4">
        <f t="shared" si="266"/>
        <v>0</v>
      </c>
      <c r="K357" s="4">
        <f t="shared" si="267"/>
        <v>0</v>
      </c>
      <c r="L357" s="81" t="e">
        <f t="shared" si="268"/>
        <v>#DIV/0!</v>
      </c>
      <c r="M357" s="107">
        <v>18.2316</v>
      </c>
      <c r="N357" s="75"/>
      <c r="O357" s="89">
        <f t="shared" ref="O357" si="269">M357*J357</f>
        <v>0</v>
      </c>
      <c r="P357" s="1198"/>
    </row>
    <row r="358" spans="2:16" ht="15" thickBot="1" x14ac:dyDescent="0.35">
      <c r="B358" s="1178" t="s">
        <v>105</v>
      </c>
      <c r="C358" s="1179"/>
      <c r="D358" s="1179"/>
      <c r="E358" s="124"/>
      <c r="F358" s="125">
        <f>+G358+H358</f>
        <v>0</v>
      </c>
      <c r="G358" s="125">
        <f>SUM(G353:G357)</f>
        <v>0</v>
      </c>
      <c r="H358" s="126">
        <f>SUM(H353:H357)</f>
        <v>0</v>
      </c>
      <c r="I358" s="121">
        <f>J358+K358</f>
        <v>0</v>
      </c>
      <c r="J358" s="122">
        <f>SUM(J353:J357)</f>
        <v>0</v>
      </c>
      <c r="K358" s="123">
        <f>SUM(K353:K357)</f>
        <v>0</v>
      </c>
      <c r="L358" s="138"/>
      <c r="M358" s="139"/>
      <c r="N358" s="140"/>
      <c r="O358" s="141">
        <f>SUM(O353:O357)</f>
        <v>0</v>
      </c>
      <c r="P358" s="182"/>
    </row>
    <row r="359" spans="2:16" ht="15" thickBot="1" x14ac:dyDescent="0.35">
      <c r="B359" s="1178" t="s">
        <v>98</v>
      </c>
      <c r="C359" s="1179"/>
      <c r="D359" s="1179"/>
      <c r="E359" s="1201"/>
      <c r="F359" s="1201"/>
      <c r="G359" s="1201"/>
      <c r="H359" s="1201"/>
      <c r="I359" s="1179"/>
      <c r="J359" s="1179"/>
      <c r="K359" s="1179"/>
      <c r="L359" s="1179"/>
      <c r="M359" s="1179"/>
      <c r="N359" s="1202"/>
      <c r="O359" s="83">
        <f>O352+O358</f>
        <v>2957427.4239999996</v>
      </c>
      <c r="P359" s="182"/>
    </row>
    <row r="360" spans="2:16" x14ac:dyDescent="0.3">
      <c r="B360" s="1193" t="s">
        <v>62</v>
      </c>
      <c r="C360" s="37" t="s">
        <v>63</v>
      </c>
      <c r="D360" s="28" t="s">
        <v>64</v>
      </c>
      <c r="E360" s="38">
        <v>0</v>
      </c>
      <c r="F360" s="14">
        <f>+G360+H360</f>
        <v>0</v>
      </c>
      <c r="G360" s="14">
        <v>0</v>
      </c>
      <c r="H360" s="5">
        <v>0</v>
      </c>
      <c r="I360" s="17">
        <f t="shared" ref="I360:I366" si="270">J360+K360</f>
        <v>0</v>
      </c>
      <c r="J360" s="4">
        <f>G360+J295</f>
        <v>0</v>
      </c>
      <c r="K360" s="4">
        <f>H360+K295</f>
        <v>0</v>
      </c>
      <c r="L360" s="30" t="e">
        <f>+J360/E360</f>
        <v>#DIV/0!</v>
      </c>
      <c r="M360" s="146">
        <v>2.2141000000000002</v>
      </c>
      <c r="N360" s="15">
        <f>+M360*G360</f>
        <v>0</v>
      </c>
      <c r="O360" s="90">
        <f>+M360*J360</f>
        <v>0</v>
      </c>
      <c r="P360" s="1204"/>
    </row>
    <row r="361" spans="2:16" x14ac:dyDescent="0.3">
      <c r="B361" s="1194"/>
      <c r="C361" s="39"/>
      <c r="D361" s="22" t="s">
        <v>65</v>
      </c>
      <c r="E361" s="3">
        <v>0</v>
      </c>
      <c r="F361" s="9">
        <f t="shared" ref="F361:F366" si="271">+G361+H361</f>
        <v>0</v>
      </c>
      <c r="G361" s="4">
        <v>0</v>
      </c>
      <c r="H361" s="8">
        <v>0</v>
      </c>
      <c r="I361" s="6">
        <f t="shared" si="270"/>
        <v>0</v>
      </c>
      <c r="J361" s="4">
        <f>+G361+J296</f>
        <v>0</v>
      </c>
      <c r="K361" s="4">
        <f>+H361+K296</f>
        <v>0</v>
      </c>
      <c r="L361" s="40" t="e">
        <f t="shared" ref="L361:L362" si="272">+J361/E361</f>
        <v>#DIV/0!</v>
      </c>
      <c r="M361" s="145">
        <v>2.4565999999999999</v>
      </c>
      <c r="N361" s="11">
        <f t="shared" ref="N361:N363" si="273">+M361*G361</f>
        <v>0</v>
      </c>
      <c r="O361" s="91">
        <f t="shared" ref="O361:O363" si="274">+M361*J361</f>
        <v>0</v>
      </c>
      <c r="P361" s="1205"/>
    </row>
    <row r="362" spans="2:16" x14ac:dyDescent="0.3">
      <c r="B362" s="1194"/>
      <c r="C362" s="39"/>
      <c r="D362" s="23" t="s">
        <v>126</v>
      </c>
      <c r="E362" s="3">
        <v>0</v>
      </c>
      <c r="F362" s="9">
        <f t="shared" si="271"/>
        <v>0</v>
      </c>
      <c r="G362" s="4">
        <v>0</v>
      </c>
      <c r="H362" s="8">
        <v>0</v>
      </c>
      <c r="I362" s="6">
        <f t="shared" si="270"/>
        <v>0</v>
      </c>
      <c r="J362" s="4">
        <f t="shared" ref="J362:J366" si="275">+G362+J297</f>
        <v>0</v>
      </c>
      <c r="K362" s="4">
        <f t="shared" ref="K362:K366" si="276">+H362+K297</f>
        <v>0</v>
      </c>
      <c r="L362" s="40" t="e">
        <f t="shared" si="272"/>
        <v>#DIV/0!</v>
      </c>
      <c r="M362" s="145">
        <v>2.2907000000000002</v>
      </c>
      <c r="N362" s="11">
        <f t="shared" si="273"/>
        <v>0</v>
      </c>
      <c r="O362" s="91">
        <f t="shared" si="274"/>
        <v>0</v>
      </c>
      <c r="P362" s="1205"/>
    </row>
    <row r="363" spans="2:16" x14ac:dyDescent="0.3">
      <c r="B363" s="1194"/>
      <c r="C363" s="39"/>
      <c r="D363" s="22" t="s">
        <v>131</v>
      </c>
      <c r="E363" s="3"/>
      <c r="F363" s="9">
        <f t="shared" si="271"/>
        <v>0</v>
      </c>
      <c r="G363" s="4">
        <v>0</v>
      </c>
      <c r="H363" s="8">
        <v>0</v>
      </c>
      <c r="I363" s="6">
        <f t="shared" si="270"/>
        <v>0</v>
      </c>
      <c r="J363" s="4">
        <f t="shared" si="275"/>
        <v>0</v>
      </c>
      <c r="K363" s="4">
        <f t="shared" si="276"/>
        <v>0</v>
      </c>
      <c r="L363" s="33"/>
      <c r="M363" s="150">
        <v>2.544</v>
      </c>
      <c r="N363" s="11">
        <f t="shared" si="273"/>
        <v>0</v>
      </c>
      <c r="O363" s="91">
        <f t="shared" si="274"/>
        <v>0</v>
      </c>
      <c r="P363" s="1205"/>
    </row>
    <row r="364" spans="2:16" x14ac:dyDescent="0.3">
      <c r="B364" s="1194"/>
      <c r="C364" s="39" t="s">
        <v>66</v>
      </c>
      <c r="D364" s="22" t="s">
        <v>133</v>
      </c>
      <c r="E364" s="3">
        <v>0</v>
      </c>
      <c r="F364" s="9">
        <f t="shared" si="271"/>
        <v>91045</v>
      </c>
      <c r="G364" s="4">
        <v>89500</v>
      </c>
      <c r="H364" s="8">
        <v>1545</v>
      </c>
      <c r="I364" s="6">
        <f t="shared" si="270"/>
        <v>263077</v>
      </c>
      <c r="J364" s="4">
        <f>+G364+J299</f>
        <v>256750</v>
      </c>
      <c r="K364" s="4">
        <f t="shared" si="276"/>
        <v>6327</v>
      </c>
      <c r="L364" s="33" t="e">
        <f>+J364/E364</f>
        <v>#DIV/0!</v>
      </c>
      <c r="M364" s="144">
        <v>2.2141000000000002</v>
      </c>
      <c r="N364" s="7">
        <f>+M364*G364</f>
        <v>198161.95</v>
      </c>
      <c r="O364" s="85">
        <f>+M364*J364</f>
        <v>568470.17500000005</v>
      </c>
      <c r="P364" s="1205"/>
    </row>
    <row r="365" spans="2:16" x14ac:dyDescent="0.3">
      <c r="B365" s="1194"/>
      <c r="C365" s="39"/>
      <c r="D365" s="22" t="s">
        <v>65</v>
      </c>
      <c r="E365" s="3">
        <v>0</v>
      </c>
      <c r="F365" s="9">
        <f t="shared" si="271"/>
        <v>0</v>
      </c>
      <c r="G365" s="4">
        <v>0</v>
      </c>
      <c r="H365" s="8">
        <v>0</v>
      </c>
      <c r="I365" s="6">
        <f t="shared" si="270"/>
        <v>0</v>
      </c>
      <c r="J365" s="4">
        <f t="shared" si="275"/>
        <v>0</v>
      </c>
      <c r="K365" s="4">
        <f t="shared" si="276"/>
        <v>0</v>
      </c>
      <c r="L365" s="40" t="e">
        <f t="shared" ref="L365:L366" si="277">+J365/E365</f>
        <v>#DIV/0!</v>
      </c>
      <c r="M365" s="145">
        <v>2.4565999999999999</v>
      </c>
      <c r="N365" s="11">
        <f t="shared" ref="N365:N366" si="278">+M365*G365</f>
        <v>0</v>
      </c>
      <c r="O365" s="91">
        <f t="shared" ref="O365" si="279">+M365*J365</f>
        <v>0</v>
      </c>
      <c r="P365" s="1205"/>
    </row>
    <row r="366" spans="2:16" ht="15" thickBot="1" x14ac:dyDescent="0.35">
      <c r="B366" s="1194"/>
      <c r="C366" s="39"/>
      <c r="D366" s="22" t="s">
        <v>126</v>
      </c>
      <c r="E366" s="3">
        <v>0</v>
      </c>
      <c r="F366" s="9">
        <f t="shared" si="271"/>
        <v>0</v>
      </c>
      <c r="G366" s="4">
        <v>0</v>
      </c>
      <c r="H366" s="8">
        <v>0</v>
      </c>
      <c r="I366" s="6">
        <f t="shared" si="270"/>
        <v>0</v>
      </c>
      <c r="J366" s="4">
        <f t="shared" si="275"/>
        <v>0</v>
      </c>
      <c r="K366" s="4">
        <f t="shared" si="276"/>
        <v>0</v>
      </c>
      <c r="L366" s="40" t="e">
        <f t="shared" si="277"/>
        <v>#DIV/0!</v>
      </c>
      <c r="M366" s="145">
        <v>2.2907000000000002</v>
      </c>
      <c r="N366" s="11">
        <f t="shared" si="278"/>
        <v>0</v>
      </c>
      <c r="O366" s="154">
        <f>+M366*J366</f>
        <v>0</v>
      </c>
      <c r="P366" s="1206"/>
    </row>
    <row r="367" spans="2:16" ht="15" thickBot="1" x14ac:dyDescent="0.35">
      <c r="B367" s="1194"/>
      <c r="C367" s="41" t="s">
        <v>29</v>
      </c>
      <c r="D367" s="27" t="str">
        <f>+C367</f>
        <v>TOTAL 1/2</v>
      </c>
      <c r="E367" s="42">
        <f>SUM(E360:E366)</f>
        <v>0</v>
      </c>
      <c r="F367" s="43">
        <f>SUM(F360:F366)</f>
        <v>91045</v>
      </c>
      <c r="G367" s="43">
        <f>SUM(G360:G366)</f>
        <v>89500</v>
      </c>
      <c r="H367" s="44">
        <f>SUM(H360:H366)</f>
        <v>1545</v>
      </c>
      <c r="I367" s="45">
        <f>SUM(I364:I366)</f>
        <v>263077</v>
      </c>
      <c r="J367" s="43">
        <f>SUM(J360:J366)</f>
        <v>256750</v>
      </c>
      <c r="K367" s="43">
        <f>SUM(K360:K366)</f>
        <v>6327</v>
      </c>
      <c r="L367" s="46" t="e">
        <f>+J367/E367</f>
        <v>#DIV/0!</v>
      </c>
      <c r="M367" s="47"/>
      <c r="N367" s="48">
        <f>SUM(N364:N366)</f>
        <v>198161.95</v>
      </c>
      <c r="O367" s="49">
        <f>SUM(O360:O366)</f>
        <v>568470.17500000005</v>
      </c>
      <c r="P367" s="181"/>
    </row>
    <row r="368" spans="2:16" x14ac:dyDescent="0.3">
      <c r="B368" s="1194"/>
      <c r="C368" s="1207" t="s">
        <v>67</v>
      </c>
      <c r="D368" s="22" t="s">
        <v>64</v>
      </c>
      <c r="E368" s="3">
        <v>0</v>
      </c>
      <c r="F368" s="4">
        <f>G368+H368</f>
        <v>0</v>
      </c>
      <c r="G368" s="4">
        <v>0</v>
      </c>
      <c r="H368" s="8">
        <v>0</v>
      </c>
      <c r="I368" s="16">
        <f>J368+K368</f>
        <v>109220</v>
      </c>
      <c r="J368" s="4">
        <f>G368+J303</f>
        <v>105750</v>
      </c>
      <c r="K368" s="4">
        <f>H368+K303</f>
        <v>3470</v>
      </c>
      <c r="L368" s="50" t="e">
        <f>+J368/E368</f>
        <v>#DIV/0!</v>
      </c>
      <c r="M368" s="144">
        <v>4.1712999999999996</v>
      </c>
      <c r="N368" s="7">
        <f>+M368*G368</f>
        <v>0</v>
      </c>
      <c r="O368" s="93">
        <f>+M368*J368</f>
        <v>441114.97499999998</v>
      </c>
      <c r="P368" s="1204"/>
    </row>
    <row r="369" spans="2:16" x14ac:dyDescent="0.3">
      <c r="B369" s="1194"/>
      <c r="C369" s="1208"/>
      <c r="D369" s="22" t="s">
        <v>65</v>
      </c>
      <c r="E369" s="3">
        <v>0</v>
      </c>
      <c r="F369" s="4">
        <f>G369+H369</f>
        <v>0</v>
      </c>
      <c r="G369" s="4">
        <v>0</v>
      </c>
      <c r="H369" s="8">
        <v>0</v>
      </c>
      <c r="I369" s="6">
        <f>+R1413+F369</f>
        <v>0</v>
      </c>
      <c r="J369" s="4">
        <f>G369+J304</f>
        <v>120000</v>
      </c>
      <c r="K369" s="4">
        <f>H369+K304</f>
        <v>3230</v>
      </c>
      <c r="L369" s="51" t="e">
        <f t="shared" ref="L369:L373" si="280">+J369/E369</f>
        <v>#DIV/0!</v>
      </c>
      <c r="M369" s="145">
        <v>4.8285999999999998</v>
      </c>
      <c r="N369" s="11">
        <f t="shared" ref="N369:N371" si="281">+M369*G369</f>
        <v>0</v>
      </c>
      <c r="O369" s="94">
        <f t="shared" ref="O369:O371" si="282">+M369*J369</f>
        <v>579432</v>
      </c>
      <c r="P369" s="1205"/>
    </row>
    <row r="370" spans="2:16" x14ac:dyDescent="0.3">
      <c r="B370" s="1194"/>
      <c r="C370" s="1208"/>
      <c r="D370" s="22" t="s">
        <v>127</v>
      </c>
      <c r="E370" s="3"/>
      <c r="F370" s="4">
        <f>G370+H370</f>
        <v>0</v>
      </c>
      <c r="G370" s="4">
        <v>0</v>
      </c>
      <c r="H370" s="8">
        <v>0</v>
      </c>
      <c r="I370" s="6">
        <f>+R1414+F370</f>
        <v>0</v>
      </c>
      <c r="J370" s="4">
        <f t="shared" ref="J370:J371" si="283">G370+J305</f>
        <v>0</v>
      </c>
      <c r="K370" s="4">
        <f t="shared" ref="K370:K371" si="284">H370+K305</f>
        <v>0</v>
      </c>
      <c r="L370" s="51" t="e">
        <f t="shared" si="280"/>
        <v>#DIV/0!</v>
      </c>
      <c r="M370" s="144">
        <v>4.5023</v>
      </c>
      <c r="N370" s="11">
        <f t="shared" si="281"/>
        <v>0</v>
      </c>
      <c r="O370" s="94">
        <f t="shared" si="282"/>
        <v>0</v>
      </c>
      <c r="P370" s="1205"/>
    </row>
    <row r="371" spans="2:16" ht="15" thickBot="1" x14ac:dyDescent="0.35">
      <c r="B371" s="1194"/>
      <c r="C371" s="1208"/>
      <c r="D371" s="22" t="s">
        <v>111</v>
      </c>
      <c r="E371" s="3">
        <v>0</v>
      </c>
      <c r="F371" s="4">
        <f t="shared" ref="F371" si="285">G371+H371</f>
        <v>0</v>
      </c>
      <c r="G371" s="4">
        <v>0</v>
      </c>
      <c r="H371" s="8">
        <v>0</v>
      </c>
      <c r="I371" s="6">
        <f>+R1414+F371</f>
        <v>0</v>
      </c>
      <c r="J371" s="4">
        <f t="shared" si="283"/>
        <v>0</v>
      </c>
      <c r="K371" s="4">
        <f t="shared" si="284"/>
        <v>0</v>
      </c>
      <c r="L371" s="51" t="e">
        <f t="shared" si="280"/>
        <v>#DIV/0!</v>
      </c>
      <c r="M371" s="144">
        <v>4.4065000000000003</v>
      </c>
      <c r="N371" s="11">
        <f t="shared" si="281"/>
        <v>0</v>
      </c>
      <c r="O371" s="94">
        <f t="shared" si="282"/>
        <v>0</v>
      </c>
      <c r="P371" s="1205"/>
    </row>
    <row r="372" spans="2:16" ht="15" thickBot="1" x14ac:dyDescent="0.35">
      <c r="B372" s="1194"/>
      <c r="C372" s="41" t="s">
        <v>31</v>
      </c>
      <c r="D372" s="18" t="str">
        <f>+C372</f>
        <v>TOTAL 4/4</v>
      </c>
      <c r="E372" s="42">
        <f t="shared" ref="E372:K372" si="286">SUM(E368:E371)</f>
        <v>0</v>
      </c>
      <c r="F372" s="43">
        <f t="shared" si="286"/>
        <v>0</v>
      </c>
      <c r="G372" s="43">
        <f t="shared" si="286"/>
        <v>0</v>
      </c>
      <c r="H372" s="44">
        <f t="shared" si="286"/>
        <v>0</v>
      </c>
      <c r="I372" s="45">
        <f t="shared" si="286"/>
        <v>109220</v>
      </c>
      <c r="J372" s="43">
        <f t="shared" si="286"/>
        <v>225750</v>
      </c>
      <c r="K372" s="43">
        <f t="shared" si="286"/>
        <v>6700</v>
      </c>
      <c r="L372" s="46" t="e">
        <f t="shared" si="280"/>
        <v>#DIV/0!</v>
      </c>
      <c r="M372" s="47"/>
      <c r="N372" s="48">
        <f>SUM(N368:N371)</f>
        <v>0</v>
      </c>
      <c r="O372" s="92">
        <f>SUM(O368:O371)</f>
        <v>1020546.975</v>
      </c>
      <c r="P372" s="1206"/>
    </row>
    <row r="373" spans="2:16" ht="15" thickBot="1" x14ac:dyDescent="0.35">
      <c r="B373" s="1203"/>
      <c r="C373" s="41" t="s">
        <v>68</v>
      </c>
      <c r="D373" s="27" t="s">
        <v>64</v>
      </c>
      <c r="E373" s="25">
        <v>0</v>
      </c>
      <c r="F373" s="20">
        <f>G373+H373</f>
        <v>0</v>
      </c>
      <c r="G373" s="20">
        <v>0</v>
      </c>
      <c r="H373" s="24">
        <v>0</v>
      </c>
      <c r="I373" s="19">
        <f>J373+K373</f>
        <v>0</v>
      </c>
      <c r="J373" s="4">
        <f>G373+J308</f>
        <v>0</v>
      </c>
      <c r="K373" s="4">
        <f>H373+K308</f>
        <v>0</v>
      </c>
      <c r="L373" s="52" t="e">
        <f t="shared" si="280"/>
        <v>#DIV/0!</v>
      </c>
      <c r="M373" s="149">
        <v>1.4086000000000001</v>
      </c>
      <c r="N373" s="26">
        <f t="shared" ref="N373" si="287">+M373*G373</f>
        <v>0</v>
      </c>
      <c r="O373" s="95">
        <f t="shared" ref="O373" si="288">+M373*J373</f>
        <v>0</v>
      </c>
      <c r="P373" s="53"/>
    </row>
    <row r="374" spans="2:16" ht="15" thickBot="1" x14ac:dyDescent="0.35">
      <c r="B374" s="1178" t="s">
        <v>95</v>
      </c>
      <c r="C374" s="1179"/>
      <c r="D374" s="1179"/>
      <c r="E374" s="1179"/>
      <c r="F374" s="1179"/>
      <c r="G374" s="1179"/>
      <c r="H374" s="1179"/>
      <c r="I374" s="110">
        <f>J374+K374</f>
        <v>495527</v>
      </c>
      <c r="J374" s="110">
        <f>J367+J372+J373</f>
        <v>482500</v>
      </c>
      <c r="K374" s="110">
        <f>K367+K372+K373</f>
        <v>13027</v>
      </c>
      <c r="L374" s="111"/>
      <c r="M374" s="112"/>
      <c r="N374" s="109"/>
      <c r="O374" s="77">
        <f>+O373+O372+O367</f>
        <v>1589017.15</v>
      </c>
      <c r="P374" s="84"/>
    </row>
    <row r="375" spans="2:16" x14ac:dyDescent="0.3">
      <c r="B375" s="1180" t="s">
        <v>69</v>
      </c>
      <c r="C375" s="1183" t="s">
        <v>70</v>
      </c>
      <c r="D375" s="54" t="s">
        <v>71</v>
      </c>
      <c r="E375" s="55">
        <v>0</v>
      </c>
      <c r="F375" s="56">
        <f>G375+H375</f>
        <v>0</v>
      </c>
      <c r="G375" s="56">
        <v>0</v>
      </c>
      <c r="H375" s="57">
        <v>0</v>
      </c>
      <c r="I375" s="78">
        <f>J375+K375</f>
        <v>0</v>
      </c>
      <c r="J375" s="4">
        <f>G375+J310</f>
        <v>0</v>
      </c>
      <c r="K375" s="4">
        <f>H375+K310</f>
        <v>0</v>
      </c>
      <c r="L375" s="58" t="e">
        <f t="shared" ref="L375" si="289">+J375/E375</f>
        <v>#DIV/0!</v>
      </c>
      <c r="M375" s="59">
        <v>32.946300000000001</v>
      </c>
      <c r="N375" s="60">
        <f>+M375*G375</f>
        <v>0</v>
      </c>
      <c r="O375" s="60">
        <f>M375*J375</f>
        <v>0</v>
      </c>
      <c r="P375" s="1185"/>
    </row>
    <row r="376" spans="2:16" x14ac:dyDescent="0.3">
      <c r="B376" s="1181"/>
      <c r="C376" s="1184"/>
      <c r="D376" s="61" t="s">
        <v>72</v>
      </c>
      <c r="E376" s="62">
        <v>0</v>
      </c>
      <c r="F376" s="63">
        <f>G376+H376</f>
        <v>10145</v>
      </c>
      <c r="G376" s="63">
        <v>10000</v>
      </c>
      <c r="H376" s="64">
        <v>145</v>
      </c>
      <c r="I376" s="79">
        <f>J376+K376</f>
        <v>20295</v>
      </c>
      <c r="J376" s="4">
        <f>G376+J311</f>
        <v>20000</v>
      </c>
      <c r="K376" s="4">
        <f>H376+K311</f>
        <v>295</v>
      </c>
      <c r="L376" s="65" t="e">
        <f>+J376/E376</f>
        <v>#DIV/0!</v>
      </c>
      <c r="M376" s="66">
        <v>35.398400000000002</v>
      </c>
      <c r="N376" s="67">
        <f>+M376*G376</f>
        <v>353984</v>
      </c>
      <c r="O376" s="67">
        <f>M376*J376</f>
        <v>707968</v>
      </c>
      <c r="P376" s="1186"/>
    </row>
    <row r="377" spans="2:16" x14ac:dyDescent="0.3">
      <c r="B377" s="1181"/>
      <c r="C377" s="1184"/>
      <c r="D377" s="61" t="s">
        <v>73</v>
      </c>
      <c r="E377" s="62">
        <v>0</v>
      </c>
      <c r="F377" s="63">
        <f t="shared" ref="F377:F380" si="290">G377+H377</f>
        <v>0</v>
      </c>
      <c r="G377" s="63">
        <v>0</v>
      </c>
      <c r="H377" s="64">
        <v>0</v>
      </c>
      <c r="I377" s="79">
        <f t="shared" ref="I377:I386" si="291">J377+K377</f>
        <v>0</v>
      </c>
      <c r="J377" s="4">
        <f t="shared" ref="J377:J402" si="292">G377+J312</f>
        <v>0</v>
      </c>
      <c r="K377" s="4">
        <f t="shared" ref="K377:K381" si="293">H377+K312</f>
        <v>0</v>
      </c>
      <c r="L377" s="65" t="e">
        <f t="shared" ref="L377:L390" si="294">+J377/E377</f>
        <v>#DIV/0!</v>
      </c>
      <c r="M377" s="66">
        <v>32.946300000000001</v>
      </c>
      <c r="N377" s="67">
        <f t="shared" ref="N377:N397" si="295">+M377*G377</f>
        <v>0</v>
      </c>
      <c r="O377" s="67">
        <f t="shared" ref="O377:O385" si="296">M377*J377</f>
        <v>0</v>
      </c>
      <c r="P377" s="1186"/>
    </row>
    <row r="378" spans="2:16" x14ac:dyDescent="0.3">
      <c r="B378" s="1181"/>
      <c r="C378" s="1184" t="s">
        <v>74</v>
      </c>
      <c r="D378" s="61" t="s">
        <v>75</v>
      </c>
      <c r="E378" s="62">
        <v>0</v>
      </c>
      <c r="F378" s="63">
        <f t="shared" si="290"/>
        <v>0</v>
      </c>
      <c r="G378" s="63">
        <v>0</v>
      </c>
      <c r="H378" s="64">
        <v>0</v>
      </c>
      <c r="I378" s="79">
        <f t="shared" si="291"/>
        <v>4976</v>
      </c>
      <c r="J378" s="4">
        <f t="shared" si="292"/>
        <v>4800</v>
      </c>
      <c r="K378" s="4">
        <f t="shared" si="293"/>
        <v>176</v>
      </c>
      <c r="L378" s="65" t="e">
        <f t="shared" si="294"/>
        <v>#DIV/0!</v>
      </c>
      <c r="M378" s="66">
        <v>55.4758</v>
      </c>
      <c r="N378" s="67">
        <f t="shared" si="295"/>
        <v>0</v>
      </c>
      <c r="O378" s="67">
        <f t="shared" si="296"/>
        <v>266283.84000000003</v>
      </c>
      <c r="P378" s="1186"/>
    </row>
    <row r="379" spans="2:16" x14ac:dyDescent="0.3">
      <c r="B379" s="1181"/>
      <c r="C379" s="1184"/>
      <c r="D379" s="61" t="s">
        <v>134</v>
      </c>
      <c r="E379" s="62">
        <v>0</v>
      </c>
      <c r="F379" s="63">
        <f t="shared" si="290"/>
        <v>0</v>
      </c>
      <c r="G379" s="63">
        <v>0</v>
      </c>
      <c r="H379" s="64">
        <v>0</v>
      </c>
      <c r="I379" s="79">
        <f t="shared" si="291"/>
        <v>0</v>
      </c>
      <c r="J379" s="4">
        <f t="shared" si="292"/>
        <v>0</v>
      </c>
      <c r="K379" s="4">
        <f t="shared" si="293"/>
        <v>0</v>
      </c>
      <c r="L379" s="65" t="e">
        <f t="shared" si="294"/>
        <v>#DIV/0!</v>
      </c>
      <c r="M379" s="66">
        <v>53.515999999999998</v>
      </c>
      <c r="N379" s="67">
        <f t="shared" si="295"/>
        <v>0</v>
      </c>
      <c r="O379" s="67">
        <f t="shared" si="296"/>
        <v>0</v>
      </c>
      <c r="P379" s="1186"/>
    </row>
    <row r="380" spans="2:16" x14ac:dyDescent="0.3">
      <c r="B380" s="1181"/>
      <c r="C380" s="1184"/>
      <c r="D380" s="61" t="s">
        <v>72</v>
      </c>
      <c r="E380" s="62">
        <v>0</v>
      </c>
      <c r="F380" s="63">
        <f t="shared" si="290"/>
        <v>4885</v>
      </c>
      <c r="G380" s="63">
        <v>4800</v>
      </c>
      <c r="H380" s="64">
        <v>85</v>
      </c>
      <c r="I380" s="79">
        <f t="shared" si="291"/>
        <v>7325</v>
      </c>
      <c r="J380" s="4">
        <f t="shared" si="292"/>
        <v>7200</v>
      </c>
      <c r="K380" s="4">
        <f t="shared" si="293"/>
        <v>125</v>
      </c>
      <c r="L380" s="65" t="e">
        <f t="shared" si="294"/>
        <v>#DIV/0!</v>
      </c>
      <c r="M380" s="66">
        <v>58.836300000000001</v>
      </c>
      <c r="N380" s="67">
        <f t="shared" si="295"/>
        <v>282414.24</v>
      </c>
      <c r="O380" s="67">
        <f t="shared" si="296"/>
        <v>423621.36</v>
      </c>
      <c r="P380" s="1186"/>
    </row>
    <row r="381" spans="2:16" x14ac:dyDescent="0.3">
      <c r="B381" s="1181"/>
      <c r="C381" s="1188" t="s">
        <v>76</v>
      </c>
      <c r="D381" s="61" t="s">
        <v>77</v>
      </c>
      <c r="E381" s="62">
        <v>0</v>
      </c>
      <c r="F381" s="63">
        <f>G381+H381</f>
        <v>0</v>
      </c>
      <c r="G381" s="63">
        <v>0</v>
      </c>
      <c r="H381" s="64">
        <v>0</v>
      </c>
      <c r="I381" s="79">
        <f t="shared" si="291"/>
        <v>3675</v>
      </c>
      <c r="J381" s="4">
        <f t="shared" si="292"/>
        <v>3575</v>
      </c>
      <c r="K381" s="4">
        <f t="shared" si="293"/>
        <v>100</v>
      </c>
      <c r="L381" s="65" t="e">
        <f t="shared" si="294"/>
        <v>#DIV/0!</v>
      </c>
      <c r="M381" s="66">
        <v>25.687200000000001</v>
      </c>
      <c r="N381" s="67">
        <f t="shared" si="295"/>
        <v>0</v>
      </c>
      <c r="O381" s="67">
        <f t="shared" si="296"/>
        <v>91831.74</v>
      </c>
      <c r="P381" s="1186"/>
    </row>
    <row r="382" spans="2:16" x14ac:dyDescent="0.3">
      <c r="B382" s="1181"/>
      <c r="C382" s="1189"/>
      <c r="D382" s="61" t="s">
        <v>117</v>
      </c>
      <c r="E382" s="62">
        <v>0</v>
      </c>
      <c r="F382" s="63">
        <f>G382+H382</f>
        <v>0</v>
      </c>
      <c r="G382" s="63">
        <v>0</v>
      </c>
      <c r="H382" s="64">
        <v>0</v>
      </c>
      <c r="I382" s="79">
        <f t="shared" si="291"/>
        <v>0</v>
      </c>
      <c r="J382" s="4">
        <f t="shared" si="292"/>
        <v>0</v>
      </c>
      <c r="K382" s="4">
        <f>H382+K317</f>
        <v>0</v>
      </c>
      <c r="L382" s="65" t="e">
        <f t="shared" si="294"/>
        <v>#DIV/0!</v>
      </c>
      <c r="M382" s="66">
        <v>25.033899999999999</v>
      </c>
      <c r="N382" s="67">
        <f t="shared" si="295"/>
        <v>0</v>
      </c>
      <c r="O382" s="67">
        <f t="shared" si="296"/>
        <v>0</v>
      </c>
      <c r="P382" s="1186"/>
    </row>
    <row r="383" spans="2:16" x14ac:dyDescent="0.3">
      <c r="B383" s="1181"/>
      <c r="C383" s="1188" t="s">
        <v>78</v>
      </c>
      <c r="D383" s="61" t="s">
        <v>79</v>
      </c>
      <c r="E383" s="62">
        <v>0</v>
      </c>
      <c r="F383" s="63">
        <f t="shared" ref="F383:F402" si="297">G383+H383</f>
        <v>0</v>
      </c>
      <c r="G383" s="63">
        <v>0</v>
      </c>
      <c r="H383" s="64">
        <v>0</v>
      </c>
      <c r="I383" s="79">
        <f t="shared" si="291"/>
        <v>8113</v>
      </c>
      <c r="J383" s="4">
        <f t="shared" si="292"/>
        <v>8000</v>
      </c>
      <c r="K383" s="4">
        <f t="shared" ref="K383:K402" si="298">H383+K318</f>
        <v>113</v>
      </c>
      <c r="L383" s="65" t="e">
        <f t="shared" si="294"/>
        <v>#DIV/0!</v>
      </c>
      <c r="M383" s="66">
        <v>41.992699999999999</v>
      </c>
      <c r="N383" s="67">
        <f t="shared" si="295"/>
        <v>0</v>
      </c>
      <c r="O383" s="67">
        <f t="shared" si="296"/>
        <v>335941.6</v>
      </c>
      <c r="P383" s="1186"/>
    </row>
    <row r="384" spans="2:16" x14ac:dyDescent="0.3">
      <c r="B384" s="1181"/>
      <c r="C384" s="1189"/>
      <c r="D384" s="61" t="s">
        <v>72</v>
      </c>
      <c r="E384" s="62">
        <v>0</v>
      </c>
      <c r="F384" s="63">
        <f t="shared" si="297"/>
        <v>0</v>
      </c>
      <c r="G384" s="63">
        <v>0</v>
      </c>
      <c r="H384" s="64">
        <v>0</v>
      </c>
      <c r="I384" s="79">
        <f t="shared" si="291"/>
        <v>0</v>
      </c>
      <c r="J384" s="4">
        <f t="shared" si="292"/>
        <v>0</v>
      </c>
      <c r="K384" s="4">
        <f t="shared" si="298"/>
        <v>0</v>
      </c>
      <c r="L384" s="65" t="e">
        <f t="shared" si="294"/>
        <v>#DIV/0!</v>
      </c>
      <c r="M384" s="66">
        <v>42.283799999999999</v>
      </c>
      <c r="N384" s="67">
        <f t="shared" si="295"/>
        <v>0</v>
      </c>
      <c r="O384" s="67">
        <f t="shared" si="296"/>
        <v>0</v>
      </c>
      <c r="P384" s="1186"/>
    </row>
    <row r="385" spans="2:16" x14ac:dyDescent="0.3">
      <c r="B385" s="1181"/>
      <c r="C385" s="180" t="s">
        <v>80</v>
      </c>
      <c r="D385" s="61" t="s">
        <v>81</v>
      </c>
      <c r="E385" s="62">
        <v>0</v>
      </c>
      <c r="F385" s="63">
        <f t="shared" si="297"/>
        <v>0</v>
      </c>
      <c r="G385" s="63">
        <v>0</v>
      </c>
      <c r="H385" s="64">
        <v>0</v>
      </c>
      <c r="I385" s="79">
        <f t="shared" si="291"/>
        <v>10898</v>
      </c>
      <c r="J385" s="4">
        <f t="shared" si="292"/>
        <v>10500</v>
      </c>
      <c r="K385" s="4">
        <f t="shared" si="298"/>
        <v>398</v>
      </c>
      <c r="L385" s="65" t="e">
        <f t="shared" si="294"/>
        <v>#DIV/0!</v>
      </c>
      <c r="M385" s="66">
        <v>4.3535000000000004</v>
      </c>
      <c r="N385" s="67">
        <f t="shared" si="295"/>
        <v>0</v>
      </c>
      <c r="O385" s="67">
        <f t="shared" si="296"/>
        <v>45711.750000000007</v>
      </c>
      <c r="P385" s="1186"/>
    </row>
    <row r="386" spans="2:16" x14ac:dyDescent="0.3">
      <c r="B386" s="1181"/>
      <c r="C386" s="1184" t="s">
        <v>82</v>
      </c>
      <c r="D386" s="61" t="s">
        <v>77</v>
      </c>
      <c r="E386" s="62">
        <v>0</v>
      </c>
      <c r="F386" s="63">
        <f t="shared" si="297"/>
        <v>0</v>
      </c>
      <c r="G386" s="63">
        <v>0</v>
      </c>
      <c r="H386" s="64">
        <v>0</v>
      </c>
      <c r="I386" s="79">
        <f t="shared" si="291"/>
        <v>0</v>
      </c>
      <c r="J386" s="4">
        <f t="shared" si="292"/>
        <v>0</v>
      </c>
      <c r="K386" s="4">
        <f t="shared" si="298"/>
        <v>0</v>
      </c>
      <c r="L386" s="65" t="e">
        <f t="shared" si="294"/>
        <v>#DIV/0!</v>
      </c>
      <c r="M386" s="66">
        <v>4.6184000000000003</v>
      </c>
      <c r="N386" s="67">
        <f t="shared" si="295"/>
        <v>0</v>
      </c>
      <c r="O386" s="67">
        <f>M386*J386</f>
        <v>0</v>
      </c>
      <c r="P386" s="1186"/>
    </row>
    <row r="387" spans="2:16" x14ac:dyDescent="0.3">
      <c r="B387" s="1181"/>
      <c r="C387" s="1184"/>
      <c r="D387" s="61" t="s">
        <v>119</v>
      </c>
      <c r="E387" s="62">
        <v>0</v>
      </c>
      <c r="F387" s="63">
        <f t="shared" si="297"/>
        <v>0</v>
      </c>
      <c r="G387" s="63">
        <v>0</v>
      </c>
      <c r="H387" s="64">
        <v>0</v>
      </c>
      <c r="I387" s="79">
        <f>J387+K387</f>
        <v>0</v>
      </c>
      <c r="J387" s="4">
        <f t="shared" si="292"/>
        <v>0</v>
      </c>
      <c r="K387" s="4">
        <f t="shared" si="298"/>
        <v>0</v>
      </c>
      <c r="L387" s="65" t="e">
        <f t="shared" si="294"/>
        <v>#DIV/0!</v>
      </c>
      <c r="M387" s="153">
        <v>4.6184000000000003</v>
      </c>
      <c r="N387" s="67">
        <f t="shared" si="295"/>
        <v>0</v>
      </c>
      <c r="O387" s="67">
        <f>M387*J387</f>
        <v>0</v>
      </c>
      <c r="P387" s="1186"/>
    </row>
    <row r="388" spans="2:16" x14ac:dyDescent="0.3">
      <c r="B388" s="1181"/>
      <c r="C388" s="1184"/>
      <c r="D388" s="61" t="s">
        <v>123</v>
      </c>
      <c r="E388" s="62">
        <v>0</v>
      </c>
      <c r="F388" s="63">
        <f t="shared" si="297"/>
        <v>0</v>
      </c>
      <c r="G388" s="63">
        <v>0</v>
      </c>
      <c r="H388" s="64">
        <v>0</v>
      </c>
      <c r="I388" s="79">
        <f t="shared" ref="I388:I402" si="299">J388+K388</f>
        <v>0</v>
      </c>
      <c r="J388" s="4">
        <f t="shared" si="292"/>
        <v>0</v>
      </c>
      <c r="K388" s="4">
        <f t="shared" si="298"/>
        <v>0</v>
      </c>
      <c r="L388" s="65" t="e">
        <f t="shared" si="294"/>
        <v>#DIV/0!</v>
      </c>
      <c r="M388" s="153">
        <v>4.6184000000000003</v>
      </c>
      <c r="N388" s="67">
        <f t="shared" si="295"/>
        <v>0</v>
      </c>
      <c r="O388" s="67">
        <f t="shared" ref="O388:O393" si="300">M388*J388</f>
        <v>0</v>
      </c>
      <c r="P388" s="1186"/>
    </row>
    <row r="389" spans="2:16" x14ac:dyDescent="0.3">
      <c r="B389" s="1181"/>
      <c r="C389" s="1184"/>
      <c r="D389" s="61" t="s">
        <v>124</v>
      </c>
      <c r="E389" s="62">
        <v>0</v>
      </c>
      <c r="F389" s="63">
        <f t="shared" si="297"/>
        <v>24600</v>
      </c>
      <c r="G389" s="63">
        <v>24200</v>
      </c>
      <c r="H389" s="64">
        <v>400</v>
      </c>
      <c r="I389" s="79">
        <f t="shared" si="299"/>
        <v>127524</v>
      </c>
      <c r="J389" s="4">
        <f t="shared" si="292"/>
        <v>123455</v>
      </c>
      <c r="K389" s="4">
        <f t="shared" si="298"/>
        <v>4069</v>
      </c>
      <c r="L389" s="65" t="e">
        <f t="shared" si="294"/>
        <v>#DIV/0!</v>
      </c>
      <c r="M389" s="153">
        <v>4.7636000000000003</v>
      </c>
      <c r="N389" s="67">
        <f t="shared" si="295"/>
        <v>115279.12000000001</v>
      </c>
      <c r="O389" s="67">
        <f t="shared" si="300"/>
        <v>588090.23800000001</v>
      </c>
      <c r="P389" s="1186"/>
    </row>
    <row r="390" spans="2:16" x14ac:dyDescent="0.3">
      <c r="B390" s="1181"/>
      <c r="C390" s="1184"/>
      <c r="D390" s="61" t="s">
        <v>83</v>
      </c>
      <c r="E390" s="62">
        <v>0</v>
      </c>
      <c r="F390" s="63">
        <f t="shared" si="297"/>
        <v>0</v>
      </c>
      <c r="G390" s="63">
        <v>0</v>
      </c>
      <c r="H390" s="64">
        <v>0</v>
      </c>
      <c r="I390" s="79">
        <f t="shared" si="299"/>
        <v>0</v>
      </c>
      <c r="J390" s="4">
        <f t="shared" si="292"/>
        <v>0</v>
      </c>
      <c r="K390" s="4">
        <f t="shared" si="298"/>
        <v>0</v>
      </c>
      <c r="L390" s="65" t="e">
        <f t="shared" si="294"/>
        <v>#DIV/0!</v>
      </c>
      <c r="M390" s="66">
        <v>4.8738000000000001</v>
      </c>
      <c r="N390" s="67">
        <f t="shared" si="295"/>
        <v>0</v>
      </c>
      <c r="O390" s="67">
        <f t="shared" si="300"/>
        <v>0</v>
      </c>
      <c r="P390" s="1186"/>
    </row>
    <row r="391" spans="2:16" x14ac:dyDescent="0.3">
      <c r="B391" s="1181"/>
      <c r="C391" s="180" t="s">
        <v>128</v>
      </c>
      <c r="D391" s="61" t="s">
        <v>124</v>
      </c>
      <c r="E391" s="62"/>
      <c r="F391" s="63">
        <f t="shared" si="297"/>
        <v>0</v>
      </c>
      <c r="G391" s="63">
        <v>0</v>
      </c>
      <c r="H391" s="64">
        <v>0</v>
      </c>
      <c r="I391" s="79">
        <f t="shared" si="299"/>
        <v>0</v>
      </c>
      <c r="J391" s="4">
        <f t="shared" si="292"/>
        <v>0</v>
      </c>
      <c r="K391" s="4">
        <f t="shared" si="298"/>
        <v>0</v>
      </c>
      <c r="L391" s="65"/>
      <c r="M391" s="66">
        <v>4.8738000000000001</v>
      </c>
      <c r="N391" s="67">
        <f t="shared" si="295"/>
        <v>0</v>
      </c>
      <c r="O391" s="67">
        <f t="shared" si="300"/>
        <v>0</v>
      </c>
      <c r="P391" s="1186"/>
    </row>
    <row r="392" spans="2:16" x14ac:dyDescent="0.3">
      <c r="B392" s="1181"/>
      <c r="C392" s="1184" t="s">
        <v>84</v>
      </c>
      <c r="D392" s="61" t="s">
        <v>77</v>
      </c>
      <c r="E392" s="62">
        <v>0</v>
      </c>
      <c r="F392" s="63">
        <f t="shared" si="297"/>
        <v>32250</v>
      </c>
      <c r="G392" s="63">
        <v>31950</v>
      </c>
      <c r="H392" s="64">
        <v>300</v>
      </c>
      <c r="I392" s="79">
        <f t="shared" si="299"/>
        <v>130479</v>
      </c>
      <c r="J392" s="4">
        <f t="shared" si="292"/>
        <v>128800</v>
      </c>
      <c r="K392" s="4">
        <f t="shared" si="298"/>
        <v>1679</v>
      </c>
      <c r="L392" s="65" t="e">
        <f t="shared" ref="L392:L402" si="301">+J392/E392</f>
        <v>#DIV/0!</v>
      </c>
      <c r="M392" s="66">
        <v>4.9344999999999999</v>
      </c>
      <c r="N392" s="67">
        <f t="shared" si="295"/>
        <v>157657.27499999999</v>
      </c>
      <c r="O392" s="67">
        <f t="shared" si="300"/>
        <v>635563.6</v>
      </c>
      <c r="P392" s="1186"/>
    </row>
    <row r="393" spans="2:16" x14ac:dyDescent="0.3">
      <c r="B393" s="1181"/>
      <c r="C393" s="1184"/>
      <c r="D393" s="61" t="s">
        <v>135</v>
      </c>
      <c r="E393" s="62"/>
      <c r="F393" s="63">
        <f t="shared" si="297"/>
        <v>0</v>
      </c>
      <c r="G393" s="63">
        <v>0</v>
      </c>
      <c r="H393" s="64">
        <v>0</v>
      </c>
      <c r="I393" s="79">
        <f t="shared" si="299"/>
        <v>0</v>
      </c>
      <c r="J393" s="4">
        <f t="shared" si="292"/>
        <v>0</v>
      </c>
      <c r="K393" s="4">
        <f t="shared" si="298"/>
        <v>0</v>
      </c>
      <c r="L393" s="65" t="e">
        <f t="shared" si="301"/>
        <v>#DIV/0!</v>
      </c>
      <c r="M393" s="66">
        <v>4.9344999999999999</v>
      </c>
      <c r="N393" s="67">
        <f t="shared" si="295"/>
        <v>0</v>
      </c>
      <c r="O393" s="67">
        <f t="shared" si="300"/>
        <v>0</v>
      </c>
      <c r="P393" s="1186"/>
    </row>
    <row r="394" spans="2:16" x14ac:dyDescent="0.3">
      <c r="B394" s="1181"/>
      <c r="C394" s="1184"/>
      <c r="D394" s="61" t="s">
        <v>129</v>
      </c>
      <c r="E394" s="62">
        <v>0</v>
      </c>
      <c r="F394" s="63">
        <f t="shared" si="297"/>
        <v>0</v>
      </c>
      <c r="G394" s="155">
        <v>0</v>
      </c>
      <c r="H394" s="156">
        <v>0</v>
      </c>
      <c r="I394" s="157">
        <f t="shared" si="299"/>
        <v>0</v>
      </c>
      <c r="J394" s="4">
        <f t="shared" si="292"/>
        <v>0</v>
      </c>
      <c r="K394" s="4">
        <f t="shared" si="298"/>
        <v>0</v>
      </c>
      <c r="L394" s="158" t="e">
        <f t="shared" si="301"/>
        <v>#DIV/0!</v>
      </c>
      <c r="M394" s="66">
        <v>4.9344999999999999</v>
      </c>
      <c r="N394" s="159">
        <f t="shared" si="295"/>
        <v>0</v>
      </c>
      <c r="O394" s="67">
        <f>M394*J394</f>
        <v>0</v>
      </c>
      <c r="P394" s="1186"/>
    </row>
    <row r="395" spans="2:16" x14ac:dyDescent="0.3">
      <c r="B395" s="1181"/>
      <c r="C395" s="1184" t="s">
        <v>85</v>
      </c>
      <c r="D395" s="61" t="s">
        <v>77</v>
      </c>
      <c r="E395" s="62">
        <v>0</v>
      </c>
      <c r="F395" s="63">
        <f t="shared" si="297"/>
        <v>29400</v>
      </c>
      <c r="G395" s="63">
        <v>29000</v>
      </c>
      <c r="H395" s="64">
        <v>400</v>
      </c>
      <c r="I395" s="79">
        <f t="shared" si="299"/>
        <v>112123</v>
      </c>
      <c r="J395" s="4">
        <f t="shared" si="292"/>
        <v>105950</v>
      </c>
      <c r="K395" s="4">
        <f t="shared" si="298"/>
        <v>6173</v>
      </c>
      <c r="L395" s="65" t="e">
        <f t="shared" si="301"/>
        <v>#DIV/0!</v>
      </c>
      <c r="M395" s="148">
        <v>5.5069999999999997</v>
      </c>
      <c r="N395" s="67">
        <f t="shared" si="295"/>
        <v>159703</v>
      </c>
      <c r="O395" s="67">
        <f>M395*J395</f>
        <v>583466.65</v>
      </c>
      <c r="P395" s="1186"/>
    </row>
    <row r="396" spans="2:16" x14ac:dyDescent="0.3">
      <c r="B396" s="1181"/>
      <c r="C396" s="1184"/>
      <c r="D396" s="61" t="s">
        <v>112</v>
      </c>
      <c r="E396" s="62">
        <v>0</v>
      </c>
      <c r="F396" s="63">
        <f t="shared" si="297"/>
        <v>0</v>
      </c>
      <c r="G396" s="63">
        <v>0</v>
      </c>
      <c r="H396" s="64">
        <v>0</v>
      </c>
      <c r="I396" s="79">
        <f t="shared" si="299"/>
        <v>0</v>
      </c>
      <c r="J396" s="4">
        <f t="shared" si="292"/>
        <v>0</v>
      </c>
      <c r="K396" s="4">
        <f t="shared" si="298"/>
        <v>0</v>
      </c>
      <c r="L396" s="65" t="e">
        <f t="shared" si="301"/>
        <v>#DIV/0!</v>
      </c>
      <c r="M396" s="147">
        <v>5.6550000000000002</v>
      </c>
      <c r="N396" s="67">
        <f t="shared" si="295"/>
        <v>0</v>
      </c>
      <c r="O396" s="67">
        <f>M396*J396</f>
        <v>0</v>
      </c>
      <c r="P396" s="1186"/>
    </row>
    <row r="397" spans="2:16" x14ac:dyDescent="0.3">
      <c r="B397" s="1181"/>
      <c r="C397" s="1184"/>
      <c r="D397" s="61" t="s">
        <v>118</v>
      </c>
      <c r="E397" s="62">
        <v>0</v>
      </c>
      <c r="F397" s="63">
        <f t="shared" si="297"/>
        <v>0</v>
      </c>
      <c r="G397" s="63">
        <v>0</v>
      </c>
      <c r="H397" s="64">
        <v>0</v>
      </c>
      <c r="I397" s="79">
        <f t="shared" si="299"/>
        <v>0</v>
      </c>
      <c r="J397" s="4">
        <f t="shared" si="292"/>
        <v>0</v>
      </c>
      <c r="K397" s="4">
        <f t="shared" si="298"/>
        <v>0</v>
      </c>
      <c r="L397" s="65" t="e">
        <f t="shared" si="301"/>
        <v>#DIV/0!</v>
      </c>
      <c r="M397" s="152">
        <v>5.6550000000000002</v>
      </c>
      <c r="N397" s="67">
        <f t="shared" si="295"/>
        <v>0</v>
      </c>
      <c r="O397" s="67">
        <f>M397*J397</f>
        <v>0</v>
      </c>
      <c r="P397" s="1186"/>
    </row>
    <row r="398" spans="2:16" x14ac:dyDescent="0.3">
      <c r="B398" s="1181"/>
      <c r="C398" s="1184"/>
      <c r="D398" s="61" t="s">
        <v>121</v>
      </c>
      <c r="E398" s="62">
        <v>0</v>
      </c>
      <c r="F398" s="63">
        <f t="shared" si="297"/>
        <v>2700</v>
      </c>
      <c r="G398" s="63">
        <v>2700</v>
      </c>
      <c r="H398" s="64">
        <v>0</v>
      </c>
      <c r="I398" s="79">
        <f t="shared" si="299"/>
        <v>12400</v>
      </c>
      <c r="J398" s="4">
        <f t="shared" si="292"/>
        <v>10900</v>
      </c>
      <c r="K398" s="4">
        <f t="shared" si="298"/>
        <v>1500</v>
      </c>
      <c r="L398" s="65" t="e">
        <f t="shared" si="301"/>
        <v>#DIV/0!</v>
      </c>
      <c r="M398" s="66">
        <v>5.7885299999999997</v>
      </c>
      <c r="N398" s="67">
        <f>+M398*G398</f>
        <v>15629.030999999999</v>
      </c>
      <c r="O398" s="67">
        <f>M398*J398</f>
        <v>63094.976999999999</v>
      </c>
      <c r="P398" s="1186"/>
    </row>
    <row r="399" spans="2:16" x14ac:dyDescent="0.3">
      <c r="B399" s="1181"/>
      <c r="C399" s="1184"/>
      <c r="D399" s="61" t="s">
        <v>136</v>
      </c>
      <c r="E399" s="62">
        <v>0</v>
      </c>
      <c r="F399" s="63">
        <f t="shared" si="297"/>
        <v>0</v>
      </c>
      <c r="G399" s="63">
        <v>0</v>
      </c>
      <c r="H399" s="64">
        <v>0</v>
      </c>
      <c r="I399" s="79">
        <f t="shared" si="299"/>
        <v>0</v>
      </c>
      <c r="J399" s="4">
        <f t="shared" si="292"/>
        <v>0</v>
      </c>
      <c r="K399" s="4">
        <f t="shared" si="298"/>
        <v>0</v>
      </c>
      <c r="L399" s="65" t="e">
        <f t="shared" si="301"/>
        <v>#DIV/0!</v>
      </c>
      <c r="M399" s="152">
        <v>5.6550000000000002</v>
      </c>
      <c r="N399" s="67">
        <f t="shared" ref="N399:N401" si="302">+M399*G399</f>
        <v>0</v>
      </c>
      <c r="O399" s="67">
        <f t="shared" ref="O399:O402" si="303">M399*J399</f>
        <v>0</v>
      </c>
      <c r="P399" s="1186"/>
    </row>
    <row r="400" spans="2:16" x14ac:dyDescent="0.3">
      <c r="B400" s="1181"/>
      <c r="C400" s="180" t="s">
        <v>86</v>
      </c>
      <c r="D400" s="61" t="s">
        <v>77</v>
      </c>
      <c r="E400" s="62">
        <v>0</v>
      </c>
      <c r="F400" s="63">
        <f t="shared" si="297"/>
        <v>0</v>
      </c>
      <c r="G400" s="63">
        <v>0</v>
      </c>
      <c r="H400" s="64">
        <v>0</v>
      </c>
      <c r="I400" s="79">
        <f t="shared" si="299"/>
        <v>0</v>
      </c>
      <c r="J400" s="4">
        <f t="shared" si="292"/>
        <v>0</v>
      </c>
      <c r="K400" s="4">
        <f t="shared" si="298"/>
        <v>0</v>
      </c>
      <c r="L400" s="65" t="e">
        <f t="shared" si="301"/>
        <v>#DIV/0!</v>
      </c>
      <c r="M400" s="66">
        <v>3.2963</v>
      </c>
      <c r="N400" s="67">
        <f t="shared" si="302"/>
        <v>0</v>
      </c>
      <c r="O400" s="67">
        <f t="shared" si="303"/>
        <v>0</v>
      </c>
      <c r="P400" s="1186"/>
    </row>
    <row r="401" spans="2:16" x14ac:dyDescent="0.3">
      <c r="B401" s="1181"/>
      <c r="C401" s="180" t="s">
        <v>87</v>
      </c>
      <c r="D401" s="61" t="s">
        <v>77</v>
      </c>
      <c r="E401" s="62">
        <v>0</v>
      </c>
      <c r="F401" s="63">
        <f t="shared" si="297"/>
        <v>0</v>
      </c>
      <c r="G401" s="63">
        <v>0</v>
      </c>
      <c r="H401" s="64">
        <v>0</v>
      </c>
      <c r="I401" s="79">
        <f t="shared" si="299"/>
        <v>0</v>
      </c>
      <c r="J401" s="4">
        <f t="shared" si="292"/>
        <v>0</v>
      </c>
      <c r="K401" s="4">
        <f t="shared" si="298"/>
        <v>0</v>
      </c>
      <c r="L401" s="65" t="e">
        <f t="shared" si="301"/>
        <v>#DIV/0!</v>
      </c>
      <c r="M401" s="66">
        <v>3.2963</v>
      </c>
      <c r="N401" s="67">
        <f t="shared" si="302"/>
        <v>0</v>
      </c>
      <c r="O401" s="67">
        <f t="shared" si="303"/>
        <v>0</v>
      </c>
      <c r="P401" s="1186"/>
    </row>
    <row r="402" spans="2:16" ht="15" thickBot="1" x14ac:dyDescent="0.35">
      <c r="B402" s="1181"/>
      <c r="C402" s="68" t="s">
        <v>88</v>
      </c>
      <c r="D402" s="69" t="s">
        <v>89</v>
      </c>
      <c r="E402" s="70">
        <v>0</v>
      </c>
      <c r="F402" s="71">
        <f t="shared" si="297"/>
        <v>65030</v>
      </c>
      <c r="G402" s="71">
        <v>65000</v>
      </c>
      <c r="H402" s="72">
        <v>30</v>
      </c>
      <c r="I402" s="80">
        <f t="shared" si="299"/>
        <v>65030</v>
      </c>
      <c r="J402" s="4">
        <f t="shared" si="292"/>
        <v>65000</v>
      </c>
      <c r="K402" s="4">
        <f t="shared" si="298"/>
        <v>30</v>
      </c>
      <c r="L402" s="65" t="e">
        <f t="shared" si="301"/>
        <v>#DIV/0!</v>
      </c>
      <c r="M402" s="73">
        <v>2.3201000000000001</v>
      </c>
      <c r="N402" s="74">
        <f t="shared" ref="N402" si="304">M402*G402</f>
        <v>150806.5</v>
      </c>
      <c r="O402" s="74">
        <f t="shared" si="303"/>
        <v>150806.5</v>
      </c>
      <c r="P402" s="1187"/>
    </row>
    <row r="403" spans="2:16" ht="15" thickBot="1" x14ac:dyDescent="0.35">
      <c r="B403" s="1182"/>
      <c r="C403" s="1190" t="s">
        <v>99</v>
      </c>
      <c r="D403" s="1191"/>
      <c r="E403" s="1191"/>
      <c r="F403" s="1191"/>
      <c r="G403" s="1191"/>
      <c r="H403" s="1192"/>
      <c r="I403" s="116">
        <f>J403+K403</f>
        <v>502838</v>
      </c>
      <c r="J403" s="115">
        <f>SUM(J375:J402)</f>
        <v>488180</v>
      </c>
      <c r="K403" s="115">
        <f>SUM(K375:K402)</f>
        <v>14658</v>
      </c>
      <c r="L403" s="114"/>
      <c r="M403" s="113"/>
      <c r="N403" s="114"/>
      <c r="O403" s="97">
        <f>SUM(O375:O402)</f>
        <v>3892380.2549999999</v>
      </c>
      <c r="P403" s="96"/>
    </row>
    <row r="404" spans="2:16" ht="15" thickBot="1" x14ac:dyDescent="0.35">
      <c r="B404" s="100"/>
      <c r="C404" s="101"/>
      <c r="D404" s="101"/>
      <c r="E404" s="101"/>
      <c r="F404" s="101"/>
      <c r="G404" s="101"/>
      <c r="H404" s="101"/>
      <c r="I404" s="101"/>
      <c r="J404" s="101"/>
      <c r="K404" s="101"/>
      <c r="L404" s="101"/>
      <c r="M404" s="101"/>
      <c r="N404" s="101"/>
      <c r="O404" s="101"/>
      <c r="P404" s="102"/>
    </row>
    <row r="405" spans="2:16" ht="15" thickBot="1" x14ac:dyDescent="0.35">
      <c r="B405" s="1175" t="s">
        <v>100</v>
      </c>
      <c r="C405" s="1176"/>
      <c r="D405" s="1176"/>
      <c r="E405" s="1176"/>
      <c r="F405" s="1176"/>
      <c r="G405" s="1176"/>
      <c r="H405" s="1176"/>
      <c r="I405" s="1176"/>
      <c r="J405" s="1176"/>
      <c r="K405" s="1176"/>
      <c r="L405" s="1176"/>
      <c r="M405" s="1176"/>
      <c r="N405" s="1177"/>
      <c r="O405" s="103">
        <f>+O403+O374+O359</f>
        <v>8438824.8289999999</v>
      </c>
      <c r="P405" s="96"/>
    </row>
    <row r="406" spans="2:16" ht="15" thickBot="1" x14ac:dyDescent="0.35"/>
    <row r="407" spans="2:16" x14ac:dyDescent="0.3">
      <c r="B407" s="1209" t="s">
        <v>1</v>
      </c>
      <c r="C407" s="1211" t="s">
        <v>2</v>
      </c>
      <c r="D407" s="1214" t="s">
        <v>3</v>
      </c>
      <c r="E407" s="1217" t="s">
        <v>4</v>
      </c>
      <c r="F407" s="1218"/>
      <c r="G407" s="1218"/>
      <c r="H407" s="1218"/>
      <c r="I407" s="1218"/>
      <c r="J407" s="1218"/>
      <c r="K407" s="1218"/>
      <c r="L407" s="1219"/>
      <c r="M407" s="1220" t="s">
        <v>5</v>
      </c>
      <c r="N407" s="1221"/>
      <c r="O407" s="1222"/>
      <c r="P407" s="1214" t="s">
        <v>6</v>
      </c>
    </row>
    <row r="408" spans="2:16" x14ac:dyDescent="0.3">
      <c r="B408" s="1210"/>
      <c r="C408" s="1212"/>
      <c r="D408" s="1215"/>
      <c r="E408" s="1223" t="s">
        <v>7</v>
      </c>
      <c r="F408" s="1225" t="s">
        <v>146</v>
      </c>
      <c r="G408" s="1225"/>
      <c r="H408" s="1226"/>
      <c r="I408" s="1227" t="s">
        <v>8</v>
      </c>
      <c r="J408" s="1225"/>
      <c r="K408" s="1225"/>
      <c r="L408" s="1226" t="s">
        <v>9</v>
      </c>
      <c r="M408" s="1229" t="s">
        <v>10</v>
      </c>
      <c r="N408" s="1231" t="s">
        <v>11</v>
      </c>
      <c r="O408" s="1233" t="s">
        <v>12</v>
      </c>
      <c r="P408" s="1215"/>
    </row>
    <row r="409" spans="2:16" ht="15" thickBot="1" x14ac:dyDescent="0.35">
      <c r="B409" s="1210"/>
      <c r="C409" s="1213"/>
      <c r="D409" s="1216"/>
      <c r="E409" s="1224"/>
      <c r="F409" s="2" t="s">
        <v>13</v>
      </c>
      <c r="G409" s="2" t="s">
        <v>14</v>
      </c>
      <c r="H409" s="187" t="s">
        <v>15</v>
      </c>
      <c r="I409" s="142" t="s">
        <v>13</v>
      </c>
      <c r="J409" s="2" t="s">
        <v>14</v>
      </c>
      <c r="K409" s="2" t="s">
        <v>15</v>
      </c>
      <c r="L409" s="1228"/>
      <c r="M409" s="1230"/>
      <c r="N409" s="1232"/>
      <c r="O409" s="1234"/>
      <c r="P409" s="1216"/>
    </row>
    <row r="410" spans="2:16" x14ac:dyDescent="0.3">
      <c r="B410" s="1193" t="s">
        <v>53</v>
      </c>
      <c r="C410" s="29"/>
      <c r="D410" s="117" t="s">
        <v>143</v>
      </c>
      <c r="E410" s="98">
        <v>0</v>
      </c>
      <c r="F410" s="4">
        <f>+G410+H410</f>
        <v>66760</v>
      </c>
      <c r="G410" s="4">
        <v>65520</v>
      </c>
      <c r="H410" s="8">
        <v>1240</v>
      </c>
      <c r="I410" s="6">
        <f>J410+K410</f>
        <v>224702</v>
      </c>
      <c r="J410" s="4">
        <f>G410+J345</f>
        <v>220640</v>
      </c>
      <c r="K410" s="4">
        <f>H410+K345</f>
        <v>4062</v>
      </c>
      <c r="L410" s="33" t="e">
        <f>+J410/E410</f>
        <v>#DIV/0!</v>
      </c>
      <c r="M410" s="104">
        <v>1.3652</v>
      </c>
      <c r="N410" s="31">
        <f>G410*M410</f>
        <v>89447.903999999995</v>
      </c>
      <c r="O410" s="86">
        <f>M410*J410</f>
        <v>301217.728</v>
      </c>
      <c r="P410" s="1195"/>
    </row>
    <row r="411" spans="2:16" x14ac:dyDescent="0.3">
      <c r="B411" s="1194"/>
      <c r="C411" s="32"/>
      <c r="D411" s="118" t="s">
        <v>109</v>
      </c>
      <c r="E411" s="99">
        <v>0</v>
      </c>
      <c r="F411" s="9">
        <f>+G411+H411</f>
        <v>0</v>
      </c>
      <c r="G411" s="9">
        <v>0</v>
      </c>
      <c r="H411" s="10">
        <v>0</v>
      </c>
      <c r="I411" s="6">
        <f>J411+K411</f>
        <v>0</v>
      </c>
      <c r="J411" s="4">
        <f>+G411+J346</f>
        <v>0</v>
      </c>
      <c r="K411" s="4">
        <f>+H411+K346</f>
        <v>0</v>
      </c>
      <c r="L411" s="33"/>
      <c r="M411" s="105">
        <v>5.9917999999999996</v>
      </c>
      <c r="N411" s="34">
        <f>M411*G411</f>
        <v>0</v>
      </c>
      <c r="O411" s="87">
        <f>M411*J411</f>
        <v>0</v>
      </c>
      <c r="P411" s="1196"/>
    </row>
    <row r="412" spans="2:16" x14ac:dyDescent="0.3">
      <c r="B412" s="1194"/>
      <c r="C412" s="35"/>
      <c r="D412" s="119" t="s">
        <v>55</v>
      </c>
      <c r="E412" s="99">
        <v>0</v>
      </c>
      <c r="F412" s="9">
        <f t="shared" ref="F412:F416" si="305">+G412+H412</f>
        <v>173896</v>
      </c>
      <c r="G412" s="9">
        <f>57500+115000</f>
        <v>172500</v>
      </c>
      <c r="H412" s="10">
        <f>534+862</f>
        <v>1396</v>
      </c>
      <c r="I412" s="6">
        <f t="shared" ref="I412:I416" si="306">J412+K412</f>
        <v>1336583</v>
      </c>
      <c r="J412" s="4">
        <f t="shared" ref="J412:J416" si="307">+G412+J347</f>
        <v>1325750</v>
      </c>
      <c r="K412" s="4">
        <f t="shared" ref="K412:K416" si="308">+H412+K347</f>
        <v>10833</v>
      </c>
      <c r="L412" s="33" t="e">
        <f t="shared" ref="L412" si="309">+J412/E412</f>
        <v>#DIV/0!</v>
      </c>
      <c r="M412" s="106">
        <v>2.3807999999999998</v>
      </c>
      <c r="N412" s="36">
        <f>G412*M412</f>
        <v>410687.99999999994</v>
      </c>
      <c r="O412" s="88">
        <f>M412*J412</f>
        <v>3156345.5999999996</v>
      </c>
      <c r="P412" s="1196"/>
    </row>
    <row r="413" spans="2:16" x14ac:dyDescent="0.3">
      <c r="B413" s="1194"/>
      <c r="C413" s="35"/>
      <c r="D413" s="119" t="s">
        <v>56</v>
      </c>
      <c r="E413" s="99">
        <v>0</v>
      </c>
      <c r="F413" s="9">
        <f t="shared" si="305"/>
        <v>0</v>
      </c>
      <c r="G413" s="9">
        <v>0</v>
      </c>
      <c r="H413" s="10">
        <v>0</v>
      </c>
      <c r="I413" s="6">
        <f t="shared" si="306"/>
        <v>0</v>
      </c>
      <c r="J413" s="4">
        <f t="shared" si="307"/>
        <v>0</v>
      </c>
      <c r="K413" s="4">
        <f t="shared" si="308"/>
        <v>0</v>
      </c>
      <c r="L413" s="33"/>
      <c r="M413" s="106">
        <v>2.1457999999999999</v>
      </c>
      <c r="N413" s="36">
        <f t="shared" ref="N413:N416" si="310">G413*M413</f>
        <v>0</v>
      </c>
      <c r="O413" s="88">
        <f>M413*J413</f>
        <v>0</v>
      </c>
      <c r="P413" s="1196"/>
    </row>
    <row r="414" spans="2:16" x14ac:dyDescent="0.3">
      <c r="B414" s="1194"/>
      <c r="C414" s="35"/>
      <c r="D414" s="119" t="s">
        <v>106</v>
      </c>
      <c r="E414" s="99">
        <v>0</v>
      </c>
      <c r="F414" s="9">
        <f t="shared" si="305"/>
        <v>0</v>
      </c>
      <c r="G414" s="9">
        <v>0</v>
      </c>
      <c r="H414" s="10">
        <v>0</v>
      </c>
      <c r="I414" s="6">
        <f t="shared" si="306"/>
        <v>0</v>
      </c>
      <c r="J414" s="4">
        <f t="shared" si="307"/>
        <v>0</v>
      </c>
      <c r="K414" s="4">
        <f t="shared" si="308"/>
        <v>0</v>
      </c>
      <c r="L414" s="33" t="e">
        <f t="shared" ref="L414:L415" si="311">+J414/E414</f>
        <v>#DIV/0!</v>
      </c>
      <c r="M414" s="143">
        <v>4.0426000000000002</v>
      </c>
      <c r="N414" s="36">
        <f t="shared" si="310"/>
        <v>0</v>
      </c>
      <c r="O414" s="88">
        <f>M414*J414</f>
        <v>0</v>
      </c>
      <c r="P414" s="1196"/>
    </row>
    <row r="415" spans="2:16" x14ac:dyDescent="0.3">
      <c r="B415" s="1194"/>
      <c r="C415" s="35"/>
      <c r="D415" s="119" t="s">
        <v>110</v>
      </c>
      <c r="E415" s="99">
        <v>0</v>
      </c>
      <c r="F415" s="9">
        <f t="shared" si="305"/>
        <v>0</v>
      </c>
      <c r="G415" s="9">
        <v>0</v>
      </c>
      <c r="H415" s="10">
        <v>0</v>
      </c>
      <c r="I415" s="6">
        <f t="shared" si="306"/>
        <v>0</v>
      </c>
      <c r="J415" s="4">
        <f t="shared" si="307"/>
        <v>0</v>
      </c>
      <c r="K415" s="4">
        <f t="shared" si="308"/>
        <v>0</v>
      </c>
      <c r="L415" s="33" t="e">
        <f t="shared" si="311"/>
        <v>#DIV/0!</v>
      </c>
      <c r="M415" s="143">
        <v>3.8715000000000002</v>
      </c>
      <c r="N415" s="36">
        <f t="shared" si="310"/>
        <v>0</v>
      </c>
      <c r="O415" s="88">
        <f t="shared" ref="O415:O416" si="312">M415*J415</f>
        <v>0</v>
      </c>
      <c r="P415" s="1196"/>
    </row>
    <row r="416" spans="2:16" ht="15" thickBot="1" x14ac:dyDescent="0.35">
      <c r="B416" s="1194"/>
      <c r="C416" s="82"/>
      <c r="D416" s="120" t="s">
        <v>57</v>
      </c>
      <c r="E416" s="108">
        <v>0</v>
      </c>
      <c r="F416" s="12">
        <f t="shared" si="305"/>
        <v>0</v>
      </c>
      <c r="G416" s="12">
        <v>0</v>
      </c>
      <c r="H416" s="13">
        <v>0</v>
      </c>
      <c r="I416" s="21">
        <f t="shared" si="306"/>
        <v>0</v>
      </c>
      <c r="J416" s="4">
        <f t="shared" si="307"/>
        <v>0</v>
      </c>
      <c r="K416" s="4">
        <f t="shared" si="308"/>
        <v>0</v>
      </c>
      <c r="L416" s="81"/>
      <c r="M416" s="127">
        <v>12.284700000000001</v>
      </c>
      <c r="N416" s="36">
        <f t="shared" si="310"/>
        <v>0</v>
      </c>
      <c r="O416" s="128">
        <f t="shared" si="312"/>
        <v>0</v>
      </c>
      <c r="P416" s="1196"/>
    </row>
    <row r="417" spans="2:16" ht="15" thickBot="1" x14ac:dyDescent="0.35">
      <c r="B417" s="1194"/>
      <c r="C417" s="1199" t="s">
        <v>104</v>
      </c>
      <c r="D417" s="1200"/>
      <c r="E417" s="129"/>
      <c r="F417" s="130">
        <f>SUM(F410:F416)</f>
        <v>240656</v>
      </c>
      <c r="G417" s="130">
        <f>SUM(G410:G416)</f>
        <v>238020</v>
      </c>
      <c r="H417" s="131">
        <f>SUM(H410:H416)</f>
        <v>2636</v>
      </c>
      <c r="I417" s="132">
        <f>+J417+K417</f>
        <v>1561285</v>
      </c>
      <c r="J417" s="133">
        <f>SUM(J410:J416)</f>
        <v>1546390</v>
      </c>
      <c r="K417" s="133">
        <f>SUM(K410:K416)</f>
        <v>14895</v>
      </c>
      <c r="L417" s="134"/>
      <c r="M417" s="135"/>
      <c r="N417" s="136"/>
      <c r="O417" s="137">
        <f>SUM(O410:O416)</f>
        <v>3457563.3279999997</v>
      </c>
      <c r="P417" s="1197"/>
    </row>
    <row r="418" spans="2:16" x14ac:dyDescent="0.3">
      <c r="B418" s="1194"/>
      <c r="C418" s="32"/>
      <c r="D418" s="118" t="s">
        <v>58</v>
      </c>
      <c r="E418" s="98">
        <v>0</v>
      </c>
      <c r="F418" s="4">
        <f t="shared" ref="F418:F421" si="313">+G418+H418</f>
        <v>0</v>
      </c>
      <c r="G418" s="4">
        <v>0</v>
      </c>
      <c r="H418" s="8">
        <v>0</v>
      </c>
      <c r="I418" s="6">
        <f t="shared" ref="I418:I422" si="314">J418+K418</f>
        <v>0</v>
      </c>
      <c r="J418" s="4">
        <f>G418+J353</f>
        <v>0</v>
      </c>
      <c r="K418" s="4">
        <f>H418+K353</f>
        <v>0</v>
      </c>
      <c r="L418" s="33" t="e">
        <f t="shared" ref="L418" si="315">+J418/E418</f>
        <v>#DIV/0!</v>
      </c>
      <c r="M418" s="105">
        <v>12.029500000000001</v>
      </c>
      <c r="N418" s="34">
        <f>M418*G418</f>
        <v>0</v>
      </c>
      <c r="O418" s="87">
        <f t="shared" ref="O418:O420" si="316">M418*J418</f>
        <v>0</v>
      </c>
      <c r="P418" s="1196"/>
    </row>
    <row r="419" spans="2:16" x14ac:dyDescent="0.3">
      <c r="B419" s="1194"/>
      <c r="C419" s="35"/>
      <c r="D419" s="119" t="s">
        <v>59</v>
      </c>
      <c r="E419" s="99">
        <v>0</v>
      </c>
      <c r="F419" s="9">
        <f t="shared" si="313"/>
        <v>0</v>
      </c>
      <c r="G419" s="9">
        <v>0</v>
      </c>
      <c r="H419" s="10">
        <v>0</v>
      </c>
      <c r="I419" s="6">
        <f t="shared" si="314"/>
        <v>0</v>
      </c>
      <c r="J419" s="4">
        <f>G419+J354</f>
        <v>0</v>
      </c>
      <c r="K419" s="4">
        <f>H419+K354</f>
        <v>0</v>
      </c>
      <c r="L419" s="33"/>
      <c r="M419" s="106">
        <v>0</v>
      </c>
      <c r="N419" s="36"/>
      <c r="O419" s="88">
        <f t="shared" si="316"/>
        <v>0</v>
      </c>
      <c r="P419" s="1196"/>
    </row>
    <row r="420" spans="2:16" x14ac:dyDescent="0.3">
      <c r="B420" s="1194"/>
      <c r="C420" s="35"/>
      <c r="D420" s="119" t="s">
        <v>97</v>
      </c>
      <c r="E420" s="99">
        <v>0</v>
      </c>
      <c r="F420" s="9">
        <f t="shared" si="313"/>
        <v>0</v>
      </c>
      <c r="G420" s="9">
        <v>0</v>
      </c>
      <c r="H420" s="10">
        <v>0</v>
      </c>
      <c r="I420" s="6">
        <f t="shared" si="314"/>
        <v>0</v>
      </c>
      <c r="J420" s="4">
        <f t="shared" ref="J420:J422" si="317">G420+J355</f>
        <v>0</v>
      </c>
      <c r="K420" s="4">
        <f t="shared" ref="K420:K422" si="318">H420+K355</f>
        <v>0</v>
      </c>
      <c r="L420" s="33" t="e">
        <f t="shared" ref="L420:L422" si="319">+J420/E420</f>
        <v>#DIV/0!</v>
      </c>
      <c r="M420" s="106">
        <v>19.688600000000001</v>
      </c>
      <c r="N420" s="36">
        <f>M420*G420</f>
        <v>0</v>
      </c>
      <c r="O420" s="88">
        <f t="shared" si="316"/>
        <v>0</v>
      </c>
      <c r="P420" s="1196"/>
    </row>
    <row r="421" spans="2:16" x14ac:dyDescent="0.3">
      <c r="B421" s="1194"/>
      <c r="C421" s="35"/>
      <c r="D421" s="119" t="s">
        <v>61</v>
      </c>
      <c r="E421" s="99">
        <v>0</v>
      </c>
      <c r="F421" s="9">
        <f t="shared" si="313"/>
        <v>0</v>
      </c>
      <c r="G421" s="9">
        <v>0</v>
      </c>
      <c r="H421" s="10">
        <v>0</v>
      </c>
      <c r="I421" s="6">
        <f t="shared" si="314"/>
        <v>0</v>
      </c>
      <c r="J421" s="4">
        <f t="shared" si="317"/>
        <v>0</v>
      </c>
      <c r="K421" s="4">
        <f t="shared" si="318"/>
        <v>0</v>
      </c>
      <c r="L421" s="33" t="e">
        <f t="shared" si="319"/>
        <v>#DIV/0!</v>
      </c>
      <c r="M421" s="106">
        <v>1.2824</v>
      </c>
      <c r="N421" s="151">
        <f>M421*G421</f>
        <v>0</v>
      </c>
      <c r="O421" s="88">
        <f>M421*J421</f>
        <v>0</v>
      </c>
      <c r="P421" s="1196"/>
    </row>
    <row r="422" spans="2:16" ht="15" thickBot="1" x14ac:dyDescent="0.35">
      <c r="B422" s="1194"/>
      <c r="C422" s="82"/>
      <c r="D422" s="120" t="s">
        <v>60</v>
      </c>
      <c r="E422" s="108">
        <v>0</v>
      </c>
      <c r="F422" s="12">
        <v>0</v>
      </c>
      <c r="G422" s="12">
        <v>8640</v>
      </c>
      <c r="H422" s="13">
        <v>174</v>
      </c>
      <c r="I422" s="21">
        <f t="shared" si="314"/>
        <v>8814</v>
      </c>
      <c r="J422" s="4">
        <f t="shared" si="317"/>
        <v>8640</v>
      </c>
      <c r="K422" s="4">
        <f t="shared" si="318"/>
        <v>174</v>
      </c>
      <c r="L422" s="81" t="e">
        <f t="shared" si="319"/>
        <v>#DIV/0!</v>
      </c>
      <c r="M422" s="107">
        <v>18.2316</v>
      </c>
      <c r="N422" s="75"/>
      <c r="O422" s="89">
        <f t="shared" ref="O422" si="320">M422*J422</f>
        <v>157521.024</v>
      </c>
      <c r="P422" s="1198"/>
    </row>
    <row r="423" spans="2:16" ht="15" thickBot="1" x14ac:dyDescent="0.35">
      <c r="B423" s="1178" t="s">
        <v>105</v>
      </c>
      <c r="C423" s="1179"/>
      <c r="D423" s="1179"/>
      <c r="E423" s="124"/>
      <c r="F423" s="125">
        <f>+G423+H423</f>
        <v>8814</v>
      </c>
      <c r="G423" s="125">
        <f>SUM(G418:G422)</f>
        <v>8640</v>
      </c>
      <c r="H423" s="126">
        <f>SUM(H418:H422)</f>
        <v>174</v>
      </c>
      <c r="I423" s="121">
        <f>J423+K423</f>
        <v>8814</v>
      </c>
      <c r="J423" s="122">
        <f>SUM(J418:J422)</f>
        <v>8640</v>
      </c>
      <c r="K423" s="123">
        <f>SUM(K418:K422)</f>
        <v>174</v>
      </c>
      <c r="L423" s="138"/>
      <c r="M423" s="139"/>
      <c r="N423" s="140"/>
      <c r="O423" s="141">
        <f>SUM(O418:O422)</f>
        <v>157521.024</v>
      </c>
      <c r="P423" s="185"/>
    </row>
    <row r="424" spans="2:16" ht="15" thickBot="1" x14ac:dyDescent="0.35">
      <c r="B424" s="1178" t="s">
        <v>98</v>
      </c>
      <c r="C424" s="1179"/>
      <c r="D424" s="1179"/>
      <c r="E424" s="1201"/>
      <c r="F424" s="1201"/>
      <c r="G424" s="1201"/>
      <c r="H424" s="1201"/>
      <c r="I424" s="1179"/>
      <c r="J424" s="1179"/>
      <c r="K424" s="1179"/>
      <c r="L424" s="1179"/>
      <c r="M424" s="1179"/>
      <c r="N424" s="1202"/>
      <c r="O424" s="83">
        <f>O417+O423</f>
        <v>3615084.352</v>
      </c>
      <c r="P424" s="185"/>
    </row>
    <row r="425" spans="2:16" x14ac:dyDescent="0.3">
      <c r="B425" s="1193" t="s">
        <v>62</v>
      </c>
      <c r="C425" s="37" t="s">
        <v>63</v>
      </c>
      <c r="D425" s="28" t="s">
        <v>64</v>
      </c>
      <c r="E425" s="38">
        <v>0</v>
      </c>
      <c r="F425" s="14">
        <f>+G425+H425</f>
        <v>0</v>
      </c>
      <c r="G425" s="14">
        <v>0</v>
      </c>
      <c r="H425" s="5">
        <v>0</v>
      </c>
      <c r="I425" s="17">
        <f t="shared" ref="I425:I431" si="321">J425+K425</f>
        <v>0</v>
      </c>
      <c r="J425" s="4">
        <f>G425+J360</f>
        <v>0</v>
      </c>
      <c r="K425" s="4">
        <f>H425+K360</f>
        <v>0</v>
      </c>
      <c r="L425" s="30" t="e">
        <f>+J425/E425</f>
        <v>#DIV/0!</v>
      </c>
      <c r="M425" s="146">
        <v>2.2141000000000002</v>
      </c>
      <c r="N425" s="15">
        <f>+M425*G425</f>
        <v>0</v>
      </c>
      <c r="O425" s="90">
        <f>+M425*J425</f>
        <v>0</v>
      </c>
      <c r="P425" s="1204"/>
    </row>
    <row r="426" spans="2:16" x14ac:dyDescent="0.3">
      <c r="B426" s="1194"/>
      <c r="C426" s="39"/>
      <c r="D426" s="22" t="s">
        <v>65</v>
      </c>
      <c r="E426" s="3">
        <v>0</v>
      </c>
      <c r="F426" s="9">
        <f t="shared" ref="F426:F431" si="322">+G426+H426</f>
        <v>0</v>
      </c>
      <c r="G426" s="4">
        <v>0</v>
      </c>
      <c r="H426" s="8">
        <v>0</v>
      </c>
      <c r="I426" s="6">
        <f t="shared" si="321"/>
        <v>0</v>
      </c>
      <c r="J426" s="4">
        <f>+G426+J361</f>
        <v>0</v>
      </c>
      <c r="K426" s="4">
        <f>+H426+K361</f>
        <v>0</v>
      </c>
      <c r="L426" s="40" t="e">
        <f t="shared" ref="L426:L427" si="323">+J426/E426</f>
        <v>#DIV/0!</v>
      </c>
      <c r="M426" s="145">
        <v>2.4565999999999999</v>
      </c>
      <c r="N426" s="11">
        <f t="shared" ref="N426:N428" si="324">+M426*G426</f>
        <v>0</v>
      </c>
      <c r="O426" s="91">
        <f t="shared" ref="O426:O428" si="325">+M426*J426</f>
        <v>0</v>
      </c>
      <c r="P426" s="1205"/>
    </row>
    <row r="427" spans="2:16" x14ac:dyDescent="0.3">
      <c r="B427" s="1194"/>
      <c r="C427" s="39"/>
      <c r="D427" s="23" t="s">
        <v>126</v>
      </c>
      <c r="E427" s="3">
        <v>0</v>
      </c>
      <c r="F427" s="9">
        <f t="shared" si="322"/>
        <v>0</v>
      </c>
      <c r="G427" s="4">
        <v>0</v>
      </c>
      <c r="H427" s="8">
        <v>0</v>
      </c>
      <c r="I427" s="6">
        <f t="shared" si="321"/>
        <v>0</v>
      </c>
      <c r="J427" s="4">
        <f t="shared" ref="J427:J428" si="326">+G427+J362</f>
        <v>0</v>
      </c>
      <c r="K427" s="4">
        <f t="shared" ref="K427:K431" si="327">+H427+K362</f>
        <v>0</v>
      </c>
      <c r="L427" s="40" t="e">
        <f t="shared" si="323"/>
        <v>#DIV/0!</v>
      </c>
      <c r="M427" s="145">
        <v>2.2907000000000002</v>
      </c>
      <c r="N427" s="11">
        <f t="shared" si="324"/>
        <v>0</v>
      </c>
      <c r="O427" s="91">
        <f t="shared" si="325"/>
        <v>0</v>
      </c>
      <c r="P427" s="1205"/>
    </row>
    <row r="428" spans="2:16" x14ac:dyDescent="0.3">
      <c r="B428" s="1194"/>
      <c r="C428" s="39"/>
      <c r="D428" s="22" t="s">
        <v>131</v>
      </c>
      <c r="E428" s="3"/>
      <c r="F428" s="9">
        <f t="shared" si="322"/>
        <v>0</v>
      </c>
      <c r="G428" s="4">
        <v>0</v>
      </c>
      <c r="H428" s="8">
        <v>0</v>
      </c>
      <c r="I428" s="6">
        <f t="shared" si="321"/>
        <v>0</v>
      </c>
      <c r="J428" s="4">
        <f t="shared" si="326"/>
        <v>0</v>
      </c>
      <c r="K428" s="4">
        <f t="shared" si="327"/>
        <v>0</v>
      </c>
      <c r="L428" s="33"/>
      <c r="M428" s="150">
        <v>2.544</v>
      </c>
      <c r="N428" s="11">
        <f t="shared" si="324"/>
        <v>0</v>
      </c>
      <c r="O428" s="91">
        <f t="shared" si="325"/>
        <v>0</v>
      </c>
      <c r="P428" s="1205"/>
    </row>
    <row r="429" spans="2:16" x14ac:dyDescent="0.3">
      <c r="B429" s="1194"/>
      <c r="C429" s="39" t="s">
        <v>66</v>
      </c>
      <c r="D429" s="22" t="s">
        <v>133</v>
      </c>
      <c r="E429" s="3">
        <v>0</v>
      </c>
      <c r="F429" s="9">
        <f t="shared" si="322"/>
        <v>98540</v>
      </c>
      <c r="G429" s="4">
        <v>97000</v>
      </c>
      <c r="H429" s="8">
        <v>1540</v>
      </c>
      <c r="I429" s="6">
        <f t="shared" si="321"/>
        <v>361617</v>
      </c>
      <c r="J429" s="4">
        <f>+G429+J364</f>
        <v>353750</v>
      </c>
      <c r="K429" s="4">
        <f t="shared" si="327"/>
        <v>7867</v>
      </c>
      <c r="L429" s="33" t="e">
        <f>+J429/E429</f>
        <v>#DIV/0!</v>
      </c>
      <c r="M429" s="144">
        <v>2.2141000000000002</v>
      </c>
      <c r="N429" s="7">
        <f>+M429*G429</f>
        <v>214767.7</v>
      </c>
      <c r="O429" s="85">
        <f>+M429*J429</f>
        <v>783237.87500000012</v>
      </c>
      <c r="P429" s="1205"/>
    </row>
    <row r="430" spans="2:16" x14ac:dyDescent="0.3">
      <c r="B430" s="1194"/>
      <c r="C430" s="39"/>
      <c r="D430" s="22" t="s">
        <v>65</v>
      </c>
      <c r="E430" s="3">
        <v>0</v>
      </c>
      <c r="F430" s="9">
        <f t="shared" si="322"/>
        <v>0</v>
      </c>
      <c r="G430" s="4">
        <v>0</v>
      </c>
      <c r="H430" s="8">
        <v>0</v>
      </c>
      <c r="I430" s="6">
        <f t="shared" si="321"/>
        <v>0</v>
      </c>
      <c r="J430" s="4">
        <f t="shared" ref="J430:J431" si="328">+G430+J365</f>
        <v>0</v>
      </c>
      <c r="K430" s="4">
        <f t="shared" si="327"/>
        <v>0</v>
      </c>
      <c r="L430" s="40" t="e">
        <f t="shared" ref="L430:L431" si="329">+J430/E430</f>
        <v>#DIV/0!</v>
      </c>
      <c r="M430" s="145">
        <v>2.4565999999999999</v>
      </c>
      <c r="N430" s="11">
        <f t="shared" ref="N430:N431" si="330">+M430*G430</f>
        <v>0</v>
      </c>
      <c r="O430" s="91">
        <f t="shared" ref="O430" si="331">+M430*J430</f>
        <v>0</v>
      </c>
      <c r="P430" s="1205"/>
    </row>
    <row r="431" spans="2:16" ht="15" thickBot="1" x14ac:dyDescent="0.35">
      <c r="B431" s="1194"/>
      <c r="C431" s="39"/>
      <c r="D431" s="22" t="s">
        <v>126</v>
      </c>
      <c r="E431" s="3">
        <v>0</v>
      </c>
      <c r="F431" s="9">
        <f t="shared" si="322"/>
        <v>0</v>
      </c>
      <c r="G431" s="4">
        <v>0</v>
      </c>
      <c r="H431" s="8">
        <v>0</v>
      </c>
      <c r="I431" s="6">
        <f t="shared" si="321"/>
        <v>0</v>
      </c>
      <c r="J431" s="4">
        <f t="shared" si="328"/>
        <v>0</v>
      </c>
      <c r="K431" s="4">
        <f t="shared" si="327"/>
        <v>0</v>
      </c>
      <c r="L431" s="40" t="e">
        <f t="shared" si="329"/>
        <v>#DIV/0!</v>
      </c>
      <c r="M431" s="145">
        <v>2.2907000000000002</v>
      </c>
      <c r="N431" s="11">
        <f t="shared" si="330"/>
        <v>0</v>
      </c>
      <c r="O431" s="154">
        <f>+M431*J431</f>
        <v>0</v>
      </c>
      <c r="P431" s="1206"/>
    </row>
    <row r="432" spans="2:16" ht="15" thickBot="1" x14ac:dyDescent="0.35">
      <c r="B432" s="1194"/>
      <c r="C432" s="41" t="s">
        <v>29</v>
      </c>
      <c r="D432" s="27" t="str">
        <f>+C432</f>
        <v>TOTAL 1/2</v>
      </c>
      <c r="E432" s="42">
        <f>SUM(E425:E431)</f>
        <v>0</v>
      </c>
      <c r="F432" s="43">
        <f>SUM(F425:F431)</f>
        <v>98540</v>
      </c>
      <c r="G432" s="43">
        <f>SUM(G425:G431)</f>
        <v>97000</v>
      </c>
      <c r="H432" s="44">
        <f>SUM(H425:H431)</f>
        <v>1540</v>
      </c>
      <c r="I432" s="45">
        <f>SUM(I429:I431)</f>
        <v>361617</v>
      </c>
      <c r="J432" s="43">
        <f>SUM(J425:J431)</f>
        <v>353750</v>
      </c>
      <c r="K432" s="43">
        <f>SUM(K425:K431)</f>
        <v>7867</v>
      </c>
      <c r="L432" s="46" t="e">
        <f>+J432/E432</f>
        <v>#DIV/0!</v>
      </c>
      <c r="M432" s="47"/>
      <c r="N432" s="48">
        <f>SUM(N429:N431)</f>
        <v>214767.7</v>
      </c>
      <c r="O432" s="49">
        <f>SUM(O425:O431)</f>
        <v>783237.87500000012</v>
      </c>
      <c r="P432" s="186"/>
    </row>
    <row r="433" spans="2:16" x14ac:dyDescent="0.3">
      <c r="B433" s="1194"/>
      <c r="C433" s="1207" t="s">
        <v>67</v>
      </c>
      <c r="D433" s="22" t="s">
        <v>64</v>
      </c>
      <c r="E433" s="3">
        <v>0</v>
      </c>
      <c r="F433" s="4">
        <f>G433+H433</f>
        <v>0</v>
      </c>
      <c r="G433" s="4">
        <v>0</v>
      </c>
      <c r="H433" s="8">
        <v>0</v>
      </c>
      <c r="I433" s="16">
        <f>J433+K433</f>
        <v>109220</v>
      </c>
      <c r="J433" s="4">
        <f>G433+J368</f>
        <v>105750</v>
      </c>
      <c r="K433" s="4">
        <f>H433+K368</f>
        <v>3470</v>
      </c>
      <c r="L433" s="50" t="e">
        <f>+J433/E433</f>
        <v>#DIV/0!</v>
      </c>
      <c r="M433" s="144">
        <v>4.1712999999999996</v>
      </c>
      <c r="N433" s="7">
        <f>+M433*G433</f>
        <v>0</v>
      </c>
      <c r="O433" s="93">
        <f>+M433*J433</f>
        <v>441114.97499999998</v>
      </c>
      <c r="P433" s="1204"/>
    </row>
    <row r="434" spans="2:16" x14ac:dyDescent="0.3">
      <c r="B434" s="1194"/>
      <c r="C434" s="1208"/>
      <c r="D434" s="22" t="s">
        <v>65</v>
      </c>
      <c r="E434" s="3">
        <v>0</v>
      </c>
      <c r="F434" s="4">
        <f>G434+H434</f>
        <v>0</v>
      </c>
      <c r="G434" s="4">
        <v>0</v>
      </c>
      <c r="H434" s="8">
        <v>0</v>
      </c>
      <c r="I434" s="6">
        <f>+R1478+F434</f>
        <v>0</v>
      </c>
      <c r="J434" s="4">
        <f>G434+J369</f>
        <v>120000</v>
      </c>
      <c r="K434" s="4">
        <f>H434+K369</f>
        <v>3230</v>
      </c>
      <c r="L434" s="51" t="e">
        <f t="shared" ref="L434:L438" si="332">+J434/E434</f>
        <v>#DIV/0!</v>
      </c>
      <c r="M434" s="145">
        <v>4.8285999999999998</v>
      </c>
      <c r="N434" s="11">
        <f t="shared" ref="N434:N436" si="333">+M434*G434</f>
        <v>0</v>
      </c>
      <c r="O434" s="94">
        <f t="shared" ref="O434:O436" si="334">+M434*J434</f>
        <v>579432</v>
      </c>
      <c r="P434" s="1205"/>
    </row>
    <row r="435" spans="2:16" x14ac:dyDescent="0.3">
      <c r="B435" s="1194"/>
      <c r="C435" s="1208"/>
      <c r="D435" s="22" t="s">
        <v>127</v>
      </c>
      <c r="E435" s="3"/>
      <c r="F435" s="4">
        <f>G435+H435</f>
        <v>0</v>
      </c>
      <c r="G435" s="4">
        <v>0</v>
      </c>
      <c r="H435" s="8">
        <v>0</v>
      </c>
      <c r="I435" s="6">
        <f>+R1479+F435</f>
        <v>0</v>
      </c>
      <c r="J435" s="4">
        <f t="shared" ref="J435:J436" si="335">G435+J370</f>
        <v>0</v>
      </c>
      <c r="K435" s="4">
        <f t="shared" ref="K435:K436" si="336">H435+K370</f>
        <v>0</v>
      </c>
      <c r="L435" s="51" t="e">
        <f t="shared" si="332"/>
        <v>#DIV/0!</v>
      </c>
      <c r="M435" s="144">
        <v>4.5023</v>
      </c>
      <c r="N435" s="11">
        <f t="shared" si="333"/>
        <v>0</v>
      </c>
      <c r="O435" s="94">
        <f t="shared" si="334"/>
        <v>0</v>
      </c>
      <c r="P435" s="1205"/>
    </row>
    <row r="436" spans="2:16" ht="15" thickBot="1" x14ac:dyDescent="0.35">
      <c r="B436" s="1194"/>
      <c r="C436" s="1208"/>
      <c r="D436" s="22" t="s">
        <v>111</v>
      </c>
      <c r="E436" s="3">
        <v>0</v>
      </c>
      <c r="F436" s="4">
        <f t="shared" ref="F436" si="337">G436+H436</f>
        <v>0</v>
      </c>
      <c r="G436" s="4">
        <v>0</v>
      </c>
      <c r="H436" s="8">
        <v>0</v>
      </c>
      <c r="I436" s="6">
        <f>+R1479+F436</f>
        <v>0</v>
      </c>
      <c r="J436" s="4">
        <f t="shared" si="335"/>
        <v>0</v>
      </c>
      <c r="K436" s="4">
        <f t="shared" si="336"/>
        <v>0</v>
      </c>
      <c r="L436" s="51" t="e">
        <f t="shared" si="332"/>
        <v>#DIV/0!</v>
      </c>
      <c r="M436" s="144">
        <v>4.4065000000000003</v>
      </c>
      <c r="N436" s="11">
        <f t="shared" si="333"/>
        <v>0</v>
      </c>
      <c r="O436" s="94">
        <f t="shared" si="334"/>
        <v>0</v>
      </c>
      <c r="P436" s="1205"/>
    </row>
    <row r="437" spans="2:16" ht="15" thickBot="1" x14ac:dyDescent="0.35">
      <c r="B437" s="1194"/>
      <c r="C437" s="41" t="s">
        <v>31</v>
      </c>
      <c r="D437" s="18" t="str">
        <f>+C437</f>
        <v>TOTAL 4/4</v>
      </c>
      <c r="E437" s="42">
        <f t="shared" ref="E437:K437" si="338">SUM(E433:E436)</f>
        <v>0</v>
      </c>
      <c r="F437" s="43">
        <f t="shared" si="338"/>
        <v>0</v>
      </c>
      <c r="G437" s="43">
        <f t="shared" si="338"/>
        <v>0</v>
      </c>
      <c r="H437" s="44">
        <f t="shared" si="338"/>
        <v>0</v>
      </c>
      <c r="I437" s="45">
        <f t="shared" si="338"/>
        <v>109220</v>
      </c>
      <c r="J437" s="43">
        <f t="shared" si="338"/>
        <v>225750</v>
      </c>
      <c r="K437" s="43">
        <f t="shared" si="338"/>
        <v>6700</v>
      </c>
      <c r="L437" s="46" t="e">
        <f t="shared" si="332"/>
        <v>#DIV/0!</v>
      </c>
      <c r="M437" s="47"/>
      <c r="N437" s="48">
        <f>SUM(N433:N436)</f>
        <v>0</v>
      </c>
      <c r="O437" s="92">
        <f>SUM(O433:O436)</f>
        <v>1020546.975</v>
      </c>
      <c r="P437" s="1206"/>
    </row>
    <row r="438" spans="2:16" ht="15" thickBot="1" x14ac:dyDescent="0.35">
      <c r="B438" s="1203"/>
      <c r="C438" s="41" t="s">
        <v>68</v>
      </c>
      <c r="D438" s="27" t="s">
        <v>64</v>
      </c>
      <c r="E438" s="25">
        <v>0</v>
      </c>
      <c r="F438" s="20">
        <f>G438+H438</f>
        <v>0</v>
      </c>
      <c r="G438" s="20">
        <v>0</v>
      </c>
      <c r="H438" s="24">
        <v>0</v>
      </c>
      <c r="I438" s="19">
        <f>J438+K438</f>
        <v>0</v>
      </c>
      <c r="J438" s="4">
        <f>G438+J373</f>
        <v>0</v>
      </c>
      <c r="K438" s="4">
        <f>H438+K373</f>
        <v>0</v>
      </c>
      <c r="L438" s="52" t="e">
        <f t="shared" si="332"/>
        <v>#DIV/0!</v>
      </c>
      <c r="M438" s="149">
        <v>1.4086000000000001</v>
      </c>
      <c r="N438" s="26">
        <f t="shared" ref="N438" si="339">+M438*G438</f>
        <v>0</v>
      </c>
      <c r="O438" s="95">
        <f t="shared" ref="O438" si="340">+M438*J438</f>
        <v>0</v>
      </c>
      <c r="P438" s="53"/>
    </row>
    <row r="439" spans="2:16" ht="15" thickBot="1" x14ac:dyDescent="0.35">
      <c r="B439" s="1178" t="s">
        <v>95</v>
      </c>
      <c r="C439" s="1179"/>
      <c r="D439" s="1179"/>
      <c r="E439" s="1179"/>
      <c r="F439" s="1179"/>
      <c r="G439" s="1179"/>
      <c r="H439" s="1179"/>
      <c r="I439" s="110">
        <f>J439+K439</f>
        <v>594067</v>
      </c>
      <c r="J439" s="110">
        <f>J432+J437+J438</f>
        <v>579500</v>
      </c>
      <c r="K439" s="110">
        <f>K432+K437+K438</f>
        <v>14567</v>
      </c>
      <c r="L439" s="111"/>
      <c r="M439" s="112"/>
      <c r="N439" s="109"/>
      <c r="O439" s="77">
        <f>+O438+O437+O432</f>
        <v>1803784.85</v>
      </c>
      <c r="P439" s="84"/>
    </row>
    <row r="440" spans="2:16" x14ac:dyDescent="0.3">
      <c r="B440" s="1180" t="s">
        <v>69</v>
      </c>
      <c r="C440" s="1183" t="s">
        <v>70</v>
      </c>
      <c r="D440" s="54" t="s">
        <v>71</v>
      </c>
      <c r="E440" s="55">
        <v>0</v>
      </c>
      <c r="F440" s="56">
        <f>G440+H440</f>
        <v>0</v>
      </c>
      <c r="G440" s="56">
        <v>0</v>
      </c>
      <c r="H440" s="57">
        <v>0</v>
      </c>
      <c r="I440" s="78">
        <f>J440+K440</f>
        <v>0</v>
      </c>
      <c r="J440" s="4">
        <f>G440+J375</f>
        <v>0</v>
      </c>
      <c r="K440" s="4">
        <f>H440+K375</f>
        <v>0</v>
      </c>
      <c r="L440" s="58" t="e">
        <f t="shared" ref="L440" si="341">+J440/E440</f>
        <v>#DIV/0!</v>
      </c>
      <c r="M440" s="59">
        <v>32.946300000000001</v>
      </c>
      <c r="N440" s="60">
        <f>+M440*G440</f>
        <v>0</v>
      </c>
      <c r="O440" s="60">
        <f>M440*J440</f>
        <v>0</v>
      </c>
      <c r="P440" s="1185"/>
    </row>
    <row r="441" spans="2:16" x14ac:dyDescent="0.3">
      <c r="B441" s="1181"/>
      <c r="C441" s="1184"/>
      <c r="D441" s="61" t="s">
        <v>72</v>
      </c>
      <c r="E441" s="62">
        <v>0</v>
      </c>
      <c r="F441" s="63">
        <f>G441+H441</f>
        <v>0</v>
      </c>
      <c r="G441" s="63">
        <v>0</v>
      </c>
      <c r="H441" s="64">
        <v>0</v>
      </c>
      <c r="I441" s="79">
        <f>J441+K441</f>
        <v>20295</v>
      </c>
      <c r="J441" s="4">
        <f>G441+J376</f>
        <v>20000</v>
      </c>
      <c r="K441" s="4">
        <f>H441+K376</f>
        <v>295</v>
      </c>
      <c r="L441" s="65" t="e">
        <f>+J441/E441</f>
        <v>#DIV/0!</v>
      </c>
      <c r="M441" s="66">
        <v>35.398400000000002</v>
      </c>
      <c r="N441" s="67">
        <f>+M441*G441</f>
        <v>0</v>
      </c>
      <c r="O441" s="67">
        <f>M441*J441</f>
        <v>707968</v>
      </c>
      <c r="P441" s="1186"/>
    </row>
    <row r="442" spans="2:16" x14ac:dyDescent="0.3">
      <c r="B442" s="1181"/>
      <c r="C442" s="1184"/>
      <c r="D442" s="61" t="s">
        <v>73</v>
      </c>
      <c r="E442" s="62">
        <v>0</v>
      </c>
      <c r="F442" s="63">
        <f t="shared" ref="F442:F445" si="342">G442+H442</f>
        <v>0</v>
      </c>
      <c r="G442" s="63">
        <v>0</v>
      </c>
      <c r="H442" s="64">
        <v>0</v>
      </c>
      <c r="I442" s="79">
        <f t="shared" ref="I442:I451" si="343">J442+K442</f>
        <v>0</v>
      </c>
      <c r="J442" s="4">
        <f t="shared" ref="J442:J467" si="344">G442+J377</f>
        <v>0</v>
      </c>
      <c r="K442" s="4">
        <f t="shared" ref="K442:K446" si="345">H442+K377</f>
        <v>0</v>
      </c>
      <c r="L442" s="65" t="e">
        <f t="shared" ref="L442:L455" si="346">+J442/E442</f>
        <v>#DIV/0!</v>
      </c>
      <c r="M442" s="66">
        <v>32.946300000000001</v>
      </c>
      <c r="N442" s="67">
        <f t="shared" ref="N442:N462" si="347">+M442*G442</f>
        <v>0</v>
      </c>
      <c r="O442" s="67">
        <f t="shared" ref="O442:O450" si="348">M442*J442</f>
        <v>0</v>
      </c>
      <c r="P442" s="1186"/>
    </row>
    <row r="443" spans="2:16" x14ac:dyDescent="0.3">
      <c r="B443" s="1181"/>
      <c r="C443" s="1184" t="s">
        <v>74</v>
      </c>
      <c r="D443" s="61" t="s">
        <v>75</v>
      </c>
      <c r="E443" s="62">
        <v>0</v>
      </c>
      <c r="F443" s="63">
        <f t="shared" si="342"/>
        <v>4903</v>
      </c>
      <c r="G443" s="63">
        <v>4800</v>
      </c>
      <c r="H443" s="64">
        <v>103</v>
      </c>
      <c r="I443" s="79">
        <f t="shared" si="343"/>
        <v>9879</v>
      </c>
      <c r="J443" s="4">
        <f t="shared" si="344"/>
        <v>9600</v>
      </c>
      <c r="K443" s="4">
        <f t="shared" si="345"/>
        <v>279</v>
      </c>
      <c r="L443" s="65" t="e">
        <f t="shared" si="346"/>
        <v>#DIV/0!</v>
      </c>
      <c r="M443" s="66">
        <v>55.4758</v>
      </c>
      <c r="N443" s="67">
        <f t="shared" si="347"/>
        <v>266283.84000000003</v>
      </c>
      <c r="O443" s="67">
        <f t="shared" si="348"/>
        <v>532567.68000000005</v>
      </c>
      <c r="P443" s="1186"/>
    </row>
    <row r="444" spans="2:16" x14ac:dyDescent="0.3">
      <c r="B444" s="1181"/>
      <c r="C444" s="1184"/>
      <c r="D444" s="61" t="s">
        <v>134</v>
      </c>
      <c r="E444" s="62">
        <v>0</v>
      </c>
      <c r="F444" s="63">
        <f t="shared" si="342"/>
        <v>0</v>
      </c>
      <c r="G444" s="63">
        <v>0</v>
      </c>
      <c r="H444" s="64">
        <v>0</v>
      </c>
      <c r="I444" s="79">
        <f t="shared" si="343"/>
        <v>0</v>
      </c>
      <c r="J444" s="4">
        <f t="shared" si="344"/>
        <v>0</v>
      </c>
      <c r="K444" s="4">
        <f t="shared" si="345"/>
        <v>0</v>
      </c>
      <c r="L444" s="65" t="e">
        <f t="shared" si="346"/>
        <v>#DIV/0!</v>
      </c>
      <c r="M444" s="66">
        <v>53.515999999999998</v>
      </c>
      <c r="N444" s="67">
        <f t="shared" si="347"/>
        <v>0</v>
      </c>
      <c r="O444" s="67">
        <f t="shared" si="348"/>
        <v>0</v>
      </c>
      <c r="P444" s="1186"/>
    </row>
    <row r="445" spans="2:16" x14ac:dyDescent="0.3">
      <c r="B445" s="1181"/>
      <c r="C445" s="1184"/>
      <c r="D445" s="61" t="s">
        <v>72</v>
      </c>
      <c r="E445" s="62">
        <v>0</v>
      </c>
      <c r="F445" s="63">
        <f t="shared" si="342"/>
        <v>2479</v>
      </c>
      <c r="G445" s="63">
        <v>2400</v>
      </c>
      <c r="H445" s="64">
        <v>79</v>
      </c>
      <c r="I445" s="79">
        <f t="shared" si="343"/>
        <v>9804</v>
      </c>
      <c r="J445" s="4">
        <f t="shared" si="344"/>
        <v>9600</v>
      </c>
      <c r="K445" s="4">
        <f t="shared" si="345"/>
        <v>204</v>
      </c>
      <c r="L445" s="65" t="e">
        <f t="shared" si="346"/>
        <v>#DIV/0!</v>
      </c>
      <c r="M445" s="66">
        <v>58.836300000000001</v>
      </c>
      <c r="N445" s="67">
        <f t="shared" si="347"/>
        <v>141207.12</v>
      </c>
      <c r="O445" s="67">
        <f t="shared" si="348"/>
        <v>564828.48</v>
      </c>
      <c r="P445" s="1186"/>
    </row>
    <row r="446" spans="2:16" x14ac:dyDescent="0.3">
      <c r="B446" s="1181"/>
      <c r="C446" s="1188" t="s">
        <v>76</v>
      </c>
      <c r="D446" s="61" t="s">
        <v>77</v>
      </c>
      <c r="E446" s="62">
        <v>0</v>
      </c>
      <c r="F446" s="63">
        <f>G446+H446</f>
        <v>0</v>
      </c>
      <c r="G446" s="63">
        <v>0</v>
      </c>
      <c r="H446" s="64">
        <v>0</v>
      </c>
      <c r="I446" s="79">
        <f t="shared" si="343"/>
        <v>3675</v>
      </c>
      <c r="J446" s="4">
        <f t="shared" si="344"/>
        <v>3575</v>
      </c>
      <c r="K446" s="4">
        <f t="shared" si="345"/>
        <v>100</v>
      </c>
      <c r="L446" s="65" t="e">
        <f t="shared" si="346"/>
        <v>#DIV/0!</v>
      </c>
      <c r="M446" s="66">
        <v>25.687200000000001</v>
      </c>
      <c r="N446" s="67">
        <f t="shared" si="347"/>
        <v>0</v>
      </c>
      <c r="O446" s="67">
        <f t="shared" si="348"/>
        <v>91831.74</v>
      </c>
      <c r="P446" s="1186"/>
    </row>
    <row r="447" spans="2:16" x14ac:dyDescent="0.3">
      <c r="B447" s="1181"/>
      <c r="C447" s="1189"/>
      <c r="D447" s="61" t="s">
        <v>117</v>
      </c>
      <c r="E447" s="62">
        <v>0</v>
      </c>
      <c r="F447" s="63">
        <f>G447+H447</f>
        <v>0</v>
      </c>
      <c r="G447" s="63">
        <v>0</v>
      </c>
      <c r="H447" s="64">
        <v>0</v>
      </c>
      <c r="I447" s="79">
        <f t="shared" si="343"/>
        <v>0</v>
      </c>
      <c r="J447" s="4">
        <f t="shared" si="344"/>
        <v>0</v>
      </c>
      <c r="K447" s="4">
        <f>H447+K382</f>
        <v>0</v>
      </c>
      <c r="L447" s="65" t="e">
        <f t="shared" si="346"/>
        <v>#DIV/0!</v>
      </c>
      <c r="M447" s="66">
        <v>25.033899999999999</v>
      </c>
      <c r="N447" s="67">
        <f t="shared" si="347"/>
        <v>0</v>
      </c>
      <c r="O447" s="67">
        <f t="shared" si="348"/>
        <v>0</v>
      </c>
      <c r="P447" s="1186"/>
    </row>
    <row r="448" spans="2:16" x14ac:dyDescent="0.3">
      <c r="B448" s="1181"/>
      <c r="C448" s="1188" t="s">
        <v>78</v>
      </c>
      <c r="D448" s="61" t="s">
        <v>79</v>
      </c>
      <c r="E448" s="62">
        <v>0</v>
      </c>
      <c r="F448" s="63">
        <f t="shared" ref="F448:F467" si="349">G448+H448</f>
        <v>0</v>
      </c>
      <c r="G448" s="63">
        <v>0</v>
      </c>
      <c r="H448" s="64">
        <v>0</v>
      </c>
      <c r="I448" s="79">
        <f t="shared" si="343"/>
        <v>8113</v>
      </c>
      <c r="J448" s="4">
        <f t="shared" si="344"/>
        <v>8000</v>
      </c>
      <c r="K448" s="4">
        <f t="shared" ref="K448:K467" si="350">H448+K383</f>
        <v>113</v>
      </c>
      <c r="L448" s="65" t="e">
        <f t="shared" si="346"/>
        <v>#DIV/0!</v>
      </c>
      <c r="M448" s="66">
        <v>41.992699999999999</v>
      </c>
      <c r="N448" s="67">
        <f t="shared" si="347"/>
        <v>0</v>
      </c>
      <c r="O448" s="67">
        <f t="shared" si="348"/>
        <v>335941.6</v>
      </c>
      <c r="P448" s="1186"/>
    </row>
    <row r="449" spans="2:16" x14ac:dyDescent="0.3">
      <c r="B449" s="1181"/>
      <c r="C449" s="1189"/>
      <c r="D449" s="61" t="s">
        <v>72</v>
      </c>
      <c r="E449" s="62">
        <v>0</v>
      </c>
      <c r="F449" s="63">
        <f t="shared" si="349"/>
        <v>0</v>
      </c>
      <c r="G449" s="63">
        <v>0</v>
      </c>
      <c r="H449" s="64">
        <v>0</v>
      </c>
      <c r="I449" s="79">
        <f t="shared" si="343"/>
        <v>0</v>
      </c>
      <c r="J449" s="4">
        <f t="shared" si="344"/>
        <v>0</v>
      </c>
      <c r="K449" s="4">
        <f t="shared" si="350"/>
        <v>0</v>
      </c>
      <c r="L449" s="65" t="e">
        <f t="shared" si="346"/>
        <v>#DIV/0!</v>
      </c>
      <c r="M449" s="66">
        <v>42.283799999999999</v>
      </c>
      <c r="N449" s="67">
        <f t="shared" si="347"/>
        <v>0</v>
      </c>
      <c r="O449" s="67">
        <f t="shared" si="348"/>
        <v>0</v>
      </c>
      <c r="P449" s="1186"/>
    </row>
    <row r="450" spans="2:16" x14ac:dyDescent="0.3">
      <c r="B450" s="1181"/>
      <c r="C450" s="184" t="s">
        <v>80</v>
      </c>
      <c r="D450" s="61" t="s">
        <v>81</v>
      </c>
      <c r="E450" s="62">
        <v>0</v>
      </c>
      <c r="F450" s="63">
        <f t="shared" si="349"/>
        <v>0</v>
      </c>
      <c r="G450" s="63">
        <v>0</v>
      </c>
      <c r="H450" s="64">
        <v>0</v>
      </c>
      <c r="I450" s="79">
        <f t="shared" si="343"/>
        <v>10898</v>
      </c>
      <c r="J450" s="4">
        <f t="shared" si="344"/>
        <v>10500</v>
      </c>
      <c r="K450" s="4">
        <f t="shared" si="350"/>
        <v>398</v>
      </c>
      <c r="L450" s="65" t="e">
        <f t="shared" si="346"/>
        <v>#DIV/0!</v>
      </c>
      <c r="M450" s="66">
        <v>4.3535000000000004</v>
      </c>
      <c r="N450" s="67">
        <f t="shared" si="347"/>
        <v>0</v>
      </c>
      <c r="O450" s="67">
        <f t="shared" si="348"/>
        <v>45711.750000000007</v>
      </c>
      <c r="P450" s="1186"/>
    </row>
    <row r="451" spans="2:16" x14ac:dyDescent="0.3">
      <c r="B451" s="1181"/>
      <c r="C451" s="1184" t="s">
        <v>82</v>
      </c>
      <c r="D451" s="61" t="s">
        <v>77</v>
      </c>
      <c r="E451" s="62">
        <v>0</v>
      </c>
      <c r="F451" s="63">
        <f t="shared" si="349"/>
        <v>0</v>
      </c>
      <c r="G451" s="63">
        <v>0</v>
      </c>
      <c r="H451" s="64">
        <v>0</v>
      </c>
      <c r="I451" s="79">
        <f t="shared" si="343"/>
        <v>0</v>
      </c>
      <c r="J451" s="4">
        <f t="shared" si="344"/>
        <v>0</v>
      </c>
      <c r="K451" s="4">
        <f t="shared" si="350"/>
        <v>0</v>
      </c>
      <c r="L451" s="65" t="e">
        <f t="shared" si="346"/>
        <v>#DIV/0!</v>
      </c>
      <c r="M451" s="66">
        <v>4.6184000000000003</v>
      </c>
      <c r="N451" s="67">
        <f t="shared" si="347"/>
        <v>0</v>
      </c>
      <c r="O451" s="67">
        <f>M451*J451</f>
        <v>0</v>
      </c>
      <c r="P451" s="1186"/>
    </row>
    <row r="452" spans="2:16" x14ac:dyDescent="0.3">
      <c r="B452" s="1181"/>
      <c r="C452" s="1184"/>
      <c r="D452" s="61" t="s">
        <v>119</v>
      </c>
      <c r="E452" s="62">
        <v>0</v>
      </c>
      <c r="F452" s="63">
        <f t="shared" si="349"/>
        <v>0</v>
      </c>
      <c r="G452" s="63">
        <v>0</v>
      </c>
      <c r="H452" s="64">
        <v>0</v>
      </c>
      <c r="I452" s="79">
        <f>J452+K452</f>
        <v>0</v>
      </c>
      <c r="J452" s="4">
        <f t="shared" si="344"/>
        <v>0</v>
      </c>
      <c r="K452" s="4">
        <f t="shared" si="350"/>
        <v>0</v>
      </c>
      <c r="L452" s="65" t="e">
        <f t="shared" si="346"/>
        <v>#DIV/0!</v>
      </c>
      <c r="M452" s="153">
        <v>4.6184000000000003</v>
      </c>
      <c r="N452" s="67">
        <f t="shared" si="347"/>
        <v>0</v>
      </c>
      <c r="O452" s="67">
        <f>M452*J452</f>
        <v>0</v>
      </c>
      <c r="P452" s="1186"/>
    </row>
    <row r="453" spans="2:16" x14ac:dyDescent="0.3">
      <c r="B453" s="1181"/>
      <c r="C453" s="1184"/>
      <c r="D453" s="61" t="s">
        <v>123</v>
      </c>
      <c r="E453" s="62">
        <v>0</v>
      </c>
      <c r="F453" s="63">
        <f t="shared" si="349"/>
        <v>0</v>
      </c>
      <c r="G453" s="63">
        <v>0</v>
      </c>
      <c r="H453" s="64">
        <v>0</v>
      </c>
      <c r="I453" s="79">
        <f t="shared" ref="I453:I467" si="351">J453+K453</f>
        <v>0</v>
      </c>
      <c r="J453" s="4">
        <f t="shared" si="344"/>
        <v>0</v>
      </c>
      <c r="K453" s="4">
        <f t="shared" si="350"/>
        <v>0</v>
      </c>
      <c r="L453" s="65" t="e">
        <f t="shared" si="346"/>
        <v>#DIV/0!</v>
      </c>
      <c r="M453" s="153">
        <v>4.6184000000000003</v>
      </c>
      <c r="N453" s="67">
        <f t="shared" si="347"/>
        <v>0</v>
      </c>
      <c r="O453" s="67">
        <f t="shared" ref="O453:O458" si="352">M453*J453</f>
        <v>0</v>
      </c>
      <c r="P453" s="1186"/>
    </row>
    <row r="454" spans="2:16" x14ac:dyDescent="0.3">
      <c r="B454" s="1181"/>
      <c r="C454" s="1184"/>
      <c r="D454" s="61" t="s">
        <v>124</v>
      </c>
      <c r="E454" s="62">
        <v>0</v>
      </c>
      <c r="F454" s="63">
        <f t="shared" si="349"/>
        <v>24589</v>
      </c>
      <c r="G454" s="63">
        <v>24200</v>
      </c>
      <c r="H454" s="64">
        <v>389</v>
      </c>
      <c r="I454" s="79">
        <f t="shared" si="351"/>
        <v>152113</v>
      </c>
      <c r="J454" s="4">
        <f t="shared" si="344"/>
        <v>147655</v>
      </c>
      <c r="K454" s="4">
        <f t="shared" si="350"/>
        <v>4458</v>
      </c>
      <c r="L454" s="65" t="e">
        <f t="shared" si="346"/>
        <v>#DIV/0!</v>
      </c>
      <c r="M454" s="153">
        <v>4.7636000000000003</v>
      </c>
      <c r="N454" s="67">
        <f t="shared" si="347"/>
        <v>115279.12000000001</v>
      </c>
      <c r="O454" s="67">
        <f t="shared" si="352"/>
        <v>703369.35800000001</v>
      </c>
      <c r="P454" s="1186"/>
    </row>
    <row r="455" spans="2:16" x14ac:dyDescent="0.3">
      <c r="B455" s="1181"/>
      <c r="C455" s="1184"/>
      <c r="D455" s="61" t="s">
        <v>83</v>
      </c>
      <c r="E455" s="62">
        <v>0</v>
      </c>
      <c r="F455" s="63">
        <f t="shared" si="349"/>
        <v>0</v>
      </c>
      <c r="G455" s="63">
        <v>0</v>
      </c>
      <c r="H455" s="64">
        <v>0</v>
      </c>
      <c r="I455" s="79">
        <f t="shared" si="351"/>
        <v>0</v>
      </c>
      <c r="J455" s="4">
        <f t="shared" si="344"/>
        <v>0</v>
      </c>
      <c r="K455" s="4">
        <f t="shared" si="350"/>
        <v>0</v>
      </c>
      <c r="L455" s="65" t="e">
        <f t="shared" si="346"/>
        <v>#DIV/0!</v>
      </c>
      <c r="M455" s="66">
        <v>4.8738000000000001</v>
      </c>
      <c r="N455" s="67">
        <f t="shared" si="347"/>
        <v>0</v>
      </c>
      <c r="O455" s="67">
        <f t="shared" si="352"/>
        <v>0</v>
      </c>
      <c r="P455" s="1186"/>
    </row>
    <row r="456" spans="2:16" x14ac:dyDescent="0.3">
      <c r="B456" s="1181"/>
      <c r="C456" s="184" t="s">
        <v>128</v>
      </c>
      <c r="D456" s="61" t="s">
        <v>124</v>
      </c>
      <c r="E456" s="62"/>
      <c r="F456" s="63">
        <f t="shared" si="349"/>
        <v>0</v>
      </c>
      <c r="G456" s="63">
        <v>0</v>
      </c>
      <c r="H456" s="64">
        <v>0</v>
      </c>
      <c r="I456" s="79">
        <f t="shared" si="351"/>
        <v>0</v>
      </c>
      <c r="J456" s="4">
        <f t="shared" si="344"/>
        <v>0</v>
      </c>
      <c r="K456" s="4">
        <f t="shared" si="350"/>
        <v>0</v>
      </c>
      <c r="L456" s="65"/>
      <c r="M456" s="66">
        <v>4.8738000000000001</v>
      </c>
      <c r="N456" s="67">
        <f t="shared" si="347"/>
        <v>0</v>
      </c>
      <c r="O456" s="67">
        <f t="shared" si="352"/>
        <v>0</v>
      </c>
      <c r="P456" s="1186"/>
    </row>
    <row r="457" spans="2:16" x14ac:dyDescent="0.3">
      <c r="B457" s="1181"/>
      <c r="C457" s="1184" t="s">
        <v>84</v>
      </c>
      <c r="D457" s="61" t="s">
        <v>77</v>
      </c>
      <c r="E457" s="62">
        <v>0</v>
      </c>
      <c r="F457" s="63">
        <f t="shared" si="349"/>
        <v>9848</v>
      </c>
      <c r="G457" s="63">
        <v>9750</v>
      </c>
      <c r="H457" s="64">
        <v>98</v>
      </c>
      <c r="I457" s="79">
        <f t="shared" si="351"/>
        <v>140327</v>
      </c>
      <c r="J457" s="4">
        <f t="shared" si="344"/>
        <v>138550</v>
      </c>
      <c r="K457" s="4">
        <f t="shared" si="350"/>
        <v>1777</v>
      </c>
      <c r="L457" s="65" t="e">
        <f t="shared" ref="L457:L467" si="353">+J457/E457</f>
        <v>#DIV/0!</v>
      </c>
      <c r="M457" s="66">
        <v>4.9344999999999999</v>
      </c>
      <c r="N457" s="67">
        <f t="shared" si="347"/>
        <v>48111.375</v>
      </c>
      <c r="O457" s="67">
        <f t="shared" si="352"/>
        <v>683674.97499999998</v>
      </c>
      <c r="P457" s="1186"/>
    </row>
    <row r="458" spans="2:16" x14ac:dyDescent="0.3">
      <c r="B458" s="1181"/>
      <c r="C458" s="1184"/>
      <c r="D458" s="61" t="s">
        <v>135</v>
      </c>
      <c r="E458" s="62"/>
      <c r="F458" s="63">
        <f t="shared" si="349"/>
        <v>0</v>
      </c>
      <c r="G458" s="63">
        <v>0</v>
      </c>
      <c r="H458" s="64">
        <v>0</v>
      </c>
      <c r="I458" s="79">
        <f t="shared" si="351"/>
        <v>0</v>
      </c>
      <c r="J458" s="4">
        <f t="shared" si="344"/>
        <v>0</v>
      </c>
      <c r="K458" s="4">
        <f t="shared" si="350"/>
        <v>0</v>
      </c>
      <c r="L458" s="65" t="e">
        <f t="shared" si="353"/>
        <v>#DIV/0!</v>
      </c>
      <c r="M458" s="66">
        <v>4.9344999999999999</v>
      </c>
      <c r="N458" s="67">
        <f t="shared" si="347"/>
        <v>0</v>
      </c>
      <c r="O458" s="67">
        <f t="shared" si="352"/>
        <v>0</v>
      </c>
      <c r="P458" s="1186"/>
    </row>
    <row r="459" spans="2:16" x14ac:dyDescent="0.3">
      <c r="B459" s="1181"/>
      <c r="C459" s="1184"/>
      <c r="D459" s="61" t="s">
        <v>129</v>
      </c>
      <c r="E459" s="62">
        <v>0</v>
      </c>
      <c r="F459" s="63">
        <f t="shared" si="349"/>
        <v>0</v>
      </c>
      <c r="G459" s="155">
        <v>0</v>
      </c>
      <c r="H459" s="156">
        <v>0</v>
      </c>
      <c r="I459" s="157">
        <f t="shared" si="351"/>
        <v>0</v>
      </c>
      <c r="J459" s="4">
        <f t="shared" si="344"/>
        <v>0</v>
      </c>
      <c r="K459" s="4">
        <f t="shared" si="350"/>
        <v>0</v>
      </c>
      <c r="L459" s="158" t="e">
        <f t="shared" si="353"/>
        <v>#DIV/0!</v>
      </c>
      <c r="M459" s="66">
        <v>4.9344999999999999</v>
      </c>
      <c r="N459" s="159">
        <f t="shared" si="347"/>
        <v>0</v>
      </c>
      <c r="O459" s="67">
        <f>M459*J459</f>
        <v>0</v>
      </c>
      <c r="P459" s="1186"/>
    </row>
    <row r="460" spans="2:16" x14ac:dyDescent="0.3">
      <c r="B460" s="1181"/>
      <c r="C460" s="1184" t="s">
        <v>85</v>
      </c>
      <c r="D460" s="61" t="s">
        <v>77</v>
      </c>
      <c r="E460" s="62">
        <v>0</v>
      </c>
      <c r="F460" s="63">
        <f t="shared" si="349"/>
        <v>1392</v>
      </c>
      <c r="G460" s="63">
        <v>1000</v>
      </c>
      <c r="H460" s="64">
        <v>392</v>
      </c>
      <c r="I460" s="79">
        <f t="shared" si="351"/>
        <v>113515</v>
      </c>
      <c r="J460" s="4">
        <f t="shared" si="344"/>
        <v>106950</v>
      </c>
      <c r="K460" s="4">
        <f t="shared" si="350"/>
        <v>6565</v>
      </c>
      <c r="L460" s="65" t="e">
        <f t="shared" si="353"/>
        <v>#DIV/0!</v>
      </c>
      <c r="M460" s="148">
        <v>5.5069999999999997</v>
      </c>
      <c r="N460" s="67">
        <f t="shared" si="347"/>
        <v>5507</v>
      </c>
      <c r="O460" s="67">
        <f>M460*J460</f>
        <v>588973.64999999991</v>
      </c>
      <c r="P460" s="1186"/>
    </row>
    <row r="461" spans="2:16" x14ac:dyDescent="0.3">
      <c r="B461" s="1181"/>
      <c r="C461" s="1184"/>
      <c r="D461" s="61" t="s">
        <v>112</v>
      </c>
      <c r="E461" s="62">
        <v>0</v>
      </c>
      <c r="F461" s="63">
        <f t="shared" si="349"/>
        <v>10950</v>
      </c>
      <c r="G461" s="63">
        <v>10900</v>
      </c>
      <c r="H461" s="64">
        <v>50</v>
      </c>
      <c r="I461" s="79">
        <f t="shared" si="351"/>
        <v>10950</v>
      </c>
      <c r="J461" s="4">
        <f t="shared" si="344"/>
        <v>10900</v>
      </c>
      <c r="K461" s="4">
        <f t="shared" si="350"/>
        <v>50</v>
      </c>
      <c r="L461" s="65" t="e">
        <f t="shared" si="353"/>
        <v>#DIV/0!</v>
      </c>
      <c r="M461" s="147">
        <v>5.6550000000000002</v>
      </c>
      <c r="N461" s="67">
        <f t="shared" si="347"/>
        <v>61639.5</v>
      </c>
      <c r="O461" s="67">
        <f>M461*J461</f>
        <v>61639.5</v>
      </c>
      <c r="P461" s="1186"/>
    </row>
    <row r="462" spans="2:16" x14ac:dyDescent="0.3">
      <c r="B462" s="1181"/>
      <c r="C462" s="1184"/>
      <c r="D462" s="61" t="s">
        <v>118</v>
      </c>
      <c r="E462" s="62">
        <v>0</v>
      </c>
      <c r="F462" s="63">
        <f t="shared" si="349"/>
        <v>0</v>
      </c>
      <c r="G462" s="63">
        <v>0</v>
      </c>
      <c r="H462" s="64">
        <v>0</v>
      </c>
      <c r="I462" s="79">
        <f t="shared" si="351"/>
        <v>0</v>
      </c>
      <c r="J462" s="4">
        <f t="shared" si="344"/>
        <v>0</v>
      </c>
      <c r="K462" s="4">
        <f t="shared" si="350"/>
        <v>0</v>
      </c>
      <c r="L462" s="65" t="e">
        <f t="shared" si="353"/>
        <v>#DIV/0!</v>
      </c>
      <c r="M462" s="152">
        <v>5.6550000000000002</v>
      </c>
      <c r="N462" s="67">
        <f t="shared" si="347"/>
        <v>0</v>
      </c>
      <c r="O462" s="67">
        <f>M462*J462</f>
        <v>0</v>
      </c>
      <c r="P462" s="1186"/>
    </row>
    <row r="463" spans="2:16" x14ac:dyDescent="0.3">
      <c r="B463" s="1181"/>
      <c r="C463" s="1184"/>
      <c r="D463" s="61" t="s">
        <v>121</v>
      </c>
      <c r="E463" s="62">
        <v>0</v>
      </c>
      <c r="F463" s="63">
        <f t="shared" si="349"/>
        <v>0</v>
      </c>
      <c r="G463" s="63">
        <v>0</v>
      </c>
      <c r="H463" s="64">
        <v>0</v>
      </c>
      <c r="I463" s="79">
        <f t="shared" si="351"/>
        <v>12400</v>
      </c>
      <c r="J463" s="4">
        <f t="shared" si="344"/>
        <v>10900</v>
      </c>
      <c r="K463" s="4">
        <f t="shared" si="350"/>
        <v>1500</v>
      </c>
      <c r="L463" s="65" t="e">
        <f t="shared" si="353"/>
        <v>#DIV/0!</v>
      </c>
      <c r="M463" s="66">
        <v>5.7885299999999997</v>
      </c>
      <c r="N463" s="67">
        <f>+M463*G463</f>
        <v>0</v>
      </c>
      <c r="O463" s="67">
        <f>M463*J463</f>
        <v>63094.976999999999</v>
      </c>
      <c r="P463" s="1186"/>
    </row>
    <row r="464" spans="2:16" x14ac:dyDescent="0.3">
      <c r="B464" s="1181"/>
      <c r="C464" s="1184"/>
      <c r="D464" s="61" t="s">
        <v>136</v>
      </c>
      <c r="E464" s="62">
        <v>0</v>
      </c>
      <c r="F464" s="63">
        <f t="shared" si="349"/>
        <v>0</v>
      </c>
      <c r="G464" s="63">
        <v>0</v>
      </c>
      <c r="H464" s="64">
        <v>0</v>
      </c>
      <c r="I464" s="79">
        <f t="shared" si="351"/>
        <v>0</v>
      </c>
      <c r="J464" s="4">
        <f t="shared" si="344"/>
        <v>0</v>
      </c>
      <c r="K464" s="4">
        <f t="shared" si="350"/>
        <v>0</v>
      </c>
      <c r="L464" s="65" t="e">
        <f t="shared" si="353"/>
        <v>#DIV/0!</v>
      </c>
      <c r="M464" s="152">
        <v>5.6550000000000002</v>
      </c>
      <c r="N464" s="67">
        <f t="shared" ref="N464:N466" si="354">+M464*G464</f>
        <v>0</v>
      </c>
      <c r="O464" s="67">
        <f t="shared" ref="O464:O467" si="355">M464*J464</f>
        <v>0</v>
      </c>
      <c r="P464" s="1186"/>
    </row>
    <row r="465" spans="2:16" x14ac:dyDescent="0.3">
      <c r="B465" s="1181"/>
      <c r="C465" s="184" t="s">
        <v>86</v>
      </c>
      <c r="D465" s="61" t="s">
        <v>77</v>
      </c>
      <c r="E465" s="62">
        <v>0</v>
      </c>
      <c r="F465" s="63">
        <f t="shared" si="349"/>
        <v>0</v>
      </c>
      <c r="G465" s="63">
        <v>0</v>
      </c>
      <c r="H465" s="64">
        <v>0</v>
      </c>
      <c r="I465" s="79">
        <f t="shared" si="351"/>
        <v>0</v>
      </c>
      <c r="J465" s="4">
        <f t="shared" si="344"/>
        <v>0</v>
      </c>
      <c r="K465" s="4">
        <f t="shared" si="350"/>
        <v>0</v>
      </c>
      <c r="L465" s="65" t="e">
        <f t="shared" si="353"/>
        <v>#DIV/0!</v>
      </c>
      <c r="M465" s="66">
        <v>3.2963</v>
      </c>
      <c r="N465" s="67">
        <f t="shared" si="354"/>
        <v>0</v>
      </c>
      <c r="O465" s="67">
        <f t="shared" si="355"/>
        <v>0</v>
      </c>
      <c r="P465" s="1186"/>
    </row>
    <row r="466" spans="2:16" x14ac:dyDescent="0.3">
      <c r="B466" s="1181"/>
      <c r="C466" s="184" t="s">
        <v>87</v>
      </c>
      <c r="D466" s="61" t="s">
        <v>77</v>
      </c>
      <c r="E466" s="62">
        <v>0</v>
      </c>
      <c r="F466" s="63">
        <f t="shared" si="349"/>
        <v>0</v>
      </c>
      <c r="G466" s="63">
        <v>0</v>
      </c>
      <c r="H466" s="64">
        <v>0</v>
      </c>
      <c r="I466" s="79">
        <f t="shared" si="351"/>
        <v>0</v>
      </c>
      <c r="J466" s="4">
        <f t="shared" si="344"/>
        <v>0</v>
      </c>
      <c r="K466" s="4">
        <f t="shared" si="350"/>
        <v>0</v>
      </c>
      <c r="L466" s="65" t="e">
        <f t="shared" si="353"/>
        <v>#DIV/0!</v>
      </c>
      <c r="M466" s="66">
        <v>3.2963</v>
      </c>
      <c r="N466" s="67">
        <f t="shared" si="354"/>
        <v>0</v>
      </c>
      <c r="O466" s="67">
        <f t="shared" si="355"/>
        <v>0</v>
      </c>
      <c r="P466" s="1186"/>
    </row>
    <row r="467" spans="2:16" ht="15" thickBot="1" x14ac:dyDescent="0.35">
      <c r="B467" s="1181"/>
      <c r="C467" s="68" t="s">
        <v>88</v>
      </c>
      <c r="D467" s="69" t="s">
        <v>89</v>
      </c>
      <c r="E467" s="70">
        <v>0</v>
      </c>
      <c r="F467" s="71">
        <f t="shared" si="349"/>
        <v>0</v>
      </c>
      <c r="G467" s="71">
        <v>0</v>
      </c>
      <c r="H467" s="72">
        <v>0</v>
      </c>
      <c r="I467" s="80">
        <f t="shared" si="351"/>
        <v>65030</v>
      </c>
      <c r="J467" s="4">
        <f t="shared" si="344"/>
        <v>65000</v>
      </c>
      <c r="K467" s="4">
        <f t="shared" si="350"/>
        <v>30</v>
      </c>
      <c r="L467" s="65" t="e">
        <f t="shared" si="353"/>
        <v>#DIV/0!</v>
      </c>
      <c r="M467" s="73">
        <v>2.3201000000000001</v>
      </c>
      <c r="N467" s="74">
        <f t="shared" ref="N467" si="356">M467*G467</f>
        <v>0</v>
      </c>
      <c r="O467" s="74">
        <f t="shared" si="355"/>
        <v>150806.5</v>
      </c>
      <c r="P467" s="1187"/>
    </row>
    <row r="468" spans="2:16" ht="15" thickBot="1" x14ac:dyDescent="0.35">
      <c r="B468" s="1182"/>
      <c r="C468" s="1190" t="s">
        <v>99</v>
      </c>
      <c r="D468" s="1191"/>
      <c r="E468" s="1191"/>
      <c r="F468" s="1191"/>
      <c r="G468" s="1191"/>
      <c r="H468" s="1192"/>
      <c r="I468" s="116">
        <f>J468+K468</f>
        <v>556999</v>
      </c>
      <c r="J468" s="115">
        <f>SUM(J440:J467)</f>
        <v>541230</v>
      </c>
      <c r="K468" s="115">
        <f>SUM(K440:K467)</f>
        <v>15769</v>
      </c>
      <c r="L468" s="114"/>
      <c r="M468" s="113"/>
      <c r="N468" s="114"/>
      <c r="O468" s="97">
        <f>SUM(O440:O467)</f>
        <v>4530408.21</v>
      </c>
      <c r="P468" s="96"/>
    </row>
    <row r="469" spans="2:16" ht="15" thickBot="1" x14ac:dyDescent="0.35">
      <c r="B469" s="100"/>
      <c r="C469" s="101"/>
      <c r="D469" s="101"/>
      <c r="E469" s="101"/>
      <c r="F469" s="101"/>
      <c r="G469" s="101"/>
      <c r="H469" s="101"/>
      <c r="I469" s="101"/>
      <c r="J469" s="101"/>
      <c r="K469" s="101"/>
      <c r="L469" s="101"/>
      <c r="M469" s="101"/>
      <c r="N469" s="101"/>
      <c r="O469" s="101"/>
      <c r="P469" s="102"/>
    </row>
    <row r="470" spans="2:16" ht="15" thickBot="1" x14ac:dyDescent="0.35">
      <c r="B470" s="1175" t="s">
        <v>100</v>
      </c>
      <c r="C470" s="1176"/>
      <c r="D470" s="1176"/>
      <c r="E470" s="1176"/>
      <c r="F470" s="1176"/>
      <c r="G470" s="1176"/>
      <c r="H470" s="1176"/>
      <c r="I470" s="1176"/>
      <c r="J470" s="1176"/>
      <c r="K470" s="1176"/>
      <c r="L470" s="1176"/>
      <c r="M470" s="1176"/>
      <c r="N470" s="1177"/>
      <c r="O470" s="103">
        <f>+O468+O439+O424</f>
        <v>9949277.4120000005</v>
      </c>
      <c r="P470" s="96"/>
    </row>
    <row r="471" spans="2:16" ht="15" thickBot="1" x14ac:dyDescent="0.35"/>
    <row r="472" spans="2:16" x14ac:dyDescent="0.3">
      <c r="B472" s="1209" t="s">
        <v>1</v>
      </c>
      <c r="C472" s="1211" t="s">
        <v>2</v>
      </c>
      <c r="D472" s="1214" t="s">
        <v>3</v>
      </c>
      <c r="E472" s="1217" t="s">
        <v>4</v>
      </c>
      <c r="F472" s="1218"/>
      <c r="G472" s="1218"/>
      <c r="H472" s="1218"/>
      <c r="I472" s="1218"/>
      <c r="J472" s="1218"/>
      <c r="K472" s="1218"/>
      <c r="L472" s="1219"/>
      <c r="M472" s="1220" t="s">
        <v>5</v>
      </c>
      <c r="N472" s="1221"/>
      <c r="O472" s="1222"/>
      <c r="P472" s="1214" t="s">
        <v>6</v>
      </c>
    </row>
    <row r="473" spans="2:16" x14ac:dyDescent="0.3">
      <c r="B473" s="1210"/>
      <c r="C473" s="1212"/>
      <c r="D473" s="1215"/>
      <c r="E473" s="1223" t="s">
        <v>7</v>
      </c>
      <c r="F473" s="1225" t="s">
        <v>147</v>
      </c>
      <c r="G473" s="1225"/>
      <c r="H473" s="1226"/>
      <c r="I473" s="1227" t="s">
        <v>8</v>
      </c>
      <c r="J473" s="1225"/>
      <c r="K473" s="1225"/>
      <c r="L473" s="1226" t="s">
        <v>9</v>
      </c>
      <c r="M473" s="1229" t="s">
        <v>10</v>
      </c>
      <c r="N473" s="1231" t="s">
        <v>11</v>
      </c>
      <c r="O473" s="1233" t="s">
        <v>12</v>
      </c>
      <c r="P473" s="1215"/>
    </row>
    <row r="474" spans="2:16" ht="15" thickBot="1" x14ac:dyDescent="0.35">
      <c r="B474" s="1210"/>
      <c r="C474" s="1213"/>
      <c r="D474" s="1216"/>
      <c r="E474" s="1224"/>
      <c r="F474" s="2" t="s">
        <v>13</v>
      </c>
      <c r="G474" s="2" t="s">
        <v>14</v>
      </c>
      <c r="H474" s="187" t="s">
        <v>15</v>
      </c>
      <c r="I474" s="142" t="s">
        <v>13</v>
      </c>
      <c r="J474" s="2" t="s">
        <v>14</v>
      </c>
      <c r="K474" s="2" t="s">
        <v>15</v>
      </c>
      <c r="L474" s="1228"/>
      <c r="M474" s="1230"/>
      <c r="N474" s="1232"/>
      <c r="O474" s="1234"/>
      <c r="P474" s="1216"/>
    </row>
    <row r="475" spans="2:16" x14ac:dyDescent="0.3">
      <c r="B475" s="1193" t="s">
        <v>53</v>
      </c>
      <c r="C475" s="29"/>
      <c r="D475" s="117" t="s">
        <v>143</v>
      </c>
      <c r="E475" s="98">
        <v>0</v>
      </c>
      <c r="F475" s="4">
        <f>+G475+H475</f>
        <v>0</v>
      </c>
      <c r="G475" s="4">
        <v>0</v>
      </c>
      <c r="H475" s="8">
        <v>0</v>
      </c>
      <c r="I475" s="6">
        <f>J475+K475</f>
        <v>224702</v>
      </c>
      <c r="J475" s="4">
        <f>G475+J410</f>
        <v>220640</v>
      </c>
      <c r="K475" s="4">
        <f>H475+K410</f>
        <v>4062</v>
      </c>
      <c r="L475" s="33" t="e">
        <f>+J475/E475</f>
        <v>#DIV/0!</v>
      </c>
      <c r="M475" s="104">
        <v>1.3652</v>
      </c>
      <c r="N475" s="31">
        <f>G475*M475</f>
        <v>0</v>
      </c>
      <c r="O475" s="86">
        <f>M475*J475</f>
        <v>301217.728</v>
      </c>
      <c r="P475" s="1195"/>
    </row>
    <row r="476" spans="2:16" x14ac:dyDescent="0.3">
      <c r="B476" s="1194"/>
      <c r="C476" s="32"/>
      <c r="D476" s="118" t="s">
        <v>109</v>
      </c>
      <c r="E476" s="99">
        <v>0</v>
      </c>
      <c r="F476" s="9">
        <f>+G476+H476</f>
        <v>0</v>
      </c>
      <c r="G476" s="9">
        <v>0</v>
      </c>
      <c r="H476" s="10">
        <v>0</v>
      </c>
      <c r="I476" s="6">
        <f>J476+K476</f>
        <v>0</v>
      </c>
      <c r="J476" s="4">
        <f>+G476+J411</f>
        <v>0</v>
      </c>
      <c r="K476" s="4">
        <f>+H476+K411</f>
        <v>0</v>
      </c>
      <c r="L476" s="33"/>
      <c r="M476" s="105">
        <v>5.9917999999999996</v>
      </c>
      <c r="N476" s="34">
        <f>M476*G476</f>
        <v>0</v>
      </c>
      <c r="O476" s="87">
        <f>M476*J476</f>
        <v>0</v>
      </c>
      <c r="P476" s="1196"/>
    </row>
    <row r="477" spans="2:16" x14ac:dyDescent="0.3">
      <c r="B477" s="1194"/>
      <c r="C477" s="35"/>
      <c r="D477" s="119" t="s">
        <v>55</v>
      </c>
      <c r="E477" s="99">
        <v>0</v>
      </c>
      <c r="F477" s="9">
        <f t="shared" ref="F477:F481" si="357">+G477+H477</f>
        <v>0</v>
      </c>
      <c r="G477" s="9">
        <v>0</v>
      </c>
      <c r="H477" s="10">
        <v>0</v>
      </c>
      <c r="I477" s="6">
        <f t="shared" ref="I477:I481" si="358">J477+K477</f>
        <v>1336583</v>
      </c>
      <c r="J477" s="4">
        <f t="shared" ref="J477:J481" si="359">+G477+J412</f>
        <v>1325750</v>
      </c>
      <c r="K477" s="4">
        <f t="shared" ref="K477:K481" si="360">+H477+K412</f>
        <v>10833</v>
      </c>
      <c r="L477" s="33" t="e">
        <f t="shared" ref="L477" si="361">+J477/E477</f>
        <v>#DIV/0!</v>
      </c>
      <c r="M477" s="106">
        <v>2.3807999999999998</v>
      </c>
      <c r="N477" s="36">
        <f>G477*M477</f>
        <v>0</v>
      </c>
      <c r="O477" s="88">
        <f>M477*J477</f>
        <v>3156345.5999999996</v>
      </c>
      <c r="P477" s="1196"/>
    </row>
    <row r="478" spans="2:16" x14ac:dyDescent="0.3">
      <c r="B478" s="1194"/>
      <c r="C478" s="35"/>
      <c r="D478" s="119" t="s">
        <v>56</v>
      </c>
      <c r="E478" s="99">
        <v>0</v>
      </c>
      <c r="F478" s="9">
        <f t="shared" si="357"/>
        <v>0</v>
      </c>
      <c r="G478" s="9">
        <v>0</v>
      </c>
      <c r="H478" s="10">
        <v>0</v>
      </c>
      <c r="I478" s="6">
        <f t="shared" si="358"/>
        <v>0</v>
      </c>
      <c r="J478" s="4">
        <f t="shared" si="359"/>
        <v>0</v>
      </c>
      <c r="K478" s="4">
        <f t="shared" si="360"/>
        <v>0</v>
      </c>
      <c r="L478" s="33"/>
      <c r="M478" s="106">
        <v>2.1457999999999999</v>
      </c>
      <c r="N478" s="36">
        <f t="shared" ref="N478:N481" si="362">G478*M478</f>
        <v>0</v>
      </c>
      <c r="O478" s="88">
        <f>M478*J478</f>
        <v>0</v>
      </c>
      <c r="P478" s="1196"/>
    </row>
    <row r="479" spans="2:16" x14ac:dyDescent="0.3">
      <c r="B479" s="1194"/>
      <c r="C479" s="35"/>
      <c r="D479" s="119" t="s">
        <v>106</v>
      </c>
      <c r="E479" s="99">
        <v>0</v>
      </c>
      <c r="F479" s="9">
        <f t="shared" si="357"/>
        <v>0</v>
      </c>
      <c r="G479" s="9">
        <v>0</v>
      </c>
      <c r="H479" s="10">
        <v>0</v>
      </c>
      <c r="I479" s="6">
        <f t="shared" si="358"/>
        <v>0</v>
      </c>
      <c r="J479" s="4">
        <f t="shared" si="359"/>
        <v>0</v>
      </c>
      <c r="K479" s="4">
        <f t="shared" si="360"/>
        <v>0</v>
      </c>
      <c r="L479" s="33" t="e">
        <f t="shared" ref="L479:L480" si="363">+J479/E479</f>
        <v>#DIV/0!</v>
      </c>
      <c r="M479" s="143">
        <v>4.0426000000000002</v>
      </c>
      <c r="N479" s="36">
        <f t="shared" si="362"/>
        <v>0</v>
      </c>
      <c r="O479" s="88">
        <f>M479*J479</f>
        <v>0</v>
      </c>
      <c r="P479" s="1196"/>
    </row>
    <row r="480" spans="2:16" x14ac:dyDescent="0.3">
      <c r="B480" s="1194"/>
      <c r="C480" s="35"/>
      <c r="D480" s="119" t="s">
        <v>110</v>
      </c>
      <c r="E480" s="99">
        <v>0</v>
      </c>
      <c r="F480" s="9">
        <f t="shared" si="357"/>
        <v>0</v>
      </c>
      <c r="G480" s="9">
        <v>0</v>
      </c>
      <c r="H480" s="10">
        <v>0</v>
      </c>
      <c r="I480" s="6">
        <f t="shared" si="358"/>
        <v>0</v>
      </c>
      <c r="J480" s="4">
        <f t="shared" si="359"/>
        <v>0</v>
      </c>
      <c r="K480" s="4">
        <f t="shared" si="360"/>
        <v>0</v>
      </c>
      <c r="L480" s="33" t="e">
        <f t="shared" si="363"/>
        <v>#DIV/0!</v>
      </c>
      <c r="M480" s="143">
        <v>3.8715000000000002</v>
      </c>
      <c r="N480" s="36">
        <f t="shared" si="362"/>
        <v>0</v>
      </c>
      <c r="O480" s="88">
        <f t="shared" ref="O480:O481" si="364">M480*J480</f>
        <v>0</v>
      </c>
      <c r="P480" s="1196"/>
    </row>
    <row r="481" spans="2:16" ht="15" thickBot="1" x14ac:dyDescent="0.35">
      <c r="B481" s="1194"/>
      <c r="C481" s="82"/>
      <c r="D481" s="120" t="s">
        <v>57</v>
      </c>
      <c r="E481" s="108">
        <v>0</v>
      </c>
      <c r="F481" s="12">
        <f t="shared" si="357"/>
        <v>0</v>
      </c>
      <c r="G481" s="12">
        <v>0</v>
      </c>
      <c r="H481" s="13">
        <v>0</v>
      </c>
      <c r="I481" s="21">
        <f t="shared" si="358"/>
        <v>0</v>
      </c>
      <c r="J481" s="4">
        <f t="shared" si="359"/>
        <v>0</v>
      </c>
      <c r="K481" s="4">
        <f t="shared" si="360"/>
        <v>0</v>
      </c>
      <c r="L481" s="81"/>
      <c r="M481" s="127">
        <v>12.284700000000001</v>
      </c>
      <c r="N481" s="36">
        <f t="shared" si="362"/>
        <v>0</v>
      </c>
      <c r="O481" s="128">
        <f t="shared" si="364"/>
        <v>0</v>
      </c>
      <c r="P481" s="1196"/>
    </row>
    <row r="482" spans="2:16" ht="15" thickBot="1" x14ac:dyDescent="0.35">
      <c r="B482" s="1194"/>
      <c r="C482" s="1199" t="s">
        <v>104</v>
      </c>
      <c r="D482" s="1200"/>
      <c r="E482" s="129"/>
      <c r="F482" s="130">
        <f>SUM(F475:F481)</f>
        <v>0</v>
      </c>
      <c r="G482" s="130">
        <f>SUM(G475:G481)</f>
        <v>0</v>
      </c>
      <c r="H482" s="131">
        <f>SUM(H475:H481)</f>
        <v>0</v>
      </c>
      <c r="I482" s="132">
        <f>+J482+K482</f>
        <v>1561285</v>
      </c>
      <c r="J482" s="133">
        <f>SUM(J475:J481)</f>
        <v>1546390</v>
      </c>
      <c r="K482" s="133">
        <f>SUM(K475:K481)</f>
        <v>14895</v>
      </c>
      <c r="L482" s="134"/>
      <c r="M482" s="135"/>
      <c r="N482" s="136"/>
      <c r="O482" s="137">
        <f>SUM(O475:O481)</f>
        <v>3457563.3279999997</v>
      </c>
      <c r="P482" s="1197"/>
    </row>
    <row r="483" spans="2:16" x14ac:dyDescent="0.3">
      <c r="B483" s="1194"/>
      <c r="C483" s="32"/>
      <c r="D483" s="118" t="s">
        <v>58</v>
      </c>
      <c r="E483" s="98">
        <v>0</v>
      </c>
      <c r="F483" s="4">
        <f t="shared" ref="F483:F486" si="365">+G483+H483</f>
        <v>0</v>
      </c>
      <c r="G483" s="4">
        <v>0</v>
      </c>
      <c r="H483" s="8">
        <v>0</v>
      </c>
      <c r="I483" s="6">
        <f t="shared" ref="I483:I487" si="366">J483+K483</f>
        <v>0</v>
      </c>
      <c r="J483" s="4">
        <f>G483+J418</f>
        <v>0</v>
      </c>
      <c r="K483" s="4">
        <f>H483+K418</f>
        <v>0</v>
      </c>
      <c r="L483" s="33" t="e">
        <f t="shared" ref="L483" si="367">+J483/E483</f>
        <v>#DIV/0!</v>
      </c>
      <c r="M483" s="105">
        <v>12.029500000000001</v>
      </c>
      <c r="N483" s="34">
        <f>M483*G483</f>
        <v>0</v>
      </c>
      <c r="O483" s="87">
        <f t="shared" ref="O483:O485" si="368">M483*J483</f>
        <v>0</v>
      </c>
      <c r="P483" s="1196"/>
    </row>
    <row r="484" spans="2:16" x14ac:dyDescent="0.3">
      <c r="B484" s="1194"/>
      <c r="C484" s="35"/>
      <c r="D484" s="119" t="s">
        <v>59</v>
      </c>
      <c r="E484" s="99">
        <v>0</v>
      </c>
      <c r="F484" s="9">
        <f t="shared" si="365"/>
        <v>0</v>
      </c>
      <c r="G484" s="9">
        <v>0</v>
      </c>
      <c r="H484" s="10">
        <v>0</v>
      </c>
      <c r="I484" s="6">
        <f t="shared" si="366"/>
        <v>0</v>
      </c>
      <c r="J484" s="4">
        <f>G484+J419</f>
        <v>0</v>
      </c>
      <c r="K484" s="4">
        <f>H484+K419</f>
        <v>0</v>
      </c>
      <c r="L484" s="33"/>
      <c r="M484" s="106">
        <v>0</v>
      </c>
      <c r="N484" s="36"/>
      <c r="O484" s="88">
        <f t="shared" si="368"/>
        <v>0</v>
      </c>
      <c r="P484" s="1196"/>
    </row>
    <row r="485" spans="2:16" x14ac:dyDescent="0.3">
      <c r="B485" s="1194"/>
      <c r="C485" s="35"/>
      <c r="D485" s="119" t="s">
        <v>97</v>
      </c>
      <c r="E485" s="99">
        <v>0</v>
      </c>
      <c r="F485" s="9">
        <f t="shared" si="365"/>
        <v>0</v>
      </c>
      <c r="G485" s="9">
        <v>0</v>
      </c>
      <c r="H485" s="10">
        <v>0</v>
      </c>
      <c r="I485" s="6">
        <f t="shared" si="366"/>
        <v>0</v>
      </c>
      <c r="J485" s="4">
        <f t="shared" ref="J485:J487" si="369">G485+J420</f>
        <v>0</v>
      </c>
      <c r="K485" s="4">
        <f t="shared" ref="K485:K487" si="370">H485+K420</f>
        <v>0</v>
      </c>
      <c r="L485" s="33" t="e">
        <f t="shared" ref="L485:L487" si="371">+J485/E485</f>
        <v>#DIV/0!</v>
      </c>
      <c r="M485" s="106">
        <v>19.688600000000001</v>
      </c>
      <c r="N485" s="36">
        <f>M485*G485</f>
        <v>0</v>
      </c>
      <c r="O485" s="88">
        <f t="shared" si="368"/>
        <v>0</v>
      </c>
      <c r="P485" s="1196"/>
    </row>
    <row r="486" spans="2:16" x14ac:dyDescent="0.3">
      <c r="B486" s="1194"/>
      <c r="C486" s="35"/>
      <c r="D486" s="119" t="s">
        <v>61</v>
      </c>
      <c r="E486" s="99">
        <v>0</v>
      </c>
      <c r="F486" s="9">
        <f t="shared" si="365"/>
        <v>0</v>
      </c>
      <c r="G486" s="9">
        <v>0</v>
      </c>
      <c r="H486" s="10">
        <v>0</v>
      </c>
      <c r="I486" s="6">
        <f t="shared" si="366"/>
        <v>0</v>
      </c>
      <c r="J486" s="4">
        <f t="shared" si="369"/>
        <v>0</v>
      </c>
      <c r="K486" s="4">
        <f t="shared" si="370"/>
        <v>0</v>
      </c>
      <c r="L486" s="33" t="e">
        <f t="shared" si="371"/>
        <v>#DIV/0!</v>
      </c>
      <c r="M486" s="106">
        <v>1.2824</v>
      </c>
      <c r="N486" s="151">
        <f>M486*G486</f>
        <v>0</v>
      </c>
      <c r="O486" s="88">
        <f>M486*J486</f>
        <v>0</v>
      </c>
      <c r="P486" s="1196"/>
    </row>
    <row r="487" spans="2:16" ht="15" thickBot="1" x14ac:dyDescent="0.35">
      <c r="B487" s="1194"/>
      <c r="C487" s="82"/>
      <c r="D487" s="120" t="s">
        <v>60</v>
      </c>
      <c r="E487" s="108">
        <v>0</v>
      </c>
      <c r="F487" s="12">
        <v>0</v>
      </c>
      <c r="G487" s="12">
        <v>0</v>
      </c>
      <c r="H487" s="13">
        <v>0</v>
      </c>
      <c r="I487" s="21">
        <f t="shared" si="366"/>
        <v>8814</v>
      </c>
      <c r="J487" s="4">
        <f t="shared" si="369"/>
        <v>8640</v>
      </c>
      <c r="K487" s="4">
        <f t="shared" si="370"/>
        <v>174</v>
      </c>
      <c r="L487" s="81" t="e">
        <f t="shared" si="371"/>
        <v>#DIV/0!</v>
      </c>
      <c r="M487" s="107">
        <v>18.2316</v>
      </c>
      <c r="N487" s="75"/>
      <c r="O487" s="89">
        <f t="shared" ref="O487" si="372">M487*J487</f>
        <v>157521.024</v>
      </c>
      <c r="P487" s="1198"/>
    </row>
    <row r="488" spans="2:16" ht="15" thickBot="1" x14ac:dyDescent="0.35">
      <c r="B488" s="1178" t="s">
        <v>105</v>
      </c>
      <c r="C488" s="1179"/>
      <c r="D488" s="1179"/>
      <c r="E488" s="124"/>
      <c r="F488" s="125">
        <f>+G488+H488</f>
        <v>0</v>
      </c>
      <c r="G488" s="125">
        <f>SUM(G483:G487)</f>
        <v>0</v>
      </c>
      <c r="H488" s="126">
        <f>SUM(H483:H487)</f>
        <v>0</v>
      </c>
      <c r="I488" s="121">
        <f>J488+K488</f>
        <v>8814</v>
      </c>
      <c r="J488" s="122">
        <f>SUM(J483:J487)</f>
        <v>8640</v>
      </c>
      <c r="K488" s="123">
        <f>SUM(K483:K487)</f>
        <v>174</v>
      </c>
      <c r="L488" s="138"/>
      <c r="M488" s="139"/>
      <c r="N488" s="140"/>
      <c r="O488" s="141">
        <f>SUM(O483:O487)</f>
        <v>157521.024</v>
      </c>
      <c r="P488" s="185"/>
    </row>
    <row r="489" spans="2:16" ht="15" thickBot="1" x14ac:dyDescent="0.35">
      <c r="B489" s="1178" t="s">
        <v>98</v>
      </c>
      <c r="C489" s="1179"/>
      <c r="D489" s="1179"/>
      <c r="E489" s="1201"/>
      <c r="F489" s="1201"/>
      <c r="G489" s="1201"/>
      <c r="H489" s="1201"/>
      <c r="I489" s="1179"/>
      <c r="J489" s="1179"/>
      <c r="K489" s="1179"/>
      <c r="L489" s="1179"/>
      <c r="M489" s="1179"/>
      <c r="N489" s="1202"/>
      <c r="O489" s="83">
        <f>O482+O488</f>
        <v>3615084.352</v>
      </c>
      <c r="P489" s="185"/>
    </row>
    <row r="490" spans="2:16" x14ac:dyDescent="0.3">
      <c r="B490" s="1193" t="s">
        <v>62</v>
      </c>
      <c r="C490" s="37" t="s">
        <v>63</v>
      </c>
      <c r="D490" s="28" t="s">
        <v>64</v>
      </c>
      <c r="E490" s="38">
        <v>0</v>
      </c>
      <c r="F490" s="14">
        <f>+G490+H490</f>
        <v>0</v>
      </c>
      <c r="G490" s="14">
        <v>0</v>
      </c>
      <c r="H490" s="5">
        <v>0</v>
      </c>
      <c r="I490" s="17">
        <f t="shared" ref="I490:I496" si="373">J490+K490</f>
        <v>0</v>
      </c>
      <c r="J490" s="4">
        <f>G490+J425</f>
        <v>0</v>
      </c>
      <c r="K490" s="4">
        <f>H490+K425</f>
        <v>0</v>
      </c>
      <c r="L490" s="30" t="e">
        <f>+J490/E490</f>
        <v>#DIV/0!</v>
      </c>
      <c r="M490" s="146">
        <v>2.2141000000000002</v>
      </c>
      <c r="N490" s="15">
        <f>+M490*G490</f>
        <v>0</v>
      </c>
      <c r="O490" s="90">
        <f>+M490*J490</f>
        <v>0</v>
      </c>
      <c r="P490" s="1204"/>
    </row>
    <row r="491" spans="2:16" x14ac:dyDescent="0.3">
      <c r="B491" s="1194"/>
      <c r="C491" s="39"/>
      <c r="D491" s="22" t="s">
        <v>65</v>
      </c>
      <c r="E491" s="3">
        <v>0</v>
      </c>
      <c r="F491" s="9">
        <f t="shared" ref="F491:F496" si="374">+G491+H491</f>
        <v>0</v>
      </c>
      <c r="G491" s="4">
        <v>0</v>
      </c>
      <c r="H491" s="8">
        <v>0</v>
      </c>
      <c r="I491" s="6">
        <f t="shared" si="373"/>
        <v>0</v>
      </c>
      <c r="J491" s="4">
        <f>+G491+J426</f>
        <v>0</v>
      </c>
      <c r="K491" s="4">
        <f>+H491+K426</f>
        <v>0</v>
      </c>
      <c r="L491" s="40" t="e">
        <f t="shared" ref="L491:L492" si="375">+J491/E491</f>
        <v>#DIV/0!</v>
      </c>
      <c r="M491" s="145">
        <v>2.4565999999999999</v>
      </c>
      <c r="N491" s="11">
        <f t="shared" ref="N491:N493" si="376">+M491*G491</f>
        <v>0</v>
      </c>
      <c r="O491" s="91">
        <f t="shared" ref="O491:O493" si="377">+M491*J491</f>
        <v>0</v>
      </c>
      <c r="P491" s="1205"/>
    </row>
    <row r="492" spans="2:16" x14ac:dyDescent="0.3">
      <c r="B492" s="1194"/>
      <c r="C492" s="39"/>
      <c r="D492" s="23" t="s">
        <v>126</v>
      </c>
      <c r="E492" s="3">
        <v>0</v>
      </c>
      <c r="F492" s="9">
        <f t="shared" si="374"/>
        <v>0</v>
      </c>
      <c r="G492" s="4">
        <v>0</v>
      </c>
      <c r="H492" s="8">
        <v>0</v>
      </c>
      <c r="I492" s="6">
        <f t="shared" si="373"/>
        <v>0</v>
      </c>
      <c r="J492" s="4">
        <f t="shared" ref="J492:J493" si="378">+G492+J427</f>
        <v>0</v>
      </c>
      <c r="K492" s="4">
        <f t="shared" ref="K492:K496" si="379">+H492+K427</f>
        <v>0</v>
      </c>
      <c r="L492" s="40" t="e">
        <f t="shared" si="375"/>
        <v>#DIV/0!</v>
      </c>
      <c r="M492" s="145">
        <v>2.2907000000000002</v>
      </c>
      <c r="N492" s="11">
        <f t="shared" si="376"/>
        <v>0</v>
      </c>
      <c r="O492" s="91">
        <f t="shared" si="377"/>
        <v>0</v>
      </c>
      <c r="P492" s="1205"/>
    </row>
    <row r="493" spans="2:16" x14ac:dyDescent="0.3">
      <c r="B493" s="1194"/>
      <c r="C493" s="39"/>
      <c r="D493" s="22" t="s">
        <v>131</v>
      </c>
      <c r="E493" s="3"/>
      <c r="F493" s="9">
        <f t="shared" si="374"/>
        <v>0</v>
      </c>
      <c r="G493" s="4">
        <v>0</v>
      </c>
      <c r="H493" s="8">
        <v>0</v>
      </c>
      <c r="I493" s="6">
        <f t="shared" si="373"/>
        <v>0</v>
      </c>
      <c r="J493" s="4">
        <f t="shared" si="378"/>
        <v>0</v>
      </c>
      <c r="K493" s="4">
        <f t="shared" si="379"/>
        <v>0</v>
      </c>
      <c r="L493" s="33"/>
      <c r="M493" s="150">
        <v>2.544</v>
      </c>
      <c r="N493" s="11">
        <f t="shared" si="376"/>
        <v>0</v>
      </c>
      <c r="O493" s="91">
        <f t="shared" si="377"/>
        <v>0</v>
      </c>
      <c r="P493" s="1205"/>
    </row>
    <row r="494" spans="2:16" x14ac:dyDescent="0.3">
      <c r="B494" s="1194"/>
      <c r="C494" s="39" t="s">
        <v>66</v>
      </c>
      <c r="D494" s="22" t="s">
        <v>133</v>
      </c>
      <c r="E494" s="3">
        <v>0</v>
      </c>
      <c r="F494" s="9">
        <f t="shared" si="374"/>
        <v>0</v>
      </c>
      <c r="G494" s="4">
        <v>0</v>
      </c>
      <c r="H494" s="8">
        <v>0</v>
      </c>
      <c r="I494" s="6">
        <f t="shared" si="373"/>
        <v>361617</v>
      </c>
      <c r="J494" s="4">
        <f>+G494+J429</f>
        <v>353750</v>
      </c>
      <c r="K494" s="4">
        <f t="shared" si="379"/>
        <v>7867</v>
      </c>
      <c r="L494" s="33" t="e">
        <f>+J494/E494</f>
        <v>#DIV/0!</v>
      </c>
      <c r="M494" s="144">
        <v>2.2141000000000002</v>
      </c>
      <c r="N494" s="7">
        <f>+M494*G494</f>
        <v>0</v>
      </c>
      <c r="O494" s="85">
        <f>+M494*J494</f>
        <v>783237.87500000012</v>
      </c>
      <c r="P494" s="1205"/>
    </row>
    <row r="495" spans="2:16" x14ac:dyDescent="0.3">
      <c r="B495" s="1194"/>
      <c r="C495" s="39"/>
      <c r="D495" s="22" t="s">
        <v>65</v>
      </c>
      <c r="E495" s="3">
        <v>0</v>
      </c>
      <c r="F495" s="9">
        <f t="shared" si="374"/>
        <v>0</v>
      </c>
      <c r="G495" s="4">
        <v>0</v>
      </c>
      <c r="H495" s="8">
        <v>0</v>
      </c>
      <c r="I495" s="6">
        <f t="shared" si="373"/>
        <v>0</v>
      </c>
      <c r="J495" s="4">
        <f t="shared" ref="J495:J496" si="380">+G495+J430</f>
        <v>0</v>
      </c>
      <c r="K495" s="4">
        <f t="shared" si="379"/>
        <v>0</v>
      </c>
      <c r="L495" s="40" t="e">
        <f t="shared" ref="L495:L496" si="381">+J495/E495</f>
        <v>#DIV/0!</v>
      </c>
      <c r="M495" s="145">
        <v>2.4565999999999999</v>
      </c>
      <c r="N495" s="11">
        <f t="shared" ref="N495:N496" si="382">+M495*G495</f>
        <v>0</v>
      </c>
      <c r="O495" s="91">
        <f t="shared" ref="O495" si="383">+M495*J495</f>
        <v>0</v>
      </c>
      <c r="P495" s="1205"/>
    </row>
    <row r="496" spans="2:16" ht="15" thickBot="1" x14ac:dyDescent="0.35">
      <c r="B496" s="1194"/>
      <c r="C496" s="39"/>
      <c r="D496" s="22" t="s">
        <v>126</v>
      </c>
      <c r="E496" s="3">
        <v>0</v>
      </c>
      <c r="F496" s="9">
        <f t="shared" si="374"/>
        <v>0</v>
      </c>
      <c r="G496" s="4">
        <v>0</v>
      </c>
      <c r="H496" s="8">
        <v>0</v>
      </c>
      <c r="I496" s="6">
        <f t="shared" si="373"/>
        <v>0</v>
      </c>
      <c r="J496" s="4">
        <f t="shared" si="380"/>
        <v>0</v>
      </c>
      <c r="K496" s="4">
        <f t="shared" si="379"/>
        <v>0</v>
      </c>
      <c r="L496" s="40" t="e">
        <f t="shared" si="381"/>
        <v>#DIV/0!</v>
      </c>
      <c r="M496" s="145">
        <v>2.2907000000000002</v>
      </c>
      <c r="N496" s="11">
        <f t="shared" si="382"/>
        <v>0</v>
      </c>
      <c r="O496" s="154">
        <f>+M496*J496</f>
        <v>0</v>
      </c>
      <c r="P496" s="1206"/>
    </row>
    <row r="497" spans="2:16" ht="15" thickBot="1" x14ac:dyDescent="0.35">
      <c r="B497" s="1194"/>
      <c r="C497" s="41" t="s">
        <v>29</v>
      </c>
      <c r="D497" s="27" t="str">
        <f>+C497</f>
        <v>TOTAL 1/2</v>
      </c>
      <c r="E497" s="42">
        <f>SUM(E490:E496)</f>
        <v>0</v>
      </c>
      <c r="F497" s="43">
        <f>SUM(F490:F496)</f>
        <v>0</v>
      </c>
      <c r="G497" s="43">
        <f>SUM(G490:G496)</f>
        <v>0</v>
      </c>
      <c r="H497" s="44">
        <f>SUM(H490:H496)</f>
        <v>0</v>
      </c>
      <c r="I497" s="45">
        <f>SUM(I494:I496)</f>
        <v>361617</v>
      </c>
      <c r="J497" s="43">
        <f>SUM(J490:J496)</f>
        <v>353750</v>
      </c>
      <c r="K497" s="43">
        <f>SUM(K490:K496)</f>
        <v>7867</v>
      </c>
      <c r="L497" s="46" t="e">
        <f>+J497/E497</f>
        <v>#DIV/0!</v>
      </c>
      <c r="M497" s="47"/>
      <c r="N497" s="48">
        <f>SUM(N494:N496)</f>
        <v>0</v>
      </c>
      <c r="O497" s="49">
        <f>SUM(O490:O496)</f>
        <v>783237.87500000012</v>
      </c>
      <c r="P497" s="186"/>
    </row>
    <row r="498" spans="2:16" x14ac:dyDescent="0.3">
      <c r="B498" s="1194"/>
      <c r="C498" s="1207" t="s">
        <v>67</v>
      </c>
      <c r="D498" s="22" t="s">
        <v>64</v>
      </c>
      <c r="E498" s="3">
        <v>0</v>
      </c>
      <c r="F498" s="4">
        <f>G498+H498</f>
        <v>0</v>
      </c>
      <c r="G498" s="4">
        <v>0</v>
      </c>
      <c r="H498" s="8">
        <v>0</v>
      </c>
      <c r="I498" s="16">
        <f>J498+K498</f>
        <v>109220</v>
      </c>
      <c r="J498" s="4">
        <f>G498+J433</f>
        <v>105750</v>
      </c>
      <c r="K498" s="4">
        <f>H498+K433</f>
        <v>3470</v>
      </c>
      <c r="L498" s="50" t="e">
        <f>+J498/E498</f>
        <v>#DIV/0!</v>
      </c>
      <c r="M498" s="144">
        <v>4.1712999999999996</v>
      </c>
      <c r="N498" s="7">
        <f>+M498*G498</f>
        <v>0</v>
      </c>
      <c r="O498" s="93">
        <f>+M498*J498</f>
        <v>441114.97499999998</v>
      </c>
      <c r="P498" s="1204"/>
    </row>
    <row r="499" spans="2:16" x14ac:dyDescent="0.3">
      <c r="B499" s="1194"/>
      <c r="C499" s="1208"/>
      <c r="D499" s="22" t="s">
        <v>65</v>
      </c>
      <c r="E499" s="3">
        <v>0</v>
      </c>
      <c r="F499" s="4">
        <f>G499+H499</f>
        <v>0</v>
      </c>
      <c r="G499" s="4">
        <v>0</v>
      </c>
      <c r="H499" s="8">
        <v>0</v>
      </c>
      <c r="I499" s="6">
        <f>+R1543+F499</f>
        <v>0</v>
      </c>
      <c r="J499" s="4">
        <f>G499+J434</f>
        <v>120000</v>
      </c>
      <c r="K499" s="4">
        <f>H499+K434</f>
        <v>3230</v>
      </c>
      <c r="L499" s="51" t="e">
        <f t="shared" ref="L499:L503" si="384">+J499/E499</f>
        <v>#DIV/0!</v>
      </c>
      <c r="M499" s="145">
        <v>4.8285999999999998</v>
      </c>
      <c r="N499" s="11">
        <f t="shared" ref="N499:N501" si="385">+M499*G499</f>
        <v>0</v>
      </c>
      <c r="O499" s="94">
        <f t="shared" ref="O499:O501" si="386">+M499*J499</f>
        <v>579432</v>
      </c>
      <c r="P499" s="1205"/>
    </row>
    <row r="500" spans="2:16" x14ac:dyDescent="0.3">
      <c r="B500" s="1194"/>
      <c r="C500" s="1208"/>
      <c r="D500" s="22" t="s">
        <v>127</v>
      </c>
      <c r="E500" s="3"/>
      <c r="F500" s="4">
        <f>G500+H500</f>
        <v>0</v>
      </c>
      <c r="G500" s="4">
        <v>0</v>
      </c>
      <c r="H500" s="8">
        <v>0</v>
      </c>
      <c r="I500" s="6">
        <f>+R1544+F500</f>
        <v>0</v>
      </c>
      <c r="J500" s="4">
        <f t="shared" ref="J500:J501" si="387">G500+J435</f>
        <v>0</v>
      </c>
      <c r="K500" s="4">
        <f t="shared" ref="K500:K501" si="388">H500+K435</f>
        <v>0</v>
      </c>
      <c r="L500" s="51" t="e">
        <f t="shared" si="384"/>
        <v>#DIV/0!</v>
      </c>
      <c r="M500" s="144">
        <v>4.5023</v>
      </c>
      <c r="N500" s="11">
        <f t="shared" si="385"/>
        <v>0</v>
      </c>
      <c r="O500" s="94">
        <f t="shared" si="386"/>
        <v>0</v>
      </c>
      <c r="P500" s="1205"/>
    </row>
    <row r="501" spans="2:16" ht="15" thickBot="1" x14ac:dyDescent="0.35">
      <c r="B501" s="1194"/>
      <c r="C501" s="1208"/>
      <c r="D501" s="22" t="s">
        <v>111</v>
      </c>
      <c r="E501" s="3">
        <v>0</v>
      </c>
      <c r="F501" s="4">
        <f t="shared" ref="F501" si="389">G501+H501</f>
        <v>0</v>
      </c>
      <c r="G501" s="4">
        <v>0</v>
      </c>
      <c r="H501" s="8">
        <v>0</v>
      </c>
      <c r="I501" s="6">
        <f>+R1544+F501</f>
        <v>0</v>
      </c>
      <c r="J501" s="4">
        <f t="shared" si="387"/>
        <v>0</v>
      </c>
      <c r="K501" s="4">
        <f t="shared" si="388"/>
        <v>0</v>
      </c>
      <c r="L501" s="51" t="e">
        <f t="shared" si="384"/>
        <v>#DIV/0!</v>
      </c>
      <c r="M501" s="144">
        <v>4.4065000000000003</v>
      </c>
      <c r="N501" s="11">
        <f t="shared" si="385"/>
        <v>0</v>
      </c>
      <c r="O501" s="94">
        <f t="shared" si="386"/>
        <v>0</v>
      </c>
      <c r="P501" s="1205"/>
    </row>
    <row r="502" spans="2:16" ht="15" thickBot="1" x14ac:dyDescent="0.35">
      <c r="B502" s="1194"/>
      <c r="C502" s="41" t="s">
        <v>31</v>
      </c>
      <c r="D502" s="18" t="str">
        <f>+C502</f>
        <v>TOTAL 4/4</v>
      </c>
      <c r="E502" s="42">
        <f t="shared" ref="E502:K502" si="390">SUM(E498:E501)</f>
        <v>0</v>
      </c>
      <c r="F502" s="43">
        <f t="shared" si="390"/>
        <v>0</v>
      </c>
      <c r="G502" s="43">
        <f t="shared" si="390"/>
        <v>0</v>
      </c>
      <c r="H502" s="44">
        <f t="shared" si="390"/>
        <v>0</v>
      </c>
      <c r="I502" s="45">
        <f t="shared" si="390"/>
        <v>109220</v>
      </c>
      <c r="J502" s="43">
        <f t="shared" si="390"/>
        <v>225750</v>
      </c>
      <c r="K502" s="43">
        <f t="shared" si="390"/>
        <v>6700</v>
      </c>
      <c r="L502" s="46" t="e">
        <f t="shared" si="384"/>
        <v>#DIV/0!</v>
      </c>
      <c r="M502" s="47"/>
      <c r="N502" s="48">
        <f>SUM(N498:N501)</f>
        <v>0</v>
      </c>
      <c r="O502" s="92">
        <f>SUM(O498:O501)</f>
        <v>1020546.975</v>
      </c>
      <c r="P502" s="1206"/>
    </row>
    <row r="503" spans="2:16" ht="15" thickBot="1" x14ac:dyDescent="0.35">
      <c r="B503" s="1203"/>
      <c r="C503" s="41" t="s">
        <v>68</v>
      </c>
      <c r="D503" s="27" t="s">
        <v>64</v>
      </c>
      <c r="E503" s="25">
        <v>0</v>
      </c>
      <c r="F503" s="20">
        <f>G503+H503</f>
        <v>0</v>
      </c>
      <c r="G503" s="20">
        <v>0</v>
      </c>
      <c r="H503" s="24">
        <v>0</v>
      </c>
      <c r="I503" s="19">
        <f>J503+K503</f>
        <v>0</v>
      </c>
      <c r="J503" s="4">
        <f>G503+J438</f>
        <v>0</v>
      </c>
      <c r="K503" s="4">
        <f>H503+K438</f>
        <v>0</v>
      </c>
      <c r="L503" s="52" t="e">
        <f t="shared" si="384"/>
        <v>#DIV/0!</v>
      </c>
      <c r="M503" s="149">
        <v>1.4086000000000001</v>
      </c>
      <c r="N503" s="26">
        <f t="shared" ref="N503" si="391">+M503*G503</f>
        <v>0</v>
      </c>
      <c r="O503" s="95">
        <f t="shared" ref="O503" si="392">+M503*J503</f>
        <v>0</v>
      </c>
      <c r="P503" s="53"/>
    </row>
    <row r="504" spans="2:16" ht="15" thickBot="1" x14ac:dyDescent="0.35">
      <c r="B504" s="1178" t="s">
        <v>95</v>
      </c>
      <c r="C504" s="1179"/>
      <c r="D504" s="1179"/>
      <c r="E504" s="1179"/>
      <c r="F504" s="1179"/>
      <c r="G504" s="1179"/>
      <c r="H504" s="1179"/>
      <c r="I504" s="110">
        <f>J504+K504</f>
        <v>594067</v>
      </c>
      <c r="J504" s="110">
        <f>J497+J502+J503</f>
        <v>579500</v>
      </c>
      <c r="K504" s="110">
        <f>K497+K502+K503</f>
        <v>14567</v>
      </c>
      <c r="L504" s="111"/>
      <c r="M504" s="112"/>
      <c r="N504" s="109"/>
      <c r="O504" s="77">
        <f>+O503+O502+O497</f>
        <v>1803784.85</v>
      </c>
      <c r="P504" s="84"/>
    </row>
    <row r="505" spans="2:16" x14ac:dyDescent="0.3">
      <c r="B505" s="1180" t="s">
        <v>69</v>
      </c>
      <c r="C505" s="1183" t="s">
        <v>70</v>
      </c>
      <c r="D505" s="54" t="s">
        <v>71</v>
      </c>
      <c r="E505" s="55">
        <v>0</v>
      </c>
      <c r="F505" s="56">
        <f>G505+H505</f>
        <v>0</v>
      </c>
      <c r="G505" s="56">
        <v>0</v>
      </c>
      <c r="H505" s="57">
        <v>0</v>
      </c>
      <c r="I505" s="78">
        <f>J505+K505</f>
        <v>0</v>
      </c>
      <c r="J505" s="4">
        <f>G505+J440</f>
        <v>0</v>
      </c>
      <c r="K505" s="4">
        <f>H505+K440</f>
        <v>0</v>
      </c>
      <c r="L505" s="58" t="e">
        <f t="shared" ref="L505" si="393">+J505/E505</f>
        <v>#DIV/0!</v>
      </c>
      <c r="M505" s="59">
        <v>32.946300000000001</v>
      </c>
      <c r="N505" s="60">
        <f>+M505*G505</f>
        <v>0</v>
      </c>
      <c r="O505" s="60">
        <f>M505*J505</f>
        <v>0</v>
      </c>
      <c r="P505" s="1185"/>
    </row>
    <row r="506" spans="2:16" x14ac:dyDescent="0.3">
      <c r="B506" s="1181"/>
      <c r="C506" s="1184"/>
      <c r="D506" s="61" t="s">
        <v>72</v>
      </c>
      <c r="E506" s="62">
        <v>0</v>
      </c>
      <c r="F506" s="63">
        <f>G506+H506</f>
        <v>0</v>
      </c>
      <c r="G506" s="63">
        <v>0</v>
      </c>
      <c r="H506" s="64">
        <v>0</v>
      </c>
      <c r="I506" s="79">
        <f>J506+K506</f>
        <v>20295</v>
      </c>
      <c r="J506" s="4">
        <f>G506+J441</f>
        <v>20000</v>
      </c>
      <c r="K506" s="4">
        <f>H506+K441</f>
        <v>295</v>
      </c>
      <c r="L506" s="65" t="e">
        <f>+J506/E506</f>
        <v>#DIV/0!</v>
      </c>
      <c r="M506" s="66">
        <v>35.398400000000002</v>
      </c>
      <c r="N506" s="67">
        <f>+M506*G506</f>
        <v>0</v>
      </c>
      <c r="O506" s="67">
        <f>M506*J506</f>
        <v>707968</v>
      </c>
      <c r="P506" s="1186"/>
    </row>
    <row r="507" spans="2:16" x14ac:dyDescent="0.3">
      <c r="B507" s="1181"/>
      <c r="C507" s="1184"/>
      <c r="D507" s="61" t="s">
        <v>73</v>
      </c>
      <c r="E507" s="62">
        <v>0</v>
      </c>
      <c r="F507" s="63">
        <f t="shared" ref="F507:F510" si="394">G507+H507</f>
        <v>0</v>
      </c>
      <c r="G507" s="63">
        <v>0</v>
      </c>
      <c r="H507" s="64">
        <v>0</v>
      </c>
      <c r="I507" s="79">
        <f t="shared" ref="I507:I516" si="395">J507+K507</f>
        <v>0</v>
      </c>
      <c r="J507" s="4">
        <f t="shared" ref="J507:J532" si="396">G507+J442</f>
        <v>0</v>
      </c>
      <c r="K507" s="4">
        <f t="shared" ref="K507:K511" si="397">H507+K442</f>
        <v>0</v>
      </c>
      <c r="L507" s="65" t="e">
        <f t="shared" ref="L507:L520" si="398">+J507/E507</f>
        <v>#DIV/0!</v>
      </c>
      <c r="M507" s="66">
        <v>32.946300000000001</v>
      </c>
      <c r="N507" s="67">
        <f t="shared" ref="N507:N527" si="399">+M507*G507</f>
        <v>0</v>
      </c>
      <c r="O507" s="67">
        <f t="shared" ref="O507:O515" si="400">M507*J507</f>
        <v>0</v>
      </c>
      <c r="P507" s="1186"/>
    </row>
    <row r="508" spans="2:16" x14ac:dyDescent="0.3">
      <c r="B508" s="1181"/>
      <c r="C508" s="1184" t="s">
        <v>74</v>
      </c>
      <c r="D508" s="61" t="s">
        <v>75</v>
      </c>
      <c r="E508" s="62">
        <v>0</v>
      </c>
      <c r="F508" s="63">
        <f t="shared" si="394"/>
        <v>0</v>
      </c>
      <c r="G508" s="63">
        <v>0</v>
      </c>
      <c r="H508" s="64">
        <v>0</v>
      </c>
      <c r="I508" s="79">
        <f t="shared" si="395"/>
        <v>9879</v>
      </c>
      <c r="J508" s="4">
        <f t="shared" si="396"/>
        <v>9600</v>
      </c>
      <c r="K508" s="4">
        <f t="shared" si="397"/>
        <v>279</v>
      </c>
      <c r="L508" s="65" t="e">
        <f t="shared" si="398"/>
        <v>#DIV/0!</v>
      </c>
      <c r="M508" s="66">
        <v>55.4758</v>
      </c>
      <c r="N508" s="67">
        <f t="shared" si="399"/>
        <v>0</v>
      </c>
      <c r="O508" s="67">
        <f t="shared" si="400"/>
        <v>532567.68000000005</v>
      </c>
      <c r="P508" s="1186"/>
    </row>
    <row r="509" spans="2:16" x14ac:dyDescent="0.3">
      <c r="B509" s="1181"/>
      <c r="C509" s="1184"/>
      <c r="D509" s="61" t="s">
        <v>134</v>
      </c>
      <c r="E509" s="62">
        <v>0</v>
      </c>
      <c r="F509" s="63">
        <f t="shared" si="394"/>
        <v>0</v>
      </c>
      <c r="G509" s="63">
        <v>0</v>
      </c>
      <c r="H509" s="64">
        <v>0</v>
      </c>
      <c r="I509" s="79">
        <f t="shared" si="395"/>
        <v>0</v>
      </c>
      <c r="J509" s="4">
        <f t="shared" si="396"/>
        <v>0</v>
      </c>
      <c r="K509" s="4">
        <f t="shared" si="397"/>
        <v>0</v>
      </c>
      <c r="L509" s="65" t="e">
        <f t="shared" si="398"/>
        <v>#DIV/0!</v>
      </c>
      <c r="M509" s="66">
        <v>53.515999999999998</v>
      </c>
      <c r="N509" s="67">
        <f t="shared" si="399"/>
        <v>0</v>
      </c>
      <c r="O509" s="67">
        <f t="shared" si="400"/>
        <v>0</v>
      </c>
      <c r="P509" s="1186"/>
    </row>
    <row r="510" spans="2:16" x14ac:dyDescent="0.3">
      <c r="B510" s="1181"/>
      <c r="C510" s="1184"/>
      <c r="D510" s="61" t="s">
        <v>72</v>
      </c>
      <c r="E510" s="62">
        <v>0</v>
      </c>
      <c r="F510" s="63">
        <f t="shared" si="394"/>
        <v>0</v>
      </c>
      <c r="G510" s="63">
        <v>0</v>
      </c>
      <c r="H510" s="64">
        <v>0</v>
      </c>
      <c r="I510" s="79">
        <f t="shared" si="395"/>
        <v>9804</v>
      </c>
      <c r="J510" s="4">
        <f t="shared" si="396"/>
        <v>9600</v>
      </c>
      <c r="K510" s="4">
        <f t="shared" si="397"/>
        <v>204</v>
      </c>
      <c r="L510" s="65" t="e">
        <f t="shared" si="398"/>
        <v>#DIV/0!</v>
      </c>
      <c r="M510" s="66">
        <v>58.836300000000001</v>
      </c>
      <c r="N510" s="67">
        <f t="shared" si="399"/>
        <v>0</v>
      </c>
      <c r="O510" s="67">
        <f t="shared" si="400"/>
        <v>564828.48</v>
      </c>
      <c r="P510" s="1186"/>
    </row>
    <row r="511" spans="2:16" x14ac:dyDescent="0.3">
      <c r="B511" s="1181"/>
      <c r="C511" s="1188" t="s">
        <v>76</v>
      </c>
      <c r="D511" s="61" t="s">
        <v>77</v>
      </c>
      <c r="E511" s="62">
        <v>0</v>
      </c>
      <c r="F511" s="63">
        <f>G511+H511</f>
        <v>0</v>
      </c>
      <c r="G511" s="63">
        <v>0</v>
      </c>
      <c r="H511" s="64">
        <v>0</v>
      </c>
      <c r="I511" s="79">
        <f t="shared" si="395"/>
        <v>3675</v>
      </c>
      <c r="J511" s="4">
        <f t="shared" si="396"/>
        <v>3575</v>
      </c>
      <c r="K511" s="4">
        <f t="shared" si="397"/>
        <v>100</v>
      </c>
      <c r="L511" s="65" t="e">
        <f t="shared" si="398"/>
        <v>#DIV/0!</v>
      </c>
      <c r="M511" s="66">
        <v>25.687200000000001</v>
      </c>
      <c r="N511" s="67">
        <f t="shared" si="399"/>
        <v>0</v>
      </c>
      <c r="O511" s="67">
        <f t="shared" si="400"/>
        <v>91831.74</v>
      </c>
      <c r="P511" s="1186"/>
    </row>
    <row r="512" spans="2:16" x14ac:dyDescent="0.3">
      <c r="B512" s="1181"/>
      <c r="C512" s="1189"/>
      <c r="D512" s="61" t="s">
        <v>117</v>
      </c>
      <c r="E512" s="62">
        <v>0</v>
      </c>
      <c r="F512" s="63">
        <f>G512+H512</f>
        <v>0</v>
      </c>
      <c r="G512" s="63">
        <v>0</v>
      </c>
      <c r="H512" s="64">
        <v>0</v>
      </c>
      <c r="I512" s="79">
        <f t="shared" si="395"/>
        <v>0</v>
      </c>
      <c r="J512" s="4">
        <f t="shared" si="396"/>
        <v>0</v>
      </c>
      <c r="K512" s="4">
        <f>H512+K447</f>
        <v>0</v>
      </c>
      <c r="L512" s="65" t="e">
        <f t="shared" si="398"/>
        <v>#DIV/0!</v>
      </c>
      <c r="M512" s="66">
        <v>25.033899999999999</v>
      </c>
      <c r="N512" s="67">
        <f t="shared" si="399"/>
        <v>0</v>
      </c>
      <c r="O512" s="67">
        <f t="shared" si="400"/>
        <v>0</v>
      </c>
      <c r="P512" s="1186"/>
    </row>
    <row r="513" spans="2:16" x14ac:dyDescent="0.3">
      <c r="B513" s="1181"/>
      <c r="C513" s="1188" t="s">
        <v>78</v>
      </c>
      <c r="D513" s="61" t="s">
        <v>79</v>
      </c>
      <c r="E513" s="62">
        <v>0</v>
      </c>
      <c r="F513" s="63">
        <f t="shared" ref="F513:F532" si="401">G513+H513</f>
        <v>0</v>
      </c>
      <c r="G513" s="63">
        <v>0</v>
      </c>
      <c r="H513" s="64">
        <v>0</v>
      </c>
      <c r="I513" s="79">
        <f t="shared" si="395"/>
        <v>8113</v>
      </c>
      <c r="J513" s="4">
        <f t="shared" si="396"/>
        <v>8000</v>
      </c>
      <c r="K513" s="4">
        <f t="shared" ref="K513:K532" si="402">H513+K448</f>
        <v>113</v>
      </c>
      <c r="L513" s="65" t="e">
        <f t="shared" si="398"/>
        <v>#DIV/0!</v>
      </c>
      <c r="M513" s="66">
        <v>41.992699999999999</v>
      </c>
      <c r="N513" s="67">
        <f t="shared" si="399"/>
        <v>0</v>
      </c>
      <c r="O513" s="67">
        <f t="shared" si="400"/>
        <v>335941.6</v>
      </c>
      <c r="P513" s="1186"/>
    </row>
    <row r="514" spans="2:16" x14ac:dyDescent="0.3">
      <c r="B514" s="1181"/>
      <c r="C514" s="1189"/>
      <c r="D514" s="61" t="s">
        <v>72</v>
      </c>
      <c r="E514" s="62">
        <v>0</v>
      </c>
      <c r="F514" s="63">
        <f t="shared" si="401"/>
        <v>0</v>
      </c>
      <c r="G514" s="63">
        <v>0</v>
      </c>
      <c r="H514" s="64">
        <v>0</v>
      </c>
      <c r="I514" s="79">
        <f t="shared" si="395"/>
        <v>0</v>
      </c>
      <c r="J514" s="4">
        <f t="shared" si="396"/>
        <v>0</v>
      </c>
      <c r="K514" s="4">
        <f t="shared" si="402"/>
        <v>0</v>
      </c>
      <c r="L514" s="65" t="e">
        <f t="shared" si="398"/>
        <v>#DIV/0!</v>
      </c>
      <c r="M514" s="66">
        <v>42.283799999999999</v>
      </c>
      <c r="N514" s="67">
        <f t="shared" si="399"/>
        <v>0</v>
      </c>
      <c r="O514" s="67">
        <f t="shared" si="400"/>
        <v>0</v>
      </c>
      <c r="P514" s="1186"/>
    </row>
    <row r="515" spans="2:16" x14ac:dyDescent="0.3">
      <c r="B515" s="1181"/>
      <c r="C515" s="184" t="s">
        <v>80</v>
      </c>
      <c r="D515" s="61" t="s">
        <v>81</v>
      </c>
      <c r="E515" s="62">
        <v>0</v>
      </c>
      <c r="F515" s="63">
        <f t="shared" si="401"/>
        <v>0</v>
      </c>
      <c r="G515" s="63">
        <v>0</v>
      </c>
      <c r="H515" s="64">
        <v>0</v>
      </c>
      <c r="I515" s="79">
        <f t="shared" si="395"/>
        <v>10898</v>
      </c>
      <c r="J515" s="4">
        <f t="shared" si="396"/>
        <v>10500</v>
      </c>
      <c r="K515" s="4">
        <f t="shared" si="402"/>
        <v>398</v>
      </c>
      <c r="L515" s="65" t="e">
        <f t="shared" si="398"/>
        <v>#DIV/0!</v>
      </c>
      <c r="M515" s="66">
        <v>4.3535000000000004</v>
      </c>
      <c r="N515" s="67">
        <f t="shared" si="399"/>
        <v>0</v>
      </c>
      <c r="O515" s="67">
        <f t="shared" si="400"/>
        <v>45711.750000000007</v>
      </c>
      <c r="P515" s="1186"/>
    </row>
    <row r="516" spans="2:16" x14ac:dyDescent="0.3">
      <c r="B516" s="1181"/>
      <c r="C516" s="1184" t="s">
        <v>82</v>
      </c>
      <c r="D516" s="61" t="s">
        <v>77</v>
      </c>
      <c r="E516" s="62">
        <v>0</v>
      </c>
      <c r="F516" s="63">
        <f t="shared" si="401"/>
        <v>0</v>
      </c>
      <c r="G516" s="63">
        <v>0</v>
      </c>
      <c r="H516" s="64">
        <v>0</v>
      </c>
      <c r="I516" s="79">
        <f t="shared" si="395"/>
        <v>0</v>
      </c>
      <c r="J516" s="4">
        <f t="shared" si="396"/>
        <v>0</v>
      </c>
      <c r="K516" s="4">
        <f t="shared" si="402"/>
        <v>0</v>
      </c>
      <c r="L516" s="65" t="e">
        <f t="shared" si="398"/>
        <v>#DIV/0!</v>
      </c>
      <c r="M516" s="66">
        <v>4.6184000000000003</v>
      </c>
      <c r="N516" s="67">
        <f t="shared" si="399"/>
        <v>0</v>
      </c>
      <c r="O516" s="67">
        <f>M516*J516</f>
        <v>0</v>
      </c>
      <c r="P516" s="1186"/>
    </row>
    <row r="517" spans="2:16" x14ac:dyDescent="0.3">
      <c r="B517" s="1181"/>
      <c r="C517" s="1184"/>
      <c r="D517" s="61" t="s">
        <v>119</v>
      </c>
      <c r="E517" s="62">
        <v>0</v>
      </c>
      <c r="F517" s="63">
        <f t="shared" si="401"/>
        <v>0</v>
      </c>
      <c r="G517" s="63">
        <v>0</v>
      </c>
      <c r="H517" s="64">
        <v>0</v>
      </c>
      <c r="I517" s="79">
        <f>J517+K517</f>
        <v>0</v>
      </c>
      <c r="J517" s="4">
        <f t="shared" si="396"/>
        <v>0</v>
      </c>
      <c r="K517" s="4">
        <f t="shared" si="402"/>
        <v>0</v>
      </c>
      <c r="L517" s="65" t="e">
        <f t="shared" si="398"/>
        <v>#DIV/0!</v>
      </c>
      <c r="M517" s="153">
        <v>4.6184000000000003</v>
      </c>
      <c r="N517" s="67">
        <f t="shared" si="399"/>
        <v>0</v>
      </c>
      <c r="O517" s="67">
        <f>M517*J517</f>
        <v>0</v>
      </c>
      <c r="P517" s="1186"/>
    </row>
    <row r="518" spans="2:16" x14ac:dyDescent="0.3">
      <c r="B518" s="1181"/>
      <c r="C518" s="1184"/>
      <c r="D518" s="61" t="s">
        <v>123</v>
      </c>
      <c r="E518" s="62">
        <v>0</v>
      </c>
      <c r="F518" s="63">
        <f t="shared" si="401"/>
        <v>0</v>
      </c>
      <c r="G518" s="63">
        <v>0</v>
      </c>
      <c r="H518" s="64">
        <v>0</v>
      </c>
      <c r="I518" s="79">
        <f t="shared" ref="I518:I532" si="403">J518+K518</f>
        <v>0</v>
      </c>
      <c r="J518" s="4">
        <f t="shared" si="396"/>
        <v>0</v>
      </c>
      <c r="K518" s="4">
        <f t="shared" si="402"/>
        <v>0</v>
      </c>
      <c r="L518" s="65" t="e">
        <f t="shared" si="398"/>
        <v>#DIV/0!</v>
      </c>
      <c r="M518" s="153">
        <v>4.6184000000000003</v>
      </c>
      <c r="N518" s="67">
        <f t="shared" si="399"/>
        <v>0</v>
      </c>
      <c r="O518" s="67">
        <f t="shared" ref="O518:O523" si="404">M518*J518</f>
        <v>0</v>
      </c>
      <c r="P518" s="1186"/>
    </row>
    <row r="519" spans="2:16" x14ac:dyDescent="0.3">
      <c r="B519" s="1181"/>
      <c r="C519" s="1184"/>
      <c r="D519" s="61" t="s">
        <v>124</v>
      </c>
      <c r="E519" s="62">
        <v>0</v>
      </c>
      <c r="F519" s="63">
        <f t="shared" si="401"/>
        <v>7029</v>
      </c>
      <c r="G519" s="63">
        <v>6600</v>
      </c>
      <c r="H519" s="64">
        <v>429</v>
      </c>
      <c r="I519" s="79">
        <f t="shared" si="403"/>
        <v>159142</v>
      </c>
      <c r="J519" s="4">
        <f t="shared" si="396"/>
        <v>154255</v>
      </c>
      <c r="K519" s="4">
        <f t="shared" si="402"/>
        <v>4887</v>
      </c>
      <c r="L519" s="65" t="e">
        <f t="shared" si="398"/>
        <v>#DIV/0!</v>
      </c>
      <c r="M519" s="153">
        <v>4.7636000000000003</v>
      </c>
      <c r="N519" s="67">
        <f t="shared" si="399"/>
        <v>31439.760000000002</v>
      </c>
      <c r="O519" s="67">
        <f t="shared" si="404"/>
        <v>734809.11800000002</v>
      </c>
      <c r="P519" s="1186"/>
    </row>
    <row r="520" spans="2:16" x14ac:dyDescent="0.3">
      <c r="B520" s="1181"/>
      <c r="C520" s="1184"/>
      <c r="D520" s="61" t="s">
        <v>83</v>
      </c>
      <c r="E520" s="62">
        <v>0</v>
      </c>
      <c r="F520" s="63">
        <f t="shared" si="401"/>
        <v>0</v>
      </c>
      <c r="G520" s="63">
        <v>0</v>
      </c>
      <c r="H520" s="64">
        <v>0</v>
      </c>
      <c r="I520" s="79">
        <f t="shared" si="403"/>
        <v>0</v>
      </c>
      <c r="J520" s="4">
        <f t="shared" si="396"/>
        <v>0</v>
      </c>
      <c r="K520" s="4">
        <f t="shared" si="402"/>
        <v>0</v>
      </c>
      <c r="L520" s="65" t="e">
        <f t="shared" si="398"/>
        <v>#DIV/0!</v>
      </c>
      <c r="M520" s="66">
        <v>4.8738000000000001</v>
      </c>
      <c r="N520" s="67">
        <f t="shared" si="399"/>
        <v>0</v>
      </c>
      <c r="O520" s="67">
        <f t="shared" si="404"/>
        <v>0</v>
      </c>
      <c r="P520" s="1186"/>
    </row>
    <row r="521" spans="2:16" x14ac:dyDescent="0.3">
      <c r="B521" s="1181"/>
      <c r="C521" s="184" t="s">
        <v>128</v>
      </c>
      <c r="D521" s="61" t="s">
        <v>124</v>
      </c>
      <c r="E521" s="62"/>
      <c r="F521" s="63">
        <f t="shared" si="401"/>
        <v>0</v>
      </c>
      <c r="G521" s="63">
        <v>0</v>
      </c>
      <c r="H521" s="64">
        <v>0</v>
      </c>
      <c r="I521" s="79">
        <f t="shared" si="403"/>
        <v>0</v>
      </c>
      <c r="J521" s="4">
        <f t="shared" si="396"/>
        <v>0</v>
      </c>
      <c r="K521" s="4">
        <f t="shared" si="402"/>
        <v>0</v>
      </c>
      <c r="L521" s="65"/>
      <c r="M521" s="66">
        <v>4.8738000000000001</v>
      </c>
      <c r="N521" s="67">
        <f t="shared" si="399"/>
        <v>0</v>
      </c>
      <c r="O521" s="67">
        <f t="shared" si="404"/>
        <v>0</v>
      </c>
      <c r="P521" s="1186"/>
    </row>
    <row r="522" spans="2:16" x14ac:dyDescent="0.3">
      <c r="B522" s="1181"/>
      <c r="C522" s="1184" t="s">
        <v>84</v>
      </c>
      <c r="D522" s="61" t="s">
        <v>77</v>
      </c>
      <c r="E522" s="62">
        <v>0</v>
      </c>
      <c r="F522" s="63">
        <f t="shared" si="401"/>
        <v>12042</v>
      </c>
      <c r="G522" s="63">
        <v>11950</v>
      </c>
      <c r="H522" s="64">
        <v>92</v>
      </c>
      <c r="I522" s="79">
        <f t="shared" si="403"/>
        <v>152369</v>
      </c>
      <c r="J522" s="4">
        <f t="shared" si="396"/>
        <v>150500</v>
      </c>
      <c r="K522" s="4">
        <f t="shared" si="402"/>
        <v>1869</v>
      </c>
      <c r="L522" s="65" t="e">
        <f t="shared" ref="L522:L532" si="405">+J522/E522</f>
        <v>#DIV/0!</v>
      </c>
      <c r="M522" s="66">
        <v>4.9344999999999999</v>
      </c>
      <c r="N522" s="67">
        <f t="shared" si="399"/>
        <v>58967.275000000001</v>
      </c>
      <c r="O522" s="67">
        <f t="shared" si="404"/>
        <v>742642.25</v>
      </c>
      <c r="P522" s="1186"/>
    </row>
    <row r="523" spans="2:16" x14ac:dyDescent="0.3">
      <c r="B523" s="1181"/>
      <c r="C523" s="1184"/>
      <c r="D523" s="61" t="s">
        <v>135</v>
      </c>
      <c r="E523" s="62"/>
      <c r="F523" s="63">
        <f t="shared" si="401"/>
        <v>0</v>
      </c>
      <c r="G523" s="63">
        <v>0</v>
      </c>
      <c r="H523" s="64">
        <v>0</v>
      </c>
      <c r="I523" s="79">
        <f t="shared" si="403"/>
        <v>0</v>
      </c>
      <c r="J523" s="4">
        <f t="shared" si="396"/>
        <v>0</v>
      </c>
      <c r="K523" s="4">
        <f t="shared" si="402"/>
        <v>0</v>
      </c>
      <c r="L523" s="65" t="e">
        <f t="shared" si="405"/>
        <v>#DIV/0!</v>
      </c>
      <c r="M523" s="66">
        <v>4.9344999999999999</v>
      </c>
      <c r="N523" s="67">
        <f t="shared" si="399"/>
        <v>0</v>
      </c>
      <c r="O523" s="67">
        <f t="shared" si="404"/>
        <v>0</v>
      </c>
      <c r="P523" s="1186"/>
    </row>
    <row r="524" spans="2:16" x14ac:dyDescent="0.3">
      <c r="B524" s="1181"/>
      <c r="C524" s="1184"/>
      <c r="D524" s="61" t="s">
        <v>129</v>
      </c>
      <c r="E524" s="62">
        <v>0</v>
      </c>
      <c r="F524" s="63">
        <f t="shared" si="401"/>
        <v>0</v>
      </c>
      <c r="G524" s="155">
        <v>0</v>
      </c>
      <c r="H524" s="156">
        <v>0</v>
      </c>
      <c r="I524" s="157">
        <f t="shared" si="403"/>
        <v>0</v>
      </c>
      <c r="J524" s="4">
        <f t="shared" si="396"/>
        <v>0</v>
      </c>
      <c r="K524" s="4">
        <f t="shared" si="402"/>
        <v>0</v>
      </c>
      <c r="L524" s="158" t="e">
        <f t="shared" si="405"/>
        <v>#DIV/0!</v>
      </c>
      <c r="M524" s="66">
        <v>4.9344999999999999</v>
      </c>
      <c r="N524" s="159">
        <f t="shared" si="399"/>
        <v>0</v>
      </c>
      <c r="O524" s="67">
        <f>M524*J524</f>
        <v>0</v>
      </c>
      <c r="P524" s="1186"/>
    </row>
    <row r="525" spans="2:16" x14ac:dyDescent="0.3">
      <c r="B525" s="1181"/>
      <c r="C525" s="1184" t="s">
        <v>85</v>
      </c>
      <c r="D525" s="61" t="s">
        <v>77</v>
      </c>
      <c r="E525" s="62">
        <v>0</v>
      </c>
      <c r="F525" s="63">
        <f t="shared" si="401"/>
        <v>0</v>
      </c>
      <c r="G525" s="63">
        <v>0</v>
      </c>
      <c r="H525" s="64">
        <v>0</v>
      </c>
      <c r="I525" s="79">
        <f t="shared" si="403"/>
        <v>113515</v>
      </c>
      <c r="J525" s="4">
        <f t="shared" si="396"/>
        <v>106950</v>
      </c>
      <c r="K525" s="4">
        <f t="shared" si="402"/>
        <v>6565</v>
      </c>
      <c r="L525" s="65" t="e">
        <f t="shared" si="405"/>
        <v>#DIV/0!</v>
      </c>
      <c r="M525" s="148">
        <v>5.5069999999999997</v>
      </c>
      <c r="N525" s="67">
        <f t="shared" si="399"/>
        <v>0</v>
      </c>
      <c r="O525" s="67">
        <f>M525*J525</f>
        <v>588973.64999999991</v>
      </c>
      <c r="P525" s="1186"/>
    </row>
    <row r="526" spans="2:16" x14ac:dyDescent="0.3">
      <c r="B526" s="1181"/>
      <c r="C526" s="1184"/>
      <c r="D526" s="61" t="s">
        <v>112</v>
      </c>
      <c r="E526" s="62">
        <v>0</v>
      </c>
      <c r="F526" s="63">
        <f t="shared" si="401"/>
        <v>0</v>
      </c>
      <c r="G526" s="63">
        <v>0</v>
      </c>
      <c r="H526" s="64">
        <v>0</v>
      </c>
      <c r="I526" s="79">
        <f t="shared" si="403"/>
        <v>10950</v>
      </c>
      <c r="J526" s="4">
        <f t="shared" si="396"/>
        <v>10900</v>
      </c>
      <c r="K526" s="4">
        <f t="shared" si="402"/>
        <v>50</v>
      </c>
      <c r="L526" s="65" t="e">
        <f t="shared" si="405"/>
        <v>#DIV/0!</v>
      </c>
      <c r="M526" s="147">
        <v>5.6550000000000002</v>
      </c>
      <c r="N526" s="67">
        <f t="shared" si="399"/>
        <v>0</v>
      </c>
      <c r="O526" s="67">
        <f>M526*J526</f>
        <v>61639.5</v>
      </c>
      <c r="P526" s="1186"/>
    </row>
    <row r="527" spans="2:16" x14ac:dyDescent="0.3">
      <c r="B527" s="1181"/>
      <c r="C527" s="1184"/>
      <c r="D527" s="61" t="s">
        <v>118</v>
      </c>
      <c r="E527" s="62">
        <v>0</v>
      </c>
      <c r="F527" s="63">
        <f t="shared" si="401"/>
        <v>0</v>
      </c>
      <c r="G527" s="63">
        <v>0</v>
      </c>
      <c r="H527" s="64">
        <v>0</v>
      </c>
      <c r="I527" s="79">
        <f t="shared" si="403"/>
        <v>0</v>
      </c>
      <c r="J527" s="4">
        <f t="shared" si="396"/>
        <v>0</v>
      </c>
      <c r="K527" s="4">
        <f t="shared" si="402"/>
        <v>0</v>
      </c>
      <c r="L527" s="65" t="e">
        <f t="shared" si="405"/>
        <v>#DIV/0!</v>
      </c>
      <c r="M527" s="152">
        <v>5.6550000000000002</v>
      </c>
      <c r="N527" s="67">
        <f t="shared" si="399"/>
        <v>0</v>
      </c>
      <c r="O527" s="67">
        <f>M527*J527</f>
        <v>0</v>
      </c>
      <c r="P527" s="1186"/>
    </row>
    <row r="528" spans="2:16" x14ac:dyDescent="0.3">
      <c r="B528" s="1181"/>
      <c r="C528" s="1184"/>
      <c r="D528" s="61" t="s">
        <v>121</v>
      </c>
      <c r="E528" s="62">
        <v>0</v>
      </c>
      <c r="F528" s="63">
        <f t="shared" si="401"/>
        <v>0</v>
      </c>
      <c r="G528" s="63">
        <v>0</v>
      </c>
      <c r="H528" s="64">
        <v>0</v>
      </c>
      <c r="I528" s="79">
        <f t="shared" si="403"/>
        <v>12400</v>
      </c>
      <c r="J528" s="4">
        <f t="shared" si="396"/>
        <v>10900</v>
      </c>
      <c r="K528" s="4">
        <f t="shared" si="402"/>
        <v>1500</v>
      </c>
      <c r="L528" s="65" t="e">
        <f t="shared" si="405"/>
        <v>#DIV/0!</v>
      </c>
      <c r="M528" s="66">
        <v>5.7885299999999997</v>
      </c>
      <c r="N528" s="67">
        <f>+M528*G528</f>
        <v>0</v>
      </c>
      <c r="O528" s="67">
        <f>M528*J528</f>
        <v>63094.976999999999</v>
      </c>
      <c r="P528" s="1186"/>
    </row>
    <row r="529" spans="2:16" x14ac:dyDescent="0.3">
      <c r="B529" s="1181"/>
      <c r="C529" s="1184"/>
      <c r="D529" s="61" t="s">
        <v>136</v>
      </c>
      <c r="E529" s="62">
        <v>0</v>
      </c>
      <c r="F529" s="63">
        <f t="shared" si="401"/>
        <v>0</v>
      </c>
      <c r="G529" s="63">
        <v>0</v>
      </c>
      <c r="H529" s="64">
        <v>0</v>
      </c>
      <c r="I529" s="79">
        <f t="shared" si="403"/>
        <v>0</v>
      </c>
      <c r="J529" s="4">
        <f t="shared" si="396"/>
        <v>0</v>
      </c>
      <c r="K529" s="4">
        <f t="shared" si="402"/>
        <v>0</v>
      </c>
      <c r="L529" s="65" t="e">
        <f t="shared" si="405"/>
        <v>#DIV/0!</v>
      </c>
      <c r="M529" s="152">
        <v>5.6550000000000002</v>
      </c>
      <c r="N529" s="67">
        <f t="shared" ref="N529:N531" si="406">+M529*G529</f>
        <v>0</v>
      </c>
      <c r="O529" s="67">
        <f t="shared" ref="O529:O532" si="407">M529*J529</f>
        <v>0</v>
      </c>
      <c r="P529" s="1186"/>
    </row>
    <row r="530" spans="2:16" x14ac:dyDescent="0.3">
      <c r="B530" s="1181"/>
      <c r="C530" s="184" t="s">
        <v>86</v>
      </c>
      <c r="D530" s="61" t="s">
        <v>77</v>
      </c>
      <c r="E530" s="62">
        <v>0</v>
      </c>
      <c r="F530" s="63">
        <f t="shared" si="401"/>
        <v>0</v>
      </c>
      <c r="G530" s="63">
        <v>0</v>
      </c>
      <c r="H530" s="64">
        <v>0</v>
      </c>
      <c r="I530" s="79">
        <f t="shared" si="403"/>
        <v>0</v>
      </c>
      <c r="J530" s="4">
        <f t="shared" si="396"/>
        <v>0</v>
      </c>
      <c r="K530" s="4">
        <f t="shared" si="402"/>
        <v>0</v>
      </c>
      <c r="L530" s="65" t="e">
        <f t="shared" si="405"/>
        <v>#DIV/0!</v>
      </c>
      <c r="M530" s="66">
        <v>3.2963</v>
      </c>
      <c r="N530" s="67">
        <f t="shared" si="406"/>
        <v>0</v>
      </c>
      <c r="O530" s="67">
        <f t="shared" si="407"/>
        <v>0</v>
      </c>
      <c r="P530" s="1186"/>
    </row>
    <row r="531" spans="2:16" x14ac:dyDescent="0.3">
      <c r="B531" s="1181"/>
      <c r="C531" s="184" t="s">
        <v>87</v>
      </c>
      <c r="D531" s="61" t="s">
        <v>77</v>
      </c>
      <c r="E531" s="62">
        <v>0</v>
      </c>
      <c r="F531" s="63">
        <f t="shared" si="401"/>
        <v>0</v>
      </c>
      <c r="G531" s="63">
        <v>0</v>
      </c>
      <c r="H531" s="64">
        <v>0</v>
      </c>
      <c r="I531" s="79">
        <f t="shared" si="403"/>
        <v>0</v>
      </c>
      <c r="J531" s="4">
        <f t="shared" si="396"/>
        <v>0</v>
      </c>
      <c r="K531" s="4">
        <f t="shared" si="402"/>
        <v>0</v>
      </c>
      <c r="L531" s="65" t="e">
        <f t="shared" si="405"/>
        <v>#DIV/0!</v>
      </c>
      <c r="M531" s="66">
        <v>3.2963</v>
      </c>
      <c r="N531" s="67">
        <f t="shared" si="406"/>
        <v>0</v>
      </c>
      <c r="O531" s="67">
        <f t="shared" si="407"/>
        <v>0</v>
      </c>
      <c r="P531" s="1186"/>
    </row>
    <row r="532" spans="2:16" ht="15" thickBot="1" x14ac:dyDescent="0.35">
      <c r="B532" s="1181"/>
      <c r="C532" s="68" t="s">
        <v>88</v>
      </c>
      <c r="D532" s="69" t="s">
        <v>89</v>
      </c>
      <c r="E532" s="70">
        <v>0</v>
      </c>
      <c r="F532" s="71">
        <f t="shared" si="401"/>
        <v>0</v>
      </c>
      <c r="G532" s="71">
        <v>0</v>
      </c>
      <c r="H532" s="72">
        <v>0</v>
      </c>
      <c r="I532" s="80">
        <f t="shared" si="403"/>
        <v>65030</v>
      </c>
      <c r="J532" s="4">
        <f t="shared" si="396"/>
        <v>65000</v>
      </c>
      <c r="K532" s="4">
        <f t="shared" si="402"/>
        <v>30</v>
      </c>
      <c r="L532" s="65" t="e">
        <f t="shared" si="405"/>
        <v>#DIV/0!</v>
      </c>
      <c r="M532" s="73">
        <v>2.3201000000000001</v>
      </c>
      <c r="N532" s="74">
        <f t="shared" ref="N532" si="408">M532*G532</f>
        <v>0</v>
      </c>
      <c r="O532" s="74">
        <f t="shared" si="407"/>
        <v>150806.5</v>
      </c>
      <c r="P532" s="1187"/>
    </row>
    <row r="533" spans="2:16" ht="15" thickBot="1" x14ac:dyDescent="0.35">
      <c r="B533" s="1182"/>
      <c r="C533" s="1190" t="s">
        <v>99</v>
      </c>
      <c r="D533" s="1191"/>
      <c r="E533" s="1191"/>
      <c r="F533" s="1191"/>
      <c r="G533" s="1191"/>
      <c r="H533" s="1192"/>
      <c r="I533" s="116">
        <f>J533+K533</f>
        <v>576070</v>
      </c>
      <c r="J533" s="115">
        <f>SUM(J505:J532)</f>
        <v>559780</v>
      </c>
      <c r="K533" s="115">
        <f>SUM(K505:K532)</f>
        <v>16290</v>
      </c>
      <c r="L533" s="114"/>
      <c r="M533" s="113"/>
      <c r="N533" s="114"/>
      <c r="O533" s="97">
        <f>SUM(O505:O532)</f>
        <v>4620815.2449999992</v>
      </c>
      <c r="P533" s="96"/>
    </row>
    <row r="534" spans="2:16" ht="15" thickBot="1" x14ac:dyDescent="0.35">
      <c r="B534" s="100"/>
      <c r="C534" s="101"/>
      <c r="D534" s="101"/>
      <c r="E534" s="101"/>
      <c r="F534" s="101"/>
      <c r="G534" s="101"/>
      <c r="H534" s="101"/>
      <c r="I534" s="101"/>
      <c r="J534" s="101"/>
      <c r="K534" s="101"/>
      <c r="L534" s="101"/>
      <c r="M534" s="101"/>
      <c r="N534" s="101"/>
      <c r="O534" s="101"/>
      <c r="P534" s="102"/>
    </row>
    <row r="535" spans="2:16" ht="15" thickBot="1" x14ac:dyDescent="0.35">
      <c r="B535" s="1175" t="s">
        <v>100</v>
      </c>
      <c r="C535" s="1176"/>
      <c r="D535" s="1176"/>
      <c r="E535" s="1176"/>
      <c r="F535" s="1176"/>
      <c r="G535" s="1176"/>
      <c r="H535" s="1176"/>
      <c r="I535" s="1176"/>
      <c r="J535" s="1176"/>
      <c r="K535" s="1176"/>
      <c r="L535" s="1176"/>
      <c r="M535" s="1176"/>
      <c r="N535" s="1177"/>
      <c r="O535" s="103">
        <f>+O533+O504+O489</f>
        <v>10039684.446999999</v>
      </c>
      <c r="P535" s="96"/>
    </row>
    <row r="536" spans="2:16" ht="15" thickBot="1" x14ac:dyDescent="0.35"/>
    <row r="537" spans="2:16" x14ac:dyDescent="0.3">
      <c r="B537" s="1209" t="s">
        <v>1</v>
      </c>
      <c r="C537" s="1211" t="s">
        <v>2</v>
      </c>
      <c r="D537" s="1214" t="s">
        <v>3</v>
      </c>
      <c r="E537" s="1217" t="s">
        <v>4</v>
      </c>
      <c r="F537" s="1218"/>
      <c r="G537" s="1218"/>
      <c r="H537" s="1218"/>
      <c r="I537" s="1218"/>
      <c r="J537" s="1218"/>
      <c r="K537" s="1218"/>
      <c r="L537" s="1219"/>
      <c r="M537" s="1220" t="s">
        <v>5</v>
      </c>
      <c r="N537" s="1221"/>
      <c r="O537" s="1222"/>
      <c r="P537" s="1214" t="s">
        <v>6</v>
      </c>
    </row>
    <row r="538" spans="2:16" x14ac:dyDescent="0.3">
      <c r="B538" s="1210"/>
      <c r="C538" s="1212"/>
      <c r="D538" s="1215"/>
      <c r="E538" s="1223" t="s">
        <v>7</v>
      </c>
      <c r="F538" s="1225" t="s">
        <v>148</v>
      </c>
      <c r="G538" s="1225"/>
      <c r="H538" s="1226"/>
      <c r="I538" s="1227" t="s">
        <v>8</v>
      </c>
      <c r="J538" s="1225"/>
      <c r="K538" s="1225"/>
      <c r="L538" s="1226" t="s">
        <v>9</v>
      </c>
      <c r="M538" s="1229" t="s">
        <v>10</v>
      </c>
      <c r="N538" s="1231" t="s">
        <v>11</v>
      </c>
      <c r="O538" s="1233" t="s">
        <v>12</v>
      </c>
      <c r="P538" s="1215"/>
    </row>
    <row r="539" spans="2:16" ht="15" thickBot="1" x14ac:dyDescent="0.35">
      <c r="B539" s="1210"/>
      <c r="C539" s="1213"/>
      <c r="D539" s="1216"/>
      <c r="E539" s="1224"/>
      <c r="F539" s="2" t="s">
        <v>13</v>
      </c>
      <c r="G539" s="2" t="s">
        <v>14</v>
      </c>
      <c r="H539" s="191" t="s">
        <v>15</v>
      </c>
      <c r="I539" s="142" t="s">
        <v>13</v>
      </c>
      <c r="J539" s="2" t="s">
        <v>14</v>
      </c>
      <c r="K539" s="2" t="s">
        <v>15</v>
      </c>
      <c r="L539" s="1228"/>
      <c r="M539" s="1230"/>
      <c r="N539" s="1232"/>
      <c r="O539" s="1234"/>
      <c r="P539" s="1216"/>
    </row>
    <row r="540" spans="2:16" x14ac:dyDescent="0.3">
      <c r="B540" s="1193" t="s">
        <v>53</v>
      </c>
      <c r="C540" s="29"/>
      <c r="D540" s="117" t="s">
        <v>143</v>
      </c>
      <c r="E540" s="98">
        <v>0</v>
      </c>
      <c r="F540" s="4">
        <f>+G540+H540</f>
        <v>60564</v>
      </c>
      <c r="G540" s="4">
        <v>59360</v>
      </c>
      <c r="H540" s="8">
        <v>1204</v>
      </c>
      <c r="I540" s="6">
        <f>J540+K540</f>
        <v>285266</v>
      </c>
      <c r="J540" s="4">
        <f>G540+J475</f>
        <v>280000</v>
      </c>
      <c r="K540" s="4">
        <f>H540+K475</f>
        <v>5266</v>
      </c>
      <c r="L540" s="33" t="e">
        <f>+J540/E540</f>
        <v>#DIV/0!</v>
      </c>
      <c r="M540" s="104">
        <v>1.3652</v>
      </c>
      <c r="N540" s="31">
        <f>G540*M540</f>
        <v>81038.271999999997</v>
      </c>
      <c r="O540" s="86">
        <f>M540*J540</f>
        <v>382256</v>
      </c>
      <c r="P540" s="1195"/>
    </row>
    <row r="541" spans="2:16" x14ac:dyDescent="0.3">
      <c r="B541" s="1194"/>
      <c r="C541" s="32"/>
      <c r="D541" s="118" t="s">
        <v>109</v>
      </c>
      <c r="E541" s="99">
        <v>0</v>
      </c>
      <c r="F541" s="9">
        <f>+G541+H541</f>
        <v>0</v>
      </c>
      <c r="G541" s="9">
        <v>0</v>
      </c>
      <c r="H541" s="10">
        <v>0</v>
      </c>
      <c r="I541" s="6">
        <f>J541+K541</f>
        <v>0</v>
      </c>
      <c r="J541" s="4">
        <f>+G541+J476</f>
        <v>0</v>
      </c>
      <c r="K541" s="4">
        <f>+H541+K476</f>
        <v>0</v>
      </c>
      <c r="L541" s="33"/>
      <c r="M541" s="105">
        <v>5.9917999999999996</v>
      </c>
      <c r="N541" s="34">
        <f>M541*G541</f>
        <v>0</v>
      </c>
      <c r="O541" s="87">
        <f>M541*J541</f>
        <v>0</v>
      </c>
      <c r="P541" s="1196"/>
    </row>
    <row r="542" spans="2:16" x14ac:dyDescent="0.3">
      <c r="B542" s="1194"/>
      <c r="C542" s="35"/>
      <c r="D542" s="119" t="s">
        <v>55</v>
      </c>
      <c r="E542" s="99">
        <v>0</v>
      </c>
      <c r="F542" s="9">
        <f t="shared" ref="F542:F546" si="409">+G542+H542</f>
        <v>231616</v>
      </c>
      <c r="G542" s="9">
        <v>230000</v>
      </c>
      <c r="H542" s="10">
        <v>1616</v>
      </c>
      <c r="I542" s="6">
        <f t="shared" ref="I542:I546" si="410">J542+K542</f>
        <v>1568199</v>
      </c>
      <c r="J542" s="4">
        <f t="shared" ref="J542:J546" si="411">+G542+J477</f>
        <v>1555750</v>
      </c>
      <c r="K542" s="4">
        <f t="shared" ref="K542:K546" si="412">+H542+K477</f>
        <v>12449</v>
      </c>
      <c r="L542" s="33" t="e">
        <f t="shared" ref="L542" si="413">+J542/E542</f>
        <v>#DIV/0!</v>
      </c>
      <c r="M542" s="106">
        <v>2.3807999999999998</v>
      </c>
      <c r="N542" s="36">
        <f>G542*M542</f>
        <v>547584</v>
      </c>
      <c r="O542" s="88">
        <f>M542*J542</f>
        <v>3703929.5999999996</v>
      </c>
      <c r="P542" s="1196"/>
    </row>
    <row r="543" spans="2:16" x14ac:dyDescent="0.3">
      <c r="B543" s="1194"/>
      <c r="C543" s="35"/>
      <c r="D543" s="119" t="s">
        <v>56</v>
      </c>
      <c r="E543" s="99">
        <v>0</v>
      </c>
      <c r="F543" s="9">
        <f t="shared" si="409"/>
        <v>0</v>
      </c>
      <c r="G543" s="9">
        <v>0</v>
      </c>
      <c r="H543" s="10">
        <v>0</v>
      </c>
      <c r="I543" s="6">
        <f t="shared" si="410"/>
        <v>0</v>
      </c>
      <c r="J543" s="4">
        <f t="shared" si="411"/>
        <v>0</v>
      </c>
      <c r="K543" s="4">
        <f t="shared" si="412"/>
        <v>0</v>
      </c>
      <c r="L543" s="33"/>
      <c r="M543" s="106">
        <v>2.1457999999999999</v>
      </c>
      <c r="N543" s="36">
        <f t="shared" ref="N543:N546" si="414">G543*M543</f>
        <v>0</v>
      </c>
      <c r="O543" s="88">
        <f>M543*J543</f>
        <v>0</v>
      </c>
      <c r="P543" s="1196"/>
    </row>
    <row r="544" spans="2:16" x14ac:dyDescent="0.3">
      <c r="B544" s="1194"/>
      <c r="C544" s="35"/>
      <c r="D544" s="119" t="s">
        <v>106</v>
      </c>
      <c r="E544" s="99">
        <v>0</v>
      </c>
      <c r="F544" s="9">
        <f t="shared" si="409"/>
        <v>0</v>
      </c>
      <c r="G544" s="9">
        <v>0</v>
      </c>
      <c r="H544" s="10">
        <v>0</v>
      </c>
      <c r="I544" s="6">
        <f t="shared" si="410"/>
        <v>0</v>
      </c>
      <c r="J544" s="4">
        <f t="shared" si="411"/>
        <v>0</v>
      </c>
      <c r="K544" s="4">
        <f t="shared" si="412"/>
        <v>0</v>
      </c>
      <c r="L544" s="33" t="e">
        <f t="shared" ref="L544:L545" si="415">+J544/E544</f>
        <v>#DIV/0!</v>
      </c>
      <c r="M544" s="143">
        <v>4.0426000000000002</v>
      </c>
      <c r="N544" s="36">
        <f t="shared" si="414"/>
        <v>0</v>
      </c>
      <c r="O544" s="88">
        <f>M544*J544</f>
        <v>0</v>
      </c>
      <c r="P544" s="1196"/>
    </row>
    <row r="545" spans="2:16" x14ac:dyDescent="0.3">
      <c r="B545" s="1194"/>
      <c r="C545" s="35"/>
      <c r="D545" s="119" t="s">
        <v>110</v>
      </c>
      <c r="E545" s="99">
        <v>0</v>
      </c>
      <c r="F545" s="9">
        <f t="shared" si="409"/>
        <v>0</v>
      </c>
      <c r="G545" s="9">
        <v>0</v>
      </c>
      <c r="H545" s="10">
        <v>0</v>
      </c>
      <c r="I545" s="6">
        <f t="shared" si="410"/>
        <v>0</v>
      </c>
      <c r="J545" s="4">
        <f t="shared" si="411"/>
        <v>0</v>
      </c>
      <c r="K545" s="4">
        <f t="shared" si="412"/>
        <v>0</v>
      </c>
      <c r="L545" s="33" t="e">
        <f t="shared" si="415"/>
        <v>#DIV/0!</v>
      </c>
      <c r="M545" s="143">
        <v>3.8715000000000002</v>
      </c>
      <c r="N545" s="36">
        <f t="shared" si="414"/>
        <v>0</v>
      </c>
      <c r="O545" s="88">
        <f t="shared" ref="O545:O546" si="416">M545*J545</f>
        <v>0</v>
      </c>
      <c r="P545" s="1196"/>
    </row>
    <row r="546" spans="2:16" ht="15" thickBot="1" x14ac:dyDescent="0.35">
      <c r="B546" s="1194"/>
      <c r="C546" s="82"/>
      <c r="D546" s="120" t="s">
        <v>57</v>
      </c>
      <c r="E546" s="108">
        <v>0</v>
      </c>
      <c r="F546" s="12">
        <f t="shared" si="409"/>
        <v>0</v>
      </c>
      <c r="G546" s="12">
        <v>0</v>
      </c>
      <c r="H546" s="13">
        <v>0</v>
      </c>
      <c r="I546" s="21">
        <f t="shared" si="410"/>
        <v>0</v>
      </c>
      <c r="J546" s="4">
        <f t="shared" si="411"/>
        <v>0</v>
      </c>
      <c r="K546" s="4">
        <f t="shared" si="412"/>
        <v>0</v>
      </c>
      <c r="L546" s="81"/>
      <c r="M546" s="127">
        <v>12.284700000000001</v>
      </c>
      <c r="N546" s="36">
        <f t="shared" si="414"/>
        <v>0</v>
      </c>
      <c r="O546" s="128">
        <f t="shared" si="416"/>
        <v>0</v>
      </c>
      <c r="P546" s="1196"/>
    </row>
    <row r="547" spans="2:16" ht="15" thickBot="1" x14ac:dyDescent="0.35">
      <c r="B547" s="1194"/>
      <c r="C547" s="1199" t="s">
        <v>104</v>
      </c>
      <c r="D547" s="1200"/>
      <c r="E547" s="129"/>
      <c r="F547" s="130">
        <f>SUM(F540:F546)</f>
        <v>292180</v>
      </c>
      <c r="G547" s="130">
        <f>SUM(G540:G546)</f>
        <v>289360</v>
      </c>
      <c r="H547" s="131">
        <f>SUM(H540:H546)</f>
        <v>2820</v>
      </c>
      <c r="I547" s="132">
        <f>+J547+K547</f>
        <v>1853465</v>
      </c>
      <c r="J547" s="133">
        <f>SUM(J540:J546)</f>
        <v>1835750</v>
      </c>
      <c r="K547" s="133">
        <f>SUM(K540:K546)</f>
        <v>17715</v>
      </c>
      <c r="L547" s="134"/>
      <c r="M547" s="135"/>
      <c r="N547" s="136"/>
      <c r="O547" s="137">
        <f>SUM(O540:O546)</f>
        <v>4086185.5999999996</v>
      </c>
      <c r="P547" s="1197"/>
    </row>
    <row r="548" spans="2:16" x14ac:dyDescent="0.3">
      <c r="B548" s="1194"/>
      <c r="C548" s="32"/>
      <c r="D548" s="118" t="s">
        <v>58</v>
      </c>
      <c r="E548" s="98">
        <v>0</v>
      </c>
      <c r="F548" s="4">
        <f t="shared" ref="F548:F551" si="417">+G548+H548</f>
        <v>0</v>
      </c>
      <c r="G548" s="4">
        <v>0</v>
      </c>
      <c r="H548" s="8">
        <v>0</v>
      </c>
      <c r="I548" s="6">
        <f t="shared" ref="I548:I552" si="418">J548+K548</f>
        <v>0</v>
      </c>
      <c r="J548" s="4">
        <f>G548+J483</f>
        <v>0</v>
      </c>
      <c r="K548" s="4">
        <f>H548+K483</f>
        <v>0</v>
      </c>
      <c r="L548" s="33" t="e">
        <f t="shared" ref="L548" si="419">+J548/E548</f>
        <v>#DIV/0!</v>
      </c>
      <c r="M548" s="105">
        <v>12.029500000000001</v>
      </c>
      <c r="N548" s="34">
        <f>M548*G548</f>
        <v>0</v>
      </c>
      <c r="O548" s="87">
        <f t="shared" ref="O548:O550" si="420">M548*J548</f>
        <v>0</v>
      </c>
      <c r="P548" s="1196"/>
    </row>
    <row r="549" spans="2:16" x14ac:dyDescent="0.3">
      <c r="B549" s="1194"/>
      <c r="C549" s="35"/>
      <c r="D549" s="119" t="s">
        <v>59</v>
      </c>
      <c r="E549" s="99">
        <v>0</v>
      </c>
      <c r="F549" s="9">
        <f t="shared" si="417"/>
        <v>0</v>
      </c>
      <c r="G549" s="9">
        <v>0</v>
      </c>
      <c r="H549" s="10">
        <v>0</v>
      </c>
      <c r="I549" s="6">
        <f t="shared" si="418"/>
        <v>0</v>
      </c>
      <c r="J549" s="4">
        <f>G549+J484</f>
        <v>0</v>
      </c>
      <c r="K549" s="4">
        <f>H549+K484</f>
        <v>0</v>
      </c>
      <c r="L549" s="33"/>
      <c r="M549" s="106">
        <v>0</v>
      </c>
      <c r="N549" s="36"/>
      <c r="O549" s="88">
        <f t="shared" si="420"/>
        <v>0</v>
      </c>
      <c r="P549" s="1196"/>
    </row>
    <row r="550" spans="2:16" x14ac:dyDescent="0.3">
      <c r="B550" s="1194"/>
      <c r="C550" s="35"/>
      <c r="D550" s="119" t="s">
        <v>97</v>
      </c>
      <c r="E550" s="99">
        <v>0</v>
      </c>
      <c r="F550" s="9">
        <f t="shared" si="417"/>
        <v>0</v>
      </c>
      <c r="G550" s="9">
        <v>0</v>
      </c>
      <c r="H550" s="10">
        <v>0</v>
      </c>
      <c r="I550" s="6">
        <f t="shared" si="418"/>
        <v>0</v>
      </c>
      <c r="J550" s="4">
        <f t="shared" ref="J550:J552" si="421">G550+J485</f>
        <v>0</v>
      </c>
      <c r="K550" s="4">
        <f t="shared" ref="K550:K552" si="422">H550+K485</f>
        <v>0</v>
      </c>
      <c r="L550" s="33" t="e">
        <f t="shared" ref="L550:L552" si="423">+J550/E550</f>
        <v>#DIV/0!</v>
      </c>
      <c r="M550" s="106">
        <v>19.688600000000001</v>
      </c>
      <c r="N550" s="36">
        <f>M550*G550</f>
        <v>0</v>
      </c>
      <c r="O550" s="88">
        <f t="shared" si="420"/>
        <v>0</v>
      </c>
      <c r="P550" s="1196"/>
    </row>
    <row r="551" spans="2:16" x14ac:dyDescent="0.3">
      <c r="B551" s="1194"/>
      <c r="C551" s="35"/>
      <c r="D551" s="119" t="s">
        <v>61</v>
      </c>
      <c r="E551" s="99">
        <v>0</v>
      </c>
      <c r="F551" s="9">
        <f t="shared" si="417"/>
        <v>0</v>
      </c>
      <c r="G551" s="9">
        <v>0</v>
      </c>
      <c r="H551" s="10">
        <v>0</v>
      </c>
      <c r="I551" s="6">
        <f t="shared" si="418"/>
        <v>0</v>
      </c>
      <c r="J551" s="4">
        <f t="shared" si="421"/>
        <v>0</v>
      </c>
      <c r="K551" s="4">
        <f t="shared" si="422"/>
        <v>0</v>
      </c>
      <c r="L551" s="33" t="e">
        <f t="shared" si="423"/>
        <v>#DIV/0!</v>
      </c>
      <c r="M551" s="106">
        <v>1.2824</v>
      </c>
      <c r="N551" s="151">
        <f>M551*G551</f>
        <v>0</v>
      </c>
      <c r="O551" s="88">
        <f>M551*J551</f>
        <v>0</v>
      </c>
      <c r="P551" s="1196"/>
    </row>
    <row r="552" spans="2:16" ht="15" thickBot="1" x14ac:dyDescent="0.35">
      <c r="B552" s="1194"/>
      <c r="C552" s="82"/>
      <c r="D552" s="120" t="s">
        <v>60</v>
      </c>
      <c r="E552" s="108">
        <v>0</v>
      </c>
      <c r="F552" s="12">
        <v>0</v>
      </c>
      <c r="G552" s="12">
        <v>0</v>
      </c>
      <c r="H552" s="13">
        <v>0</v>
      </c>
      <c r="I552" s="21">
        <f t="shared" si="418"/>
        <v>8814</v>
      </c>
      <c r="J552" s="4">
        <f t="shared" si="421"/>
        <v>8640</v>
      </c>
      <c r="K552" s="4">
        <f t="shared" si="422"/>
        <v>174</v>
      </c>
      <c r="L552" s="81" t="e">
        <f t="shared" si="423"/>
        <v>#DIV/0!</v>
      </c>
      <c r="M552" s="107">
        <v>18.2316</v>
      </c>
      <c r="N552" s="75"/>
      <c r="O552" s="89">
        <f t="shared" ref="O552" si="424">M552*J552</f>
        <v>157521.024</v>
      </c>
      <c r="P552" s="1198"/>
    </row>
    <row r="553" spans="2:16" ht="15" thickBot="1" x14ac:dyDescent="0.35">
      <c r="B553" s="1178" t="s">
        <v>105</v>
      </c>
      <c r="C553" s="1179"/>
      <c r="D553" s="1179"/>
      <c r="E553" s="124"/>
      <c r="F553" s="125">
        <f>+G553+H553</f>
        <v>0</v>
      </c>
      <c r="G553" s="125">
        <f>SUM(G548:G552)</f>
        <v>0</v>
      </c>
      <c r="H553" s="126">
        <f>SUM(H548:H552)</f>
        <v>0</v>
      </c>
      <c r="I553" s="121">
        <f>J553+K553</f>
        <v>8814</v>
      </c>
      <c r="J553" s="122">
        <f>SUM(J548:J552)</f>
        <v>8640</v>
      </c>
      <c r="K553" s="123">
        <f>SUM(K548:K552)</f>
        <v>174</v>
      </c>
      <c r="L553" s="138"/>
      <c r="M553" s="139"/>
      <c r="N553" s="140"/>
      <c r="O553" s="141">
        <f>SUM(O548:O552)</f>
        <v>157521.024</v>
      </c>
      <c r="P553" s="189"/>
    </row>
    <row r="554" spans="2:16" ht="15" thickBot="1" x14ac:dyDescent="0.35">
      <c r="B554" s="1178" t="s">
        <v>98</v>
      </c>
      <c r="C554" s="1179"/>
      <c r="D554" s="1179"/>
      <c r="E554" s="1201"/>
      <c r="F554" s="1201"/>
      <c r="G554" s="1201"/>
      <c r="H554" s="1201"/>
      <c r="I554" s="1179"/>
      <c r="J554" s="1179"/>
      <c r="K554" s="1179"/>
      <c r="L554" s="1179"/>
      <c r="M554" s="1179"/>
      <c r="N554" s="1202"/>
      <c r="O554" s="83">
        <f>O547+O553</f>
        <v>4243706.6239999998</v>
      </c>
      <c r="P554" s="189"/>
    </row>
    <row r="555" spans="2:16" x14ac:dyDescent="0.3">
      <c r="B555" s="1193" t="s">
        <v>62</v>
      </c>
      <c r="C555" s="37" t="s">
        <v>63</v>
      </c>
      <c r="D555" s="28" t="s">
        <v>64</v>
      </c>
      <c r="E555" s="38">
        <v>0</v>
      </c>
      <c r="F555" s="14">
        <f>+G555+H555</f>
        <v>0</v>
      </c>
      <c r="G555" s="14">
        <v>0</v>
      </c>
      <c r="H555" s="5">
        <v>0</v>
      </c>
      <c r="I555" s="17">
        <f t="shared" ref="I555:I561" si="425">J555+K555</f>
        <v>0</v>
      </c>
      <c r="J555" s="4">
        <f>G555+J490</f>
        <v>0</v>
      </c>
      <c r="K555" s="4">
        <f>H555+K490</f>
        <v>0</v>
      </c>
      <c r="L555" s="30" t="e">
        <f>+J555/E555</f>
        <v>#DIV/0!</v>
      </c>
      <c r="M555" s="146">
        <v>2.2141000000000002</v>
      </c>
      <c r="N555" s="15">
        <f>+M555*G555</f>
        <v>0</v>
      </c>
      <c r="O555" s="90">
        <f>+M555*J555</f>
        <v>0</v>
      </c>
      <c r="P555" s="1204"/>
    </row>
    <row r="556" spans="2:16" x14ac:dyDescent="0.3">
      <c r="B556" s="1194"/>
      <c r="C556" s="39"/>
      <c r="D556" s="22" t="s">
        <v>65</v>
      </c>
      <c r="E556" s="3">
        <v>0</v>
      </c>
      <c r="F556" s="9">
        <f t="shared" ref="F556:F561" si="426">+G556+H556</f>
        <v>0</v>
      </c>
      <c r="G556" s="4">
        <v>0</v>
      </c>
      <c r="H556" s="8">
        <v>0</v>
      </c>
      <c r="I556" s="6">
        <f t="shared" si="425"/>
        <v>0</v>
      </c>
      <c r="J556" s="4">
        <f>+G556+J491</f>
        <v>0</v>
      </c>
      <c r="K556" s="4">
        <f>+H556+K491</f>
        <v>0</v>
      </c>
      <c r="L556" s="40" t="e">
        <f t="shared" ref="L556:L557" si="427">+J556/E556</f>
        <v>#DIV/0!</v>
      </c>
      <c r="M556" s="145">
        <v>2.4565999999999999</v>
      </c>
      <c r="N556" s="11">
        <f t="shared" ref="N556:N558" si="428">+M556*G556</f>
        <v>0</v>
      </c>
      <c r="O556" s="91">
        <f t="shared" ref="O556:O558" si="429">+M556*J556</f>
        <v>0</v>
      </c>
      <c r="P556" s="1205"/>
    </row>
    <row r="557" spans="2:16" x14ac:dyDescent="0.3">
      <c r="B557" s="1194"/>
      <c r="C557" s="39"/>
      <c r="D557" s="23" t="s">
        <v>126</v>
      </c>
      <c r="E557" s="3">
        <v>0</v>
      </c>
      <c r="F557" s="9">
        <f t="shared" si="426"/>
        <v>0</v>
      </c>
      <c r="G557" s="4">
        <v>0</v>
      </c>
      <c r="H557" s="8">
        <v>0</v>
      </c>
      <c r="I557" s="6">
        <f t="shared" si="425"/>
        <v>0</v>
      </c>
      <c r="J557" s="4">
        <f t="shared" ref="J557:J558" si="430">+G557+J492</f>
        <v>0</v>
      </c>
      <c r="K557" s="4">
        <f t="shared" ref="K557:K561" si="431">+H557+K492</f>
        <v>0</v>
      </c>
      <c r="L557" s="40" t="e">
        <f t="shared" si="427"/>
        <v>#DIV/0!</v>
      </c>
      <c r="M557" s="145">
        <v>2.2907000000000002</v>
      </c>
      <c r="N557" s="11">
        <f t="shared" si="428"/>
        <v>0</v>
      </c>
      <c r="O557" s="91">
        <f t="shared" si="429"/>
        <v>0</v>
      </c>
      <c r="P557" s="1205"/>
    </row>
    <row r="558" spans="2:16" x14ac:dyDescent="0.3">
      <c r="B558" s="1194"/>
      <c r="C558" s="39"/>
      <c r="D558" s="22" t="s">
        <v>131</v>
      </c>
      <c r="E558" s="3"/>
      <c r="F558" s="9">
        <f t="shared" si="426"/>
        <v>0</v>
      </c>
      <c r="G558" s="4">
        <v>0</v>
      </c>
      <c r="H558" s="8">
        <v>0</v>
      </c>
      <c r="I558" s="6">
        <f t="shared" si="425"/>
        <v>0</v>
      </c>
      <c r="J558" s="4">
        <f t="shared" si="430"/>
        <v>0</v>
      </c>
      <c r="K558" s="4">
        <f t="shared" si="431"/>
        <v>0</v>
      </c>
      <c r="L558" s="33"/>
      <c r="M558" s="150">
        <v>2.544</v>
      </c>
      <c r="N558" s="11">
        <f t="shared" si="428"/>
        <v>0</v>
      </c>
      <c r="O558" s="91">
        <f t="shared" si="429"/>
        <v>0</v>
      </c>
      <c r="P558" s="1205"/>
    </row>
    <row r="559" spans="2:16" x14ac:dyDescent="0.3">
      <c r="B559" s="1194"/>
      <c r="C559" s="39" t="s">
        <v>66</v>
      </c>
      <c r="D559" s="22" t="s">
        <v>133</v>
      </c>
      <c r="E559" s="3">
        <v>0</v>
      </c>
      <c r="F559" s="9">
        <f t="shared" si="426"/>
        <v>45515</v>
      </c>
      <c r="G559" s="4">
        <v>44000</v>
      </c>
      <c r="H559" s="8">
        <v>1515</v>
      </c>
      <c r="I559" s="6">
        <f t="shared" si="425"/>
        <v>407132</v>
      </c>
      <c r="J559" s="4">
        <f>+G559+J494</f>
        <v>397750</v>
      </c>
      <c r="K559" s="4">
        <f t="shared" si="431"/>
        <v>9382</v>
      </c>
      <c r="L559" s="33" t="e">
        <f>+J559/E559</f>
        <v>#DIV/0!</v>
      </c>
      <c r="M559" s="144">
        <v>2.2141000000000002</v>
      </c>
      <c r="N559" s="7">
        <f>+M559*G559</f>
        <v>97420.400000000009</v>
      </c>
      <c r="O559" s="85">
        <f>+M559*J559</f>
        <v>880658.27500000002</v>
      </c>
      <c r="P559" s="1205"/>
    </row>
    <row r="560" spans="2:16" x14ac:dyDescent="0.3">
      <c r="B560" s="1194"/>
      <c r="C560" s="39"/>
      <c r="D560" s="22" t="s">
        <v>65</v>
      </c>
      <c r="E560" s="3">
        <v>0</v>
      </c>
      <c r="F560" s="9">
        <f t="shared" si="426"/>
        <v>0</v>
      </c>
      <c r="G560" s="4">
        <v>0</v>
      </c>
      <c r="H560" s="8">
        <v>0</v>
      </c>
      <c r="I560" s="6">
        <f t="shared" si="425"/>
        <v>0</v>
      </c>
      <c r="J560" s="4">
        <f t="shared" ref="J560:J561" si="432">+G560+J495</f>
        <v>0</v>
      </c>
      <c r="K560" s="4">
        <f t="shared" si="431"/>
        <v>0</v>
      </c>
      <c r="L560" s="40" t="e">
        <f t="shared" ref="L560:L561" si="433">+J560/E560</f>
        <v>#DIV/0!</v>
      </c>
      <c r="M560" s="145">
        <v>2.4565999999999999</v>
      </c>
      <c r="N560" s="11">
        <f t="shared" ref="N560:N561" si="434">+M560*G560</f>
        <v>0</v>
      </c>
      <c r="O560" s="91">
        <f t="shared" ref="O560" si="435">+M560*J560</f>
        <v>0</v>
      </c>
      <c r="P560" s="1205"/>
    </row>
    <row r="561" spans="2:16" ht="15" thickBot="1" x14ac:dyDescent="0.35">
      <c r="B561" s="1194"/>
      <c r="C561" s="39"/>
      <c r="D561" s="22" t="s">
        <v>126</v>
      </c>
      <c r="E561" s="3">
        <v>0</v>
      </c>
      <c r="F561" s="9">
        <f t="shared" si="426"/>
        <v>0</v>
      </c>
      <c r="G561" s="4">
        <v>0</v>
      </c>
      <c r="H561" s="8">
        <v>0</v>
      </c>
      <c r="I561" s="6">
        <f t="shared" si="425"/>
        <v>0</v>
      </c>
      <c r="J561" s="4">
        <f t="shared" si="432"/>
        <v>0</v>
      </c>
      <c r="K561" s="4">
        <f t="shared" si="431"/>
        <v>0</v>
      </c>
      <c r="L561" s="40" t="e">
        <f t="shared" si="433"/>
        <v>#DIV/0!</v>
      </c>
      <c r="M561" s="145">
        <v>2.2907000000000002</v>
      </c>
      <c r="N561" s="11">
        <f t="shared" si="434"/>
        <v>0</v>
      </c>
      <c r="O561" s="154">
        <f>+M561*J561</f>
        <v>0</v>
      </c>
      <c r="P561" s="1206"/>
    </row>
    <row r="562" spans="2:16" ht="15" thickBot="1" x14ac:dyDescent="0.35">
      <c r="B562" s="1194"/>
      <c r="C562" s="41" t="s">
        <v>29</v>
      </c>
      <c r="D562" s="27" t="str">
        <f>+C562</f>
        <v>TOTAL 1/2</v>
      </c>
      <c r="E562" s="42">
        <f>SUM(E555:E561)</f>
        <v>0</v>
      </c>
      <c r="F562" s="43">
        <f>SUM(F555:F561)</f>
        <v>45515</v>
      </c>
      <c r="G562" s="43">
        <f>SUM(G555:G561)</f>
        <v>44000</v>
      </c>
      <c r="H562" s="44">
        <f>SUM(H555:H561)</f>
        <v>1515</v>
      </c>
      <c r="I562" s="45">
        <f>SUM(I559:I561)</f>
        <v>407132</v>
      </c>
      <c r="J562" s="43">
        <f>SUM(J555:J561)</f>
        <v>397750</v>
      </c>
      <c r="K562" s="43">
        <f>SUM(K555:K561)</f>
        <v>9382</v>
      </c>
      <c r="L562" s="46" t="e">
        <f>+J562/E562</f>
        <v>#DIV/0!</v>
      </c>
      <c r="M562" s="47"/>
      <c r="N562" s="48">
        <f>SUM(N559:N561)</f>
        <v>97420.400000000009</v>
      </c>
      <c r="O562" s="49">
        <f>SUM(O555:O561)</f>
        <v>880658.27500000002</v>
      </c>
      <c r="P562" s="190"/>
    </row>
    <row r="563" spans="2:16" x14ac:dyDescent="0.3">
      <c r="B563" s="1194"/>
      <c r="C563" s="1207" t="s">
        <v>67</v>
      </c>
      <c r="D563" s="22" t="s">
        <v>64</v>
      </c>
      <c r="E563" s="3">
        <v>0</v>
      </c>
      <c r="F563" s="4">
        <f>G563+H563</f>
        <v>0</v>
      </c>
      <c r="G563" s="4">
        <v>0</v>
      </c>
      <c r="H563" s="8">
        <v>0</v>
      </c>
      <c r="I563" s="16">
        <f>J563+K563</f>
        <v>109220</v>
      </c>
      <c r="J563" s="4">
        <f>G563+J498</f>
        <v>105750</v>
      </c>
      <c r="K563" s="4">
        <f>H563+K498</f>
        <v>3470</v>
      </c>
      <c r="L563" s="50" t="e">
        <f>+J563/E563</f>
        <v>#DIV/0!</v>
      </c>
      <c r="M563" s="144">
        <v>4.1712999999999996</v>
      </c>
      <c r="N563" s="7">
        <f>+M563*G563</f>
        <v>0</v>
      </c>
      <c r="O563" s="93">
        <f>+M563*J563</f>
        <v>441114.97499999998</v>
      </c>
      <c r="P563" s="1204"/>
    </row>
    <row r="564" spans="2:16" x14ac:dyDescent="0.3">
      <c r="B564" s="1194"/>
      <c r="C564" s="1208"/>
      <c r="D564" s="22" t="s">
        <v>65</v>
      </c>
      <c r="E564" s="3">
        <v>0</v>
      </c>
      <c r="F564" s="4">
        <f>G564+H564</f>
        <v>0</v>
      </c>
      <c r="G564" s="4">
        <v>0</v>
      </c>
      <c r="H564" s="8">
        <v>0</v>
      </c>
      <c r="I564" s="6">
        <f>+R1608+F564</f>
        <v>0</v>
      </c>
      <c r="J564" s="4">
        <f>G564+J499</f>
        <v>120000</v>
      </c>
      <c r="K564" s="4">
        <f>H564+K499</f>
        <v>3230</v>
      </c>
      <c r="L564" s="51" t="e">
        <f t="shared" ref="L564:L568" si="436">+J564/E564</f>
        <v>#DIV/0!</v>
      </c>
      <c r="M564" s="145">
        <v>4.8285999999999998</v>
      </c>
      <c r="N564" s="11">
        <f t="shared" ref="N564:N566" si="437">+M564*G564</f>
        <v>0</v>
      </c>
      <c r="O564" s="94">
        <f t="shared" ref="O564:O566" si="438">+M564*J564</f>
        <v>579432</v>
      </c>
      <c r="P564" s="1205"/>
    </row>
    <row r="565" spans="2:16" x14ac:dyDescent="0.3">
      <c r="B565" s="1194"/>
      <c r="C565" s="1208"/>
      <c r="D565" s="22" t="s">
        <v>127</v>
      </c>
      <c r="E565" s="3"/>
      <c r="F565" s="4">
        <f>G565+H565</f>
        <v>0</v>
      </c>
      <c r="G565" s="4">
        <v>0</v>
      </c>
      <c r="H565" s="8">
        <v>0</v>
      </c>
      <c r="I565" s="6">
        <f>+R1609+F565</f>
        <v>0</v>
      </c>
      <c r="J565" s="4">
        <f t="shared" ref="J565:J566" si="439">G565+J500</f>
        <v>0</v>
      </c>
      <c r="K565" s="4">
        <f t="shared" ref="K565:K566" si="440">H565+K500</f>
        <v>0</v>
      </c>
      <c r="L565" s="51" t="e">
        <f t="shared" si="436"/>
        <v>#DIV/0!</v>
      </c>
      <c r="M565" s="144">
        <v>4.5023</v>
      </c>
      <c r="N565" s="11">
        <f t="shared" si="437"/>
        <v>0</v>
      </c>
      <c r="O565" s="94">
        <f t="shared" si="438"/>
        <v>0</v>
      </c>
      <c r="P565" s="1205"/>
    </row>
    <row r="566" spans="2:16" ht="15" thickBot="1" x14ac:dyDescent="0.35">
      <c r="B566" s="1194"/>
      <c r="C566" s="1208"/>
      <c r="D566" s="22" t="s">
        <v>111</v>
      </c>
      <c r="E566" s="3">
        <v>0</v>
      </c>
      <c r="F566" s="4">
        <f t="shared" ref="F566" si="441">G566+H566</f>
        <v>0</v>
      </c>
      <c r="G566" s="4">
        <v>0</v>
      </c>
      <c r="H566" s="8">
        <v>0</v>
      </c>
      <c r="I566" s="6">
        <f>+R1609+F566</f>
        <v>0</v>
      </c>
      <c r="J566" s="4">
        <f t="shared" si="439"/>
        <v>0</v>
      </c>
      <c r="K566" s="4">
        <f t="shared" si="440"/>
        <v>0</v>
      </c>
      <c r="L566" s="51" t="e">
        <f t="shared" si="436"/>
        <v>#DIV/0!</v>
      </c>
      <c r="M566" s="144">
        <v>4.4065000000000003</v>
      </c>
      <c r="N566" s="11">
        <f t="shared" si="437"/>
        <v>0</v>
      </c>
      <c r="O566" s="94">
        <f t="shared" si="438"/>
        <v>0</v>
      </c>
      <c r="P566" s="1205"/>
    </row>
    <row r="567" spans="2:16" ht="15" thickBot="1" x14ac:dyDescent="0.35">
      <c r="B567" s="1194"/>
      <c r="C567" s="41" t="s">
        <v>31</v>
      </c>
      <c r="D567" s="18" t="str">
        <f>+C567</f>
        <v>TOTAL 4/4</v>
      </c>
      <c r="E567" s="42">
        <f t="shared" ref="E567:K567" si="442">SUM(E563:E566)</f>
        <v>0</v>
      </c>
      <c r="F567" s="43">
        <f t="shared" si="442"/>
        <v>0</v>
      </c>
      <c r="G567" s="43">
        <f t="shared" si="442"/>
        <v>0</v>
      </c>
      <c r="H567" s="44">
        <f t="shared" si="442"/>
        <v>0</v>
      </c>
      <c r="I567" s="45">
        <f t="shared" si="442"/>
        <v>109220</v>
      </c>
      <c r="J567" s="43">
        <f t="shared" si="442"/>
        <v>225750</v>
      </c>
      <c r="K567" s="43">
        <f t="shared" si="442"/>
        <v>6700</v>
      </c>
      <c r="L567" s="46" t="e">
        <f t="shared" si="436"/>
        <v>#DIV/0!</v>
      </c>
      <c r="M567" s="47"/>
      <c r="N567" s="48">
        <f>SUM(N563:N566)</f>
        <v>0</v>
      </c>
      <c r="O567" s="92">
        <f>SUM(O563:O566)</f>
        <v>1020546.975</v>
      </c>
      <c r="P567" s="1206"/>
    </row>
    <row r="568" spans="2:16" ht="15" thickBot="1" x14ac:dyDescent="0.35">
      <c r="B568" s="1203"/>
      <c r="C568" s="41" t="s">
        <v>68</v>
      </c>
      <c r="D568" s="27" t="s">
        <v>64</v>
      </c>
      <c r="E568" s="25">
        <v>0</v>
      </c>
      <c r="F568" s="20">
        <f>G568+H568</f>
        <v>0</v>
      </c>
      <c r="G568" s="20">
        <v>0</v>
      </c>
      <c r="H568" s="24">
        <v>0</v>
      </c>
      <c r="I568" s="19">
        <f>J568+K568</f>
        <v>0</v>
      </c>
      <c r="J568" s="4">
        <f>G568+J503</f>
        <v>0</v>
      </c>
      <c r="K568" s="4">
        <f>H568+K503</f>
        <v>0</v>
      </c>
      <c r="L568" s="52" t="e">
        <f t="shared" si="436"/>
        <v>#DIV/0!</v>
      </c>
      <c r="M568" s="149">
        <v>1.4086000000000001</v>
      </c>
      <c r="N568" s="26">
        <f t="shared" ref="N568" si="443">+M568*G568</f>
        <v>0</v>
      </c>
      <c r="O568" s="95">
        <f t="shared" ref="O568" si="444">+M568*J568</f>
        <v>0</v>
      </c>
      <c r="P568" s="53"/>
    </row>
    <row r="569" spans="2:16" ht="15" thickBot="1" x14ac:dyDescent="0.35">
      <c r="B569" s="1178" t="s">
        <v>95</v>
      </c>
      <c r="C569" s="1179"/>
      <c r="D569" s="1179"/>
      <c r="E569" s="1179"/>
      <c r="F569" s="1179"/>
      <c r="G569" s="1179"/>
      <c r="H569" s="1179"/>
      <c r="I569" s="110">
        <f>J569+K569</f>
        <v>639582</v>
      </c>
      <c r="J569" s="110">
        <f>J562+J567+J568</f>
        <v>623500</v>
      </c>
      <c r="K569" s="110">
        <f>K562+K567+K568</f>
        <v>16082</v>
      </c>
      <c r="L569" s="111"/>
      <c r="M569" s="112"/>
      <c r="N569" s="109"/>
      <c r="O569" s="77">
        <f>+O568+O567+O562</f>
        <v>1901205.25</v>
      </c>
      <c r="P569" s="84"/>
    </row>
    <row r="570" spans="2:16" x14ac:dyDescent="0.3">
      <c r="B570" s="1180" t="s">
        <v>69</v>
      </c>
      <c r="C570" s="1183" t="s">
        <v>70</v>
      </c>
      <c r="D570" s="54" t="s">
        <v>71</v>
      </c>
      <c r="E570" s="55">
        <v>0</v>
      </c>
      <c r="F570" s="56">
        <f>G570+H570</f>
        <v>0</v>
      </c>
      <c r="G570" s="56">
        <v>0</v>
      </c>
      <c r="H570" s="57">
        <v>0</v>
      </c>
      <c r="I570" s="78">
        <f>J570+K570</f>
        <v>0</v>
      </c>
      <c r="J570" s="4">
        <f>G570+J505</f>
        <v>0</v>
      </c>
      <c r="K570" s="4">
        <f>H570+K505</f>
        <v>0</v>
      </c>
      <c r="L570" s="58" t="e">
        <f t="shared" ref="L570" si="445">+J570/E570</f>
        <v>#DIV/0!</v>
      </c>
      <c r="M570" s="59">
        <v>32.946300000000001</v>
      </c>
      <c r="N570" s="60">
        <f>+M570*G570</f>
        <v>0</v>
      </c>
      <c r="O570" s="60">
        <f>M570*J570</f>
        <v>0</v>
      </c>
      <c r="P570" s="1185"/>
    </row>
    <row r="571" spans="2:16" x14ac:dyDescent="0.3">
      <c r="B571" s="1181"/>
      <c r="C571" s="1184"/>
      <c r="D571" s="61" t="s">
        <v>72</v>
      </c>
      <c r="E571" s="62">
        <v>0</v>
      </c>
      <c r="F571" s="63">
        <f>G571+H571</f>
        <v>5077</v>
      </c>
      <c r="G571" s="63">
        <v>5000</v>
      </c>
      <c r="H571" s="64">
        <v>77</v>
      </c>
      <c r="I571" s="79">
        <f>J571+K571</f>
        <v>25372</v>
      </c>
      <c r="J571" s="4">
        <f>G571+J506</f>
        <v>25000</v>
      </c>
      <c r="K571" s="4">
        <f>H571+K506</f>
        <v>372</v>
      </c>
      <c r="L571" s="65" t="e">
        <f>+J571/E571</f>
        <v>#DIV/0!</v>
      </c>
      <c r="M571" s="66">
        <v>35.398400000000002</v>
      </c>
      <c r="N571" s="67">
        <f>+M571*G571</f>
        <v>176992</v>
      </c>
      <c r="O571" s="67">
        <f>M571*J571</f>
        <v>884960</v>
      </c>
      <c r="P571" s="1186"/>
    </row>
    <row r="572" spans="2:16" x14ac:dyDescent="0.3">
      <c r="B572" s="1181"/>
      <c r="C572" s="1184"/>
      <c r="D572" s="61" t="s">
        <v>73</v>
      </c>
      <c r="E572" s="62">
        <v>0</v>
      </c>
      <c r="F572" s="63">
        <f t="shared" ref="F572:F575" si="446">G572+H572</f>
        <v>0</v>
      </c>
      <c r="G572" s="63">
        <v>0</v>
      </c>
      <c r="H572" s="64">
        <v>0</v>
      </c>
      <c r="I572" s="79">
        <f t="shared" ref="I572:I581" si="447">J572+K572</f>
        <v>0</v>
      </c>
      <c r="J572" s="4">
        <f t="shared" ref="J572:J597" si="448">G572+J507</f>
        <v>0</v>
      </c>
      <c r="K572" s="4">
        <f t="shared" ref="K572:K576" si="449">H572+K507</f>
        <v>0</v>
      </c>
      <c r="L572" s="65" t="e">
        <f t="shared" ref="L572:L585" si="450">+J572/E572</f>
        <v>#DIV/0!</v>
      </c>
      <c r="M572" s="66">
        <v>32.946300000000001</v>
      </c>
      <c r="N572" s="67">
        <f t="shared" ref="N572:N592" si="451">+M572*G572</f>
        <v>0</v>
      </c>
      <c r="O572" s="67">
        <f t="shared" ref="O572:O580" si="452">M572*J572</f>
        <v>0</v>
      </c>
      <c r="P572" s="1186"/>
    </row>
    <row r="573" spans="2:16" x14ac:dyDescent="0.3">
      <c r="B573" s="1181"/>
      <c r="C573" s="1184" t="s">
        <v>74</v>
      </c>
      <c r="D573" s="61" t="s">
        <v>75</v>
      </c>
      <c r="E573" s="62">
        <v>0</v>
      </c>
      <c r="F573" s="63">
        <f t="shared" si="446"/>
        <v>2400</v>
      </c>
      <c r="G573" s="63">
        <v>2400</v>
      </c>
      <c r="H573" s="64">
        <v>0</v>
      </c>
      <c r="I573" s="79">
        <f t="shared" si="447"/>
        <v>12279</v>
      </c>
      <c r="J573" s="4">
        <f t="shared" si="448"/>
        <v>12000</v>
      </c>
      <c r="K573" s="4">
        <f t="shared" si="449"/>
        <v>279</v>
      </c>
      <c r="L573" s="65" t="e">
        <f t="shared" si="450"/>
        <v>#DIV/0!</v>
      </c>
      <c r="M573" s="66">
        <v>55.4758</v>
      </c>
      <c r="N573" s="67">
        <f t="shared" si="451"/>
        <v>133141.92000000001</v>
      </c>
      <c r="O573" s="67">
        <f t="shared" si="452"/>
        <v>665709.6</v>
      </c>
      <c r="P573" s="1186"/>
    </row>
    <row r="574" spans="2:16" x14ac:dyDescent="0.3">
      <c r="B574" s="1181"/>
      <c r="C574" s="1184"/>
      <c r="D574" s="61" t="s">
        <v>134</v>
      </c>
      <c r="E574" s="62">
        <v>0</v>
      </c>
      <c r="F574" s="63">
        <f t="shared" si="446"/>
        <v>0</v>
      </c>
      <c r="G574" s="63">
        <v>0</v>
      </c>
      <c r="H574" s="64">
        <v>0</v>
      </c>
      <c r="I574" s="79">
        <f t="shared" si="447"/>
        <v>0</v>
      </c>
      <c r="J574" s="4">
        <f t="shared" si="448"/>
        <v>0</v>
      </c>
      <c r="K574" s="4">
        <f t="shared" si="449"/>
        <v>0</v>
      </c>
      <c r="L574" s="65" t="e">
        <f t="shared" si="450"/>
        <v>#DIV/0!</v>
      </c>
      <c r="M574" s="66">
        <v>53.515999999999998</v>
      </c>
      <c r="N574" s="67">
        <f t="shared" si="451"/>
        <v>0</v>
      </c>
      <c r="O574" s="67">
        <f t="shared" si="452"/>
        <v>0</v>
      </c>
      <c r="P574" s="1186"/>
    </row>
    <row r="575" spans="2:16" x14ac:dyDescent="0.3">
      <c r="B575" s="1181"/>
      <c r="C575" s="1184"/>
      <c r="D575" s="61" t="s">
        <v>72</v>
      </c>
      <c r="E575" s="62">
        <v>0</v>
      </c>
      <c r="F575" s="63">
        <f t="shared" si="446"/>
        <v>0</v>
      </c>
      <c r="G575" s="63">
        <v>0</v>
      </c>
      <c r="H575" s="64">
        <v>0</v>
      </c>
      <c r="I575" s="79">
        <f t="shared" si="447"/>
        <v>9804</v>
      </c>
      <c r="J575" s="4">
        <f t="shared" si="448"/>
        <v>9600</v>
      </c>
      <c r="K575" s="4">
        <f t="shared" si="449"/>
        <v>204</v>
      </c>
      <c r="L575" s="65" t="e">
        <f t="shared" si="450"/>
        <v>#DIV/0!</v>
      </c>
      <c r="M575" s="66">
        <v>58.836300000000001</v>
      </c>
      <c r="N575" s="67">
        <f t="shared" si="451"/>
        <v>0</v>
      </c>
      <c r="O575" s="67">
        <f t="shared" si="452"/>
        <v>564828.48</v>
      </c>
      <c r="P575" s="1186"/>
    </row>
    <row r="576" spans="2:16" x14ac:dyDescent="0.3">
      <c r="B576" s="1181"/>
      <c r="C576" s="1188" t="s">
        <v>76</v>
      </c>
      <c r="D576" s="61" t="s">
        <v>77</v>
      </c>
      <c r="E576" s="62">
        <v>0</v>
      </c>
      <c r="F576" s="63">
        <f>G576+H576</f>
        <v>0</v>
      </c>
      <c r="G576" s="63">
        <v>0</v>
      </c>
      <c r="H576" s="64">
        <v>0</v>
      </c>
      <c r="I576" s="79">
        <f t="shared" si="447"/>
        <v>3675</v>
      </c>
      <c r="J576" s="4">
        <f t="shared" si="448"/>
        <v>3575</v>
      </c>
      <c r="K576" s="4">
        <f t="shared" si="449"/>
        <v>100</v>
      </c>
      <c r="L576" s="65" t="e">
        <f t="shared" si="450"/>
        <v>#DIV/0!</v>
      </c>
      <c r="M576" s="66">
        <v>25.687200000000001</v>
      </c>
      <c r="N576" s="67">
        <f t="shared" si="451"/>
        <v>0</v>
      </c>
      <c r="O576" s="67">
        <f t="shared" si="452"/>
        <v>91831.74</v>
      </c>
      <c r="P576" s="1186"/>
    </row>
    <row r="577" spans="2:16" x14ac:dyDescent="0.3">
      <c r="B577" s="1181"/>
      <c r="C577" s="1189"/>
      <c r="D577" s="61" t="s">
        <v>117</v>
      </c>
      <c r="E577" s="62">
        <v>0</v>
      </c>
      <c r="F577" s="63">
        <f>G577+H577</f>
        <v>0</v>
      </c>
      <c r="G577" s="63">
        <v>0</v>
      </c>
      <c r="H577" s="64">
        <v>0</v>
      </c>
      <c r="I577" s="79">
        <f t="shared" si="447"/>
        <v>0</v>
      </c>
      <c r="J577" s="4">
        <f t="shared" si="448"/>
        <v>0</v>
      </c>
      <c r="K577" s="4">
        <f>H577+K512</f>
        <v>0</v>
      </c>
      <c r="L577" s="65" t="e">
        <f t="shared" si="450"/>
        <v>#DIV/0!</v>
      </c>
      <c r="M577" s="66">
        <v>25.033899999999999</v>
      </c>
      <c r="N577" s="67">
        <f t="shared" si="451"/>
        <v>0</v>
      </c>
      <c r="O577" s="67">
        <f t="shared" si="452"/>
        <v>0</v>
      </c>
      <c r="P577" s="1186"/>
    </row>
    <row r="578" spans="2:16" x14ac:dyDescent="0.3">
      <c r="B578" s="1181"/>
      <c r="C578" s="1188" t="s">
        <v>78</v>
      </c>
      <c r="D578" s="61" t="s">
        <v>79</v>
      </c>
      <c r="E578" s="62">
        <v>0</v>
      </c>
      <c r="F578" s="63">
        <f t="shared" ref="F578:F597" si="453">G578+H578</f>
        <v>0</v>
      </c>
      <c r="G578" s="63">
        <v>0</v>
      </c>
      <c r="H578" s="64">
        <v>0</v>
      </c>
      <c r="I578" s="79">
        <f t="shared" si="447"/>
        <v>8113</v>
      </c>
      <c r="J578" s="4">
        <f t="shared" si="448"/>
        <v>8000</v>
      </c>
      <c r="K578" s="4">
        <f t="shared" ref="K578:K597" si="454">H578+K513</f>
        <v>113</v>
      </c>
      <c r="L578" s="65" t="e">
        <f t="shared" si="450"/>
        <v>#DIV/0!</v>
      </c>
      <c r="M578" s="66">
        <v>41.992699999999999</v>
      </c>
      <c r="N578" s="67">
        <f t="shared" si="451"/>
        <v>0</v>
      </c>
      <c r="O578" s="67">
        <f t="shared" si="452"/>
        <v>335941.6</v>
      </c>
      <c r="P578" s="1186"/>
    </row>
    <row r="579" spans="2:16" x14ac:dyDescent="0.3">
      <c r="B579" s="1181"/>
      <c r="C579" s="1189"/>
      <c r="D579" s="61" t="s">
        <v>72</v>
      </c>
      <c r="E579" s="62">
        <v>0</v>
      </c>
      <c r="F579" s="63">
        <f t="shared" si="453"/>
        <v>0</v>
      </c>
      <c r="G579" s="63">
        <v>0</v>
      </c>
      <c r="H579" s="64">
        <v>0</v>
      </c>
      <c r="I579" s="79">
        <f t="shared" si="447"/>
        <v>0</v>
      </c>
      <c r="J579" s="4">
        <f t="shared" si="448"/>
        <v>0</v>
      </c>
      <c r="K579" s="4">
        <f t="shared" si="454"/>
        <v>0</v>
      </c>
      <c r="L579" s="65" t="e">
        <f t="shared" si="450"/>
        <v>#DIV/0!</v>
      </c>
      <c r="M579" s="66">
        <v>42.283799999999999</v>
      </c>
      <c r="N579" s="67">
        <f t="shared" si="451"/>
        <v>0</v>
      </c>
      <c r="O579" s="67">
        <f t="shared" si="452"/>
        <v>0</v>
      </c>
      <c r="P579" s="1186"/>
    </row>
    <row r="580" spans="2:16" x14ac:dyDescent="0.3">
      <c r="B580" s="1181"/>
      <c r="C580" s="188" t="s">
        <v>80</v>
      </c>
      <c r="D580" s="61" t="s">
        <v>81</v>
      </c>
      <c r="E580" s="62">
        <v>0</v>
      </c>
      <c r="F580" s="63">
        <f t="shared" si="453"/>
        <v>0</v>
      </c>
      <c r="G580" s="63">
        <v>0</v>
      </c>
      <c r="H580" s="64">
        <v>0</v>
      </c>
      <c r="I580" s="79">
        <f t="shared" si="447"/>
        <v>10898</v>
      </c>
      <c r="J580" s="4">
        <f t="shared" si="448"/>
        <v>10500</v>
      </c>
      <c r="K580" s="4">
        <f t="shared" si="454"/>
        <v>398</v>
      </c>
      <c r="L580" s="65" t="e">
        <f t="shared" si="450"/>
        <v>#DIV/0!</v>
      </c>
      <c r="M580" s="66">
        <v>4.3535000000000004</v>
      </c>
      <c r="N580" s="67">
        <f t="shared" si="451"/>
        <v>0</v>
      </c>
      <c r="O580" s="67">
        <f t="shared" si="452"/>
        <v>45711.750000000007</v>
      </c>
      <c r="P580" s="1186"/>
    </row>
    <row r="581" spans="2:16" x14ac:dyDescent="0.3">
      <c r="B581" s="1181"/>
      <c r="C581" s="1184" t="s">
        <v>82</v>
      </c>
      <c r="D581" s="61" t="s">
        <v>77</v>
      </c>
      <c r="E581" s="62">
        <v>0</v>
      </c>
      <c r="F581" s="63">
        <f t="shared" si="453"/>
        <v>0</v>
      </c>
      <c r="G581" s="63">
        <v>0</v>
      </c>
      <c r="H581" s="64">
        <v>0</v>
      </c>
      <c r="I581" s="79">
        <f t="shared" si="447"/>
        <v>0</v>
      </c>
      <c r="J581" s="4">
        <f t="shared" si="448"/>
        <v>0</v>
      </c>
      <c r="K581" s="4">
        <f t="shared" si="454"/>
        <v>0</v>
      </c>
      <c r="L581" s="65" t="e">
        <f t="shared" si="450"/>
        <v>#DIV/0!</v>
      </c>
      <c r="M581" s="66">
        <v>4.6184000000000003</v>
      </c>
      <c r="N581" s="67">
        <f t="shared" si="451"/>
        <v>0</v>
      </c>
      <c r="O581" s="67">
        <f>M581*J581</f>
        <v>0</v>
      </c>
      <c r="P581" s="1186"/>
    </row>
    <row r="582" spans="2:16" x14ac:dyDescent="0.3">
      <c r="B582" s="1181"/>
      <c r="C582" s="1184"/>
      <c r="D582" s="61" t="s">
        <v>119</v>
      </c>
      <c r="E582" s="62">
        <v>0</v>
      </c>
      <c r="F582" s="63">
        <f t="shared" si="453"/>
        <v>0</v>
      </c>
      <c r="G582" s="63">
        <v>0</v>
      </c>
      <c r="H582" s="64">
        <v>0</v>
      </c>
      <c r="I582" s="79">
        <f>J582+K582</f>
        <v>0</v>
      </c>
      <c r="J582" s="4">
        <f t="shared" si="448"/>
        <v>0</v>
      </c>
      <c r="K582" s="4">
        <f t="shared" si="454"/>
        <v>0</v>
      </c>
      <c r="L582" s="65" t="e">
        <f t="shared" si="450"/>
        <v>#DIV/0!</v>
      </c>
      <c r="M582" s="153">
        <v>4.6184000000000003</v>
      </c>
      <c r="N582" s="67">
        <f t="shared" si="451"/>
        <v>0</v>
      </c>
      <c r="O582" s="67">
        <f>M582*J582</f>
        <v>0</v>
      </c>
      <c r="P582" s="1186"/>
    </row>
    <row r="583" spans="2:16" x14ac:dyDescent="0.3">
      <c r="B583" s="1181"/>
      <c r="C583" s="1184"/>
      <c r="D583" s="61" t="s">
        <v>123</v>
      </c>
      <c r="E583" s="62">
        <v>0</v>
      </c>
      <c r="F583" s="63">
        <f t="shared" si="453"/>
        <v>0</v>
      </c>
      <c r="G583" s="63">
        <v>0</v>
      </c>
      <c r="H583" s="64">
        <v>0</v>
      </c>
      <c r="I583" s="79">
        <f t="shared" ref="I583:I597" si="455">J583+K583</f>
        <v>0</v>
      </c>
      <c r="J583" s="4">
        <f t="shared" si="448"/>
        <v>0</v>
      </c>
      <c r="K583" s="4">
        <f t="shared" si="454"/>
        <v>0</v>
      </c>
      <c r="L583" s="65" t="e">
        <f t="shared" si="450"/>
        <v>#DIV/0!</v>
      </c>
      <c r="M583" s="153">
        <v>4.6184000000000003</v>
      </c>
      <c r="N583" s="67">
        <f t="shared" si="451"/>
        <v>0</v>
      </c>
      <c r="O583" s="67">
        <f t="shared" ref="O583:O588" si="456">M583*J583</f>
        <v>0</v>
      </c>
      <c r="P583" s="1186"/>
    </row>
    <row r="584" spans="2:16" x14ac:dyDescent="0.3">
      <c r="B584" s="1181"/>
      <c r="C584" s="1184"/>
      <c r="D584" s="61" t="s">
        <v>124</v>
      </c>
      <c r="E584" s="62">
        <v>0</v>
      </c>
      <c r="F584" s="63">
        <f t="shared" si="453"/>
        <v>13658</v>
      </c>
      <c r="G584" s="63">
        <v>13200</v>
      </c>
      <c r="H584" s="64">
        <v>458</v>
      </c>
      <c r="I584" s="79">
        <f t="shared" si="455"/>
        <v>172800</v>
      </c>
      <c r="J584" s="4">
        <f t="shared" si="448"/>
        <v>167455</v>
      </c>
      <c r="K584" s="4">
        <f t="shared" si="454"/>
        <v>5345</v>
      </c>
      <c r="L584" s="65" t="e">
        <f t="shared" si="450"/>
        <v>#DIV/0!</v>
      </c>
      <c r="M584" s="153">
        <v>4.7636000000000003</v>
      </c>
      <c r="N584" s="67">
        <f t="shared" si="451"/>
        <v>62879.520000000004</v>
      </c>
      <c r="O584" s="67">
        <f t="shared" si="456"/>
        <v>797688.63800000004</v>
      </c>
      <c r="P584" s="1186"/>
    </row>
    <row r="585" spans="2:16" x14ac:dyDescent="0.3">
      <c r="B585" s="1181"/>
      <c r="C585" s="1184"/>
      <c r="D585" s="61" t="s">
        <v>83</v>
      </c>
      <c r="E585" s="62">
        <v>0</v>
      </c>
      <c r="F585" s="63">
        <f t="shared" si="453"/>
        <v>0</v>
      </c>
      <c r="G585" s="63">
        <v>0</v>
      </c>
      <c r="H585" s="64">
        <v>0</v>
      </c>
      <c r="I585" s="79">
        <f t="shared" si="455"/>
        <v>0</v>
      </c>
      <c r="J585" s="4">
        <f t="shared" si="448"/>
        <v>0</v>
      </c>
      <c r="K585" s="4">
        <f t="shared" si="454"/>
        <v>0</v>
      </c>
      <c r="L585" s="65" t="e">
        <f t="shared" si="450"/>
        <v>#DIV/0!</v>
      </c>
      <c r="M585" s="66">
        <v>4.8738000000000001</v>
      </c>
      <c r="N585" s="67">
        <f t="shared" si="451"/>
        <v>0</v>
      </c>
      <c r="O585" s="67">
        <f t="shared" si="456"/>
        <v>0</v>
      </c>
      <c r="P585" s="1186"/>
    </row>
    <row r="586" spans="2:16" x14ac:dyDescent="0.3">
      <c r="B586" s="1181"/>
      <c r="C586" s="188" t="s">
        <v>128</v>
      </c>
      <c r="D586" s="61" t="s">
        <v>124</v>
      </c>
      <c r="E586" s="62"/>
      <c r="F586" s="63">
        <f t="shared" si="453"/>
        <v>0</v>
      </c>
      <c r="G586" s="63">
        <v>0</v>
      </c>
      <c r="H586" s="64">
        <v>0</v>
      </c>
      <c r="I586" s="79">
        <f t="shared" si="455"/>
        <v>0</v>
      </c>
      <c r="J586" s="4">
        <f t="shared" si="448"/>
        <v>0</v>
      </c>
      <c r="K586" s="4">
        <f t="shared" si="454"/>
        <v>0</v>
      </c>
      <c r="L586" s="65"/>
      <c r="M586" s="66">
        <v>4.8738000000000001</v>
      </c>
      <c r="N586" s="67">
        <f t="shared" si="451"/>
        <v>0</v>
      </c>
      <c r="O586" s="67">
        <f t="shared" si="456"/>
        <v>0</v>
      </c>
      <c r="P586" s="1186"/>
    </row>
    <row r="587" spans="2:16" x14ac:dyDescent="0.3">
      <c r="B587" s="1181"/>
      <c r="C587" s="1184" t="s">
        <v>84</v>
      </c>
      <c r="D587" s="61" t="s">
        <v>77</v>
      </c>
      <c r="E587" s="62">
        <v>0</v>
      </c>
      <c r="F587" s="63">
        <f t="shared" si="453"/>
        <v>20489</v>
      </c>
      <c r="G587" s="63">
        <v>20400</v>
      </c>
      <c r="H587" s="64">
        <v>89</v>
      </c>
      <c r="I587" s="79">
        <f t="shared" si="455"/>
        <v>172858</v>
      </c>
      <c r="J587" s="4">
        <f t="shared" si="448"/>
        <v>170900</v>
      </c>
      <c r="K587" s="4">
        <f t="shared" si="454"/>
        <v>1958</v>
      </c>
      <c r="L587" s="65" t="e">
        <f t="shared" ref="L587:L597" si="457">+J587/E587</f>
        <v>#DIV/0!</v>
      </c>
      <c r="M587" s="66">
        <v>4.9344999999999999</v>
      </c>
      <c r="N587" s="67">
        <f t="shared" si="451"/>
        <v>100663.8</v>
      </c>
      <c r="O587" s="67">
        <f t="shared" si="456"/>
        <v>843306.04999999993</v>
      </c>
      <c r="P587" s="1186"/>
    </row>
    <row r="588" spans="2:16" x14ac:dyDescent="0.3">
      <c r="B588" s="1181"/>
      <c r="C588" s="1184"/>
      <c r="D588" s="61" t="s">
        <v>135</v>
      </c>
      <c r="E588" s="62"/>
      <c r="F588" s="63">
        <f t="shared" si="453"/>
        <v>0</v>
      </c>
      <c r="G588" s="63">
        <v>0</v>
      </c>
      <c r="H588" s="64">
        <v>0</v>
      </c>
      <c r="I588" s="79">
        <f t="shared" si="455"/>
        <v>0</v>
      </c>
      <c r="J588" s="4">
        <f t="shared" si="448"/>
        <v>0</v>
      </c>
      <c r="K588" s="4">
        <f t="shared" si="454"/>
        <v>0</v>
      </c>
      <c r="L588" s="65" t="e">
        <f t="shared" si="457"/>
        <v>#DIV/0!</v>
      </c>
      <c r="M588" s="66">
        <v>4.9344999999999999</v>
      </c>
      <c r="N588" s="67">
        <f t="shared" si="451"/>
        <v>0</v>
      </c>
      <c r="O588" s="67">
        <f t="shared" si="456"/>
        <v>0</v>
      </c>
      <c r="P588" s="1186"/>
    </row>
    <row r="589" spans="2:16" x14ac:dyDescent="0.3">
      <c r="B589" s="1181"/>
      <c r="C589" s="1184"/>
      <c r="D589" s="61" t="s">
        <v>129</v>
      </c>
      <c r="E589" s="62">
        <v>0</v>
      </c>
      <c r="F589" s="63">
        <f t="shared" si="453"/>
        <v>0</v>
      </c>
      <c r="G589" s="155">
        <v>0</v>
      </c>
      <c r="H589" s="156">
        <v>0</v>
      </c>
      <c r="I589" s="157">
        <f t="shared" si="455"/>
        <v>0</v>
      </c>
      <c r="J589" s="4">
        <f t="shared" si="448"/>
        <v>0</v>
      </c>
      <c r="K589" s="4">
        <f t="shared" si="454"/>
        <v>0</v>
      </c>
      <c r="L589" s="158" t="e">
        <f t="shared" si="457"/>
        <v>#DIV/0!</v>
      </c>
      <c r="M589" s="66">
        <v>4.9344999999999999</v>
      </c>
      <c r="N589" s="159">
        <f t="shared" si="451"/>
        <v>0</v>
      </c>
      <c r="O589" s="67">
        <f>M589*J589</f>
        <v>0</v>
      </c>
      <c r="P589" s="1186"/>
    </row>
    <row r="590" spans="2:16" x14ac:dyDescent="0.3">
      <c r="B590" s="1181"/>
      <c r="C590" s="1184" t="s">
        <v>85</v>
      </c>
      <c r="D590" s="61" t="s">
        <v>77</v>
      </c>
      <c r="E590" s="62">
        <v>0</v>
      </c>
      <c r="F590" s="63">
        <f t="shared" si="453"/>
        <v>24761</v>
      </c>
      <c r="G590" s="63">
        <v>24000</v>
      </c>
      <c r="H590" s="64">
        <v>761</v>
      </c>
      <c r="I590" s="79">
        <f t="shared" si="455"/>
        <v>138276</v>
      </c>
      <c r="J590" s="4">
        <f t="shared" si="448"/>
        <v>130950</v>
      </c>
      <c r="K590" s="4">
        <f t="shared" si="454"/>
        <v>7326</v>
      </c>
      <c r="L590" s="65" t="e">
        <f t="shared" si="457"/>
        <v>#DIV/0!</v>
      </c>
      <c r="M590" s="148">
        <v>5.5069999999999997</v>
      </c>
      <c r="N590" s="67">
        <f t="shared" si="451"/>
        <v>132168</v>
      </c>
      <c r="O590" s="67">
        <f>M590*J590</f>
        <v>721141.64999999991</v>
      </c>
      <c r="P590" s="1186"/>
    </row>
    <row r="591" spans="2:16" x14ac:dyDescent="0.3">
      <c r="B591" s="1181"/>
      <c r="C591" s="1184"/>
      <c r="D591" s="61" t="s">
        <v>112</v>
      </c>
      <c r="E591" s="62">
        <v>0</v>
      </c>
      <c r="F591" s="63">
        <f t="shared" si="453"/>
        <v>14889</v>
      </c>
      <c r="G591" s="63">
        <v>14400</v>
      </c>
      <c r="H591" s="64">
        <v>489</v>
      </c>
      <c r="I591" s="79">
        <f t="shared" si="455"/>
        <v>25839</v>
      </c>
      <c r="J591" s="4">
        <f t="shared" si="448"/>
        <v>25300</v>
      </c>
      <c r="K591" s="4">
        <f t="shared" si="454"/>
        <v>539</v>
      </c>
      <c r="L591" s="65" t="e">
        <f t="shared" si="457"/>
        <v>#DIV/0!</v>
      </c>
      <c r="M591" s="147">
        <v>5.6550000000000002</v>
      </c>
      <c r="N591" s="67">
        <f t="shared" si="451"/>
        <v>81432</v>
      </c>
      <c r="O591" s="67">
        <f>M591*J591</f>
        <v>143071.5</v>
      </c>
      <c r="P591" s="1186"/>
    </row>
    <row r="592" spans="2:16" x14ac:dyDescent="0.3">
      <c r="B592" s="1181"/>
      <c r="C592" s="1184"/>
      <c r="D592" s="61" t="s">
        <v>118</v>
      </c>
      <c r="E592" s="62">
        <v>0</v>
      </c>
      <c r="F592" s="63">
        <f t="shared" si="453"/>
        <v>0</v>
      </c>
      <c r="G592" s="63">
        <v>0</v>
      </c>
      <c r="H592" s="64">
        <v>0</v>
      </c>
      <c r="I592" s="79">
        <f t="shared" si="455"/>
        <v>0</v>
      </c>
      <c r="J592" s="4">
        <f t="shared" si="448"/>
        <v>0</v>
      </c>
      <c r="K592" s="4">
        <f t="shared" si="454"/>
        <v>0</v>
      </c>
      <c r="L592" s="65" t="e">
        <f t="shared" si="457"/>
        <v>#DIV/0!</v>
      </c>
      <c r="M592" s="152">
        <v>5.6550000000000002</v>
      </c>
      <c r="N592" s="67">
        <f t="shared" si="451"/>
        <v>0</v>
      </c>
      <c r="O592" s="67">
        <f>M592*J592</f>
        <v>0</v>
      </c>
      <c r="P592" s="1186"/>
    </row>
    <row r="593" spans="2:16" x14ac:dyDescent="0.3">
      <c r="B593" s="1181"/>
      <c r="C593" s="1184"/>
      <c r="D593" s="61" t="s">
        <v>121</v>
      </c>
      <c r="E593" s="62">
        <v>0</v>
      </c>
      <c r="F593" s="63">
        <f t="shared" si="453"/>
        <v>4264</v>
      </c>
      <c r="G593" s="63">
        <v>4200</v>
      </c>
      <c r="H593" s="64">
        <v>64</v>
      </c>
      <c r="I593" s="79">
        <f t="shared" si="455"/>
        <v>16664</v>
      </c>
      <c r="J593" s="4">
        <f t="shared" si="448"/>
        <v>15100</v>
      </c>
      <c r="K593" s="4">
        <f t="shared" si="454"/>
        <v>1564</v>
      </c>
      <c r="L593" s="65" t="e">
        <f t="shared" si="457"/>
        <v>#DIV/0!</v>
      </c>
      <c r="M593" s="66">
        <v>5.7885299999999997</v>
      </c>
      <c r="N593" s="67">
        <f>+M593*G593</f>
        <v>24311.825999999997</v>
      </c>
      <c r="O593" s="67">
        <f>M593*J593</f>
        <v>87406.803</v>
      </c>
      <c r="P593" s="1186"/>
    </row>
    <row r="594" spans="2:16" x14ac:dyDescent="0.3">
      <c r="B594" s="1181"/>
      <c r="C594" s="1184"/>
      <c r="D594" s="61" t="s">
        <v>136</v>
      </c>
      <c r="E594" s="62">
        <v>0</v>
      </c>
      <c r="F594" s="63">
        <f t="shared" si="453"/>
        <v>0</v>
      </c>
      <c r="G594" s="63">
        <v>0</v>
      </c>
      <c r="H594" s="64">
        <v>0</v>
      </c>
      <c r="I594" s="79">
        <f t="shared" si="455"/>
        <v>0</v>
      </c>
      <c r="J594" s="4">
        <f t="shared" si="448"/>
        <v>0</v>
      </c>
      <c r="K594" s="4">
        <f t="shared" si="454"/>
        <v>0</v>
      </c>
      <c r="L594" s="65" t="e">
        <f t="shared" si="457"/>
        <v>#DIV/0!</v>
      </c>
      <c r="M594" s="152">
        <v>5.6550000000000002</v>
      </c>
      <c r="N594" s="67">
        <f t="shared" ref="N594:N596" si="458">+M594*G594</f>
        <v>0</v>
      </c>
      <c r="O594" s="67">
        <f t="shared" ref="O594:O597" si="459">M594*J594</f>
        <v>0</v>
      </c>
      <c r="P594" s="1186"/>
    </row>
    <row r="595" spans="2:16" x14ac:dyDescent="0.3">
      <c r="B595" s="1181"/>
      <c r="C595" s="188" t="s">
        <v>86</v>
      </c>
      <c r="D595" s="61" t="s">
        <v>77</v>
      </c>
      <c r="E595" s="62">
        <v>0</v>
      </c>
      <c r="F595" s="63">
        <f t="shared" si="453"/>
        <v>0</v>
      </c>
      <c r="G595" s="63">
        <v>0</v>
      </c>
      <c r="H595" s="64">
        <v>0</v>
      </c>
      <c r="I595" s="79">
        <f t="shared" si="455"/>
        <v>0</v>
      </c>
      <c r="J595" s="4">
        <f t="shared" si="448"/>
        <v>0</v>
      </c>
      <c r="K595" s="4">
        <f t="shared" si="454"/>
        <v>0</v>
      </c>
      <c r="L595" s="65" t="e">
        <f t="shared" si="457"/>
        <v>#DIV/0!</v>
      </c>
      <c r="M595" s="66">
        <v>3.2963</v>
      </c>
      <c r="N595" s="67">
        <f t="shared" si="458"/>
        <v>0</v>
      </c>
      <c r="O595" s="67">
        <f t="shared" si="459"/>
        <v>0</v>
      </c>
      <c r="P595" s="1186"/>
    </row>
    <row r="596" spans="2:16" x14ac:dyDescent="0.3">
      <c r="B596" s="1181"/>
      <c r="C596" s="188" t="s">
        <v>87</v>
      </c>
      <c r="D596" s="61" t="s">
        <v>77</v>
      </c>
      <c r="E596" s="62">
        <v>0</v>
      </c>
      <c r="F596" s="63">
        <f t="shared" si="453"/>
        <v>0</v>
      </c>
      <c r="G596" s="63">
        <v>0</v>
      </c>
      <c r="H596" s="64">
        <v>0</v>
      </c>
      <c r="I596" s="79">
        <f t="shared" si="455"/>
        <v>0</v>
      </c>
      <c r="J596" s="4">
        <f t="shared" si="448"/>
        <v>0</v>
      </c>
      <c r="K596" s="4">
        <f t="shared" si="454"/>
        <v>0</v>
      </c>
      <c r="L596" s="65" t="e">
        <f t="shared" si="457"/>
        <v>#DIV/0!</v>
      </c>
      <c r="M596" s="66">
        <v>3.2963</v>
      </c>
      <c r="N596" s="67">
        <f t="shared" si="458"/>
        <v>0</v>
      </c>
      <c r="O596" s="67">
        <f t="shared" si="459"/>
        <v>0</v>
      </c>
      <c r="P596" s="1186"/>
    </row>
    <row r="597" spans="2:16" ht="15" thickBot="1" x14ac:dyDescent="0.35">
      <c r="B597" s="1181"/>
      <c r="C597" s="68" t="s">
        <v>88</v>
      </c>
      <c r="D597" s="69" t="s">
        <v>89</v>
      </c>
      <c r="E597" s="70">
        <v>0</v>
      </c>
      <c r="F597" s="71">
        <f t="shared" si="453"/>
        <v>0</v>
      </c>
      <c r="G597" s="71">
        <v>0</v>
      </c>
      <c r="H597" s="72">
        <v>0</v>
      </c>
      <c r="I597" s="80">
        <f t="shared" si="455"/>
        <v>65030</v>
      </c>
      <c r="J597" s="4">
        <f t="shared" si="448"/>
        <v>65000</v>
      </c>
      <c r="K597" s="4">
        <f t="shared" si="454"/>
        <v>30</v>
      </c>
      <c r="L597" s="65" t="e">
        <f t="shared" si="457"/>
        <v>#DIV/0!</v>
      </c>
      <c r="M597" s="73">
        <v>2.3201000000000001</v>
      </c>
      <c r="N597" s="74">
        <f t="shared" ref="N597" si="460">M597*G597</f>
        <v>0</v>
      </c>
      <c r="O597" s="74">
        <f t="shared" si="459"/>
        <v>150806.5</v>
      </c>
      <c r="P597" s="1187"/>
    </row>
    <row r="598" spans="2:16" ht="15" thickBot="1" x14ac:dyDescent="0.35">
      <c r="B598" s="1182"/>
      <c r="C598" s="1190" t="s">
        <v>99</v>
      </c>
      <c r="D598" s="1191"/>
      <c r="E598" s="1191"/>
      <c r="F598" s="1191"/>
      <c r="G598" s="1191"/>
      <c r="H598" s="1192"/>
      <c r="I598" s="116">
        <f>J598+K598</f>
        <v>661608</v>
      </c>
      <c r="J598" s="115">
        <f>SUM(J570:J597)</f>
        <v>643380</v>
      </c>
      <c r="K598" s="115">
        <f>SUM(K570:K597)</f>
        <v>18228</v>
      </c>
      <c r="L598" s="114"/>
      <c r="M598" s="113"/>
      <c r="N598" s="114"/>
      <c r="O598" s="97">
        <f>SUM(O570:O597)</f>
        <v>5332404.3109999998</v>
      </c>
      <c r="P598" s="96"/>
    </row>
    <row r="599" spans="2:16" ht="15" thickBot="1" x14ac:dyDescent="0.35">
      <c r="B599" s="100"/>
      <c r="C599" s="101"/>
      <c r="D599" s="101"/>
      <c r="E599" s="101"/>
      <c r="F599" s="101"/>
      <c r="G599" s="101"/>
      <c r="H599" s="101"/>
      <c r="I599" s="101"/>
      <c r="J599" s="101"/>
      <c r="K599" s="101"/>
      <c r="L599" s="101"/>
      <c r="M599" s="101"/>
      <c r="N599" s="101"/>
      <c r="O599" s="101"/>
      <c r="P599" s="102"/>
    </row>
    <row r="600" spans="2:16" ht="15" thickBot="1" x14ac:dyDescent="0.35">
      <c r="B600" s="1175" t="s">
        <v>100</v>
      </c>
      <c r="C600" s="1176"/>
      <c r="D600" s="1176"/>
      <c r="E600" s="1176"/>
      <c r="F600" s="1176"/>
      <c r="G600" s="1176"/>
      <c r="H600" s="1176"/>
      <c r="I600" s="1176"/>
      <c r="J600" s="1176"/>
      <c r="K600" s="1176"/>
      <c r="L600" s="1176"/>
      <c r="M600" s="1176"/>
      <c r="N600" s="1177"/>
      <c r="O600" s="103">
        <f>+O598+O569+O554</f>
        <v>11477316.184999999</v>
      </c>
      <c r="P600" s="96"/>
    </row>
    <row r="601" spans="2:16" ht="15" thickBot="1" x14ac:dyDescent="0.35"/>
    <row r="602" spans="2:16" x14ac:dyDescent="0.3">
      <c r="B602" s="1209" t="s">
        <v>1</v>
      </c>
      <c r="C602" s="1211" t="s">
        <v>2</v>
      </c>
      <c r="D602" s="1214" t="s">
        <v>3</v>
      </c>
      <c r="E602" s="1217" t="s">
        <v>4</v>
      </c>
      <c r="F602" s="1218"/>
      <c r="G602" s="1218"/>
      <c r="H602" s="1218"/>
      <c r="I602" s="1218"/>
      <c r="J602" s="1218"/>
      <c r="K602" s="1218"/>
      <c r="L602" s="1219"/>
      <c r="M602" s="1220" t="s">
        <v>5</v>
      </c>
      <c r="N602" s="1221"/>
      <c r="O602" s="1222"/>
      <c r="P602" s="1214" t="s">
        <v>6</v>
      </c>
    </row>
    <row r="603" spans="2:16" x14ac:dyDescent="0.3">
      <c r="B603" s="1210"/>
      <c r="C603" s="1212"/>
      <c r="D603" s="1215"/>
      <c r="E603" s="1223" t="s">
        <v>7</v>
      </c>
      <c r="F603" s="1225" t="s">
        <v>149</v>
      </c>
      <c r="G603" s="1225"/>
      <c r="H603" s="1226"/>
      <c r="I603" s="1227" t="s">
        <v>8</v>
      </c>
      <c r="J603" s="1225"/>
      <c r="K603" s="1225"/>
      <c r="L603" s="1226" t="s">
        <v>9</v>
      </c>
      <c r="M603" s="1229" t="s">
        <v>10</v>
      </c>
      <c r="N603" s="1231" t="s">
        <v>11</v>
      </c>
      <c r="O603" s="1233" t="s">
        <v>12</v>
      </c>
      <c r="P603" s="1215"/>
    </row>
    <row r="604" spans="2:16" ht="15" thickBot="1" x14ac:dyDescent="0.35">
      <c r="B604" s="1210"/>
      <c r="C604" s="1213"/>
      <c r="D604" s="1216"/>
      <c r="E604" s="1224"/>
      <c r="F604" s="2" t="s">
        <v>13</v>
      </c>
      <c r="G604" s="2" t="s">
        <v>14</v>
      </c>
      <c r="H604" s="195" t="s">
        <v>15</v>
      </c>
      <c r="I604" s="142" t="s">
        <v>13</v>
      </c>
      <c r="J604" s="2" t="s">
        <v>14</v>
      </c>
      <c r="K604" s="2" t="s">
        <v>15</v>
      </c>
      <c r="L604" s="1228"/>
      <c r="M604" s="1230"/>
      <c r="N604" s="1232"/>
      <c r="O604" s="1234"/>
      <c r="P604" s="1216"/>
    </row>
    <row r="605" spans="2:16" x14ac:dyDescent="0.3">
      <c r="B605" s="1193" t="s">
        <v>53</v>
      </c>
      <c r="C605" s="29"/>
      <c r="D605" s="117" t="s">
        <v>143</v>
      </c>
      <c r="E605" s="98">
        <v>0</v>
      </c>
      <c r="F605" s="4">
        <f>+G605+H605</f>
        <v>0</v>
      </c>
      <c r="G605" s="4">
        <v>0</v>
      </c>
      <c r="H605" s="8">
        <v>0</v>
      </c>
      <c r="I605" s="6">
        <f>J605+K605</f>
        <v>285266</v>
      </c>
      <c r="J605" s="4">
        <f>G605+J540</f>
        <v>280000</v>
      </c>
      <c r="K605" s="4">
        <f>H605+K540</f>
        <v>5266</v>
      </c>
      <c r="L605" s="33" t="e">
        <f>+J605/E605</f>
        <v>#DIV/0!</v>
      </c>
      <c r="M605" s="104">
        <v>1.3652</v>
      </c>
      <c r="N605" s="31">
        <f>G605*M605</f>
        <v>0</v>
      </c>
      <c r="O605" s="86">
        <f>M605*J605</f>
        <v>382256</v>
      </c>
      <c r="P605" s="1195"/>
    </row>
    <row r="606" spans="2:16" x14ac:dyDescent="0.3">
      <c r="B606" s="1194"/>
      <c r="C606" s="32"/>
      <c r="D606" s="118" t="s">
        <v>109</v>
      </c>
      <c r="E606" s="99">
        <v>0</v>
      </c>
      <c r="F606" s="9">
        <f>+G606+H606</f>
        <v>0</v>
      </c>
      <c r="G606" s="9">
        <v>0</v>
      </c>
      <c r="H606" s="10">
        <v>0</v>
      </c>
      <c r="I606" s="6">
        <f>J606+K606</f>
        <v>0</v>
      </c>
      <c r="J606" s="4">
        <f>+G606+J541</f>
        <v>0</v>
      </c>
      <c r="K606" s="4">
        <f>+H606+K541</f>
        <v>0</v>
      </c>
      <c r="L606" s="33"/>
      <c r="M606" s="105">
        <v>5.9917999999999996</v>
      </c>
      <c r="N606" s="34">
        <f>M606*G606</f>
        <v>0</v>
      </c>
      <c r="O606" s="87">
        <f>M606*J606</f>
        <v>0</v>
      </c>
      <c r="P606" s="1196"/>
    </row>
    <row r="607" spans="2:16" x14ac:dyDescent="0.3">
      <c r="B607" s="1194"/>
      <c r="C607" s="35"/>
      <c r="D607" s="119" t="s">
        <v>55</v>
      </c>
      <c r="E607" s="99">
        <v>0</v>
      </c>
      <c r="F607" s="9">
        <f t="shared" ref="F607:F611" si="461">+G607+H607</f>
        <v>231592</v>
      </c>
      <c r="G607" s="9">
        <v>230000</v>
      </c>
      <c r="H607" s="10">
        <v>1592</v>
      </c>
      <c r="I607" s="6">
        <f t="shared" ref="I607:I611" si="462">J607+K607</f>
        <v>1799791</v>
      </c>
      <c r="J607" s="4">
        <f t="shared" ref="J607:J611" si="463">+G607+J542</f>
        <v>1785750</v>
      </c>
      <c r="K607" s="4">
        <f t="shared" ref="K607:K611" si="464">+H607+K542</f>
        <v>14041</v>
      </c>
      <c r="L607" s="33" t="e">
        <f t="shared" ref="L607" si="465">+J607/E607</f>
        <v>#DIV/0!</v>
      </c>
      <c r="M607" s="106">
        <v>2.3807999999999998</v>
      </c>
      <c r="N607" s="36">
        <f>G607*M607</f>
        <v>547584</v>
      </c>
      <c r="O607" s="88">
        <f>M607*J607</f>
        <v>4251513.5999999996</v>
      </c>
      <c r="P607" s="1196"/>
    </row>
    <row r="608" spans="2:16" x14ac:dyDescent="0.3">
      <c r="B608" s="1194"/>
      <c r="C608" s="35"/>
      <c r="D608" s="119" t="s">
        <v>56</v>
      </c>
      <c r="E608" s="99">
        <v>0</v>
      </c>
      <c r="F608" s="9">
        <f t="shared" si="461"/>
        <v>0</v>
      </c>
      <c r="G608" s="9">
        <v>0</v>
      </c>
      <c r="H608" s="10">
        <v>0</v>
      </c>
      <c r="I608" s="6">
        <f t="shared" si="462"/>
        <v>0</v>
      </c>
      <c r="J608" s="4">
        <f t="shared" si="463"/>
        <v>0</v>
      </c>
      <c r="K608" s="4">
        <f t="shared" si="464"/>
        <v>0</v>
      </c>
      <c r="L608" s="33"/>
      <c r="M608" s="106">
        <v>2.1457999999999999</v>
      </c>
      <c r="N608" s="36">
        <f t="shared" ref="N608:N611" si="466">G608*M608</f>
        <v>0</v>
      </c>
      <c r="O608" s="88">
        <f>M608*J608</f>
        <v>0</v>
      </c>
      <c r="P608" s="1196"/>
    </row>
    <row r="609" spans="2:16" x14ac:dyDescent="0.3">
      <c r="B609" s="1194"/>
      <c r="C609" s="35"/>
      <c r="D609" s="119" t="s">
        <v>106</v>
      </c>
      <c r="E609" s="99">
        <v>0</v>
      </c>
      <c r="F609" s="9">
        <f t="shared" si="461"/>
        <v>0</v>
      </c>
      <c r="G609" s="9">
        <v>0</v>
      </c>
      <c r="H609" s="10">
        <v>0</v>
      </c>
      <c r="I609" s="6">
        <f t="shared" si="462"/>
        <v>0</v>
      </c>
      <c r="J609" s="4">
        <f t="shared" si="463"/>
        <v>0</v>
      </c>
      <c r="K609" s="4">
        <f t="shared" si="464"/>
        <v>0</v>
      </c>
      <c r="L609" s="33" t="e">
        <f t="shared" ref="L609:L610" si="467">+J609/E609</f>
        <v>#DIV/0!</v>
      </c>
      <c r="M609" s="143">
        <v>4.0426000000000002</v>
      </c>
      <c r="N609" s="36">
        <f t="shared" si="466"/>
        <v>0</v>
      </c>
      <c r="O609" s="88">
        <f>M609*J609</f>
        <v>0</v>
      </c>
      <c r="P609" s="1196"/>
    </row>
    <row r="610" spans="2:16" x14ac:dyDescent="0.3">
      <c r="B610" s="1194"/>
      <c r="C610" s="35"/>
      <c r="D610" s="119" t="s">
        <v>110</v>
      </c>
      <c r="E610" s="99">
        <v>0</v>
      </c>
      <c r="F610" s="9">
        <f t="shared" si="461"/>
        <v>0</v>
      </c>
      <c r="G610" s="9">
        <v>0</v>
      </c>
      <c r="H610" s="10">
        <v>0</v>
      </c>
      <c r="I610" s="6">
        <f t="shared" si="462"/>
        <v>0</v>
      </c>
      <c r="J610" s="4">
        <f t="shared" si="463"/>
        <v>0</v>
      </c>
      <c r="K610" s="4">
        <f t="shared" si="464"/>
        <v>0</v>
      </c>
      <c r="L610" s="33" t="e">
        <f t="shared" si="467"/>
        <v>#DIV/0!</v>
      </c>
      <c r="M610" s="143">
        <v>3.8715000000000002</v>
      </c>
      <c r="N610" s="36">
        <f t="shared" si="466"/>
        <v>0</v>
      </c>
      <c r="O610" s="88">
        <f t="shared" ref="O610:O611" si="468">M610*J610</f>
        <v>0</v>
      </c>
      <c r="P610" s="1196"/>
    </row>
    <row r="611" spans="2:16" ht="15" thickBot="1" x14ac:dyDescent="0.35">
      <c r="B611" s="1194"/>
      <c r="C611" s="82"/>
      <c r="D611" s="120" t="s">
        <v>57</v>
      </c>
      <c r="E611" s="108">
        <v>0</v>
      </c>
      <c r="F611" s="12">
        <f t="shared" si="461"/>
        <v>0</v>
      </c>
      <c r="G611" s="12">
        <v>0</v>
      </c>
      <c r="H611" s="13">
        <v>0</v>
      </c>
      <c r="I611" s="21">
        <f t="shared" si="462"/>
        <v>0</v>
      </c>
      <c r="J611" s="4">
        <f t="shared" si="463"/>
        <v>0</v>
      </c>
      <c r="K611" s="4">
        <f t="shared" si="464"/>
        <v>0</v>
      </c>
      <c r="L611" s="81"/>
      <c r="M611" s="127">
        <v>12.284700000000001</v>
      </c>
      <c r="N611" s="36">
        <f t="shared" si="466"/>
        <v>0</v>
      </c>
      <c r="O611" s="128">
        <f t="shared" si="468"/>
        <v>0</v>
      </c>
      <c r="P611" s="1196"/>
    </row>
    <row r="612" spans="2:16" ht="15" thickBot="1" x14ac:dyDescent="0.35">
      <c r="B612" s="1194"/>
      <c r="C612" s="1199" t="s">
        <v>104</v>
      </c>
      <c r="D612" s="1200"/>
      <c r="E612" s="129"/>
      <c r="F612" s="130">
        <f>SUM(F605:F611)</f>
        <v>231592</v>
      </c>
      <c r="G612" s="130">
        <f>SUM(G605:G611)</f>
        <v>230000</v>
      </c>
      <c r="H612" s="131">
        <f>SUM(H605:H611)</f>
        <v>1592</v>
      </c>
      <c r="I612" s="132">
        <f>+J612+K612</f>
        <v>2085057</v>
      </c>
      <c r="J612" s="133">
        <f>SUM(J605:J611)</f>
        <v>2065750</v>
      </c>
      <c r="K612" s="133">
        <f>SUM(K605:K611)</f>
        <v>19307</v>
      </c>
      <c r="L612" s="134"/>
      <c r="M612" s="135"/>
      <c r="N612" s="136"/>
      <c r="O612" s="137">
        <f>SUM(O605:O611)</f>
        <v>4633769.5999999996</v>
      </c>
      <c r="P612" s="1197"/>
    </row>
    <row r="613" spans="2:16" x14ac:dyDescent="0.3">
      <c r="B613" s="1194"/>
      <c r="C613" s="32"/>
      <c r="D613" s="118" t="s">
        <v>58</v>
      </c>
      <c r="E613" s="98">
        <v>0</v>
      </c>
      <c r="F613" s="4">
        <f t="shared" ref="F613:F616" si="469">+G613+H613</f>
        <v>0</v>
      </c>
      <c r="G613" s="4">
        <v>0</v>
      </c>
      <c r="H613" s="8">
        <v>0</v>
      </c>
      <c r="I613" s="6">
        <f t="shared" ref="I613:I617" si="470">J613+K613</f>
        <v>0</v>
      </c>
      <c r="J613" s="4">
        <f>G613+J548</f>
        <v>0</v>
      </c>
      <c r="K613" s="4">
        <f>H613+K548</f>
        <v>0</v>
      </c>
      <c r="L613" s="33" t="e">
        <f t="shared" ref="L613" si="471">+J613/E613</f>
        <v>#DIV/0!</v>
      </c>
      <c r="M613" s="105">
        <v>12.029500000000001</v>
      </c>
      <c r="N613" s="34">
        <f>M613*G613</f>
        <v>0</v>
      </c>
      <c r="O613" s="87">
        <f t="shared" ref="O613:O615" si="472">M613*J613</f>
        <v>0</v>
      </c>
      <c r="P613" s="1196"/>
    </row>
    <row r="614" spans="2:16" x14ac:dyDescent="0.3">
      <c r="B614" s="1194"/>
      <c r="C614" s="35"/>
      <c r="D614" s="119" t="s">
        <v>59</v>
      </c>
      <c r="E614" s="99">
        <v>0</v>
      </c>
      <c r="F614" s="9">
        <f t="shared" si="469"/>
        <v>0</v>
      </c>
      <c r="G614" s="9">
        <v>0</v>
      </c>
      <c r="H614" s="10">
        <v>0</v>
      </c>
      <c r="I614" s="6">
        <f t="shared" si="470"/>
        <v>0</v>
      </c>
      <c r="J614" s="4">
        <f>G614+J549</f>
        <v>0</v>
      </c>
      <c r="K614" s="4">
        <f>H614+K549</f>
        <v>0</v>
      </c>
      <c r="L614" s="33"/>
      <c r="M614" s="106">
        <v>0</v>
      </c>
      <c r="N614" s="36"/>
      <c r="O614" s="88">
        <f t="shared" si="472"/>
        <v>0</v>
      </c>
      <c r="P614" s="1196"/>
    </row>
    <row r="615" spans="2:16" x14ac:dyDescent="0.3">
      <c r="B615" s="1194"/>
      <c r="C615" s="35"/>
      <c r="D615" s="119" t="s">
        <v>97</v>
      </c>
      <c r="E615" s="99">
        <v>0</v>
      </c>
      <c r="F615" s="9">
        <f t="shared" si="469"/>
        <v>0</v>
      </c>
      <c r="G615" s="9">
        <v>0</v>
      </c>
      <c r="H615" s="10">
        <v>0</v>
      </c>
      <c r="I615" s="6">
        <f t="shared" si="470"/>
        <v>0</v>
      </c>
      <c r="J615" s="4">
        <f t="shared" ref="J615:J617" si="473">G615+J550</f>
        <v>0</v>
      </c>
      <c r="K615" s="4">
        <f t="shared" ref="K615:K617" si="474">H615+K550</f>
        <v>0</v>
      </c>
      <c r="L615" s="33" t="e">
        <f t="shared" ref="L615:L617" si="475">+J615/E615</f>
        <v>#DIV/0!</v>
      </c>
      <c r="M615" s="106">
        <v>19.688600000000001</v>
      </c>
      <c r="N615" s="36">
        <f>M615*G615</f>
        <v>0</v>
      </c>
      <c r="O615" s="88">
        <f t="shared" si="472"/>
        <v>0</v>
      </c>
      <c r="P615" s="1196"/>
    </row>
    <row r="616" spans="2:16" x14ac:dyDescent="0.3">
      <c r="B616" s="1194"/>
      <c r="C616" s="35"/>
      <c r="D616" s="119" t="s">
        <v>61</v>
      </c>
      <c r="E616" s="99">
        <v>0</v>
      </c>
      <c r="F616" s="9">
        <f t="shared" si="469"/>
        <v>0</v>
      </c>
      <c r="G616" s="9">
        <v>0</v>
      </c>
      <c r="H616" s="10">
        <v>0</v>
      </c>
      <c r="I616" s="6">
        <f t="shared" si="470"/>
        <v>0</v>
      </c>
      <c r="J616" s="4">
        <f t="shared" si="473"/>
        <v>0</v>
      </c>
      <c r="K616" s="4">
        <f t="shared" si="474"/>
        <v>0</v>
      </c>
      <c r="L616" s="33" t="e">
        <f t="shared" si="475"/>
        <v>#DIV/0!</v>
      </c>
      <c r="M616" s="106">
        <v>1.2824</v>
      </c>
      <c r="N616" s="151">
        <f>M616*G616</f>
        <v>0</v>
      </c>
      <c r="O616" s="88">
        <f>M616*J616</f>
        <v>0</v>
      </c>
      <c r="P616" s="1196"/>
    </row>
    <row r="617" spans="2:16" ht="15" thickBot="1" x14ac:dyDescent="0.35">
      <c r="B617" s="1194"/>
      <c r="C617" s="82"/>
      <c r="D617" s="120" t="s">
        <v>60</v>
      </c>
      <c r="E617" s="108">
        <v>0</v>
      </c>
      <c r="F617" s="12">
        <v>0</v>
      </c>
      <c r="G617" s="12">
        <v>12960</v>
      </c>
      <c r="H617" s="13">
        <v>0</v>
      </c>
      <c r="I617" s="21">
        <f t="shared" si="470"/>
        <v>21774</v>
      </c>
      <c r="J617" s="4">
        <f t="shared" si="473"/>
        <v>21600</v>
      </c>
      <c r="K617" s="4">
        <f t="shared" si="474"/>
        <v>174</v>
      </c>
      <c r="L617" s="81" t="e">
        <f t="shared" si="475"/>
        <v>#DIV/0!</v>
      </c>
      <c r="M617" s="107">
        <v>18.2316</v>
      </c>
      <c r="N617" s="75"/>
      <c r="O617" s="89">
        <f t="shared" ref="O617" si="476">M617*J617</f>
        <v>393802.56</v>
      </c>
      <c r="P617" s="1198"/>
    </row>
    <row r="618" spans="2:16" ht="15" thickBot="1" x14ac:dyDescent="0.35">
      <c r="B618" s="1178" t="s">
        <v>105</v>
      </c>
      <c r="C618" s="1179"/>
      <c r="D618" s="1179"/>
      <c r="E618" s="124"/>
      <c r="F618" s="125">
        <f>+G618+H618</f>
        <v>12960</v>
      </c>
      <c r="G618" s="125">
        <f>SUM(G613:G617)</f>
        <v>12960</v>
      </c>
      <c r="H618" s="126">
        <f>SUM(H613:H617)</f>
        <v>0</v>
      </c>
      <c r="I618" s="121">
        <f>J618+K618</f>
        <v>21774</v>
      </c>
      <c r="J618" s="122">
        <f>SUM(J613:J617)</f>
        <v>21600</v>
      </c>
      <c r="K618" s="123">
        <f>SUM(K613:K617)</f>
        <v>174</v>
      </c>
      <c r="L618" s="138"/>
      <c r="M618" s="139"/>
      <c r="N618" s="140"/>
      <c r="O618" s="141">
        <f>SUM(O613:O617)</f>
        <v>393802.56</v>
      </c>
      <c r="P618" s="193"/>
    </row>
    <row r="619" spans="2:16" ht="15" thickBot="1" x14ac:dyDescent="0.35">
      <c r="B619" s="1178" t="s">
        <v>98</v>
      </c>
      <c r="C619" s="1179"/>
      <c r="D619" s="1179"/>
      <c r="E619" s="1201"/>
      <c r="F619" s="1201"/>
      <c r="G619" s="1201"/>
      <c r="H619" s="1201"/>
      <c r="I619" s="1179"/>
      <c r="J619" s="1179"/>
      <c r="K619" s="1179"/>
      <c r="L619" s="1179"/>
      <c r="M619" s="1179"/>
      <c r="N619" s="1202"/>
      <c r="O619" s="83">
        <f>O612+O618</f>
        <v>5027572.1599999992</v>
      </c>
      <c r="P619" s="193"/>
    </row>
    <row r="620" spans="2:16" x14ac:dyDescent="0.3">
      <c r="B620" s="1193" t="s">
        <v>62</v>
      </c>
      <c r="C620" s="37" t="s">
        <v>63</v>
      </c>
      <c r="D620" s="28" t="s">
        <v>64</v>
      </c>
      <c r="E620" s="38">
        <v>0</v>
      </c>
      <c r="F620" s="14">
        <f>+G620+H620</f>
        <v>0</v>
      </c>
      <c r="G620" s="14">
        <v>0</v>
      </c>
      <c r="H620" s="5">
        <v>0</v>
      </c>
      <c r="I620" s="17">
        <f t="shared" ref="I620:I626" si="477">J620+K620</f>
        <v>0</v>
      </c>
      <c r="J620" s="4">
        <f>G620+J555</f>
        <v>0</v>
      </c>
      <c r="K620" s="4">
        <f>H620+K555</f>
        <v>0</v>
      </c>
      <c r="L620" s="30" t="e">
        <f>+J620/E620</f>
        <v>#DIV/0!</v>
      </c>
      <c r="M620" s="146">
        <v>2.2141000000000002</v>
      </c>
      <c r="N620" s="15">
        <f>+M620*G620</f>
        <v>0</v>
      </c>
      <c r="O620" s="90">
        <f>+M620*J620</f>
        <v>0</v>
      </c>
      <c r="P620" s="1204"/>
    </row>
    <row r="621" spans="2:16" x14ac:dyDescent="0.3">
      <c r="B621" s="1194"/>
      <c r="C621" s="39"/>
      <c r="D621" s="22" t="s">
        <v>65</v>
      </c>
      <c r="E621" s="3">
        <v>0</v>
      </c>
      <c r="F621" s="9">
        <f t="shared" ref="F621:F626" si="478">+G621+H621</f>
        <v>0</v>
      </c>
      <c r="G621" s="4">
        <v>0</v>
      </c>
      <c r="H621" s="8">
        <v>0</v>
      </c>
      <c r="I621" s="6">
        <f t="shared" si="477"/>
        <v>0</v>
      </c>
      <c r="J621" s="4">
        <f>+G621+J556</f>
        <v>0</v>
      </c>
      <c r="K621" s="4">
        <f>+H621+K556</f>
        <v>0</v>
      </c>
      <c r="L621" s="40" t="e">
        <f t="shared" ref="L621:L622" si="479">+J621/E621</f>
        <v>#DIV/0!</v>
      </c>
      <c r="M621" s="145">
        <v>2.4565999999999999</v>
      </c>
      <c r="N621" s="11">
        <f t="shared" ref="N621:N623" si="480">+M621*G621</f>
        <v>0</v>
      </c>
      <c r="O621" s="91">
        <f t="shared" ref="O621:O623" si="481">+M621*J621</f>
        <v>0</v>
      </c>
      <c r="P621" s="1205"/>
    </row>
    <row r="622" spans="2:16" x14ac:dyDescent="0.3">
      <c r="B622" s="1194"/>
      <c r="C622" s="39"/>
      <c r="D622" s="23" t="s">
        <v>126</v>
      </c>
      <c r="E622" s="3">
        <v>0</v>
      </c>
      <c r="F622" s="9">
        <f t="shared" si="478"/>
        <v>0</v>
      </c>
      <c r="G622" s="4">
        <v>0</v>
      </c>
      <c r="H622" s="8">
        <v>0</v>
      </c>
      <c r="I622" s="6">
        <f t="shared" si="477"/>
        <v>0</v>
      </c>
      <c r="J622" s="4">
        <f t="shared" ref="J622:J623" si="482">+G622+J557</f>
        <v>0</v>
      </c>
      <c r="K622" s="4">
        <f t="shared" ref="K622:K626" si="483">+H622+K557</f>
        <v>0</v>
      </c>
      <c r="L622" s="40" t="e">
        <f t="shared" si="479"/>
        <v>#DIV/0!</v>
      </c>
      <c r="M622" s="145">
        <v>2.2907000000000002</v>
      </c>
      <c r="N622" s="11">
        <f t="shared" si="480"/>
        <v>0</v>
      </c>
      <c r="O622" s="91">
        <f t="shared" si="481"/>
        <v>0</v>
      </c>
      <c r="P622" s="1205"/>
    </row>
    <row r="623" spans="2:16" x14ac:dyDescent="0.3">
      <c r="B623" s="1194"/>
      <c r="C623" s="39"/>
      <c r="D623" s="22" t="s">
        <v>131</v>
      </c>
      <c r="E623" s="3"/>
      <c r="F623" s="9">
        <f t="shared" si="478"/>
        <v>0</v>
      </c>
      <c r="G623" s="4">
        <v>0</v>
      </c>
      <c r="H623" s="8">
        <v>0</v>
      </c>
      <c r="I623" s="6">
        <f t="shared" si="477"/>
        <v>0</v>
      </c>
      <c r="J623" s="4">
        <f t="shared" si="482"/>
        <v>0</v>
      </c>
      <c r="K623" s="4">
        <f t="shared" si="483"/>
        <v>0</v>
      </c>
      <c r="L623" s="33"/>
      <c r="M623" s="150">
        <v>2.544</v>
      </c>
      <c r="N623" s="11">
        <f t="shared" si="480"/>
        <v>0</v>
      </c>
      <c r="O623" s="91">
        <f t="shared" si="481"/>
        <v>0</v>
      </c>
      <c r="P623" s="1205"/>
    </row>
    <row r="624" spans="2:16" x14ac:dyDescent="0.3">
      <c r="B624" s="1194"/>
      <c r="C624" s="39" t="s">
        <v>66</v>
      </c>
      <c r="D624" s="22" t="s">
        <v>133</v>
      </c>
      <c r="E624" s="3">
        <v>0</v>
      </c>
      <c r="F624" s="9">
        <f t="shared" si="478"/>
        <v>84000</v>
      </c>
      <c r="G624" s="4">
        <v>82500</v>
      </c>
      <c r="H624" s="8">
        <v>1500</v>
      </c>
      <c r="I624" s="6">
        <f t="shared" si="477"/>
        <v>491132</v>
      </c>
      <c r="J624" s="4">
        <f>+G624+J559</f>
        <v>480250</v>
      </c>
      <c r="K624" s="4">
        <f t="shared" si="483"/>
        <v>10882</v>
      </c>
      <c r="L624" s="33" t="e">
        <f>+J624/E624</f>
        <v>#DIV/0!</v>
      </c>
      <c r="M624" s="144">
        <v>2.2141000000000002</v>
      </c>
      <c r="N624" s="7">
        <f>+M624*G624</f>
        <v>182663.25000000003</v>
      </c>
      <c r="O624" s="85">
        <f>+M624*J624</f>
        <v>1063321.5250000001</v>
      </c>
      <c r="P624" s="1205"/>
    </row>
    <row r="625" spans="2:16" x14ac:dyDescent="0.3">
      <c r="B625" s="1194"/>
      <c r="C625" s="39"/>
      <c r="D625" s="22" t="s">
        <v>65</v>
      </c>
      <c r="E625" s="3">
        <v>0</v>
      </c>
      <c r="F625" s="9">
        <f t="shared" si="478"/>
        <v>0</v>
      </c>
      <c r="G625" s="4">
        <v>0</v>
      </c>
      <c r="H625" s="8">
        <v>0</v>
      </c>
      <c r="I625" s="6">
        <f t="shared" si="477"/>
        <v>0</v>
      </c>
      <c r="J625" s="4">
        <f t="shared" ref="J625:J626" si="484">+G625+J560</f>
        <v>0</v>
      </c>
      <c r="K625" s="4">
        <f t="shared" si="483"/>
        <v>0</v>
      </c>
      <c r="L625" s="40" t="e">
        <f t="shared" ref="L625:L626" si="485">+J625/E625</f>
        <v>#DIV/0!</v>
      </c>
      <c r="M625" s="145">
        <v>2.4565999999999999</v>
      </c>
      <c r="N625" s="11">
        <f t="shared" ref="N625:N626" si="486">+M625*G625</f>
        <v>0</v>
      </c>
      <c r="O625" s="91">
        <f t="shared" ref="O625" si="487">+M625*J625</f>
        <v>0</v>
      </c>
      <c r="P625" s="1205"/>
    </row>
    <row r="626" spans="2:16" ht="15" thickBot="1" x14ac:dyDescent="0.35">
      <c r="B626" s="1194"/>
      <c r="C626" s="39"/>
      <c r="D626" s="22" t="s">
        <v>126</v>
      </c>
      <c r="E626" s="3">
        <v>0</v>
      </c>
      <c r="F626" s="9">
        <f t="shared" si="478"/>
        <v>0</v>
      </c>
      <c r="G626" s="4">
        <v>0</v>
      </c>
      <c r="H626" s="8">
        <v>0</v>
      </c>
      <c r="I626" s="6">
        <f t="shared" si="477"/>
        <v>0</v>
      </c>
      <c r="J626" s="4">
        <f t="shared" si="484"/>
        <v>0</v>
      </c>
      <c r="K626" s="4">
        <f t="shared" si="483"/>
        <v>0</v>
      </c>
      <c r="L626" s="40" t="e">
        <f t="shared" si="485"/>
        <v>#DIV/0!</v>
      </c>
      <c r="M626" s="145">
        <v>2.2907000000000002</v>
      </c>
      <c r="N626" s="11">
        <f t="shared" si="486"/>
        <v>0</v>
      </c>
      <c r="O626" s="154">
        <f>+M626*J626</f>
        <v>0</v>
      </c>
      <c r="P626" s="1206"/>
    </row>
    <row r="627" spans="2:16" ht="15" thickBot="1" x14ac:dyDescent="0.35">
      <c r="B627" s="1194"/>
      <c r="C627" s="41" t="s">
        <v>29</v>
      </c>
      <c r="D627" s="27" t="str">
        <f>+C627</f>
        <v>TOTAL 1/2</v>
      </c>
      <c r="E627" s="42">
        <f>SUM(E620:E626)</f>
        <v>0</v>
      </c>
      <c r="F627" s="43">
        <f>SUM(F620:F626)</f>
        <v>84000</v>
      </c>
      <c r="G627" s="43">
        <f>SUM(G620:G626)</f>
        <v>82500</v>
      </c>
      <c r="H627" s="44">
        <f>SUM(H620:H626)</f>
        <v>1500</v>
      </c>
      <c r="I627" s="45">
        <f>SUM(I624:I626)</f>
        <v>491132</v>
      </c>
      <c r="J627" s="43">
        <f>SUM(J620:J626)</f>
        <v>480250</v>
      </c>
      <c r="K627" s="43">
        <f>SUM(K620:K626)</f>
        <v>10882</v>
      </c>
      <c r="L627" s="46" t="e">
        <f>+J627/E627</f>
        <v>#DIV/0!</v>
      </c>
      <c r="M627" s="47"/>
      <c r="N627" s="48">
        <f>SUM(N624:N626)</f>
        <v>182663.25000000003</v>
      </c>
      <c r="O627" s="49">
        <f>SUM(O620:O626)</f>
        <v>1063321.5250000001</v>
      </c>
      <c r="P627" s="194"/>
    </row>
    <row r="628" spans="2:16" x14ac:dyDescent="0.3">
      <c r="B628" s="1194"/>
      <c r="C628" s="1207" t="s">
        <v>67</v>
      </c>
      <c r="D628" s="22" t="s">
        <v>64</v>
      </c>
      <c r="E628" s="3">
        <v>0</v>
      </c>
      <c r="F628" s="4">
        <f>G628+H628</f>
        <v>0</v>
      </c>
      <c r="G628" s="4">
        <v>0</v>
      </c>
      <c r="H628" s="8">
        <v>0</v>
      </c>
      <c r="I628" s="16">
        <f>J628+K628</f>
        <v>109220</v>
      </c>
      <c r="J628" s="4">
        <f>G628+J563</f>
        <v>105750</v>
      </c>
      <c r="K628" s="4">
        <f>H628+K563</f>
        <v>3470</v>
      </c>
      <c r="L628" s="50" t="e">
        <f>+J628/E628</f>
        <v>#DIV/0!</v>
      </c>
      <c r="M628" s="144">
        <v>4.1712999999999996</v>
      </c>
      <c r="N628" s="7">
        <f>+M628*G628</f>
        <v>0</v>
      </c>
      <c r="O628" s="93">
        <f>+M628*J628</f>
        <v>441114.97499999998</v>
      </c>
      <c r="P628" s="1204"/>
    </row>
    <row r="629" spans="2:16" x14ac:dyDescent="0.3">
      <c r="B629" s="1194"/>
      <c r="C629" s="1208"/>
      <c r="D629" s="22" t="s">
        <v>65</v>
      </c>
      <c r="E629" s="3">
        <v>0</v>
      </c>
      <c r="F629" s="4">
        <f>G629+H629</f>
        <v>0</v>
      </c>
      <c r="G629" s="4">
        <v>0</v>
      </c>
      <c r="H629" s="8">
        <v>0</v>
      </c>
      <c r="I629" s="6">
        <f>+R1673+F629</f>
        <v>0</v>
      </c>
      <c r="J629" s="4">
        <f>G629+J564</f>
        <v>120000</v>
      </c>
      <c r="K629" s="4">
        <f>H629+K564</f>
        <v>3230</v>
      </c>
      <c r="L629" s="51" t="e">
        <f t="shared" ref="L629:L633" si="488">+J629/E629</f>
        <v>#DIV/0!</v>
      </c>
      <c r="M629" s="145">
        <v>4.8285999999999998</v>
      </c>
      <c r="N629" s="11">
        <f t="shared" ref="N629:N631" si="489">+M629*G629</f>
        <v>0</v>
      </c>
      <c r="O629" s="94">
        <f t="shared" ref="O629:O631" si="490">+M629*J629</f>
        <v>579432</v>
      </c>
      <c r="P629" s="1205"/>
    </row>
    <row r="630" spans="2:16" x14ac:dyDescent="0.3">
      <c r="B630" s="1194"/>
      <c r="C630" s="1208"/>
      <c r="D630" s="22" t="s">
        <v>127</v>
      </c>
      <c r="E630" s="3"/>
      <c r="F630" s="4">
        <f>G630+H630</f>
        <v>0</v>
      </c>
      <c r="G630" s="4">
        <v>0</v>
      </c>
      <c r="H630" s="8">
        <v>0</v>
      </c>
      <c r="I630" s="6">
        <f>+R1674+F630</f>
        <v>0</v>
      </c>
      <c r="J630" s="4">
        <f t="shared" ref="J630:J631" si="491">G630+J565</f>
        <v>0</v>
      </c>
      <c r="K630" s="4">
        <f t="shared" ref="K630:K631" si="492">H630+K565</f>
        <v>0</v>
      </c>
      <c r="L630" s="51" t="e">
        <f t="shared" si="488"/>
        <v>#DIV/0!</v>
      </c>
      <c r="M630" s="144">
        <v>4.5023</v>
      </c>
      <c r="N630" s="11">
        <f t="shared" si="489"/>
        <v>0</v>
      </c>
      <c r="O630" s="94">
        <f t="shared" si="490"/>
        <v>0</v>
      </c>
      <c r="P630" s="1205"/>
    </row>
    <row r="631" spans="2:16" ht="15" thickBot="1" x14ac:dyDescent="0.35">
      <c r="B631" s="1194"/>
      <c r="C631" s="1208"/>
      <c r="D631" s="22" t="s">
        <v>111</v>
      </c>
      <c r="E631" s="3">
        <v>0</v>
      </c>
      <c r="F631" s="4">
        <f t="shared" ref="F631" si="493">G631+H631</f>
        <v>0</v>
      </c>
      <c r="G631" s="4">
        <v>0</v>
      </c>
      <c r="H631" s="8">
        <v>0</v>
      </c>
      <c r="I631" s="6">
        <f>+R1674+F631</f>
        <v>0</v>
      </c>
      <c r="J631" s="4">
        <f t="shared" si="491"/>
        <v>0</v>
      </c>
      <c r="K631" s="4">
        <f t="shared" si="492"/>
        <v>0</v>
      </c>
      <c r="L631" s="51" t="e">
        <f t="shared" si="488"/>
        <v>#DIV/0!</v>
      </c>
      <c r="M631" s="144">
        <v>4.4065000000000003</v>
      </c>
      <c r="N631" s="11">
        <f t="shared" si="489"/>
        <v>0</v>
      </c>
      <c r="O631" s="94">
        <f t="shared" si="490"/>
        <v>0</v>
      </c>
      <c r="P631" s="1205"/>
    </row>
    <row r="632" spans="2:16" ht="15" thickBot="1" x14ac:dyDescent="0.35">
      <c r="B632" s="1194"/>
      <c r="C632" s="41" t="s">
        <v>31</v>
      </c>
      <c r="D632" s="18" t="str">
        <f>+C632</f>
        <v>TOTAL 4/4</v>
      </c>
      <c r="E632" s="42">
        <f t="shared" ref="E632:K632" si="494">SUM(E628:E631)</f>
        <v>0</v>
      </c>
      <c r="F632" s="43">
        <f t="shared" si="494"/>
        <v>0</v>
      </c>
      <c r="G632" s="43">
        <f t="shared" si="494"/>
        <v>0</v>
      </c>
      <c r="H632" s="44">
        <f t="shared" si="494"/>
        <v>0</v>
      </c>
      <c r="I632" s="45">
        <f t="shared" si="494"/>
        <v>109220</v>
      </c>
      <c r="J632" s="43">
        <f t="shared" si="494"/>
        <v>225750</v>
      </c>
      <c r="K632" s="43">
        <f t="shared" si="494"/>
        <v>6700</v>
      </c>
      <c r="L632" s="46" t="e">
        <f t="shared" si="488"/>
        <v>#DIV/0!</v>
      </c>
      <c r="M632" s="47"/>
      <c r="N632" s="48">
        <f>SUM(N628:N631)</f>
        <v>0</v>
      </c>
      <c r="O632" s="92">
        <f>SUM(O628:O631)</f>
        <v>1020546.975</v>
      </c>
      <c r="P632" s="1206"/>
    </row>
    <row r="633" spans="2:16" ht="15" thickBot="1" x14ac:dyDescent="0.35">
      <c r="B633" s="1203"/>
      <c r="C633" s="41" t="s">
        <v>68</v>
      </c>
      <c r="D633" s="27" t="s">
        <v>64</v>
      </c>
      <c r="E633" s="25">
        <v>0</v>
      </c>
      <c r="F633" s="20">
        <f>G633+H633</f>
        <v>0</v>
      </c>
      <c r="G633" s="20">
        <v>0</v>
      </c>
      <c r="H633" s="24">
        <v>0</v>
      </c>
      <c r="I633" s="19">
        <f>J633+K633</f>
        <v>0</v>
      </c>
      <c r="J633" s="4">
        <f>G633+J568</f>
        <v>0</v>
      </c>
      <c r="K633" s="4">
        <f>H633+K568</f>
        <v>0</v>
      </c>
      <c r="L633" s="52" t="e">
        <f t="shared" si="488"/>
        <v>#DIV/0!</v>
      </c>
      <c r="M633" s="149">
        <v>1.4086000000000001</v>
      </c>
      <c r="N633" s="26">
        <f t="shared" ref="N633" si="495">+M633*G633</f>
        <v>0</v>
      </c>
      <c r="O633" s="95">
        <f t="shared" ref="O633" si="496">+M633*J633</f>
        <v>0</v>
      </c>
      <c r="P633" s="53"/>
    </row>
    <row r="634" spans="2:16" ht="15" thickBot="1" x14ac:dyDescent="0.35">
      <c r="B634" s="1178" t="s">
        <v>95</v>
      </c>
      <c r="C634" s="1179"/>
      <c r="D634" s="1179"/>
      <c r="E634" s="1179"/>
      <c r="F634" s="1179"/>
      <c r="G634" s="1179"/>
      <c r="H634" s="1179"/>
      <c r="I634" s="110">
        <f>J634+K634</f>
        <v>723582</v>
      </c>
      <c r="J634" s="110">
        <f>J627+J632+J633</f>
        <v>706000</v>
      </c>
      <c r="K634" s="110">
        <f>K627+K632+K633</f>
        <v>17582</v>
      </c>
      <c r="L634" s="111"/>
      <c r="M634" s="112"/>
      <c r="N634" s="109"/>
      <c r="O634" s="77">
        <f>+O633+O632+O627</f>
        <v>2083868.5</v>
      </c>
      <c r="P634" s="84"/>
    </row>
    <row r="635" spans="2:16" x14ac:dyDescent="0.3">
      <c r="B635" s="1180" t="s">
        <v>69</v>
      </c>
      <c r="C635" s="1183" t="s">
        <v>70</v>
      </c>
      <c r="D635" s="54" t="s">
        <v>71</v>
      </c>
      <c r="E635" s="55">
        <v>0</v>
      </c>
      <c r="F635" s="56">
        <f>G635+H635</f>
        <v>5070</v>
      </c>
      <c r="G635" s="56">
        <v>5000</v>
      </c>
      <c r="H635" s="57">
        <v>70</v>
      </c>
      <c r="I635" s="78">
        <f>J635+K635</f>
        <v>5070</v>
      </c>
      <c r="J635" s="4">
        <f>G635+J570</f>
        <v>5000</v>
      </c>
      <c r="K635" s="4">
        <f>H635+K570</f>
        <v>70</v>
      </c>
      <c r="L635" s="58" t="e">
        <f t="shared" ref="L635" si="497">+J635/E635</f>
        <v>#DIV/0!</v>
      </c>
      <c r="M635" s="59">
        <v>32.946300000000001</v>
      </c>
      <c r="N635" s="60">
        <f>+M635*G635</f>
        <v>164731.5</v>
      </c>
      <c r="O635" s="60">
        <f>M635*J635</f>
        <v>164731.5</v>
      </c>
      <c r="P635" s="1185"/>
    </row>
    <row r="636" spans="2:16" x14ac:dyDescent="0.3">
      <c r="B636" s="1181"/>
      <c r="C636" s="1184"/>
      <c r="D636" s="61" t="s">
        <v>72</v>
      </c>
      <c r="E636" s="62">
        <v>0</v>
      </c>
      <c r="F636" s="63">
        <f>G636+H636</f>
        <v>6461</v>
      </c>
      <c r="G636" s="63">
        <v>6420</v>
      </c>
      <c r="H636" s="64">
        <v>41</v>
      </c>
      <c r="I636" s="79">
        <f>J636+K636</f>
        <v>31833</v>
      </c>
      <c r="J636" s="4">
        <f>G636+J571</f>
        <v>31420</v>
      </c>
      <c r="K636" s="4">
        <f>H636+K571</f>
        <v>413</v>
      </c>
      <c r="L636" s="65" t="e">
        <f>+J636/E636</f>
        <v>#DIV/0!</v>
      </c>
      <c r="M636" s="66">
        <v>35.398400000000002</v>
      </c>
      <c r="N636" s="67">
        <f>+M636*G636</f>
        <v>227257.728</v>
      </c>
      <c r="O636" s="67">
        <f>M636*J636</f>
        <v>1112217.7280000001</v>
      </c>
      <c r="P636" s="1186"/>
    </row>
    <row r="637" spans="2:16" x14ac:dyDescent="0.3">
      <c r="B637" s="1181"/>
      <c r="C637" s="1184"/>
      <c r="D637" s="61" t="s">
        <v>73</v>
      </c>
      <c r="E637" s="62">
        <v>0</v>
      </c>
      <c r="F637" s="63">
        <f t="shared" ref="F637:F640" si="498">G637+H637</f>
        <v>0</v>
      </c>
      <c r="G637" s="63">
        <v>0</v>
      </c>
      <c r="H637" s="64">
        <v>0</v>
      </c>
      <c r="I637" s="79">
        <f t="shared" ref="I637:I646" si="499">J637+K637</f>
        <v>0</v>
      </c>
      <c r="J637" s="4">
        <f t="shared" ref="J637:J662" si="500">G637+J572</f>
        <v>0</v>
      </c>
      <c r="K637" s="4">
        <f t="shared" ref="K637:K641" si="501">H637+K572</f>
        <v>0</v>
      </c>
      <c r="L637" s="65" t="e">
        <f t="shared" ref="L637:L650" si="502">+J637/E637</f>
        <v>#DIV/0!</v>
      </c>
      <c r="M637" s="66">
        <v>32.946300000000001</v>
      </c>
      <c r="N637" s="67">
        <f t="shared" ref="N637:N657" si="503">+M637*G637</f>
        <v>0</v>
      </c>
      <c r="O637" s="67">
        <f t="shared" ref="O637:O645" si="504">M637*J637</f>
        <v>0</v>
      </c>
      <c r="P637" s="1186"/>
    </row>
    <row r="638" spans="2:16" x14ac:dyDescent="0.3">
      <c r="B638" s="1181"/>
      <c r="C638" s="1184" t="s">
        <v>74</v>
      </c>
      <c r="D638" s="61" t="s">
        <v>75</v>
      </c>
      <c r="E638" s="62">
        <v>0</v>
      </c>
      <c r="F638" s="63">
        <f t="shared" si="498"/>
        <v>0</v>
      </c>
      <c r="G638" s="63">
        <v>0</v>
      </c>
      <c r="H638" s="64">
        <v>0</v>
      </c>
      <c r="I638" s="79">
        <f t="shared" si="499"/>
        <v>12279</v>
      </c>
      <c r="J638" s="4">
        <f t="shared" si="500"/>
        <v>12000</v>
      </c>
      <c r="K638" s="4">
        <f t="shared" si="501"/>
        <v>279</v>
      </c>
      <c r="L638" s="65" t="e">
        <f t="shared" si="502"/>
        <v>#DIV/0!</v>
      </c>
      <c r="M638" s="66">
        <v>55.4758</v>
      </c>
      <c r="N638" s="67">
        <f t="shared" si="503"/>
        <v>0</v>
      </c>
      <c r="O638" s="67">
        <f t="shared" si="504"/>
        <v>665709.6</v>
      </c>
      <c r="P638" s="1186"/>
    </row>
    <row r="639" spans="2:16" x14ac:dyDescent="0.3">
      <c r="B639" s="1181"/>
      <c r="C639" s="1184"/>
      <c r="D639" s="61" t="s">
        <v>134</v>
      </c>
      <c r="E639" s="62">
        <v>0</v>
      </c>
      <c r="F639" s="63">
        <f t="shared" si="498"/>
        <v>0</v>
      </c>
      <c r="G639" s="63">
        <v>0</v>
      </c>
      <c r="H639" s="64">
        <v>0</v>
      </c>
      <c r="I639" s="79">
        <f t="shared" si="499"/>
        <v>0</v>
      </c>
      <c r="J639" s="4">
        <f t="shared" si="500"/>
        <v>0</v>
      </c>
      <c r="K639" s="4">
        <f t="shared" si="501"/>
        <v>0</v>
      </c>
      <c r="L639" s="65" t="e">
        <f t="shared" si="502"/>
        <v>#DIV/0!</v>
      </c>
      <c r="M639" s="66">
        <v>53.515999999999998</v>
      </c>
      <c r="N639" s="67">
        <f t="shared" si="503"/>
        <v>0</v>
      </c>
      <c r="O639" s="67">
        <f t="shared" si="504"/>
        <v>0</v>
      </c>
      <c r="P639" s="1186"/>
    </row>
    <row r="640" spans="2:16" x14ac:dyDescent="0.3">
      <c r="B640" s="1181"/>
      <c r="C640" s="1184"/>
      <c r="D640" s="61" t="s">
        <v>72</v>
      </c>
      <c r="E640" s="62">
        <v>0</v>
      </c>
      <c r="F640" s="63">
        <f t="shared" si="498"/>
        <v>0</v>
      </c>
      <c r="G640" s="63">
        <v>0</v>
      </c>
      <c r="H640" s="64">
        <v>0</v>
      </c>
      <c r="I640" s="79">
        <f t="shared" si="499"/>
        <v>9804</v>
      </c>
      <c r="J640" s="4">
        <f t="shared" si="500"/>
        <v>9600</v>
      </c>
      <c r="K640" s="4">
        <f t="shared" si="501"/>
        <v>204</v>
      </c>
      <c r="L640" s="65" t="e">
        <f t="shared" si="502"/>
        <v>#DIV/0!</v>
      </c>
      <c r="M640" s="66">
        <v>58.836300000000001</v>
      </c>
      <c r="N640" s="67">
        <f t="shared" si="503"/>
        <v>0</v>
      </c>
      <c r="O640" s="67">
        <f t="shared" si="504"/>
        <v>564828.48</v>
      </c>
      <c r="P640" s="1186"/>
    </row>
    <row r="641" spans="2:16" x14ac:dyDescent="0.3">
      <c r="B641" s="1181"/>
      <c r="C641" s="1188" t="s">
        <v>76</v>
      </c>
      <c r="D641" s="61" t="s">
        <v>77</v>
      </c>
      <c r="E641" s="62">
        <v>0</v>
      </c>
      <c r="F641" s="63">
        <f>G641+H641</f>
        <v>0</v>
      </c>
      <c r="G641" s="63">
        <v>0</v>
      </c>
      <c r="H641" s="64">
        <v>0</v>
      </c>
      <c r="I641" s="79">
        <f t="shared" si="499"/>
        <v>3675</v>
      </c>
      <c r="J641" s="4">
        <f t="shared" si="500"/>
        <v>3575</v>
      </c>
      <c r="K641" s="4">
        <f t="shared" si="501"/>
        <v>100</v>
      </c>
      <c r="L641" s="65" t="e">
        <f t="shared" si="502"/>
        <v>#DIV/0!</v>
      </c>
      <c r="M641" s="66">
        <v>25.687200000000001</v>
      </c>
      <c r="N641" s="67">
        <f t="shared" si="503"/>
        <v>0</v>
      </c>
      <c r="O641" s="67">
        <f t="shared" si="504"/>
        <v>91831.74</v>
      </c>
      <c r="P641" s="1186"/>
    </row>
    <row r="642" spans="2:16" x14ac:dyDescent="0.3">
      <c r="B642" s="1181"/>
      <c r="C642" s="1189"/>
      <c r="D642" s="61" t="s">
        <v>117</v>
      </c>
      <c r="E642" s="62">
        <v>0</v>
      </c>
      <c r="F642" s="63">
        <f>G642+H642</f>
        <v>0</v>
      </c>
      <c r="G642" s="63">
        <v>0</v>
      </c>
      <c r="H642" s="64">
        <v>0</v>
      </c>
      <c r="I642" s="79">
        <f t="shared" si="499"/>
        <v>0</v>
      </c>
      <c r="J642" s="4">
        <f t="shared" si="500"/>
        <v>0</v>
      </c>
      <c r="K642" s="4">
        <f>H642+K577</f>
        <v>0</v>
      </c>
      <c r="L642" s="65" t="e">
        <f t="shared" si="502"/>
        <v>#DIV/0!</v>
      </c>
      <c r="M642" s="66">
        <v>25.033899999999999</v>
      </c>
      <c r="N642" s="67">
        <f t="shared" si="503"/>
        <v>0</v>
      </c>
      <c r="O642" s="67">
        <f t="shared" si="504"/>
        <v>0</v>
      </c>
      <c r="P642" s="1186"/>
    </row>
    <row r="643" spans="2:16" x14ac:dyDescent="0.3">
      <c r="B643" s="1181"/>
      <c r="C643" s="1188" t="s">
        <v>78</v>
      </c>
      <c r="D643" s="61" t="s">
        <v>79</v>
      </c>
      <c r="E643" s="62">
        <v>0</v>
      </c>
      <c r="F643" s="63">
        <f t="shared" ref="F643:F662" si="505">G643+H643</f>
        <v>4075</v>
      </c>
      <c r="G643" s="63">
        <v>4000</v>
      </c>
      <c r="H643" s="64">
        <v>75</v>
      </c>
      <c r="I643" s="79">
        <f t="shared" si="499"/>
        <v>12188</v>
      </c>
      <c r="J643" s="4">
        <f t="shared" si="500"/>
        <v>12000</v>
      </c>
      <c r="K643" s="4">
        <f t="shared" ref="K643:K662" si="506">H643+K578</f>
        <v>188</v>
      </c>
      <c r="L643" s="65" t="e">
        <f t="shared" si="502"/>
        <v>#DIV/0!</v>
      </c>
      <c r="M643" s="66">
        <v>41.992699999999999</v>
      </c>
      <c r="N643" s="67">
        <f t="shared" si="503"/>
        <v>167970.8</v>
      </c>
      <c r="O643" s="67">
        <f t="shared" si="504"/>
        <v>503912.39999999997</v>
      </c>
      <c r="P643" s="1186"/>
    </row>
    <row r="644" spans="2:16" x14ac:dyDescent="0.3">
      <c r="B644" s="1181"/>
      <c r="C644" s="1189"/>
      <c r="D644" s="61" t="s">
        <v>72</v>
      </c>
      <c r="E644" s="62">
        <v>0</v>
      </c>
      <c r="F644" s="63">
        <f t="shared" si="505"/>
        <v>0</v>
      </c>
      <c r="G644" s="63">
        <v>0</v>
      </c>
      <c r="H644" s="64">
        <v>0</v>
      </c>
      <c r="I644" s="79">
        <f t="shared" si="499"/>
        <v>0</v>
      </c>
      <c r="J644" s="4">
        <f t="shared" si="500"/>
        <v>0</v>
      </c>
      <c r="K644" s="4">
        <f t="shared" si="506"/>
        <v>0</v>
      </c>
      <c r="L644" s="65" t="e">
        <f t="shared" si="502"/>
        <v>#DIV/0!</v>
      </c>
      <c r="M644" s="66">
        <v>42.283799999999999</v>
      </c>
      <c r="N644" s="67">
        <f t="shared" si="503"/>
        <v>0</v>
      </c>
      <c r="O644" s="67">
        <f t="shared" si="504"/>
        <v>0</v>
      </c>
      <c r="P644" s="1186"/>
    </row>
    <row r="645" spans="2:16" x14ac:dyDescent="0.3">
      <c r="B645" s="1181"/>
      <c r="C645" s="192" t="s">
        <v>80</v>
      </c>
      <c r="D645" s="61" t="s">
        <v>81</v>
      </c>
      <c r="E645" s="62">
        <v>0</v>
      </c>
      <c r="F645" s="63">
        <f t="shared" si="505"/>
        <v>13905</v>
      </c>
      <c r="G645" s="63">
        <v>13500</v>
      </c>
      <c r="H645" s="64">
        <v>405</v>
      </c>
      <c r="I645" s="79">
        <f t="shared" si="499"/>
        <v>24803</v>
      </c>
      <c r="J645" s="4">
        <f t="shared" si="500"/>
        <v>24000</v>
      </c>
      <c r="K645" s="4">
        <f t="shared" si="506"/>
        <v>803</v>
      </c>
      <c r="L645" s="65" t="e">
        <f t="shared" si="502"/>
        <v>#DIV/0!</v>
      </c>
      <c r="M645" s="66">
        <v>4.3535000000000004</v>
      </c>
      <c r="N645" s="67">
        <f t="shared" si="503"/>
        <v>58772.250000000007</v>
      </c>
      <c r="O645" s="67">
        <f t="shared" si="504"/>
        <v>104484.00000000001</v>
      </c>
      <c r="P645" s="1186"/>
    </row>
    <row r="646" spans="2:16" x14ac:dyDescent="0.3">
      <c r="B646" s="1181"/>
      <c r="C646" s="1184" t="s">
        <v>82</v>
      </c>
      <c r="D646" s="61" t="s">
        <v>77</v>
      </c>
      <c r="E646" s="62">
        <v>0</v>
      </c>
      <c r="F646" s="63">
        <f t="shared" si="505"/>
        <v>0</v>
      </c>
      <c r="G646" s="63">
        <v>0</v>
      </c>
      <c r="H646" s="64">
        <v>0</v>
      </c>
      <c r="I646" s="79">
        <f t="shared" si="499"/>
        <v>0</v>
      </c>
      <c r="J646" s="4">
        <f t="shared" si="500"/>
        <v>0</v>
      </c>
      <c r="K646" s="4">
        <f t="shared" si="506"/>
        <v>0</v>
      </c>
      <c r="L646" s="65" t="e">
        <f t="shared" si="502"/>
        <v>#DIV/0!</v>
      </c>
      <c r="M646" s="66">
        <v>4.6184000000000003</v>
      </c>
      <c r="N646" s="67">
        <f t="shared" si="503"/>
        <v>0</v>
      </c>
      <c r="O646" s="67">
        <f>M646*J646</f>
        <v>0</v>
      </c>
      <c r="P646" s="1186"/>
    </row>
    <row r="647" spans="2:16" x14ac:dyDescent="0.3">
      <c r="B647" s="1181"/>
      <c r="C647" s="1184"/>
      <c r="D647" s="61" t="s">
        <v>119</v>
      </c>
      <c r="E647" s="62">
        <v>0</v>
      </c>
      <c r="F647" s="63">
        <f t="shared" si="505"/>
        <v>0</v>
      </c>
      <c r="G647" s="63">
        <v>0</v>
      </c>
      <c r="H647" s="64">
        <v>0</v>
      </c>
      <c r="I647" s="79">
        <f>J647+K647</f>
        <v>0</v>
      </c>
      <c r="J647" s="4">
        <f t="shared" si="500"/>
        <v>0</v>
      </c>
      <c r="K647" s="4">
        <f t="shared" si="506"/>
        <v>0</v>
      </c>
      <c r="L647" s="65" t="e">
        <f t="shared" si="502"/>
        <v>#DIV/0!</v>
      </c>
      <c r="M647" s="153">
        <v>4.6184000000000003</v>
      </c>
      <c r="N647" s="67">
        <f t="shared" si="503"/>
        <v>0</v>
      </c>
      <c r="O647" s="67">
        <f>M647*J647</f>
        <v>0</v>
      </c>
      <c r="P647" s="1186"/>
    </row>
    <row r="648" spans="2:16" x14ac:dyDescent="0.3">
      <c r="B648" s="1181"/>
      <c r="C648" s="1184"/>
      <c r="D648" s="61" t="s">
        <v>123</v>
      </c>
      <c r="E648" s="62">
        <v>0</v>
      </c>
      <c r="F648" s="63">
        <f t="shared" si="505"/>
        <v>0</v>
      </c>
      <c r="G648" s="63">
        <v>0</v>
      </c>
      <c r="H648" s="64">
        <v>0</v>
      </c>
      <c r="I648" s="79">
        <f t="shared" ref="I648:I662" si="507">J648+K648</f>
        <v>0</v>
      </c>
      <c r="J648" s="4">
        <f t="shared" si="500"/>
        <v>0</v>
      </c>
      <c r="K648" s="4">
        <f t="shared" si="506"/>
        <v>0</v>
      </c>
      <c r="L648" s="65" t="e">
        <f t="shared" si="502"/>
        <v>#DIV/0!</v>
      </c>
      <c r="M648" s="153">
        <v>4.6184000000000003</v>
      </c>
      <c r="N648" s="67">
        <f t="shared" si="503"/>
        <v>0</v>
      </c>
      <c r="O648" s="67">
        <f t="shared" ref="O648:O653" si="508">M648*J648</f>
        <v>0</v>
      </c>
      <c r="P648" s="1186"/>
    </row>
    <row r="649" spans="2:16" x14ac:dyDescent="0.3">
      <c r="B649" s="1181"/>
      <c r="C649" s="1184"/>
      <c r="D649" s="61" t="s">
        <v>124</v>
      </c>
      <c r="E649" s="62">
        <v>0</v>
      </c>
      <c r="F649" s="63">
        <f t="shared" si="505"/>
        <v>21259</v>
      </c>
      <c r="G649" s="63">
        <v>20780</v>
      </c>
      <c r="H649" s="64">
        <v>479</v>
      </c>
      <c r="I649" s="79">
        <f t="shared" si="507"/>
        <v>194059</v>
      </c>
      <c r="J649" s="4">
        <f t="shared" si="500"/>
        <v>188235</v>
      </c>
      <c r="K649" s="4">
        <f t="shared" si="506"/>
        <v>5824</v>
      </c>
      <c r="L649" s="65" t="e">
        <f t="shared" si="502"/>
        <v>#DIV/0!</v>
      </c>
      <c r="M649" s="153">
        <v>4.7636000000000003</v>
      </c>
      <c r="N649" s="67">
        <f t="shared" si="503"/>
        <v>98987.608000000007</v>
      </c>
      <c r="O649" s="67">
        <f t="shared" si="508"/>
        <v>896676.24600000004</v>
      </c>
      <c r="P649" s="1186"/>
    </row>
    <row r="650" spans="2:16" x14ac:dyDescent="0.3">
      <c r="B650" s="1181"/>
      <c r="C650" s="1184"/>
      <c r="D650" s="61" t="s">
        <v>83</v>
      </c>
      <c r="E650" s="62">
        <v>0</v>
      </c>
      <c r="F650" s="63">
        <f t="shared" si="505"/>
        <v>0</v>
      </c>
      <c r="G650" s="63">
        <v>0</v>
      </c>
      <c r="H650" s="64">
        <v>0</v>
      </c>
      <c r="I650" s="79">
        <f t="shared" si="507"/>
        <v>0</v>
      </c>
      <c r="J650" s="4">
        <f t="shared" si="500"/>
        <v>0</v>
      </c>
      <c r="K650" s="4">
        <f t="shared" si="506"/>
        <v>0</v>
      </c>
      <c r="L650" s="65" t="e">
        <f t="shared" si="502"/>
        <v>#DIV/0!</v>
      </c>
      <c r="M650" s="66">
        <v>4.8738000000000001</v>
      </c>
      <c r="N650" s="67">
        <f t="shared" si="503"/>
        <v>0</v>
      </c>
      <c r="O650" s="67">
        <f t="shared" si="508"/>
        <v>0</v>
      </c>
      <c r="P650" s="1186"/>
    </row>
    <row r="651" spans="2:16" x14ac:dyDescent="0.3">
      <c r="B651" s="1181"/>
      <c r="C651" s="192" t="s">
        <v>128</v>
      </c>
      <c r="D651" s="61" t="s">
        <v>124</v>
      </c>
      <c r="E651" s="62"/>
      <c r="F651" s="63">
        <f t="shared" si="505"/>
        <v>0</v>
      </c>
      <c r="G651" s="63">
        <v>0</v>
      </c>
      <c r="H651" s="64">
        <v>0</v>
      </c>
      <c r="I651" s="79">
        <f t="shared" si="507"/>
        <v>0</v>
      </c>
      <c r="J651" s="4">
        <f t="shared" si="500"/>
        <v>0</v>
      </c>
      <c r="K651" s="4">
        <f t="shared" si="506"/>
        <v>0</v>
      </c>
      <c r="L651" s="65"/>
      <c r="M651" s="66">
        <v>4.8738000000000001</v>
      </c>
      <c r="N651" s="67">
        <f t="shared" si="503"/>
        <v>0</v>
      </c>
      <c r="O651" s="67">
        <f t="shared" si="508"/>
        <v>0</v>
      </c>
      <c r="P651" s="1186"/>
    </row>
    <row r="652" spans="2:16" x14ac:dyDescent="0.3">
      <c r="B652" s="1181"/>
      <c r="C652" s="1184" t="s">
        <v>84</v>
      </c>
      <c r="D652" s="61" t="s">
        <v>77</v>
      </c>
      <c r="E652" s="62">
        <v>0</v>
      </c>
      <c r="F652" s="63">
        <f t="shared" si="505"/>
        <v>0</v>
      </c>
      <c r="G652" s="63">
        <v>0</v>
      </c>
      <c r="H652" s="64">
        <v>0</v>
      </c>
      <c r="I652" s="79">
        <f t="shared" si="507"/>
        <v>172858</v>
      </c>
      <c r="J652" s="4">
        <f t="shared" si="500"/>
        <v>170900</v>
      </c>
      <c r="K652" s="4">
        <f t="shared" si="506"/>
        <v>1958</v>
      </c>
      <c r="L652" s="65" t="e">
        <f t="shared" ref="L652:L662" si="509">+J652/E652</f>
        <v>#DIV/0!</v>
      </c>
      <c r="M652" s="66">
        <v>4.9344999999999999</v>
      </c>
      <c r="N652" s="67">
        <f t="shared" si="503"/>
        <v>0</v>
      </c>
      <c r="O652" s="67">
        <f t="shared" si="508"/>
        <v>843306.04999999993</v>
      </c>
      <c r="P652" s="1186"/>
    </row>
    <row r="653" spans="2:16" x14ac:dyDescent="0.3">
      <c r="B653" s="1181"/>
      <c r="C653" s="1184"/>
      <c r="D653" s="61" t="s">
        <v>135</v>
      </c>
      <c r="E653" s="62"/>
      <c r="F653" s="63">
        <f t="shared" si="505"/>
        <v>0</v>
      </c>
      <c r="G653" s="63">
        <v>0</v>
      </c>
      <c r="H653" s="64">
        <v>0</v>
      </c>
      <c r="I653" s="79">
        <f t="shared" si="507"/>
        <v>0</v>
      </c>
      <c r="J653" s="4">
        <f t="shared" si="500"/>
        <v>0</v>
      </c>
      <c r="K653" s="4">
        <f t="shared" si="506"/>
        <v>0</v>
      </c>
      <c r="L653" s="65" t="e">
        <f t="shared" si="509"/>
        <v>#DIV/0!</v>
      </c>
      <c r="M653" s="66">
        <v>4.9344999999999999</v>
      </c>
      <c r="N653" s="67">
        <f t="shared" si="503"/>
        <v>0</v>
      </c>
      <c r="O653" s="67">
        <f t="shared" si="508"/>
        <v>0</v>
      </c>
      <c r="P653" s="1186"/>
    </row>
    <row r="654" spans="2:16" x14ac:dyDescent="0.3">
      <c r="B654" s="1181"/>
      <c r="C654" s="1184"/>
      <c r="D654" s="61" t="s">
        <v>129</v>
      </c>
      <c r="E654" s="62">
        <v>0</v>
      </c>
      <c r="F654" s="63">
        <f t="shared" si="505"/>
        <v>0</v>
      </c>
      <c r="G654" s="155">
        <v>0</v>
      </c>
      <c r="H654" s="156">
        <v>0</v>
      </c>
      <c r="I654" s="157">
        <f t="shared" si="507"/>
        <v>0</v>
      </c>
      <c r="J654" s="4">
        <f t="shared" si="500"/>
        <v>0</v>
      </c>
      <c r="K654" s="4">
        <f t="shared" si="506"/>
        <v>0</v>
      </c>
      <c r="L654" s="158" t="e">
        <f t="shared" si="509"/>
        <v>#DIV/0!</v>
      </c>
      <c r="M654" s="66">
        <v>4.9344999999999999</v>
      </c>
      <c r="N654" s="159">
        <f t="shared" si="503"/>
        <v>0</v>
      </c>
      <c r="O654" s="67">
        <f>M654*J654</f>
        <v>0</v>
      </c>
      <c r="P654" s="1186"/>
    </row>
    <row r="655" spans="2:16" x14ac:dyDescent="0.3">
      <c r="B655" s="1181"/>
      <c r="C655" s="1184" t="s">
        <v>85</v>
      </c>
      <c r="D655" s="61" t="s">
        <v>77</v>
      </c>
      <c r="E655" s="62">
        <v>0</v>
      </c>
      <c r="F655" s="63">
        <f t="shared" si="505"/>
        <v>0</v>
      </c>
      <c r="G655" s="63">
        <v>0</v>
      </c>
      <c r="H655" s="64">
        <v>0</v>
      </c>
      <c r="I655" s="79">
        <f t="shared" si="507"/>
        <v>138276</v>
      </c>
      <c r="J655" s="4">
        <f t="shared" si="500"/>
        <v>130950</v>
      </c>
      <c r="K655" s="4">
        <f t="shared" si="506"/>
        <v>7326</v>
      </c>
      <c r="L655" s="65" t="e">
        <f t="shared" si="509"/>
        <v>#DIV/0!</v>
      </c>
      <c r="M655" s="148">
        <v>5.5069999999999997</v>
      </c>
      <c r="N655" s="67">
        <f t="shared" si="503"/>
        <v>0</v>
      </c>
      <c r="O655" s="67">
        <f>M655*J655</f>
        <v>721141.64999999991</v>
      </c>
      <c r="P655" s="1186"/>
    </row>
    <row r="656" spans="2:16" x14ac:dyDescent="0.3">
      <c r="B656" s="1181"/>
      <c r="C656" s="1184"/>
      <c r="D656" s="61" t="s">
        <v>112</v>
      </c>
      <c r="E656" s="62">
        <v>0</v>
      </c>
      <c r="F656" s="63">
        <f t="shared" si="505"/>
        <v>5339</v>
      </c>
      <c r="G656" s="63">
        <v>4850</v>
      </c>
      <c r="H656" s="64">
        <v>489</v>
      </c>
      <c r="I656" s="79">
        <f t="shared" si="507"/>
        <v>31178</v>
      </c>
      <c r="J656" s="4">
        <f t="shared" si="500"/>
        <v>30150</v>
      </c>
      <c r="K656" s="4">
        <f t="shared" si="506"/>
        <v>1028</v>
      </c>
      <c r="L656" s="65" t="e">
        <f t="shared" si="509"/>
        <v>#DIV/0!</v>
      </c>
      <c r="M656" s="147">
        <v>5.6550000000000002</v>
      </c>
      <c r="N656" s="67">
        <f t="shared" si="503"/>
        <v>27426.75</v>
      </c>
      <c r="O656" s="67">
        <f>M656*J656</f>
        <v>170498.25</v>
      </c>
      <c r="P656" s="1186"/>
    </row>
    <row r="657" spans="2:16" x14ac:dyDescent="0.3">
      <c r="B657" s="1181"/>
      <c r="C657" s="1184"/>
      <c r="D657" s="61" t="s">
        <v>118</v>
      </c>
      <c r="E657" s="62">
        <v>0</v>
      </c>
      <c r="F657" s="63">
        <f t="shared" si="505"/>
        <v>0</v>
      </c>
      <c r="G657" s="63">
        <v>0</v>
      </c>
      <c r="H657" s="64">
        <v>0</v>
      </c>
      <c r="I657" s="79">
        <f t="shared" si="507"/>
        <v>0</v>
      </c>
      <c r="J657" s="4">
        <f t="shared" si="500"/>
        <v>0</v>
      </c>
      <c r="K657" s="4">
        <f t="shared" si="506"/>
        <v>0</v>
      </c>
      <c r="L657" s="65" t="e">
        <f t="shared" si="509"/>
        <v>#DIV/0!</v>
      </c>
      <c r="M657" s="152">
        <v>5.6550000000000002</v>
      </c>
      <c r="N657" s="67">
        <f t="shared" si="503"/>
        <v>0</v>
      </c>
      <c r="O657" s="67">
        <f>M657*J657</f>
        <v>0</v>
      </c>
      <c r="P657" s="1186"/>
    </row>
    <row r="658" spans="2:16" x14ac:dyDescent="0.3">
      <c r="B658" s="1181"/>
      <c r="C658" s="1184"/>
      <c r="D658" s="61" t="s">
        <v>121</v>
      </c>
      <c r="E658" s="62">
        <v>0</v>
      </c>
      <c r="F658" s="63">
        <f t="shared" si="505"/>
        <v>11660</v>
      </c>
      <c r="G658" s="63">
        <v>11610</v>
      </c>
      <c r="H658" s="64">
        <v>50</v>
      </c>
      <c r="I658" s="79">
        <f t="shared" si="507"/>
        <v>28324</v>
      </c>
      <c r="J658" s="4">
        <f t="shared" si="500"/>
        <v>26710</v>
      </c>
      <c r="K658" s="4">
        <f t="shared" si="506"/>
        <v>1614</v>
      </c>
      <c r="L658" s="65" t="e">
        <f t="shared" si="509"/>
        <v>#DIV/0!</v>
      </c>
      <c r="M658" s="66">
        <v>5.7885299999999997</v>
      </c>
      <c r="N658" s="67">
        <f>+M658*G658</f>
        <v>67204.833299999998</v>
      </c>
      <c r="O658" s="67">
        <f>M658*J658</f>
        <v>154611.63629999998</v>
      </c>
      <c r="P658" s="1186"/>
    </row>
    <row r="659" spans="2:16" x14ac:dyDescent="0.3">
      <c r="B659" s="1181"/>
      <c r="C659" s="1184"/>
      <c r="D659" s="61" t="s">
        <v>136</v>
      </c>
      <c r="E659" s="62">
        <v>0</v>
      </c>
      <c r="F659" s="63">
        <f t="shared" si="505"/>
        <v>0</v>
      </c>
      <c r="G659" s="63">
        <v>0</v>
      </c>
      <c r="H659" s="64">
        <v>0</v>
      </c>
      <c r="I659" s="79">
        <f t="shared" si="507"/>
        <v>0</v>
      </c>
      <c r="J659" s="4">
        <f t="shared" si="500"/>
        <v>0</v>
      </c>
      <c r="K659" s="4">
        <f t="shared" si="506"/>
        <v>0</v>
      </c>
      <c r="L659" s="65" t="e">
        <f t="shared" si="509"/>
        <v>#DIV/0!</v>
      </c>
      <c r="M659" s="152">
        <v>5.6550000000000002</v>
      </c>
      <c r="N659" s="67">
        <f t="shared" ref="N659:N661" si="510">+M659*G659</f>
        <v>0</v>
      </c>
      <c r="O659" s="67">
        <f t="shared" ref="O659:O662" si="511">M659*J659</f>
        <v>0</v>
      </c>
      <c r="P659" s="1186"/>
    </row>
    <row r="660" spans="2:16" x14ac:dyDescent="0.3">
      <c r="B660" s="1181"/>
      <c r="C660" s="192" t="s">
        <v>86</v>
      </c>
      <c r="D660" s="61" t="s">
        <v>77</v>
      </c>
      <c r="E660" s="62">
        <v>0</v>
      </c>
      <c r="F660" s="63">
        <f t="shared" si="505"/>
        <v>0</v>
      </c>
      <c r="G660" s="63">
        <v>0</v>
      </c>
      <c r="H660" s="64">
        <v>0</v>
      </c>
      <c r="I660" s="79">
        <f t="shared" si="507"/>
        <v>0</v>
      </c>
      <c r="J660" s="4">
        <f t="shared" si="500"/>
        <v>0</v>
      </c>
      <c r="K660" s="4">
        <f t="shared" si="506"/>
        <v>0</v>
      </c>
      <c r="L660" s="65" t="e">
        <f t="shared" si="509"/>
        <v>#DIV/0!</v>
      </c>
      <c r="M660" s="66">
        <v>3.2963</v>
      </c>
      <c r="N660" s="67">
        <f t="shared" si="510"/>
        <v>0</v>
      </c>
      <c r="O660" s="67">
        <f t="shared" si="511"/>
        <v>0</v>
      </c>
      <c r="P660" s="1186"/>
    </row>
    <row r="661" spans="2:16" x14ac:dyDescent="0.3">
      <c r="B661" s="1181"/>
      <c r="C661" s="192" t="s">
        <v>87</v>
      </c>
      <c r="D661" s="61" t="s">
        <v>77</v>
      </c>
      <c r="E661" s="62">
        <v>0</v>
      </c>
      <c r="F661" s="63">
        <f t="shared" si="505"/>
        <v>0</v>
      </c>
      <c r="G661" s="63">
        <v>0</v>
      </c>
      <c r="H661" s="64">
        <v>0</v>
      </c>
      <c r="I661" s="79">
        <f t="shared" si="507"/>
        <v>0</v>
      </c>
      <c r="J661" s="4">
        <f t="shared" si="500"/>
        <v>0</v>
      </c>
      <c r="K661" s="4">
        <f t="shared" si="506"/>
        <v>0</v>
      </c>
      <c r="L661" s="65" t="e">
        <f t="shared" si="509"/>
        <v>#DIV/0!</v>
      </c>
      <c r="M661" s="66">
        <v>3.2963</v>
      </c>
      <c r="N661" s="67">
        <f t="shared" si="510"/>
        <v>0</v>
      </c>
      <c r="O661" s="67">
        <f t="shared" si="511"/>
        <v>0</v>
      </c>
      <c r="P661" s="1186"/>
    </row>
    <row r="662" spans="2:16" ht="15" thickBot="1" x14ac:dyDescent="0.35">
      <c r="B662" s="1181"/>
      <c r="C662" s="68" t="s">
        <v>88</v>
      </c>
      <c r="D662" s="69" t="s">
        <v>89</v>
      </c>
      <c r="E662" s="70">
        <v>0</v>
      </c>
      <c r="F662" s="71">
        <f t="shared" si="505"/>
        <v>0</v>
      </c>
      <c r="G662" s="71">
        <v>0</v>
      </c>
      <c r="H662" s="72">
        <v>0</v>
      </c>
      <c r="I662" s="80">
        <f t="shared" si="507"/>
        <v>65030</v>
      </c>
      <c r="J662" s="4">
        <f t="shared" si="500"/>
        <v>65000</v>
      </c>
      <c r="K662" s="4">
        <f t="shared" si="506"/>
        <v>30</v>
      </c>
      <c r="L662" s="65" t="e">
        <f t="shared" si="509"/>
        <v>#DIV/0!</v>
      </c>
      <c r="M662" s="73">
        <v>2.3201000000000001</v>
      </c>
      <c r="N662" s="74">
        <f t="shared" ref="N662" si="512">M662*G662</f>
        <v>0</v>
      </c>
      <c r="O662" s="74">
        <f t="shared" si="511"/>
        <v>150806.5</v>
      </c>
      <c r="P662" s="1187"/>
    </row>
    <row r="663" spans="2:16" ht="15" thickBot="1" x14ac:dyDescent="0.35">
      <c r="B663" s="1182"/>
      <c r="C663" s="1190" t="s">
        <v>99</v>
      </c>
      <c r="D663" s="1191"/>
      <c r="E663" s="1191"/>
      <c r="F663" s="1191"/>
      <c r="G663" s="1191"/>
      <c r="H663" s="1192"/>
      <c r="I663" s="116">
        <f>J663+K663</f>
        <v>729377</v>
      </c>
      <c r="J663" s="115">
        <f>SUM(J635:J662)</f>
        <v>709540</v>
      </c>
      <c r="K663" s="115">
        <f>SUM(K635:K662)</f>
        <v>19837</v>
      </c>
      <c r="L663" s="114"/>
      <c r="M663" s="113"/>
      <c r="N663" s="114"/>
      <c r="O663" s="97">
        <f>SUM(O635:O662)</f>
        <v>6144755.7802999998</v>
      </c>
      <c r="P663" s="96"/>
    </row>
    <row r="664" spans="2:16" ht="15" thickBot="1" x14ac:dyDescent="0.35">
      <c r="B664" s="100"/>
      <c r="C664" s="101"/>
      <c r="D664" s="101"/>
      <c r="E664" s="101"/>
      <c r="F664" s="101"/>
      <c r="G664" s="101"/>
      <c r="H664" s="101"/>
      <c r="I664" s="101"/>
      <c r="J664" s="101"/>
      <c r="K664" s="101"/>
      <c r="L664" s="101"/>
      <c r="M664" s="101"/>
      <c r="N664" s="101"/>
      <c r="O664" s="101"/>
      <c r="P664" s="102"/>
    </row>
    <row r="665" spans="2:16" ht="15" thickBot="1" x14ac:dyDescent="0.35">
      <c r="B665" s="1175" t="s">
        <v>100</v>
      </c>
      <c r="C665" s="1176"/>
      <c r="D665" s="1176"/>
      <c r="E665" s="1176"/>
      <c r="F665" s="1176"/>
      <c r="G665" s="1176"/>
      <c r="H665" s="1176"/>
      <c r="I665" s="1176"/>
      <c r="J665" s="1176"/>
      <c r="K665" s="1176"/>
      <c r="L665" s="1176"/>
      <c r="M665" s="1176"/>
      <c r="N665" s="1177"/>
      <c r="O665" s="103">
        <f>+O663+O634+O619</f>
        <v>13256196.440299999</v>
      </c>
      <c r="P665" s="96"/>
    </row>
    <row r="666" spans="2:16" ht="15" thickBot="1" x14ac:dyDescent="0.35"/>
    <row r="667" spans="2:16" x14ac:dyDescent="0.3">
      <c r="B667" s="1209" t="s">
        <v>1</v>
      </c>
      <c r="C667" s="1211" t="s">
        <v>2</v>
      </c>
      <c r="D667" s="1214" t="s">
        <v>3</v>
      </c>
      <c r="E667" s="1217" t="s">
        <v>4</v>
      </c>
      <c r="F667" s="1218"/>
      <c r="G667" s="1218"/>
      <c r="H667" s="1218"/>
      <c r="I667" s="1218"/>
      <c r="J667" s="1218"/>
      <c r="K667" s="1218"/>
      <c r="L667" s="1219"/>
      <c r="M667" s="1220" t="s">
        <v>5</v>
      </c>
      <c r="N667" s="1221"/>
      <c r="O667" s="1222"/>
      <c r="P667" s="1214" t="s">
        <v>6</v>
      </c>
    </row>
    <row r="668" spans="2:16" x14ac:dyDescent="0.3">
      <c r="B668" s="1210"/>
      <c r="C668" s="1212"/>
      <c r="D668" s="1215"/>
      <c r="E668" s="1223" t="s">
        <v>7</v>
      </c>
      <c r="F668" s="1225" t="s">
        <v>150</v>
      </c>
      <c r="G668" s="1225"/>
      <c r="H668" s="1226"/>
      <c r="I668" s="1227" t="s">
        <v>8</v>
      </c>
      <c r="J668" s="1225"/>
      <c r="K668" s="1225"/>
      <c r="L668" s="1226" t="s">
        <v>9</v>
      </c>
      <c r="M668" s="1229" t="s">
        <v>10</v>
      </c>
      <c r="N668" s="1231" t="s">
        <v>11</v>
      </c>
      <c r="O668" s="1233" t="s">
        <v>12</v>
      </c>
      <c r="P668" s="1215"/>
    </row>
    <row r="669" spans="2:16" ht="15" thickBot="1" x14ac:dyDescent="0.35">
      <c r="B669" s="1210"/>
      <c r="C669" s="1213"/>
      <c r="D669" s="1216"/>
      <c r="E669" s="1224"/>
      <c r="F669" s="2" t="s">
        <v>13</v>
      </c>
      <c r="G669" s="2" t="s">
        <v>14</v>
      </c>
      <c r="H669" s="199" t="s">
        <v>15</v>
      </c>
      <c r="I669" s="142" t="s">
        <v>13</v>
      </c>
      <c r="J669" s="2" t="s">
        <v>14</v>
      </c>
      <c r="K669" s="2" t="s">
        <v>15</v>
      </c>
      <c r="L669" s="1228"/>
      <c r="M669" s="1230"/>
      <c r="N669" s="1232"/>
      <c r="O669" s="1234"/>
      <c r="P669" s="1216"/>
    </row>
    <row r="670" spans="2:16" x14ac:dyDescent="0.3">
      <c r="B670" s="1193" t="s">
        <v>53</v>
      </c>
      <c r="C670" s="29"/>
      <c r="D670" s="117" t="s">
        <v>143</v>
      </c>
      <c r="E670" s="98">
        <v>0</v>
      </c>
      <c r="F670" s="4">
        <f>+G670+H670</f>
        <v>0</v>
      </c>
      <c r="G670" s="4">
        <v>0</v>
      </c>
      <c r="H670" s="8">
        <v>0</v>
      </c>
      <c r="I670" s="6">
        <f>J670+K670</f>
        <v>285266</v>
      </c>
      <c r="J670" s="4">
        <f>G670+J605</f>
        <v>280000</v>
      </c>
      <c r="K670" s="4">
        <f>H670+K605</f>
        <v>5266</v>
      </c>
      <c r="L670" s="33" t="e">
        <f>+J670/E670</f>
        <v>#DIV/0!</v>
      </c>
      <c r="M670" s="104">
        <v>1.3652</v>
      </c>
      <c r="N670" s="31">
        <f>G670*M670</f>
        <v>0</v>
      </c>
      <c r="O670" s="86">
        <f>M670*J670</f>
        <v>382256</v>
      </c>
      <c r="P670" s="1195"/>
    </row>
    <row r="671" spans="2:16" x14ac:dyDescent="0.3">
      <c r="B671" s="1194"/>
      <c r="C671" s="32"/>
      <c r="D671" s="118" t="s">
        <v>109</v>
      </c>
      <c r="E671" s="99">
        <v>0</v>
      </c>
      <c r="F671" s="9">
        <f>+G671+H671</f>
        <v>0</v>
      </c>
      <c r="G671" s="9">
        <v>0</v>
      </c>
      <c r="H671" s="10">
        <v>0</v>
      </c>
      <c r="I671" s="6">
        <f>J671+K671</f>
        <v>0</v>
      </c>
      <c r="J671" s="4">
        <f>+G671+J606</f>
        <v>0</v>
      </c>
      <c r="K671" s="4">
        <f>+H671+K606</f>
        <v>0</v>
      </c>
      <c r="L671" s="33"/>
      <c r="M671" s="105">
        <v>5.9917999999999996</v>
      </c>
      <c r="N671" s="34">
        <f>M671*G671</f>
        <v>0</v>
      </c>
      <c r="O671" s="87">
        <f>M671*J671</f>
        <v>0</v>
      </c>
      <c r="P671" s="1196"/>
    </row>
    <row r="672" spans="2:16" x14ac:dyDescent="0.3">
      <c r="B672" s="1194"/>
      <c r="C672" s="35"/>
      <c r="D672" s="119" t="s">
        <v>55</v>
      </c>
      <c r="E672" s="99">
        <v>0</v>
      </c>
      <c r="F672" s="9">
        <f t="shared" ref="F672:F676" si="513">+G672+H672</f>
        <v>231715</v>
      </c>
      <c r="G672" s="9">
        <v>230000</v>
      </c>
      <c r="H672" s="10">
        <v>1715</v>
      </c>
      <c r="I672" s="6">
        <f t="shared" ref="I672:I676" si="514">J672+K672</f>
        <v>2031506</v>
      </c>
      <c r="J672" s="4">
        <f t="shared" ref="J672:J676" si="515">+G672+J607</f>
        <v>2015750</v>
      </c>
      <c r="K672" s="4">
        <f t="shared" ref="K672:K676" si="516">+H672+K607</f>
        <v>15756</v>
      </c>
      <c r="L672" s="33" t="e">
        <f t="shared" ref="L672" si="517">+J672/E672</f>
        <v>#DIV/0!</v>
      </c>
      <c r="M672" s="106">
        <v>2.3807999999999998</v>
      </c>
      <c r="N672" s="36">
        <f>G672*M672</f>
        <v>547584</v>
      </c>
      <c r="O672" s="88">
        <f>M672*J672</f>
        <v>4799097.5999999996</v>
      </c>
      <c r="P672" s="1196"/>
    </row>
    <row r="673" spans="2:16" x14ac:dyDescent="0.3">
      <c r="B673" s="1194"/>
      <c r="C673" s="35"/>
      <c r="D673" s="119" t="s">
        <v>56</v>
      </c>
      <c r="E673" s="99">
        <v>0</v>
      </c>
      <c r="F673" s="9">
        <f t="shared" si="513"/>
        <v>0</v>
      </c>
      <c r="G673" s="9">
        <v>0</v>
      </c>
      <c r="H673" s="10">
        <v>0</v>
      </c>
      <c r="I673" s="6">
        <f t="shared" si="514"/>
        <v>0</v>
      </c>
      <c r="J673" s="4">
        <f t="shared" si="515"/>
        <v>0</v>
      </c>
      <c r="K673" s="4">
        <f t="shared" si="516"/>
        <v>0</v>
      </c>
      <c r="L673" s="33"/>
      <c r="M673" s="106">
        <v>2.1457999999999999</v>
      </c>
      <c r="N673" s="36">
        <f t="shared" ref="N673:N676" si="518">G673*M673</f>
        <v>0</v>
      </c>
      <c r="O673" s="88">
        <f>M673*J673</f>
        <v>0</v>
      </c>
      <c r="P673" s="1196"/>
    </row>
    <row r="674" spans="2:16" x14ac:dyDescent="0.3">
      <c r="B674" s="1194"/>
      <c r="C674" s="35"/>
      <c r="D674" s="119" t="s">
        <v>106</v>
      </c>
      <c r="E674" s="99">
        <v>0</v>
      </c>
      <c r="F674" s="9">
        <f t="shared" si="513"/>
        <v>0</v>
      </c>
      <c r="G674" s="9">
        <v>0</v>
      </c>
      <c r="H674" s="10">
        <v>0</v>
      </c>
      <c r="I674" s="6">
        <f t="shared" si="514"/>
        <v>0</v>
      </c>
      <c r="J674" s="4">
        <f t="shared" si="515"/>
        <v>0</v>
      </c>
      <c r="K674" s="4">
        <f t="shared" si="516"/>
        <v>0</v>
      </c>
      <c r="L674" s="33" t="e">
        <f t="shared" ref="L674:L675" si="519">+J674/E674</f>
        <v>#DIV/0!</v>
      </c>
      <c r="M674" s="143">
        <v>4.0426000000000002</v>
      </c>
      <c r="N674" s="36">
        <f t="shared" si="518"/>
        <v>0</v>
      </c>
      <c r="O674" s="88">
        <f>M674*J674</f>
        <v>0</v>
      </c>
      <c r="P674" s="1196"/>
    </row>
    <row r="675" spans="2:16" x14ac:dyDescent="0.3">
      <c r="B675" s="1194"/>
      <c r="C675" s="35"/>
      <c r="D675" s="119" t="s">
        <v>110</v>
      </c>
      <c r="E675" s="99">
        <v>0</v>
      </c>
      <c r="F675" s="9">
        <f t="shared" si="513"/>
        <v>0</v>
      </c>
      <c r="G675" s="9">
        <v>0</v>
      </c>
      <c r="H675" s="10">
        <v>0</v>
      </c>
      <c r="I675" s="6">
        <f t="shared" si="514"/>
        <v>0</v>
      </c>
      <c r="J675" s="4">
        <f t="shared" si="515"/>
        <v>0</v>
      </c>
      <c r="K675" s="4">
        <f t="shared" si="516"/>
        <v>0</v>
      </c>
      <c r="L675" s="33" t="e">
        <f t="shared" si="519"/>
        <v>#DIV/0!</v>
      </c>
      <c r="M675" s="143">
        <v>3.8715000000000002</v>
      </c>
      <c r="N675" s="36">
        <f t="shared" si="518"/>
        <v>0</v>
      </c>
      <c r="O675" s="88">
        <f t="shared" ref="O675:O676" si="520">M675*J675</f>
        <v>0</v>
      </c>
      <c r="P675" s="1196"/>
    </row>
    <row r="676" spans="2:16" ht="15" thickBot="1" x14ac:dyDescent="0.35">
      <c r="B676" s="1194"/>
      <c r="C676" s="82"/>
      <c r="D676" s="120" t="s">
        <v>57</v>
      </c>
      <c r="E676" s="108">
        <v>0</v>
      </c>
      <c r="F676" s="12">
        <f t="shared" si="513"/>
        <v>0</v>
      </c>
      <c r="G676" s="12">
        <v>0</v>
      </c>
      <c r="H676" s="13">
        <v>0</v>
      </c>
      <c r="I676" s="21">
        <f t="shared" si="514"/>
        <v>0</v>
      </c>
      <c r="J676" s="4">
        <f t="shared" si="515"/>
        <v>0</v>
      </c>
      <c r="K676" s="4">
        <f t="shared" si="516"/>
        <v>0</v>
      </c>
      <c r="L676" s="81"/>
      <c r="M676" s="127">
        <v>12.284700000000001</v>
      </c>
      <c r="N676" s="36">
        <f t="shared" si="518"/>
        <v>0</v>
      </c>
      <c r="O676" s="128">
        <f t="shared" si="520"/>
        <v>0</v>
      </c>
      <c r="P676" s="1196"/>
    </row>
    <row r="677" spans="2:16" ht="15" thickBot="1" x14ac:dyDescent="0.35">
      <c r="B677" s="1194"/>
      <c r="C677" s="1199" t="s">
        <v>104</v>
      </c>
      <c r="D677" s="1200"/>
      <c r="E677" s="129"/>
      <c r="F677" s="130">
        <f>SUM(F670:F676)</f>
        <v>231715</v>
      </c>
      <c r="G677" s="130">
        <f>SUM(G670:G676)</f>
        <v>230000</v>
      </c>
      <c r="H677" s="131">
        <f>SUM(H670:H676)</f>
        <v>1715</v>
      </c>
      <c r="I677" s="132">
        <f>+J677+K677</f>
        <v>2316772</v>
      </c>
      <c r="J677" s="133">
        <f>SUM(J670:J676)</f>
        <v>2295750</v>
      </c>
      <c r="K677" s="133">
        <f>SUM(K670:K676)</f>
        <v>21022</v>
      </c>
      <c r="L677" s="134"/>
      <c r="M677" s="135"/>
      <c r="N677" s="136"/>
      <c r="O677" s="137">
        <f>SUM(O670:O676)</f>
        <v>5181353.5999999996</v>
      </c>
      <c r="P677" s="1197"/>
    </row>
    <row r="678" spans="2:16" x14ac:dyDescent="0.3">
      <c r="B678" s="1194"/>
      <c r="C678" s="32"/>
      <c r="D678" s="118" t="s">
        <v>58</v>
      </c>
      <c r="E678" s="98">
        <v>0</v>
      </c>
      <c r="F678" s="4">
        <f t="shared" ref="F678:F681" si="521">+G678+H678</f>
        <v>0</v>
      </c>
      <c r="G678" s="4">
        <v>0</v>
      </c>
      <c r="H678" s="8">
        <v>0</v>
      </c>
      <c r="I678" s="6">
        <f t="shared" ref="I678:I682" si="522">J678+K678</f>
        <v>0</v>
      </c>
      <c r="J678" s="4">
        <f>G678+J613</f>
        <v>0</v>
      </c>
      <c r="K678" s="4">
        <f>H678+K613</f>
        <v>0</v>
      </c>
      <c r="L678" s="33" t="e">
        <f t="shared" ref="L678" si="523">+J678/E678</f>
        <v>#DIV/0!</v>
      </c>
      <c r="M678" s="105">
        <v>12.029500000000001</v>
      </c>
      <c r="N678" s="34">
        <f>M678*G678</f>
        <v>0</v>
      </c>
      <c r="O678" s="87">
        <f t="shared" ref="O678:O680" si="524">M678*J678</f>
        <v>0</v>
      </c>
      <c r="P678" s="1196"/>
    </row>
    <row r="679" spans="2:16" x14ac:dyDescent="0.3">
      <c r="B679" s="1194"/>
      <c r="C679" s="35"/>
      <c r="D679" s="119" t="s">
        <v>59</v>
      </c>
      <c r="E679" s="99">
        <v>0</v>
      </c>
      <c r="F679" s="9">
        <f t="shared" si="521"/>
        <v>0</v>
      </c>
      <c r="G679" s="9">
        <v>0</v>
      </c>
      <c r="H679" s="10">
        <v>0</v>
      </c>
      <c r="I679" s="6">
        <f t="shared" si="522"/>
        <v>0</v>
      </c>
      <c r="J679" s="4">
        <f>G679+J614</f>
        <v>0</v>
      </c>
      <c r="K679" s="4">
        <f>H679+K614</f>
        <v>0</v>
      </c>
      <c r="L679" s="33"/>
      <c r="M679" s="106">
        <v>0</v>
      </c>
      <c r="N679" s="36"/>
      <c r="O679" s="88">
        <f t="shared" si="524"/>
        <v>0</v>
      </c>
      <c r="P679" s="1196"/>
    </row>
    <row r="680" spans="2:16" x14ac:dyDescent="0.3">
      <c r="B680" s="1194"/>
      <c r="C680" s="35"/>
      <c r="D680" s="119" t="s">
        <v>97</v>
      </c>
      <c r="E680" s="99">
        <v>0</v>
      </c>
      <c r="F680" s="9">
        <f t="shared" si="521"/>
        <v>0</v>
      </c>
      <c r="G680" s="9">
        <v>0</v>
      </c>
      <c r="H680" s="10">
        <v>0</v>
      </c>
      <c r="I680" s="6">
        <f t="shared" si="522"/>
        <v>0</v>
      </c>
      <c r="J680" s="4">
        <f t="shared" ref="J680:J682" si="525">G680+J615</f>
        <v>0</v>
      </c>
      <c r="K680" s="4">
        <f t="shared" ref="K680:K682" si="526">H680+K615</f>
        <v>0</v>
      </c>
      <c r="L680" s="33" t="e">
        <f t="shared" ref="L680:L682" si="527">+J680/E680</f>
        <v>#DIV/0!</v>
      </c>
      <c r="M680" s="106">
        <v>19.688600000000001</v>
      </c>
      <c r="N680" s="36">
        <f>M680*G680</f>
        <v>0</v>
      </c>
      <c r="O680" s="88">
        <f t="shared" si="524"/>
        <v>0</v>
      </c>
      <c r="P680" s="1196"/>
    </row>
    <row r="681" spans="2:16" x14ac:dyDescent="0.3">
      <c r="B681" s="1194"/>
      <c r="C681" s="35"/>
      <c r="D681" s="119" t="s">
        <v>61</v>
      </c>
      <c r="E681" s="99">
        <v>0</v>
      </c>
      <c r="F681" s="9">
        <f t="shared" si="521"/>
        <v>0</v>
      </c>
      <c r="G681" s="9">
        <v>0</v>
      </c>
      <c r="H681" s="10">
        <v>0</v>
      </c>
      <c r="I681" s="6">
        <f t="shared" si="522"/>
        <v>0</v>
      </c>
      <c r="J681" s="4">
        <f t="shared" si="525"/>
        <v>0</v>
      </c>
      <c r="K681" s="4">
        <f t="shared" si="526"/>
        <v>0</v>
      </c>
      <c r="L681" s="33" t="e">
        <f t="shared" si="527"/>
        <v>#DIV/0!</v>
      </c>
      <c r="M681" s="106">
        <v>1.2824</v>
      </c>
      <c r="N681" s="151">
        <f>M681*G681</f>
        <v>0</v>
      </c>
      <c r="O681" s="88">
        <f>M681*J681</f>
        <v>0</v>
      </c>
      <c r="P681" s="1196"/>
    </row>
    <row r="682" spans="2:16" ht="15" thickBot="1" x14ac:dyDescent="0.35">
      <c r="B682" s="1194"/>
      <c r="C682" s="82"/>
      <c r="D682" s="120" t="s">
        <v>60</v>
      </c>
      <c r="E682" s="108">
        <v>0</v>
      </c>
      <c r="F682" s="12">
        <v>0</v>
      </c>
      <c r="G682" s="12">
        <v>12960</v>
      </c>
      <c r="H682" s="13">
        <v>212</v>
      </c>
      <c r="I682" s="21">
        <f t="shared" si="522"/>
        <v>34946</v>
      </c>
      <c r="J682" s="4">
        <f t="shared" si="525"/>
        <v>34560</v>
      </c>
      <c r="K682" s="4">
        <f t="shared" si="526"/>
        <v>386</v>
      </c>
      <c r="L682" s="81" t="e">
        <f t="shared" si="527"/>
        <v>#DIV/0!</v>
      </c>
      <c r="M682" s="107">
        <v>18.2316</v>
      </c>
      <c r="N682" s="75"/>
      <c r="O682" s="89">
        <f t="shared" ref="O682" si="528">M682*J682</f>
        <v>630084.09600000002</v>
      </c>
      <c r="P682" s="1198"/>
    </row>
    <row r="683" spans="2:16" ht="15" thickBot="1" x14ac:dyDescent="0.35">
      <c r="B683" s="1178" t="s">
        <v>105</v>
      </c>
      <c r="C683" s="1179"/>
      <c r="D683" s="1179"/>
      <c r="E683" s="124"/>
      <c r="F683" s="125">
        <f>+G683+H683</f>
        <v>13172</v>
      </c>
      <c r="G683" s="125">
        <f>SUM(G678:G682)</f>
        <v>12960</v>
      </c>
      <c r="H683" s="126">
        <f>SUM(H678:H682)</f>
        <v>212</v>
      </c>
      <c r="I683" s="121">
        <f>J683+K683</f>
        <v>34946</v>
      </c>
      <c r="J683" s="122">
        <f>SUM(J678:J682)</f>
        <v>34560</v>
      </c>
      <c r="K683" s="123">
        <f>SUM(K678:K682)</f>
        <v>386</v>
      </c>
      <c r="L683" s="138"/>
      <c r="M683" s="139"/>
      <c r="N683" s="140"/>
      <c r="O683" s="141">
        <f>SUM(O678:O682)</f>
        <v>630084.09600000002</v>
      </c>
      <c r="P683" s="197"/>
    </row>
    <row r="684" spans="2:16" ht="15" thickBot="1" x14ac:dyDescent="0.35">
      <c r="B684" s="1178" t="s">
        <v>98</v>
      </c>
      <c r="C684" s="1179"/>
      <c r="D684" s="1179"/>
      <c r="E684" s="1201"/>
      <c r="F684" s="1201"/>
      <c r="G684" s="1201"/>
      <c r="H684" s="1201"/>
      <c r="I684" s="1179"/>
      <c r="J684" s="1179"/>
      <c r="K684" s="1179"/>
      <c r="L684" s="1179"/>
      <c r="M684" s="1179"/>
      <c r="N684" s="1202"/>
      <c r="O684" s="83">
        <f>O677+O683</f>
        <v>5811437.6959999995</v>
      </c>
      <c r="P684" s="197"/>
    </row>
    <row r="685" spans="2:16" x14ac:dyDescent="0.3">
      <c r="B685" s="1193" t="s">
        <v>62</v>
      </c>
      <c r="C685" s="37" t="s">
        <v>63</v>
      </c>
      <c r="D685" s="28" t="s">
        <v>64</v>
      </c>
      <c r="E685" s="38">
        <v>0</v>
      </c>
      <c r="F685" s="14">
        <f>+G685+H685</f>
        <v>0</v>
      </c>
      <c r="G685" s="14">
        <v>0</v>
      </c>
      <c r="H685" s="5">
        <v>0</v>
      </c>
      <c r="I685" s="17">
        <f t="shared" ref="I685:I691" si="529">J685+K685</f>
        <v>0</v>
      </c>
      <c r="J685" s="4">
        <f>G685+J620</f>
        <v>0</v>
      </c>
      <c r="K685" s="4">
        <f>H685+K620</f>
        <v>0</v>
      </c>
      <c r="L685" s="30" t="e">
        <f>+J685/E685</f>
        <v>#DIV/0!</v>
      </c>
      <c r="M685" s="146">
        <v>2.2141000000000002</v>
      </c>
      <c r="N685" s="15">
        <f>+M685*G685</f>
        <v>0</v>
      </c>
      <c r="O685" s="90">
        <f>+M685*J685</f>
        <v>0</v>
      </c>
      <c r="P685" s="1204"/>
    </row>
    <row r="686" spans="2:16" x14ac:dyDescent="0.3">
      <c r="B686" s="1194"/>
      <c r="C686" s="39"/>
      <c r="D686" s="22" t="s">
        <v>65</v>
      </c>
      <c r="E686" s="3">
        <v>0</v>
      </c>
      <c r="F686" s="9">
        <f t="shared" ref="F686:F691" si="530">+G686+H686</f>
        <v>0</v>
      </c>
      <c r="G686" s="4">
        <v>0</v>
      </c>
      <c r="H686" s="8">
        <v>0</v>
      </c>
      <c r="I686" s="6">
        <f t="shared" si="529"/>
        <v>0</v>
      </c>
      <c r="J686" s="4">
        <f>+G686+J621</f>
        <v>0</v>
      </c>
      <c r="K686" s="4">
        <f>+H686+K621</f>
        <v>0</v>
      </c>
      <c r="L686" s="40" t="e">
        <f t="shared" ref="L686:L687" si="531">+J686/E686</f>
        <v>#DIV/0!</v>
      </c>
      <c r="M686" s="145">
        <v>2.4565999999999999</v>
      </c>
      <c r="N686" s="11">
        <f t="shared" ref="N686:N688" si="532">+M686*G686</f>
        <v>0</v>
      </c>
      <c r="O686" s="91">
        <f t="shared" ref="O686:O688" si="533">+M686*J686</f>
        <v>0</v>
      </c>
      <c r="P686" s="1205"/>
    </row>
    <row r="687" spans="2:16" x14ac:dyDescent="0.3">
      <c r="B687" s="1194"/>
      <c r="C687" s="39"/>
      <c r="D687" s="23" t="s">
        <v>126</v>
      </c>
      <c r="E687" s="3">
        <v>0</v>
      </c>
      <c r="F687" s="9">
        <f t="shared" si="530"/>
        <v>0</v>
      </c>
      <c r="G687" s="4">
        <v>0</v>
      </c>
      <c r="H687" s="8">
        <v>0</v>
      </c>
      <c r="I687" s="6">
        <f t="shared" si="529"/>
        <v>0</v>
      </c>
      <c r="J687" s="4">
        <f t="shared" ref="J687:J688" si="534">+G687+J622</f>
        <v>0</v>
      </c>
      <c r="K687" s="4">
        <f t="shared" ref="K687:K691" si="535">+H687+K622</f>
        <v>0</v>
      </c>
      <c r="L687" s="40" t="e">
        <f t="shared" si="531"/>
        <v>#DIV/0!</v>
      </c>
      <c r="M687" s="145">
        <v>2.2907000000000002</v>
      </c>
      <c r="N687" s="11">
        <f t="shared" si="532"/>
        <v>0</v>
      </c>
      <c r="O687" s="91">
        <f t="shared" si="533"/>
        <v>0</v>
      </c>
      <c r="P687" s="1205"/>
    </row>
    <row r="688" spans="2:16" x14ac:dyDescent="0.3">
      <c r="B688" s="1194"/>
      <c r="C688" s="39"/>
      <c r="D688" s="22" t="s">
        <v>131</v>
      </c>
      <c r="E688" s="3"/>
      <c r="F688" s="9">
        <f t="shared" si="530"/>
        <v>0</v>
      </c>
      <c r="G688" s="4">
        <v>0</v>
      </c>
      <c r="H688" s="8">
        <v>0</v>
      </c>
      <c r="I688" s="6">
        <f t="shared" si="529"/>
        <v>0</v>
      </c>
      <c r="J688" s="4">
        <f t="shared" si="534"/>
        <v>0</v>
      </c>
      <c r="K688" s="4">
        <f t="shared" si="535"/>
        <v>0</v>
      </c>
      <c r="L688" s="33"/>
      <c r="M688" s="150">
        <v>2.544</v>
      </c>
      <c r="N688" s="11">
        <f t="shared" si="532"/>
        <v>0</v>
      </c>
      <c r="O688" s="91">
        <f t="shared" si="533"/>
        <v>0</v>
      </c>
      <c r="P688" s="1205"/>
    </row>
    <row r="689" spans="2:16" x14ac:dyDescent="0.3">
      <c r="B689" s="1194"/>
      <c r="C689" s="39" t="s">
        <v>66</v>
      </c>
      <c r="D689" s="22" t="s">
        <v>133</v>
      </c>
      <c r="E689" s="3">
        <v>0</v>
      </c>
      <c r="F689" s="9">
        <f t="shared" si="530"/>
        <v>33430</v>
      </c>
      <c r="G689" s="4">
        <v>31500</v>
      </c>
      <c r="H689" s="8">
        <v>1930</v>
      </c>
      <c r="I689" s="6">
        <f t="shared" si="529"/>
        <v>524562</v>
      </c>
      <c r="J689" s="4">
        <f>+G689+J624</f>
        <v>511750</v>
      </c>
      <c r="K689" s="4">
        <f t="shared" si="535"/>
        <v>12812</v>
      </c>
      <c r="L689" s="33" t="e">
        <f>+J689/E689</f>
        <v>#DIV/0!</v>
      </c>
      <c r="M689" s="144">
        <v>2.2141000000000002</v>
      </c>
      <c r="N689" s="7">
        <f>+M689*G689</f>
        <v>69744.150000000009</v>
      </c>
      <c r="O689" s="85">
        <f>+M689*J689</f>
        <v>1133065.675</v>
      </c>
      <c r="P689" s="1205"/>
    </row>
    <row r="690" spans="2:16" x14ac:dyDescent="0.3">
      <c r="B690" s="1194"/>
      <c r="C690" s="39"/>
      <c r="D690" s="22" t="s">
        <v>65</v>
      </c>
      <c r="E690" s="3">
        <v>0</v>
      </c>
      <c r="F690" s="9">
        <f t="shared" si="530"/>
        <v>0</v>
      </c>
      <c r="G690" s="4">
        <v>0</v>
      </c>
      <c r="H690" s="8">
        <v>0</v>
      </c>
      <c r="I690" s="6">
        <f t="shared" si="529"/>
        <v>0</v>
      </c>
      <c r="J690" s="4">
        <f t="shared" ref="J690:J691" si="536">+G690+J625</f>
        <v>0</v>
      </c>
      <c r="K690" s="4">
        <f t="shared" si="535"/>
        <v>0</v>
      </c>
      <c r="L690" s="40" t="e">
        <f t="shared" ref="L690:L691" si="537">+J690/E690</f>
        <v>#DIV/0!</v>
      </c>
      <c r="M690" s="145">
        <v>2.4565999999999999</v>
      </c>
      <c r="N690" s="11">
        <f t="shared" ref="N690:N691" si="538">+M690*G690</f>
        <v>0</v>
      </c>
      <c r="O690" s="91">
        <f t="shared" ref="O690" si="539">+M690*J690</f>
        <v>0</v>
      </c>
      <c r="P690" s="1205"/>
    </row>
    <row r="691" spans="2:16" ht="15" thickBot="1" x14ac:dyDescent="0.35">
      <c r="B691" s="1194"/>
      <c r="C691" s="39"/>
      <c r="D691" s="22" t="s">
        <v>126</v>
      </c>
      <c r="E691" s="3">
        <v>0</v>
      </c>
      <c r="F691" s="9">
        <f t="shared" si="530"/>
        <v>0</v>
      </c>
      <c r="G691" s="4">
        <v>0</v>
      </c>
      <c r="H691" s="8">
        <v>0</v>
      </c>
      <c r="I691" s="6">
        <f t="shared" si="529"/>
        <v>0</v>
      </c>
      <c r="J691" s="4">
        <f t="shared" si="536"/>
        <v>0</v>
      </c>
      <c r="K691" s="4">
        <f t="shared" si="535"/>
        <v>0</v>
      </c>
      <c r="L691" s="40" t="e">
        <f t="shared" si="537"/>
        <v>#DIV/0!</v>
      </c>
      <c r="M691" s="145">
        <v>2.2907000000000002</v>
      </c>
      <c r="N691" s="11">
        <f t="shared" si="538"/>
        <v>0</v>
      </c>
      <c r="O691" s="154">
        <f>+M691*J691</f>
        <v>0</v>
      </c>
      <c r="P691" s="1206"/>
    </row>
    <row r="692" spans="2:16" ht="15" thickBot="1" x14ac:dyDescent="0.35">
      <c r="B692" s="1194"/>
      <c r="C692" s="41" t="s">
        <v>29</v>
      </c>
      <c r="D692" s="27" t="str">
        <f>+C692</f>
        <v>TOTAL 1/2</v>
      </c>
      <c r="E692" s="42">
        <f>SUM(E685:E691)</f>
        <v>0</v>
      </c>
      <c r="F692" s="43">
        <f>SUM(F685:F691)</f>
        <v>33430</v>
      </c>
      <c r="G692" s="43">
        <f>SUM(G685:G691)</f>
        <v>31500</v>
      </c>
      <c r="H692" s="44">
        <f>SUM(H685:H691)</f>
        <v>1930</v>
      </c>
      <c r="I692" s="45">
        <f>SUM(I689:I691)</f>
        <v>524562</v>
      </c>
      <c r="J692" s="43">
        <f>SUM(J685:J691)</f>
        <v>511750</v>
      </c>
      <c r="K692" s="43">
        <f>SUM(K685:K691)</f>
        <v>12812</v>
      </c>
      <c r="L692" s="46" t="e">
        <f>+J692/E692</f>
        <v>#DIV/0!</v>
      </c>
      <c r="M692" s="47"/>
      <c r="N692" s="48">
        <f>SUM(N689:N691)</f>
        <v>69744.150000000009</v>
      </c>
      <c r="O692" s="49">
        <f>SUM(O685:O691)</f>
        <v>1133065.675</v>
      </c>
      <c r="P692" s="198"/>
    </row>
    <row r="693" spans="2:16" x14ac:dyDescent="0.3">
      <c r="B693" s="1194"/>
      <c r="C693" s="1207" t="s">
        <v>67</v>
      </c>
      <c r="D693" s="22" t="s">
        <v>64</v>
      </c>
      <c r="E693" s="3">
        <v>0</v>
      </c>
      <c r="F693" s="4">
        <f>G693+H693</f>
        <v>0</v>
      </c>
      <c r="G693" s="4">
        <v>0</v>
      </c>
      <c r="H693" s="8">
        <v>0</v>
      </c>
      <c r="I693" s="16">
        <f>J693+K693</f>
        <v>109220</v>
      </c>
      <c r="J693" s="4">
        <f>G693+J628</f>
        <v>105750</v>
      </c>
      <c r="K693" s="4">
        <f>H693+K628</f>
        <v>3470</v>
      </c>
      <c r="L693" s="50" t="e">
        <f>+J693/E693</f>
        <v>#DIV/0!</v>
      </c>
      <c r="M693" s="144">
        <v>4.1712999999999996</v>
      </c>
      <c r="N693" s="7">
        <f>+M693*G693</f>
        <v>0</v>
      </c>
      <c r="O693" s="93">
        <f>+M693*J693</f>
        <v>441114.97499999998</v>
      </c>
      <c r="P693" s="1204"/>
    </row>
    <row r="694" spans="2:16" x14ac:dyDescent="0.3">
      <c r="B694" s="1194"/>
      <c r="C694" s="1208"/>
      <c r="D694" s="22" t="s">
        <v>65</v>
      </c>
      <c r="E694" s="3">
        <v>0</v>
      </c>
      <c r="F694" s="4">
        <f>G694+H694</f>
        <v>0</v>
      </c>
      <c r="G694" s="4">
        <v>0</v>
      </c>
      <c r="H694" s="8">
        <v>0</v>
      </c>
      <c r="I694" s="6">
        <f>+R1738+F694</f>
        <v>0</v>
      </c>
      <c r="J694" s="4">
        <f>G694+J629</f>
        <v>120000</v>
      </c>
      <c r="K694" s="4">
        <f>H694+K629</f>
        <v>3230</v>
      </c>
      <c r="L694" s="51" t="e">
        <f t="shared" ref="L694:L698" si="540">+J694/E694</f>
        <v>#DIV/0!</v>
      </c>
      <c r="M694" s="145">
        <v>4.8285999999999998</v>
      </c>
      <c r="N694" s="11">
        <f t="shared" ref="N694:N696" si="541">+M694*G694</f>
        <v>0</v>
      </c>
      <c r="O694" s="94">
        <f t="shared" ref="O694:O696" si="542">+M694*J694</f>
        <v>579432</v>
      </c>
      <c r="P694" s="1205"/>
    </row>
    <row r="695" spans="2:16" x14ac:dyDescent="0.3">
      <c r="B695" s="1194"/>
      <c r="C695" s="1208"/>
      <c r="D695" s="22" t="s">
        <v>127</v>
      </c>
      <c r="E695" s="3"/>
      <c r="F695" s="4">
        <f>G695+H695</f>
        <v>0</v>
      </c>
      <c r="G695" s="4">
        <v>0</v>
      </c>
      <c r="H695" s="8">
        <v>0</v>
      </c>
      <c r="I695" s="6">
        <f>+R1739+F695</f>
        <v>0</v>
      </c>
      <c r="J695" s="4">
        <f t="shared" ref="J695:J696" si="543">G695+J630</f>
        <v>0</v>
      </c>
      <c r="K695" s="4">
        <f t="shared" ref="K695:K696" si="544">H695+K630</f>
        <v>0</v>
      </c>
      <c r="L695" s="51" t="e">
        <f t="shared" si="540"/>
        <v>#DIV/0!</v>
      </c>
      <c r="M695" s="144">
        <v>4.5023</v>
      </c>
      <c r="N695" s="11">
        <f t="shared" si="541"/>
        <v>0</v>
      </c>
      <c r="O695" s="94">
        <f t="shared" si="542"/>
        <v>0</v>
      </c>
      <c r="P695" s="1205"/>
    </row>
    <row r="696" spans="2:16" ht="15" thickBot="1" x14ac:dyDescent="0.35">
      <c r="B696" s="1194"/>
      <c r="C696" s="1208"/>
      <c r="D696" s="22" t="s">
        <v>111</v>
      </c>
      <c r="E696" s="3">
        <v>0</v>
      </c>
      <c r="F696" s="4">
        <f t="shared" ref="F696" si="545">G696+H696</f>
        <v>0</v>
      </c>
      <c r="G696" s="4">
        <v>0</v>
      </c>
      <c r="H696" s="8">
        <v>0</v>
      </c>
      <c r="I696" s="6">
        <f>+R1739+F696</f>
        <v>0</v>
      </c>
      <c r="J696" s="4">
        <f t="shared" si="543"/>
        <v>0</v>
      </c>
      <c r="K696" s="4">
        <f t="shared" si="544"/>
        <v>0</v>
      </c>
      <c r="L696" s="51" t="e">
        <f t="shared" si="540"/>
        <v>#DIV/0!</v>
      </c>
      <c r="M696" s="144">
        <v>4.4065000000000003</v>
      </c>
      <c r="N696" s="11">
        <f t="shared" si="541"/>
        <v>0</v>
      </c>
      <c r="O696" s="94">
        <f t="shared" si="542"/>
        <v>0</v>
      </c>
      <c r="P696" s="1205"/>
    </row>
    <row r="697" spans="2:16" ht="15" thickBot="1" x14ac:dyDescent="0.35">
      <c r="B697" s="1194"/>
      <c r="C697" s="41" t="s">
        <v>31</v>
      </c>
      <c r="D697" s="18" t="str">
        <f>+C697</f>
        <v>TOTAL 4/4</v>
      </c>
      <c r="E697" s="42">
        <f t="shared" ref="E697:K697" si="546">SUM(E693:E696)</f>
        <v>0</v>
      </c>
      <c r="F697" s="43">
        <f t="shared" si="546"/>
        <v>0</v>
      </c>
      <c r="G697" s="43">
        <f t="shared" si="546"/>
        <v>0</v>
      </c>
      <c r="H697" s="44">
        <f t="shared" si="546"/>
        <v>0</v>
      </c>
      <c r="I697" s="45">
        <f t="shared" si="546"/>
        <v>109220</v>
      </c>
      <c r="J697" s="43">
        <f t="shared" si="546"/>
        <v>225750</v>
      </c>
      <c r="K697" s="43">
        <f t="shared" si="546"/>
        <v>6700</v>
      </c>
      <c r="L697" s="46" t="e">
        <f t="shared" si="540"/>
        <v>#DIV/0!</v>
      </c>
      <c r="M697" s="47"/>
      <c r="N697" s="48">
        <f>SUM(N693:N696)</f>
        <v>0</v>
      </c>
      <c r="O697" s="92">
        <f>SUM(O693:O696)</f>
        <v>1020546.975</v>
      </c>
      <c r="P697" s="1206"/>
    </row>
    <row r="698" spans="2:16" ht="15" thickBot="1" x14ac:dyDescent="0.35">
      <c r="B698" s="1203"/>
      <c r="C698" s="41" t="s">
        <v>68</v>
      </c>
      <c r="D698" s="27" t="s">
        <v>64</v>
      </c>
      <c r="E698" s="25">
        <v>0</v>
      </c>
      <c r="F698" s="20">
        <f>G698+H698</f>
        <v>0</v>
      </c>
      <c r="G698" s="20">
        <v>0</v>
      </c>
      <c r="H698" s="24">
        <v>0</v>
      </c>
      <c r="I698" s="19">
        <f>J698+K698</f>
        <v>0</v>
      </c>
      <c r="J698" s="4">
        <f>G698+J633</f>
        <v>0</v>
      </c>
      <c r="K698" s="4">
        <f>H698+K633</f>
        <v>0</v>
      </c>
      <c r="L698" s="52" t="e">
        <f t="shared" si="540"/>
        <v>#DIV/0!</v>
      </c>
      <c r="M698" s="149">
        <v>1.4086000000000001</v>
      </c>
      <c r="N698" s="26">
        <f t="shared" ref="N698" si="547">+M698*G698</f>
        <v>0</v>
      </c>
      <c r="O698" s="95">
        <f t="shared" ref="O698" si="548">+M698*J698</f>
        <v>0</v>
      </c>
      <c r="P698" s="53"/>
    </row>
    <row r="699" spans="2:16" ht="15" thickBot="1" x14ac:dyDescent="0.35">
      <c r="B699" s="1178" t="s">
        <v>95</v>
      </c>
      <c r="C699" s="1179"/>
      <c r="D699" s="1179"/>
      <c r="E699" s="1179"/>
      <c r="F699" s="1179"/>
      <c r="G699" s="1179"/>
      <c r="H699" s="1179"/>
      <c r="I699" s="110">
        <f>J699+K699</f>
        <v>757012</v>
      </c>
      <c r="J699" s="110">
        <f>J692+J697+J698</f>
        <v>737500</v>
      </c>
      <c r="K699" s="110">
        <f>K692+K697+K698</f>
        <v>19512</v>
      </c>
      <c r="L699" s="111"/>
      <c r="M699" s="112"/>
      <c r="N699" s="109"/>
      <c r="O699" s="77">
        <f>+O698+O697+O692</f>
        <v>2153612.65</v>
      </c>
      <c r="P699" s="84"/>
    </row>
    <row r="700" spans="2:16" x14ac:dyDescent="0.3">
      <c r="B700" s="1180" t="s">
        <v>69</v>
      </c>
      <c r="C700" s="1183" t="s">
        <v>70</v>
      </c>
      <c r="D700" s="54" t="s">
        <v>71</v>
      </c>
      <c r="E700" s="55">
        <v>0</v>
      </c>
      <c r="F700" s="56">
        <f>G700+H700</f>
        <v>5000</v>
      </c>
      <c r="G700" s="56">
        <v>5000</v>
      </c>
      <c r="H700" s="57">
        <v>0</v>
      </c>
      <c r="I700" s="78">
        <f>J700+K700</f>
        <v>10070</v>
      </c>
      <c r="J700" s="4">
        <f>G700+J635</f>
        <v>10000</v>
      </c>
      <c r="K700" s="4">
        <f>H700+K635</f>
        <v>70</v>
      </c>
      <c r="L700" s="58" t="e">
        <f t="shared" ref="L700" si="549">+J700/E700</f>
        <v>#DIV/0!</v>
      </c>
      <c r="M700" s="59">
        <v>32.946300000000001</v>
      </c>
      <c r="N700" s="60">
        <f>+M700*G700</f>
        <v>164731.5</v>
      </c>
      <c r="O700" s="60">
        <f>M700*J700</f>
        <v>329463</v>
      </c>
      <c r="P700" s="1185"/>
    </row>
    <row r="701" spans="2:16" x14ac:dyDescent="0.3">
      <c r="B701" s="1181"/>
      <c r="C701" s="1184"/>
      <c r="D701" s="61" t="s">
        <v>72</v>
      </c>
      <c r="E701" s="62">
        <v>0</v>
      </c>
      <c r="F701" s="63">
        <f>G701+H701</f>
        <v>0</v>
      </c>
      <c r="G701" s="63">
        <v>0</v>
      </c>
      <c r="H701" s="64">
        <v>0</v>
      </c>
      <c r="I701" s="79">
        <f>J701+K701</f>
        <v>31833</v>
      </c>
      <c r="J701" s="4">
        <f>G701+J636</f>
        <v>31420</v>
      </c>
      <c r="K701" s="4">
        <f>H701+K636</f>
        <v>413</v>
      </c>
      <c r="L701" s="65" t="e">
        <f>+J701/E701</f>
        <v>#DIV/0!</v>
      </c>
      <c r="M701" s="66">
        <v>35.398400000000002</v>
      </c>
      <c r="N701" s="67">
        <f>+M701*G701</f>
        <v>0</v>
      </c>
      <c r="O701" s="67">
        <f>M701*J701</f>
        <v>1112217.7280000001</v>
      </c>
      <c r="P701" s="1186"/>
    </row>
    <row r="702" spans="2:16" x14ac:dyDescent="0.3">
      <c r="B702" s="1181"/>
      <c r="C702" s="1184"/>
      <c r="D702" s="61" t="s">
        <v>73</v>
      </c>
      <c r="E702" s="62">
        <v>0</v>
      </c>
      <c r="F702" s="63">
        <f t="shared" ref="F702:F705" si="550">G702+H702</f>
        <v>0</v>
      </c>
      <c r="G702" s="63">
        <v>0</v>
      </c>
      <c r="H702" s="64">
        <v>0</v>
      </c>
      <c r="I702" s="79">
        <f t="shared" ref="I702:I711" si="551">J702+K702</f>
        <v>0</v>
      </c>
      <c r="J702" s="4">
        <f t="shared" ref="J702:J727" si="552">G702+J637</f>
        <v>0</v>
      </c>
      <c r="K702" s="4">
        <f t="shared" ref="K702:K706" si="553">H702+K637</f>
        <v>0</v>
      </c>
      <c r="L702" s="65" t="e">
        <f t="shared" ref="L702:L715" si="554">+J702/E702</f>
        <v>#DIV/0!</v>
      </c>
      <c r="M702" s="66">
        <v>32.946300000000001</v>
      </c>
      <c r="N702" s="67">
        <f t="shared" ref="N702:N722" si="555">+M702*G702</f>
        <v>0</v>
      </c>
      <c r="O702" s="67">
        <f t="shared" ref="O702:O710" si="556">M702*J702</f>
        <v>0</v>
      </c>
      <c r="P702" s="1186"/>
    </row>
    <row r="703" spans="2:16" x14ac:dyDescent="0.3">
      <c r="B703" s="1181"/>
      <c r="C703" s="1184" t="s">
        <v>74</v>
      </c>
      <c r="D703" s="61" t="s">
        <v>75</v>
      </c>
      <c r="E703" s="62">
        <v>0</v>
      </c>
      <c r="F703" s="63">
        <f t="shared" si="550"/>
        <v>0</v>
      </c>
      <c r="G703" s="63">
        <v>0</v>
      </c>
      <c r="H703" s="64">
        <v>0</v>
      </c>
      <c r="I703" s="79">
        <f t="shared" si="551"/>
        <v>12279</v>
      </c>
      <c r="J703" s="4">
        <f t="shared" si="552"/>
        <v>12000</v>
      </c>
      <c r="K703" s="4">
        <f t="shared" si="553"/>
        <v>279</v>
      </c>
      <c r="L703" s="65" t="e">
        <f t="shared" si="554"/>
        <v>#DIV/0!</v>
      </c>
      <c r="M703" s="66">
        <v>55.4758</v>
      </c>
      <c r="N703" s="67">
        <f t="shared" si="555"/>
        <v>0</v>
      </c>
      <c r="O703" s="67">
        <f t="shared" si="556"/>
        <v>665709.6</v>
      </c>
      <c r="P703" s="1186"/>
    </row>
    <row r="704" spans="2:16" x14ac:dyDescent="0.3">
      <c r="B704" s="1181"/>
      <c r="C704" s="1184"/>
      <c r="D704" s="61" t="s">
        <v>134</v>
      </c>
      <c r="E704" s="62">
        <v>0</v>
      </c>
      <c r="F704" s="63">
        <f t="shared" si="550"/>
        <v>0</v>
      </c>
      <c r="G704" s="63">
        <v>0</v>
      </c>
      <c r="H704" s="64">
        <v>0</v>
      </c>
      <c r="I704" s="79">
        <f t="shared" si="551"/>
        <v>0</v>
      </c>
      <c r="J704" s="4">
        <f t="shared" si="552"/>
        <v>0</v>
      </c>
      <c r="K704" s="4">
        <f t="shared" si="553"/>
        <v>0</v>
      </c>
      <c r="L704" s="65" t="e">
        <f t="shared" si="554"/>
        <v>#DIV/0!</v>
      </c>
      <c r="M704" s="66">
        <v>53.515999999999998</v>
      </c>
      <c r="N704" s="67">
        <f t="shared" si="555"/>
        <v>0</v>
      </c>
      <c r="O704" s="67">
        <f t="shared" si="556"/>
        <v>0</v>
      </c>
      <c r="P704" s="1186"/>
    </row>
    <row r="705" spans="2:16" x14ac:dyDescent="0.3">
      <c r="B705" s="1181"/>
      <c r="C705" s="1184"/>
      <c r="D705" s="61" t="s">
        <v>72</v>
      </c>
      <c r="E705" s="62">
        <v>0</v>
      </c>
      <c r="F705" s="63">
        <f t="shared" si="550"/>
        <v>0</v>
      </c>
      <c r="G705" s="63">
        <v>0</v>
      </c>
      <c r="H705" s="64">
        <v>0</v>
      </c>
      <c r="I705" s="79">
        <f t="shared" si="551"/>
        <v>9804</v>
      </c>
      <c r="J705" s="4">
        <f t="shared" si="552"/>
        <v>9600</v>
      </c>
      <c r="K705" s="4">
        <f t="shared" si="553"/>
        <v>204</v>
      </c>
      <c r="L705" s="65" t="e">
        <f t="shared" si="554"/>
        <v>#DIV/0!</v>
      </c>
      <c r="M705" s="66">
        <v>58.836300000000001</v>
      </c>
      <c r="N705" s="67">
        <f t="shared" si="555"/>
        <v>0</v>
      </c>
      <c r="O705" s="67">
        <f t="shared" si="556"/>
        <v>564828.48</v>
      </c>
      <c r="P705" s="1186"/>
    </row>
    <row r="706" spans="2:16" x14ac:dyDescent="0.3">
      <c r="B706" s="1181"/>
      <c r="C706" s="1188" t="s">
        <v>76</v>
      </c>
      <c r="D706" s="61" t="s">
        <v>77</v>
      </c>
      <c r="E706" s="62">
        <v>0</v>
      </c>
      <c r="F706" s="63">
        <f>G706+H706</f>
        <v>3015</v>
      </c>
      <c r="G706" s="63">
        <v>3000</v>
      </c>
      <c r="H706" s="64">
        <v>15</v>
      </c>
      <c r="I706" s="79">
        <f t="shared" si="551"/>
        <v>6690</v>
      </c>
      <c r="J706" s="4">
        <f t="shared" si="552"/>
        <v>6575</v>
      </c>
      <c r="K706" s="4">
        <f t="shared" si="553"/>
        <v>115</v>
      </c>
      <c r="L706" s="65" t="e">
        <f t="shared" si="554"/>
        <v>#DIV/0!</v>
      </c>
      <c r="M706" s="66">
        <v>25.687200000000001</v>
      </c>
      <c r="N706" s="67">
        <f t="shared" si="555"/>
        <v>77061.600000000006</v>
      </c>
      <c r="O706" s="67">
        <f t="shared" si="556"/>
        <v>168893.34</v>
      </c>
      <c r="P706" s="1186"/>
    </row>
    <row r="707" spans="2:16" x14ac:dyDescent="0.3">
      <c r="B707" s="1181"/>
      <c r="C707" s="1189"/>
      <c r="D707" s="61" t="s">
        <v>117</v>
      </c>
      <c r="E707" s="62">
        <v>0</v>
      </c>
      <c r="F707" s="63">
        <f>G707+H707</f>
        <v>0</v>
      </c>
      <c r="G707" s="63">
        <v>0</v>
      </c>
      <c r="H707" s="64">
        <v>0</v>
      </c>
      <c r="I707" s="79">
        <f t="shared" si="551"/>
        <v>0</v>
      </c>
      <c r="J707" s="4">
        <f t="shared" si="552"/>
        <v>0</v>
      </c>
      <c r="K707" s="4">
        <f>H707+K642</f>
        <v>0</v>
      </c>
      <c r="L707" s="65" t="e">
        <f t="shared" si="554"/>
        <v>#DIV/0!</v>
      </c>
      <c r="M707" s="66">
        <v>25.033899999999999</v>
      </c>
      <c r="N707" s="67">
        <f t="shared" si="555"/>
        <v>0</v>
      </c>
      <c r="O707" s="67">
        <f t="shared" si="556"/>
        <v>0</v>
      </c>
      <c r="P707" s="1186"/>
    </row>
    <row r="708" spans="2:16" x14ac:dyDescent="0.3">
      <c r="B708" s="1181"/>
      <c r="C708" s="1188" t="s">
        <v>78</v>
      </c>
      <c r="D708" s="61" t="s">
        <v>79</v>
      </c>
      <c r="E708" s="62">
        <v>0</v>
      </c>
      <c r="F708" s="63">
        <f t="shared" ref="F708:F727" si="557">G708+H708</f>
        <v>2085</v>
      </c>
      <c r="G708" s="63">
        <v>2000</v>
      </c>
      <c r="H708" s="64">
        <v>85</v>
      </c>
      <c r="I708" s="79">
        <f t="shared" si="551"/>
        <v>14273</v>
      </c>
      <c r="J708" s="4">
        <f t="shared" si="552"/>
        <v>14000</v>
      </c>
      <c r="K708" s="4">
        <f t="shared" ref="K708:K727" si="558">H708+K643</f>
        <v>273</v>
      </c>
      <c r="L708" s="65" t="e">
        <f t="shared" si="554"/>
        <v>#DIV/0!</v>
      </c>
      <c r="M708" s="66">
        <v>41.992699999999999</v>
      </c>
      <c r="N708" s="67">
        <f t="shared" si="555"/>
        <v>83985.4</v>
      </c>
      <c r="O708" s="67">
        <f t="shared" si="556"/>
        <v>587897.80000000005</v>
      </c>
      <c r="P708" s="1186"/>
    </row>
    <row r="709" spans="2:16" x14ac:dyDescent="0.3">
      <c r="B709" s="1181"/>
      <c r="C709" s="1189"/>
      <c r="D709" s="61" t="s">
        <v>72</v>
      </c>
      <c r="E709" s="62">
        <v>0</v>
      </c>
      <c r="F709" s="63">
        <f t="shared" si="557"/>
        <v>0</v>
      </c>
      <c r="G709" s="63">
        <v>0</v>
      </c>
      <c r="H709" s="64">
        <v>0</v>
      </c>
      <c r="I709" s="79">
        <f t="shared" si="551"/>
        <v>0</v>
      </c>
      <c r="J709" s="4">
        <f t="shared" si="552"/>
        <v>0</v>
      </c>
      <c r="K709" s="4">
        <f t="shared" si="558"/>
        <v>0</v>
      </c>
      <c r="L709" s="65" t="e">
        <f t="shared" si="554"/>
        <v>#DIV/0!</v>
      </c>
      <c r="M709" s="66">
        <v>42.283799999999999</v>
      </c>
      <c r="N709" s="67">
        <f t="shared" si="555"/>
        <v>0</v>
      </c>
      <c r="O709" s="67">
        <f t="shared" si="556"/>
        <v>0</v>
      </c>
      <c r="P709" s="1186"/>
    </row>
    <row r="710" spans="2:16" x14ac:dyDescent="0.3">
      <c r="B710" s="1181"/>
      <c r="C710" s="196" t="s">
        <v>80</v>
      </c>
      <c r="D710" s="61" t="s">
        <v>81</v>
      </c>
      <c r="E710" s="62">
        <v>0</v>
      </c>
      <c r="F710" s="63">
        <f t="shared" si="557"/>
        <v>0</v>
      </c>
      <c r="G710" s="63">
        <v>0</v>
      </c>
      <c r="H710" s="64">
        <v>0</v>
      </c>
      <c r="I710" s="79">
        <f t="shared" si="551"/>
        <v>24803</v>
      </c>
      <c r="J710" s="4">
        <f t="shared" si="552"/>
        <v>24000</v>
      </c>
      <c r="K710" s="4">
        <f t="shared" si="558"/>
        <v>803</v>
      </c>
      <c r="L710" s="65" t="e">
        <f t="shared" si="554"/>
        <v>#DIV/0!</v>
      </c>
      <c r="M710" s="66">
        <v>4.3535000000000004</v>
      </c>
      <c r="N710" s="67">
        <f t="shared" si="555"/>
        <v>0</v>
      </c>
      <c r="O710" s="67">
        <f t="shared" si="556"/>
        <v>104484.00000000001</v>
      </c>
      <c r="P710" s="1186"/>
    </row>
    <row r="711" spans="2:16" x14ac:dyDescent="0.3">
      <c r="B711" s="1181"/>
      <c r="C711" s="1184" t="s">
        <v>82</v>
      </c>
      <c r="D711" s="61" t="s">
        <v>77</v>
      </c>
      <c r="E711" s="62">
        <v>0</v>
      </c>
      <c r="F711" s="63">
        <f t="shared" si="557"/>
        <v>0</v>
      </c>
      <c r="G711" s="63">
        <v>0</v>
      </c>
      <c r="H711" s="64">
        <v>0</v>
      </c>
      <c r="I711" s="79">
        <f t="shared" si="551"/>
        <v>0</v>
      </c>
      <c r="J711" s="4">
        <f t="shared" si="552"/>
        <v>0</v>
      </c>
      <c r="K711" s="4">
        <f t="shared" si="558"/>
        <v>0</v>
      </c>
      <c r="L711" s="65" t="e">
        <f t="shared" si="554"/>
        <v>#DIV/0!</v>
      </c>
      <c r="M711" s="66">
        <v>4.6184000000000003</v>
      </c>
      <c r="N711" s="67">
        <f t="shared" si="555"/>
        <v>0</v>
      </c>
      <c r="O711" s="67">
        <f>M711*J711</f>
        <v>0</v>
      </c>
      <c r="P711" s="1186"/>
    </row>
    <row r="712" spans="2:16" x14ac:dyDescent="0.3">
      <c r="B712" s="1181"/>
      <c r="C712" s="1184"/>
      <c r="D712" s="61" t="s">
        <v>119</v>
      </c>
      <c r="E712" s="62">
        <v>0</v>
      </c>
      <c r="F712" s="63">
        <f t="shared" si="557"/>
        <v>0</v>
      </c>
      <c r="G712" s="63">
        <v>0</v>
      </c>
      <c r="H712" s="64">
        <v>0</v>
      </c>
      <c r="I712" s="79">
        <f>J712+K712</f>
        <v>0</v>
      </c>
      <c r="J712" s="4">
        <f t="shared" si="552"/>
        <v>0</v>
      </c>
      <c r="K712" s="4">
        <f t="shared" si="558"/>
        <v>0</v>
      </c>
      <c r="L712" s="65" t="e">
        <f t="shared" si="554"/>
        <v>#DIV/0!</v>
      </c>
      <c r="M712" s="153">
        <v>4.6184000000000003</v>
      </c>
      <c r="N712" s="67">
        <f t="shared" si="555"/>
        <v>0</v>
      </c>
      <c r="O712" s="67">
        <f>M712*J712</f>
        <v>0</v>
      </c>
      <c r="P712" s="1186"/>
    </row>
    <row r="713" spans="2:16" x14ac:dyDescent="0.3">
      <c r="B713" s="1181"/>
      <c r="C713" s="1184"/>
      <c r="D713" s="61" t="s">
        <v>123</v>
      </c>
      <c r="E713" s="62">
        <v>0</v>
      </c>
      <c r="F713" s="63">
        <f t="shared" si="557"/>
        <v>0</v>
      </c>
      <c r="G713" s="63">
        <v>0</v>
      </c>
      <c r="H713" s="64">
        <v>0</v>
      </c>
      <c r="I713" s="79">
        <f t="shared" ref="I713:I727" si="559">J713+K713</f>
        <v>0</v>
      </c>
      <c r="J713" s="4">
        <f t="shared" si="552"/>
        <v>0</v>
      </c>
      <c r="K713" s="4">
        <f t="shared" si="558"/>
        <v>0</v>
      </c>
      <c r="L713" s="65" t="e">
        <f t="shared" si="554"/>
        <v>#DIV/0!</v>
      </c>
      <c r="M713" s="153">
        <v>4.6184000000000003</v>
      </c>
      <c r="N713" s="67">
        <f t="shared" si="555"/>
        <v>0</v>
      </c>
      <c r="O713" s="67">
        <f t="shared" ref="O713:O718" si="560">M713*J713</f>
        <v>0</v>
      </c>
      <c r="P713" s="1186"/>
    </row>
    <row r="714" spans="2:16" x14ac:dyDescent="0.3">
      <c r="B714" s="1181"/>
      <c r="C714" s="1184"/>
      <c r="D714" s="61" t="s">
        <v>124</v>
      </c>
      <c r="E714" s="62">
        <v>0</v>
      </c>
      <c r="F714" s="63">
        <f t="shared" si="557"/>
        <v>22742</v>
      </c>
      <c r="G714" s="63">
        <v>22000</v>
      </c>
      <c r="H714" s="64">
        <v>742</v>
      </c>
      <c r="I714" s="79">
        <f t="shared" si="559"/>
        <v>216801</v>
      </c>
      <c r="J714" s="4">
        <f t="shared" si="552"/>
        <v>210235</v>
      </c>
      <c r="K714" s="4">
        <f t="shared" si="558"/>
        <v>6566</v>
      </c>
      <c r="L714" s="65" t="e">
        <f t="shared" si="554"/>
        <v>#DIV/0!</v>
      </c>
      <c r="M714" s="153">
        <v>4.7636000000000003</v>
      </c>
      <c r="N714" s="67">
        <f t="shared" si="555"/>
        <v>104799.20000000001</v>
      </c>
      <c r="O714" s="67">
        <f t="shared" si="560"/>
        <v>1001475.4460000001</v>
      </c>
      <c r="P714" s="1186"/>
    </row>
    <row r="715" spans="2:16" x14ac:dyDescent="0.3">
      <c r="B715" s="1181"/>
      <c r="C715" s="1184"/>
      <c r="D715" s="61" t="s">
        <v>83</v>
      </c>
      <c r="E715" s="62">
        <v>0</v>
      </c>
      <c r="F715" s="63">
        <f t="shared" si="557"/>
        <v>0</v>
      </c>
      <c r="G715" s="63">
        <v>0</v>
      </c>
      <c r="H715" s="64">
        <v>0</v>
      </c>
      <c r="I715" s="79">
        <f t="shared" si="559"/>
        <v>0</v>
      </c>
      <c r="J715" s="4">
        <f t="shared" si="552"/>
        <v>0</v>
      </c>
      <c r="K715" s="4">
        <f t="shared" si="558"/>
        <v>0</v>
      </c>
      <c r="L715" s="65" t="e">
        <f t="shared" si="554"/>
        <v>#DIV/0!</v>
      </c>
      <c r="M715" s="66">
        <v>4.8738000000000001</v>
      </c>
      <c r="N715" s="67">
        <f t="shared" si="555"/>
        <v>0</v>
      </c>
      <c r="O715" s="67">
        <f t="shared" si="560"/>
        <v>0</v>
      </c>
      <c r="P715" s="1186"/>
    </row>
    <row r="716" spans="2:16" x14ac:dyDescent="0.3">
      <c r="B716" s="1181"/>
      <c r="C716" s="196" t="s">
        <v>128</v>
      </c>
      <c r="D716" s="61" t="s">
        <v>124</v>
      </c>
      <c r="E716" s="62"/>
      <c r="F716" s="63">
        <f t="shared" si="557"/>
        <v>0</v>
      </c>
      <c r="G716" s="63">
        <v>0</v>
      </c>
      <c r="H716" s="64">
        <v>0</v>
      </c>
      <c r="I716" s="79">
        <f t="shared" si="559"/>
        <v>0</v>
      </c>
      <c r="J716" s="4">
        <f t="shared" si="552"/>
        <v>0</v>
      </c>
      <c r="K716" s="4">
        <f t="shared" si="558"/>
        <v>0</v>
      </c>
      <c r="L716" s="65"/>
      <c r="M716" s="66">
        <v>4.8738000000000001</v>
      </c>
      <c r="N716" s="67">
        <f t="shared" si="555"/>
        <v>0</v>
      </c>
      <c r="O716" s="67">
        <f t="shared" si="560"/>
        <v>0</v>
      </c>
      <c r="P716" s="1186"/>
    </row>
    <row r="717" spans="2:16" x14ac:dyDescent="0.3">
      <c r="B717" s="1181"/>
      <c r="C717" s="1184" t="s">
        <v>84</v>
      </c>
      <c r="D717" s="61" t="s">
        <v>77</v>
      </c>
      <c r="E717" s="62">
        <v>0</v>
      </c>
      <c r="F717" s="63">
        <f t="shared" si="557"/>
        <v>18042</v>
      </c>
      <c r="G717" s="63">
        <v>18000</v>
      </c>
      <c r="H717" s="64">
        <v>42</v>
      </c>
      <c r="I717" s="79">
        <f t="shared" si="559"/>
        <v>190900</v>
      </c>
      <c r="J717" s="4">
        <f t="shared" si="552"/>
        <v>188900</v>
      </c>
      <c r="K717" s="4">
        <f t="shared" si="558"/>
        <v>2000</v>
      </c>
      <c r="L717" s="65" t="e">
        <f t="shared" ref="L717:L727" si="561">+J717/E717</f>
        <v>#DIV/0!</v>
      </c>
      <c r="M717" s="66">
        <v>4.9344999999999999</v>
      </c>
      <c r="N717" s="67">
        <f t="shared" si="555"/>
        <v>88821</v>
      </c>
      <c r="O717" s="67">
        <f t="shared" si="560"/>
        <v>932127.04999999993</v>
      </c>
      <c r="P717" s="1186"/>
    </row>
    <row r="718" spans="2:16" x14ac:dyDescent="0.3">
      <c r="B718" s="1181"/>
      <c r="C718" s="1184"/>
      <c r="D718" s="61" t="s">
        <v>135</v>
      </c>
      <c r="E718" s="62"/>
      <c r="F718" s="63">
        <f t="shared" si="557"/>
        <v>4028</v>
      </c>
      <c r="G718" s="63">
        <v>3050</v>
      </c>
      <c r="H718" s="64">
        <v>978</v>
      </c>
      <c r="I718" s="79">
        <f t="shared" si="559"/>
        <v>4028</v>
      </c>
      <c r="J718" s="4">
        <f t="shared" si="552"/>
        <v>3050</v>
      </c>
      <c r="K718" s="4">
        <f t="shared" si="558"/>
        <v>978</v>
      </c>
      <c r="L718" s="65" t="e">
        <f t="shared" si="561"/>
        <v>#DIV/0!</v>
      </c>
      <c r="M718" s="66">
        <v>4.9344999999999999</v>
      </c>
      <c r="N718" s="67">
        <f t="shared" si="555"/>
        <v>15050.225</v>
      </c>
      <c r="O718" s="67">
        <f t="shared" si="560"/>
        <v>15050.225</v>
      </c>
      <c r="P718" s="1186"/>
    </row>
    <row r="719" spans="2:16" x14ac:dyDescent="0.3">
      <c r="B719" s="1181"/>
      <c r="C719" s="1184"/>
      <c r="D719" s="61" t="s">
        <v>129</v>
      </c>
      <c r="E719" s="62">
        <v>0</v>
      </c>
      <c r="F719" s="63">
        <f t="shared" si="557"/>
        <v>0</v>
      </c>
      <c r="G719" s="155">
        <v>0</v>
      </c>
      <c r="H719" s="156">
        <v>0</v>
      </c>
      <c r="I719" s="157">
        <f t="shared" si="559"/>
        <v>0</v>
      </c>
      <c r="J719" s="4">
        <f t="shared" si="552"/>
        <v>0</v>
      </c>
      <c r="K719" s="4">
        <f t="shared" si="558"/>
        <v>0</v>
      </c>
      <c r="L719" s="158" t="e">
        <f t="shared" si="561"/>
        <v>#DIV/0!</v>
      </c>
      <c r="M719" s="66">
        <v>4.9344999999999999</v>
      </c>
      <c r="N719" s="159">
        <f t="shared" si="555"/>
        <v>0</v>
      </c>
      <c r="O719" s="67">
        <f>M719*J719</f>
        <v>0</v>
      </c>
      <c r="P719" s="1186"/>
    </row>
    <row r="720" spans="2:16" x14ac:dyDescent="0.3">
      <c r="B720" s="1181"/>
      <c r="C720" s="1184" t="s">
        <v>85</v>
      </c>
      <c r="D720" s="61" t="s">
        <v>77</v>
      </c>
      <c r="E720" s="62">
        <v>0</v>
      </c>
      <c r="F720" s="63">
        <f t="shared" si="557"/>
        <v>0</v>
      </c>
      <c r="G720" s="63">
        <v>0</v>
      </c>
      <c r="H720" s="64">
        <v>0</v>
      </c>
      <c r="I720" s="79">
        <f t="shared" si="559"/>
        <v>138276</v>
      </c>
      <c r="J720" s="4">
        <f t="shared" si="552"/>
        <v>130950</v>
      </c>
      <c r="K720" s="4">
        <f t="shared" si="558"/>
        <v>7326</v>
      </c>
      <c r="L720" s="65" t="e">
        <f t="shared" si="561"/>
        <v>#DIV/0!</v>
      </c>
      <c r="M720" s="148">
        <v>5.5069999999999997</v>
      </c>
      <c r="N720" s="67">
        <f t="shared" si="555"/>
        <v>0</v>
      </c>
      <c r="O720" s="67">
        <f>M720*J720</f>
        <v>721141.64999999991</v>
      </c>
      <c r="P720" s="1186"/>
    </row>
    <row r="721" spans="2:16" x14ac:dyDescent="0.3">
      <c r="B721" s="1181"/>
      <c r="C721" s="1184"/>
      <c r="D721" s="61" t="s">
        <v>112</v>
      </c>
      <c r="E721" s="62">
        <v>0</v>
      </c>
      <c r="F721" s="63">
        <f t="shared" si="557"/>
        <v>18198</v>
      </c>
      <c r="G721" s="63">
        <v>17550</v>
      </c>
      <c r="H721" s="64">
        <v>648</v>
      </c>
      <c r="I721" s="79">
        <f t="shared" si="559"/>
        <v>49376</v>
      </c>
      <c r="J721" s="4">
        <f t="shared" si="552"/>
        <v>47700</v>
      </c>
      <c r="K721" s="4">
        <f t="shared" si="558"/>
        <v>1676</v>
      </c>
      <c r="L721" s="65" t="e">
        <f t="shared" si="561"/>
        <v>#DIV/0!</v>
      </c>
      <c r="M721" s="147">
        <v>5.6550000000000002</v>
      </c>
      <c r="N721" s="67">
        <f t="shared" si="555"/>
        <v>99245.25</v>
      </c>
      <c r="O721" s="67">
        <f>M721*J721</f>
        <v>269743.5</v>
      </c>
      <c r="P721" s="1186"/>
    </row>
    <row r="722" spans="2:16" x14ac:dyDescent="0.3">
      <c r="B722" s="1181"/>
      <c r="C722" s="1184"/>
      <c r="D722" s="61" t="s">
        <v>118</v>
      </c>
      <c r="E722" s="62">
        <v>0</v>
      </c>
      <c r="F722" s="63">
        <f t="shared" si="557"/>
        <v>0</v>
      </c>
      <c r="G722" s="63">
        <v>0</v>
      </c>
      <c r="H722" s="64">
        <v>0</v>
      </c>
      <c r="I722" s="79">
        <f t="shared" si="559"/>
        <v>0</v>
      </c>
      <c r="J722" s="4">
        <f t="shared" si="552"/>
        <v>0</v>
      </c>
      <c r="K722" s="4">
        <f t="shared" si="558"/>
        <v>0</v>
      </c>
      <c r="L722" s="65" t="e">
        <f t="shared" si="561"/>
        <v>#DIV/0!</v>
      </c>
      <c r="M722" s="152">
        <v>5.6550000000000002</v>
      </c>
      <c r="N722" s="67">
        <f t="shared" si="555"/>
        <v>0</v>
      </c>
      <c r="O722" s="67">
        <f>M722*J722</f>
        <v>0</v>
      </c>
      <c r="P722" s="1186"/>
    </row>
    <row r="723" spans="2:16" x14ac:dyDescent="0.3">
      <c r="B723" s="1181"/>
      <c r="C723" s="1184"/>
      <c r="D723" s="61" t="s">
        <v>121</v>
      </c>
      <c r="E723" s="62">
        <v>0</v>
      </c>
      <c r="F723" s="63">
        <f t="shared" si="557"/>
        <v>0</v>
      </c>
      <c r="G723" s="63">
        <v>0</v>
      </c>
      <c r="H723" s="64">
        <v>0</v>
      </c>
      <c r="I723" s="79">
        <f t="shared" si="559"/>
        <v>28324</v>
      </c>
      <c r="J723" s="4">
        <f t="shared" si="552"/>
        <v>26710</v>
      </c>
      <c r="K723" s="4">
        <f t="shared" si="558"/>
        <v>1614</v>
      </c>
      <c r="L723" s="65" t="e">
        <f t="shared" si="561"/>
        <v>#DIV/0!</v>
      </c>
      <c r="M723" s="66">
        <v>5.7885299999999997</v>
      </c>
      <c r="N723" s="67">
        <f>+M723*G723</f>
        <v>0</v>
      </c>
      <c r="O723" s="67">
        <f>M723*J723</f>
        <v>154611.63629999998</v>
      </c>
      <c r="P723" s="1186"/>
    </row>
    <row r="724" spans="2:16" x14ac:dyDescent="0.3">
      <c r="B724" s="1181"/>
      <c r="C724" s="1184"/>
      <c r="D724" s="61" t="s">
        <v>136</v>
      </c>
      <c r="E724" s="62">
        <v>0</v>
      </c>
      <c r="F724" s="63">
        <f t="shared" si="557"/>
        <v>0</v>
      </c>
      <c r="G724" s="63">
        <v>0</v>
      </c>
      <c r="H724" s="64">
        <v>0</v>
      </c>
      <c r="I724" s="79">
        <f t="shared" si="559"/>
        <v>0</v>
      </c>
      <c r="J724" s="4">
        <f t="shared" si="552"/>
        <v>0</v>
      </c>
      <c r="K724" s="4">
        <f t="shared" si="558"/>
        <v>0</v>
      </c>
      <c r="L724" s="65" t="e">
        <f t="shared" si="561"/>
        <v>#DIV/0!</v>
      </c>
      <c r="M724" s="152">
        <v>5.6550000000000002</v>
      </c>
      <c r="N724" s="67">
        <f t="shared" ref="N724:N726" si="562">+M724*G724</f>
        <v>0</v>
      </c>
      <c r="O724" s="67">
        <f t="shared" ref="O724:O727" si="563">M724*J724</f>
        <v>0</v>
      </c>
      <c r="P724" s="1186"/>
    </row>
    <row r="725" spans="2:16" x14ac:dyDescent="0.3">
      <c r="B725" s="1181"/>
      <c r="C725" s="196" t="s">
        <v>86</v>
      </c>
      <c r="D725" s="61" t="s">
        <v>77</v>
      </c>
      <c r="E725" s="62">
        <v>0</v>
      </c>
      <c r="F725" s="63">
        <f t="shared" si="557"/>
        <v>0</v>
      </c>
      <c r="G725" s="63">
        <v>0</v>
      </c>
      <c r="H725" s="64">
        <v>0</v>
      </c>
      <c r="I725" s="79">
        <f t="shared" si="559"/>
        <v>0</v>
      </c>
      <c r="J725" s="4">
        <f t="shared" si="552"/>
        <v>0</v>
      </c>
      <c r="K725" s="4">
        <f t="shared" si="558"/>
        <v>0</v>
      </c>
      <c r="L725" s="65" t="e">
        <f t="shared" si="561"/>
        <v>#DIV/0!</v>
      </c>
      <c r="M725" s="66">
        <v>3.2963</v>
      </c>
      <c r="N725" s="67">
        <f t="shared" si="562"/>
        <v>0</v>
      </c>
      <c r="O725" s="67">
        <f t="shared" si="563"/>
        <v>0</v>
      </c>
      <c r="P725" s="1186"/>
    </row>
    <row r="726" spans="2:16" x14ac:dyDescent="0.3">
      <c r="B726" s="1181"/>
      <c r="C726" s="196" t="s">
        <v>87</v>
      </c>
      <c r="D726" s="61" t="s">
        <v>77</v>
      </c>
      <c r="E726" s="62">
        <v>0</v>
      </c>
      <c r="F726" s="63">
        <f t="shared" si="557"/>
        <v>0</v>
      </c>
      <c r="G726" s="63">
        <v>0</v>
      </c>
      <c r="H726" s="64">
        <v>0</v>
      </c>
      <c r="I726" s="79">
        <f t="shared" si="559"/>
        <v>0</v>
      </c>
      <c r="J726" s="4">
        <f t="shared" si="552"/>
        <v>0</v>
      </c>
      <c r="K726" s="4">
        <f t="shared" si="558"/>
        <v>0</v>
      </c>
      <c r="L726" s="65" t="e">
        <f t="shared" si="561"/>
        <v>#DIV/0!</v>
      </c>
      <c r="M726" s="66">
        <v>3.2963</v>
      </c>
      <c r="N726" s="67">
        <f t="shared" si="562"/>
        <v>0</v>
      </c>
      <c r="O726" s="67">
        <f t="shared" si="563"/>
        <v>0</v>
      </c>
      <c r="P726" s="1186"/>
    </row>
    <row r="727" spans="2:16" ht="15" thickBot="1" x14ac:dyDescent="0.35">
      <c r="B727" s="1181"/>
      <c r="C727" s="68" t="s">
        <v>88</v>
      </c>
      <c r="D727" s="69" t="s">
        <v>89</v>
      </c>
      <c r="E727" s="70">
        <v>0</v>
      </c>
      <c r="F727" s="71">
        <f t="shared" si="557"/>
        <v>0</v>
      </c>
      <c r="G727" s="71">
        <v>0</v>
      </c>
      <c r="H727" s="72">
        <v>0</v>
      </c>
      <c r="I727" s="80">
        <f t="shared" si="559"/>
        <v>65030</v>
      </c>
      <c r="J727" s="4">
        <f t="shared" si="552"/>
        <v>65000</v>
      </c>
      <c r="K727" s="4">
        <f t="shared" si="558"/>
        <v>30</v>
      </c>
      <c r="L727" s="65" t="e">
        <f t="shared" si="561"/>
        <v>#DIV/0!</v>
      </c>
      <c r="M727" s="73">
        <v>2.3201000000000001</v>
      </c>
      <c r="N727" s="74">
        <f t="shared" ref="N727" si="564">M727*G727</f>
        <v>0</v>
      </c>
      <c r="O727" s="74">
        <f t="shared" si="563"/>
        <v>150806.5</v>
      </c>
      <c r="P727" s="1187"/>
    </row>
    <row r="728" spans="2:16" ht="15" thickBot="1" x14ac:dyDescent="0.35">
      <c r="B728" s="1182"/>
      <c r="C728" s="1190" t="s">
        <v>99</v>
      </c>
      <c r="D728" s="1191"/>
      <c r="E728" s="1191"/>
      <c r="F728" s="1191"/>
      <c r="G728" s="1191"/>
      <c r="H728" s="1192"/>
      <c r="I728" s="116">
        <f>J728+K728</f>
        <v>802487</v>
      </c>
      <c r="J728" s="115">
        <f>SUM(J700:J727)</f>
        <v>780140</v>
      </c>
      <c r="K728" s="115">
        <f>SUM(K700:K727)</f>
        <v>22347</v>
      </c>
      <c r="L728" s="114"/>
      <c r="M728" s="113"/>
      <c r="N728" s="114"/>
      <c r="O728" s="97">
        <f>SUM(O700:O727)</f>
        <v>6778449.9553000005</v>
      </c>
      <c r="P728" s="96"/>
    </row>
    <row r="729" spans="2:16" ht="15" thickBot="1" x14ac:dyDescent="0.35">
      <c r="B729" s="100"/>
      <c r="C729" s="101"/>
      <c r="D729" s="101"/>
      <c r="E729" s="101"/>
      <c r="F729" s="101"/>
      <c r="G729" s="101"/>
      <c r="H729" s="101"/>
      <c r="I729" s="101"/>
      <c r="J729" s="101"/>
      <c r="K729" s="101"/>
      <c r="L729" s="101"/>
      <c r="M729" s="101"/>
      <c r="N729" s="101"/>
      <c r="O729" s="101"/>
      <c r="P729" s="102"/>
    </row>
    <row r="730" spans="2:16" ht="15" thickBot="1" x14ac:dyDescent="0.35">
      <c r="B730" s="1175" t="s">
        <v>100</v>
      </c>
      <c r="C730" s="1176"/>
      <c r="D730" s="1176"/>
      <c r="E730" s="1176"/>
      <c r="F730" s="1176"/>
      <c r="G730" s="1176"/>
      <c r="H730" s="1176"/>
      <c r="I730" s="1176"/>
      <c r="J730" s="1176"/>
      <c r="K730" s="1176"/>
      <c r="L730" s="1176"/>
      <c r="M730" s="1176"/>
      <c r="N730" s="1177"/>
      <c r="O730" s="103">
        <f>+O728+O699+O684</f>
        <v>14743500.3013</v>
      </c>
      <c r="P730" s="96"/>
    </row>
    <row r="731" spans="2:16" ht="15" thickBot="1" x14ac:dyDescent="0.35"/>
    <row r="732" spans="2:16" x14ac:dyDescent="0.3">
      <c r="B732" s="1209" t="s">
        <v>1</v>
      </c>
      <c r="C732" s="1211" t="s">
        <v>2</v>
      </c>
      <c r="D732" s="1214" t="s">
        <v>3</v>
      </c>
      <c r="E732" s="1217" t="s">
        <v>4</v>
      </c>
      <c r="F732" s="1218"/>
      <c r="G732" s="1218"/>
      <c r="H732" s="1218"/>
      <c r="I732" s="1218"/>
      <c r="J732" s="1218"/>
      <c r="K732" s="1218"/>
      <c r="L732" s="1219"/>
      <c r="M732" s="1220" t="s">
        <v>5</v>
      </c>
      <c r="N732" s="1221"/>
      <c r="O732" s="1222"/>
      <c r="P732" s="1214" t="s">
        <v>6</v>
      </c>
    </row>
    <row r="733" spans="2:16" x14ac:dyDescent="0.3">
      <c r="B733" s="1210"/>
      <c r="C733" s="1212"/>
      <c r="D733" s="1215"/>
      <c r="E733" s="1223" t="s">
        <v>7</v>
      </c>
      <c r="F733" s="1225" t="s">
        <v>151</v>
      </c>
      <c r="G733" s="1225"/>
      <c r="H733" s="1226"/>
      <c r="I733" s="1227" t="s">
        <v>8</v>
      </c>
      <c r="J733" s="1225"/>
      <c r="K733" s="1225"/>
      <c r="L733" s="1226" t="s">
        <v>9</v>
      </c>
      <c r="M733" s="1229" t="s">
        <v>10</v>
      </c>
      <c r="N733" s="1231" t="s">
        <v>11</v>
      </c>
      <c r="O733" s="1233" t="s">
        <v>12</v>
      </c>
      <c r="P733" s="1215"/>
    </row>
    <row r="734" spans="2:16" ht="15" thickBot="1" x14ac:dyDescent="0.35">
      <c r="B734" s="1210"/>
      <c r="C734" s="1213"/>
      <c r="D734" s="1216"/>
      <c r="E734" s="1224"/>
      <c r="F734" s="2" t="s">
        <v>13</v>
      </c>
      <c r="G734" s="2" t="s">
        <v>14</v>
      </c>
      <c r="H734" s="203" t="s">
        <v>15</v>
      </c>
      <c r="I734" s="142" t="s">
        <v>13</v>
      </c>
      <c r="J734" s="2" t="s">
        <v>14</v>
      </c>
      <c r="K734" s="2" t="s">
        <v>15</v>
      </c>
      <c r="L734" s="1228"/>
      <c r="M734" s="1230"/>
      <c r="N734" s="1232"/>
      <c r="O734" s="1234"/>
      <c r="P734" s="1216"/>
    </row>
    <row r="735" spans="2:16" x14ac:dyDescent="0.3">
      <c r="B735" s="1193" t="s">
        <v>53</v>
      </c>
      <c r="C735" s="29"/>
      <c r="D735" s="117" t="s">
        <v>143</v>
      </c>
      <c r="E735" s="98">
        <v>0</v>
      </c>
      <c r="F735" s="4">
        <f>+G735+H735</f>
        <v>0</v>
      </c>
      <c r="G735" s="4">
        <v>0</v>
      </c>
      <c r="H735" s="8">
        <v>0</v>
      </c>
      <c r="I735" s="6">
        <f>J735+K735</f>
        <v>285266</v>
      </c>
      <c r="J735" s="4">
        <f>G735+J670</f>
        <v>280000</v>
      </c>
      <c r="K735" s="4">
        <f>H735+K670</f>
        <v>5266</v>
      </c>
      <c r="L735" s="33" t="e">
        <f>+J735/E735</f>
        <v>#DIV/0!</v>
      </c>
      <c r="M735" s="104">
        <v>1.3652</v>
      </c>
      <c r="N735" s="31">
        <f>G735*M735</f>
        <v>0</v>
      </c>
      <c r="O735" s="86">
        <f>M735*J735</f>
        <v>382256</v>
      </c>
      <c r="P735" s="1195"/>
    </row>
    <row r="736" spans="2:16" x14ac:dyDescent="0.3">
      <c r="B736" s="1194"/>
      <c r="C736" s="32"/>
      <c r="D736" s="118" t="s">
        <v>109</v>
      </c>
      <c r="E736" s="99">
        <v>0</v>
      </c>
      <c r="F736" s="9">
        <f>+G736+H736</f>
        <v>0</v>
      </c>
      <c r="G736" s="9">
        <v>0</v>
      </c>
      <c r="H736" s="10">
        <v>0</v>
      </c>
      <c r="I736" s="6">
        <f>J736+K736</f>
        <v>0</v>
      </c>
      <c r="J736" s="4">
        <f>+G736+J671</f>
        <v>0</v>
      </c>
      <c r="K736" s="4">
        <f>+H736+K671</f>
        <v>0</v>
      </c>
      <c r="L736" s="33"/>
      <c r="M736" s="105">
        <v>5.9917999999999996</v>
      </c>
      <c r="N736" s="34">
        <f>M736*G736</f>
        <v>0</v>
      </c>
      <c r="O736" s="87">
        <f>M736*J736</f>
        <v>0</v>
      </c>
      <c r="P736" s="1196"/>
    </row>
    <row r="737" spans="2:16" x14ac:dyDescent="0.3">
      <c r="B737" s="1194"/>
      <c r="C737" s="35"/>
      <c r="D737" s="119" t="s">
        <v>55</v>
      </c>
      <c r="E737" s="99">
        <v>0</v>
      </c>
      <c r="F737" s="9">
        <f t="shared" ref="F737:F741" si="565">+G737+H737</f>
        <v>231586</v>
      </c>
      <c r="G737" s="9">
        <v>230000</v>
      </c>
      <c r="H737" s="10">
        <v>1586</v>
      </c>
      <c r="I737" s="6">
        <f t="shared" ref="I737:I741" si="566">J737+K737</f>
        <v>2263092</v>
      </c>
      <c r="J737" s="4">
        <f t="shared" ref="J737:J741" si="567">+G737+J672</f>
        <v>2245750</v>
      </c>
      <c r="K737" s="4">
        <f t="shared" ref="K737:K741" si="568">+H737+K672</f>
        <v>17342</v>
      </c>
      <c r="L737" s="33" t="e">
        <f t="shared" ref="L737" si="569">+J737/E737</f>
        <v>#DIV/0!</v>
      </c>
      <c r="M737" s="106">
        <v>2.3807999999999998</v>
      </c>
      <c r="N737" s="36">
        <f>G737*M737</f>
        <v>547584</v>
      </c>
      <c r="O737" s="88">
        <f>M737*J737</f>
        <v>5346681.5999999996</v>
      </c>
      <c r="P737" s="1196"/>
    </row>
    <row r="738" spans="2:16" x14ac:dyDescent="0.3">
      <c r="B738" s="1194"/>
      <c r="C738" s="35"/>
      <c r="D738" s="119" t="s">
        <v>56</v>
      </c>
      <c r="E738" s="99">
        <v>0</v>
      </c>
      <c r="F738" s="9">
        <f t="shared" si="565"/>
        <v>0</v>
      </c>
      <c r="G738" s="9">
        <v>0</v>
      </c>
      <c r="H738" s="10">
        <v>0</v>
      </c>
      <c r="I738" s="6">
        <f t="shared" si="566"/>
        <v>0</v>
      </c>
      <c r="J738" s="4">
        <f t="shared" si="567"/>
        <v>0</v>
      </c>
      <c r="K738" s="4">
        <f t="shared" si="568"/>
        <v>0</v>
      </c>
      <c r="L738" s="33"/>
      <c r="M738" s="106">
        <v>2.1457999999999999</v>
      </c>
      <c r="N738" s="36">
        <f t="shared" ref="N738:N741" si="570">G738*M738</f>
        <v>0</v>
      </c>
      <c r="O738" s="88">
        <f>M738*J738</f>
        <v>0</v>
      </c>
      <c r="P738" s="1196"/>
    </row>
    <row r="739" spans="2:16" x14ac:dyDescent="0.3">
      <c r="B739" s="1194"/>
      <c r="C739" s="35"/>
      <c r="D739" s="119" t="s">
        <v>106</v>
      </c>
      <c r="E739" s="99">
        <v>0</v>
      </c>
      <c r="F739" s="9">
        <f t="shared" si="565"/>
        <v>0</v>
      </c>
      <c r="G739" s="9">
        <v>0</v>
      </c>
      <c r="H739" s="10">
        <v>0</v>
      </c>
      <c r="I739" s="6">
        <f t="shared" si="566"/>
        <v>0</v>
      </c>
      <c r="J739" s="4">
        <f t="shared" si="567"/>
        <v>0</v>
      </c>
      <c r="K739" s="4">
        <f t="shared" si="568"/>
        <v>0</v>
      </c>
      <c r="L739" s="33" t="e">
        <f t="shared" ref="L739:L740" si="571">+J739/E739</f>
        <v>#DIV/0!</v>
      </c>
      <c r="M739" s="143">
        <v>4.0426000000000002</v>
      </c>
      <c r="N739" s="36">
        <f t="shared" si="570"/>
        <v>0</v>
      </c>
      <c r="O739" s="88">
        <f>M739*J739</f>
        <v>0</v>
      </c>
      <c r="P739" s="1196"/>
    </row>
    <row r="740" spans="2:16" x14ac:dyDescent="0.3">
      <c r="B740" s="1194"/>
      <c r="C740" s="35"/>
      <c r="D740" s="119" t="s">
        <v>110</v>
      </c>
      <c r="E740" s="99">
        <v>0</v>
      </c>
      <c r="F740" s="9">
        <f t="shared" si="565"/>
        <v>0</v>
      </c>
      <c r="G740" s="9">
        <v>0</v>
      </c>
      <c r="H740" s="10">
        <v>0</v>
      </c>
      <c r="I740" s="6">
        <f t="shared" si="566"/>
        <v>0</v>
      </c>
      <c r="J740" s="4">
        <f t="shared" si="567"/>
        <v>0</v>
      </c>
      <c r="K740" s="4">
        <f t="shared" si="568"/>
        <v>0</v>
      </c>
      <c r="L740" s="33" t="e">
        <f t="shared" si="571"/>
        <v>#DIV/0!</v>
      </c>
      <c r="M740" s="143">
        <v>3.8715000000000002</v>
      </c>
      <c r="N740" s="36">
        <f t="shared" si="570"/>
        <v>0</v>
      </c>
      <c r="O740" s="88">
        <f t="shared" ref="O740:O741" si="572">M740*J740</f>
        <v>0</v>
      </c>
      <c r="P740" s="1196"/>
    </row>
    <row r="741" spans="2:16" ht="15" thickBot="1" x14ac:dyDescent="0.35">
      <c r="B741" s="1194"/>
      <c r="C741" s="82"/>
      <c r="D741" s="120" t="s">
        <v>57</v>
      </c>
      <c r="E741" s="108">
        <v>0</v>
      </c>
      <c r="F741" s="12">
        <f t="shared" si="565"/>
        <v>0</v>
      </c>
      <c r="G741" s="12">
        <v>0</v>
      </c>
      <c r="H741" s="13">
        <v>0</v>
      </c>
      <c r="I741" s="21">
        <f t="shared" si="566"/>
        <v>0</v>
      </c>
      <c r="J741" s="4">
        <f t="shared" si="567"/>
        <v>0</v>
      </c>
      <c r="K741" s="4">
        <f t="shared" si="568"/>
        <v>0</v>
      </c>
      <c r="L741" s="81"/>
      <c r="M741" s="127">
        <v>12.284700000000001</v>
      </c>
      <c r="N741" s="36">
        <f t="shared" si="570"/>
        <v>0</v>
      </c>
      <c r="O741" s="128">
        <f t="shared" si="572"/>
        <v>0</v>
      </c>
      <c r="P741" s="1196"/>
    </row>
    <row r="742" spans="2:16" ht="15" thickBot="1" x14ac:dyDescent="0.35">
      <c r="B742" s="1194"/>
      <c r="C742" s="1199" t="s">
        <v>104</v>
      </c>
      <c r="D742" s="1200"/>
      <c r="E742" s="129"/>
      <c r="F742" s="130">
        <f>SUM(F735:F741)</f>
        <v>231586</v>
      </c>
      <c r="G742" s="130">
        <f>SUM(G735:G741)</f>
        <v>230000</v>
      </c>
      <c r="H742" s="131">
        <f>SUM(H735:H741)</f>
        <v>1586</v>
      </c>
      <c r="I742" s="132">
        <f>+J742+K742</f>
        <v>2548358</v>
      </c>
      <c r="J742" s="133">
        <f>SUM(J735:J741)</f>
        <v>2525750</v>
      </c>
      <c r="K742" s="133">
        <f>SUM(K735:K741)</f>
        <v>22608</v>
      </c>
      <c r="L742" s="134"/>
      <c r="M742" s="135"/>
      <c r="N742" s="136"/>
      <c r="O742" s="137">
        <f>SUM(O735:O741)</f>
        <v>5728937.5999999996</v>
      </c>
      <c r="P742" s="1197"/>
    </row>
    <row r="743" spans="2:16" x14ac:dyDescent="0.3">
      <c r="B743" s="1194"/>
      <c r="C743" s="32"/>
      <c r="D743" s="118" t="s">
        <v>58</v>
      </c>
      <c r="E743" s="98">
        <v>0</v>
      </c>
      <c r="F743" s="4">
        <f t="shared" ref="F743:F746" si="573">+G743+H743</f>
        <v>0</v>
      </c>
      <c r="G743" s="4">
        <v>0</v>
      </c>
      <c r="H743" s="8">
        <v>0</v>
      </c>
      <c r="I743" s="6">
        <f t="shared" ref="I743:I747" si="574">J743+K743</f>
        <v>0</v>
      </c>
      <c r="J743" s="4">
        <f>G743+J678</f>
        <v>0</v>
      </c>
      <c r="K743" s="4">
        <f>H743+K678</f>
        <v>0</v>
      </c>
      <c r="L743" s="33" t="e">
        <f t="shared" ref="L743" si="575">+J743/E743</f>
        <v>#DIV/0!</v>
      </c>
      <c r="M743" s="105">
        <v>12.029500000000001</v>
      </c>
      <c r="N743" s="34">
        <f>M743*G743</f>
        <v>0</v>
      </c>
      <c r="O743" s="87">
        <f t="shared" ref="O743:O745" si="576">M743*J743</f>
        <v>0</v>
      </c>
      <c r="P743" s="1196"/>
    </row>
    <row r="744" spans="2:16" x14ac:dyDescent="0.3">
      <c r="B744" s="1194"/>
      <c r="C744" s="35"/>
      <c r="D744" s="119" t="s">
        <v>59</v>
      </c>
      <c r="E744" s="99">
        <v>0</v>
      </c>
      <c r="F744" s="9">
        <f t="shared" si="573"/>
        <v>0</v>
      </c>
      <c r="G744" s="9">
        <v>0</v>
      </c>
      <c r="H744" s="10">
        <v>0</v>
      </c>
      <c r="I744" s="6">
        <f t="shared" si="574"/>
        <v>0</v>
      </c>
      <c r="J744" s="4">
        <f>G744+J679</f>
        <v>0</v>
      </c>
      <c r="K744" s="4">
        <f>H744+K679</f>
        <v>0</v>
      </c>
      <c r="L744" s="33"/>
      <c r="M744" s="106">
        <v>0</v>
      </c>
      <c r="N744" s="36"/>
      <c r="O744" s="88">
        <f t="shared" si="576"/>
        <v>0</v>
      </c>
      <c r="P744" s="1196"/>
    </row>
    <row r="745" spans="2:16" x14ac:dyDescent="0.3">
      <c r="B745" s="1194"/>
      <c r="C745" s="35"/>
      <c r="D745" s="119" t="s">
        <v>97</v>
      </c>
      <c r="E745" s="99">
        <v>0</v>
      </c>
      <c r="F745" s="9">
        <f t="shared" si="573"/>
        <v>0</v>
      </c>
      <c r="G745" s="9">
        <v>0</v>
      </c>
      <c r="H745" s="10">
        <v>0</v>
      </c>
      <c r="I745" s="6">
        <f t="shared" si="574"/>
        <v>0</v>
      </c>
      <c r="J745" s="4">
        <f t="shared" ref="J745:J747" si="577">G745+J680</f>
        <v>0</v>
      </c>
      <c r="K745" s="4">
        <f t="shared" ref="K745:K747" si="578">H745+K680</f>
        <v>0</v>
      </c>
      <c r="L745" s="33" t="e">
        <f t="shared" ref="L745:L747" si="579">+J745/E745</f>
        <v>#DIV/0!</v>
      </c>
      <c r="M745" s="106">
        <v>19.688600000000001</v>
      </c>
      <c r="N745" s="36">
        <f>M745*G745</f>
        <v>0</v>
      </c>
      <c r="O745" s="88">
        <f t="shared" si="576"/>
        <v>0</v>
      </c>
      <c r="P745" s="1196"/>
    </row>
    <row r="746" spans="2:16" x14ac:dyDescent="0.3">
      <c r="B746" s="1194"/>
      <c r="C746" s="35"/>
      <c r="D746" s="119" t="s">
        <v>61</v>
      </c>
      <c r="E746" s="99">
        <v>0</v>
      </c>
      <c r="F746" s="9">
        <f t="shared" si="573"/>
        <v>0</v>
      </c>
      <c r="G746" s="9">
        <v>0</v>
      </c>
      <c r="H746" s="10">
        <v>0</v>
      </c>
      <c r="I746" s="6">
        <f t="shared" si="574"/>
        <v>0</v>
      </c>
      <c r="J746" s="4">
        <f t="shared" si="577"/>
        <v>0</v>
      </c>
      <c r="K746" s="4">
        <f t="shared" si="578"/>
        <v>0</v>
      </c>
      <c r="L746" s="33" t="e">
        <f t="shared" si="579"/>
        <v>#DIV/0!</v>
      </c>
      <c r="M746" s="106">
        <v>1.2824</v>
      </c>
      <c r="N746" s="151">
        <f>M746*G746</f>
        <v>0</v>
      </c>
      <c r="O746" s="88">
        <f>M746*J746</f>
        <v>0</v>
      </c>
      <c r="P746" s="1196"/>
    </row>
    <row r="747" spans="2:16" ht="15" thickBot="1" x14ac:dyDescent="0.35">
      <c r="B747" s="1194"/>
      <c r="C747" s="82"/>
      <c r="D747" s="120" t="s">
        <v>60</v>
      </c>
      <c r="E747" s="108">
        <v>0</v>
      </c>
      <c r="F747" s="12">
        <v>0</v>
      </c>
      <c r="G747" s="12">
        <v>12960</v>
      </c>
      <c r="H747" s="13">
        <v>184</v>
      </c>
      <c r="I747" s="21">
        <f t="shared" si="574"/>
        <v>48090</v>
      </c>
      <c r="J747" s="4">
        <f t="shared" si="577"/>
        <v>47520</v>
      </c>
      <c r="K747" s="4">
        <f t="shared" si="578"/>
        <v>570</v>
      </c>
      <c r="L747" s="81" t="e">
        <f t="shared" si="579"/>
        <v>#DIV/0!</v>
      </c>
      <c r="M747" s="107">
        <v>18.2316</v>
      </c>
      <c r="N747" s="75"/>
      <c r="O747" s="89">
        <f t="shared" ref="O747" si="580">M747*J747</f>
        <v>866365.63199999998</v>
      </c>
      <c r="P747" s="1198"/>
    </row>
    <row r="748" spans="2:16" ht="15" thickBot="1" x14ac:dyDescent="0.35">
      <c r="B748" s="1178" t="s">
        <v>105</v>
      </c>
      <c r="C748" s="1179"/>
      <c r="D748" s="1179"/>
      <c r="E748" s="124"/>
      <c r="F748" s="125">
        <f>+G748+H748</f>
        <v>13144</v>
      </c>
      <c r="G748" s="125">
        <f>SUM(G743:G747)</f>
        <v>12960</v>
      </c>
      <c r="H748" s="126">
        <f>SUM(H743:H747)</f>
        <v>184</v>
      </c>
      <c r="I748" s="121">
        <f>J748+K748</f>
        <v>48090</v>
      </c>
      <c r="J748" s="122">
        <f>SUM(J743:J747)</f>
        <v>47520</v>
      </c>
      <c r="K748" s="123">
        <f>SUM(K743:K747)</f>
        <v>570</v>
      </c>
      <c r="L748" s="138"/>
      <c r="M748" s="139"/>
      <c r="N748" s="140"/>
      <c r="O748" s="141">
        <f>SUM(O743:O747)</f>
        <v>866365.63199999998</v>
      </c>
      <c r="P748" s="201"/>
    </row>
    <row r="749" spans="2:16" ht="15" thickBot="1" x14ac:dyDescent="0.35">
      <c r="B749" s="1178" t="s">
        <v>98</v>
      </c>
      <c r="C749" s="1179"/>
      <c r="D749" s="1179"/>
      <c r="E749" s="1201"/>
      <c r="F749" s="1201"/>
      <c r="G749" s="1201"/>
      <c r="H749" s="1201"/>
      <c r="I749" s="1179"/>
      <c r="J749" s="1179"/>
      <c r="K749" s="1179"/>
      <c r="L749" s="1179"/>
      <c r="M749" s="1179"/>
      <c r="N749" s="1202"/>
      <c r="O749" s="83">
        <f>O742+O748</f>
        <v>6595303.2319999998</v>
      </c>
      <c r="P749" s="201"/>
    </row>
    <row r="750" spans="2:16" x14ac:dyDescent="0.3">
      <c r="B750" s="1193" t="s">
        <v>62</v>
      </c>
      <c r="C750" s="37" t="s">
        <v>63</v>
      </c>
      <c r="D750" s="28" t="s">
        <v>64</v>
      </c>
      <c r="E750" s="38">
        <v>0</v>
      </c>
      <c r="F750" s="14">
        <f>+G750+H750</f>
        <v>0</v>
      </c>
      <c r="G750" s="14">
        <v>0</v>
      </c>
      <c r="H750" s="5">
        <v>0</v>
      </c>
      <c r="I750" s="17">
        <f t="shared" ref="I750:I756" si="581">J750+K750</f>
        <v>0</v>
      </c>
      <c r="J750" s="4">
        <f>G750+J685</f>
        <v>0</v>
      </c>
      <c r="K750" s="4">
        <f>H750+K685</f>
        <v>0</v>
      </c>
      <c r="L750" s="30" t="e">
        <f>+J750/E750</f>
        <v>#DIV/0!</v>
      </c>
      <c r="M750" s="146">
        <v>2.2141000000000002</v>
      </c>
      <c r="N750" s="15">
        <f>+M750*G750</f>
        <v>0</v>
      </c>
      <c r="O750" s="90">
        <f>+M750*J750</f>
        <v>0</v>
      </c>
      <c r="P750" s="1204"/>
    </row>
    <row r="751" spans="2:16" x14ac:dyDescent="0.3">
      <c r="B751" s="1194"/>
      <c r="C751" s="39"/>
      <c r="D751" s="22" t="s">
        <v>65</v>
      </c>
      <c r="E751" s="3">
        <v>0</v>
      </c>
      <c r="F751" s="9">
        <f t="shared" ref="F751:F756" si="582">+G751+H751</f>
        <v>0</v>
      </c>
      <c r="G751" s="4">
        <v>0</v>
      </c>
      <c r="H751" s="8">
        <v>0</v>
      </c>
      <c r="I751" s="6">
        <f t="shared" si="581"/>
        <v>0</v>
      </c>
      <c r="J751" s="4">
        <f>+G751+J686</f>
        <v>0</v>
      </c>
      <c r="K751" s="4">
        <f>+H751+K686</f>
        <v>0</v>
      </c>
      <c r="L751" s="40" t="e">
        <f t="shared" ref="L751:L752" si="583">+J751/E751</f>
        <v>#DIV/0!</v>
      </c>
      <c r="M751" s="145">
        <v>2.4565999999999999</v>
      </c>
      <c r="N751" s="11">
        <f t="shared" ref="N751:N753" si="584">+M751*G751</f>
        <v>0</v>
      </c>
      <c r="O751" s="91">
        <f t="shared" ref="O751:O753" si="585">+M751*J751</f>
        <v>0</v>
      </c>
      <c r="P751" s="1205"/>
    </row>
    <row r="752" spans="2:16" x14ac:dyDescent="0.3">
      <c r="B752" s="1194"/>
      <c r="C752" s="39"/>
      <c r="D752" s="23" t="s">
        <v>126</v>
      </c>
      <c r="E752" s="3">
        <v>0</v>
      </c>
      <c r="F752" s="9">
        <f t="shared" si="582"/>
        <v>0</v>
      </c>
      <c r="G752" s="4">
        <v>0</v>
      </c>
      <c r="H752" s="8">
        <v>0</v>
      </c>
      <c r="I752" s="6">
        <f t="shared" si="581"/>
        <v>0</v>
      </c>
      <c r="J752" s="4">
        <f t="shared" ref="J752:J753" si="586">+G752+J687</f>
        <v>0</v>
      </c>
      <c r="K752" s="4">
        <f t="shared" ref="K752:K756" si="587">+H752+K687</f>
        <v>0</v>
      </c>
      <c r="L752" s="40" t="e">
        <f t="shared" si="583"/>
        <v>#DIV/0!</v>
      </c>
      <c r="M752" s="145">
        <v>2.2907000000000002</v>
      </c>
      <c r="N752" s="11">
        <f t="shared" si="584"/>
        <v>0</v>
      </c>
      <c r="O752" s="91">
        <f t="shared" si="585"/>
        <v>0</v>
      </c>
      <c r="P752" s="1205"/>
    </row>
    <row r="753" spans="2:16" x14ac:dyDescent="0.3">
      <c r="B753" s="1194"/>
      <c r="C753" s="39"/>
      <c r="D753" s="22" t="s">
        <v>131</v>
      </c>
      <c r="E753" s="3"/>
      <c r="F753" s="9">
        <f t="shared" si="582"/>
        <v>0</v>
      </c>
      <c r="G753" s="4">
        <v>0</v>
      </c>
      <c r="H753" s="8">
        <v>0</v>
      </c>
      <c r="I753" s="6">
        <f t="shared" si="581"/>
        <v>0</v>
      </c>
      <c r="J753" s="4">
        <f t="shared" si="586"/>
        <v>0</v>
      </c>
      <c r="K753" s="4">
        <f t="shared" si="587"/>
        <v>0</v>
      </c>
      <c r="L753" s="33"/>
      <c r="M753" s="150">
        <v>2.544</v>
      </c>
      <c r="N753" s="11">
        <f t="shared" si="584"/>
        <v>0</v>
      </c>
      <c r="O753" s="91">
        <f t="shared" si="585"/>
        <v>0</v>
      </c>
      <c r="P753" s="1205"/>
    </row>
    <row r="754" spans="2:16" x14ac:dyDescent="0.3">
      <c r="B754" s="1194"/>
      <c r="C754" s="39" t="s">
        <v>66</v>
      </c>
      <c r="D754" s="22" t="s">
        <v>133</v>
      </c>
      <c r="E754" s="3">
        <v>0</v>
      </c>
      <c r="F754" s="9">
        <f t="shared" si="582"/>
        <v>20100</v>
      </c>
      <c r="G754" s="4">
        <v>18750</v>
      </c>
      <c r="H754" s="8">
        <v>1350</v>
      </c>
      <c r="I754" s="6">
        <f t="shared" si="581"/>
        <v>544662</v>
      </c>
      <c r="J754" s="4">
        <f>+G754+J689</f>
        <v>530500</v>
      </c>
      <c r="K754" s="4">
        <f t="shared" si="587"/>
        <v>14162</v>
      </c>
      <c r="L754" s="33" t="e">
        <f>+J754/E754</f>
        <v>#DIV/0!</v>
      </c>
      <c r="M754" s="144">
        <v>2.2141000000000002</v>
      </c>
      <c r="N754" s="7">
        <f>+M754*G754</f>
        <v>41514.375</v>
      </c>
      <c r="O754" s="85">
        <f>+M754*J754</f>
        <v>1174580.05</v>
      </c>
      <c r="P754" s="1205"/>
    </row>
    <row r="755" spans="2:16" x14ac:dyDescent="0.3">
      <c r="B755" s="1194"/>
      <c r="C755" s="39"/>
      <c r="D755" s="22" t="s">
        <v>65</v>
      </c>
      <c r="E755" s="3">
        <v>0</v>
      </c>
      <c r="F755" s="9">
        <f t="shared" si="582"/>
        <v>0</v>
      </c>
      <c r="G755" s="4">
        <v>0</v>
      </c>
      <c r="H755" s="8">
        <v>0</v>
      </c>
      <c r="I755" s="6">
        <f t="shared" si="581"/>
        <v>0</v>
      </c>
      <c r="J755" s="4">
        <f t="shared" ref="J755:J756" si="588">+G755+J690</f>
        <v>0</v>
      </c>
      <c r="K755" s="4">
        <f t="shared" si="587"/>
        <v>0</v>
      </c>
      <c r="L755" s="40" t="e">
        <f t="shared" ref="L755:L756" si="589">+J755/E755</f>
        <v>#DIV/0!</v>
      </c>
      <c r="M755" s="145">
        <v>2.4565999999999999</v>
      </c>
      <c r="N755" s="11">
        <f t="shared" ref="N755:N756" si="590">+M755*G755</f>
        <v>0</v>
      </c>
      <c r="O755" s="91">
        <f t="shared" ref="O755" si="591">+M755*J755</f>
        <v>0</v>
      </c>
      <c r="P755" s="1205"/>
    </row>
    <row r="756" spans="2:16" ht="15" thickBot="1" x14ac:dyDescent="0.35">
      <c r="B756" s="1194"/>
      <c r="C756" s="39"/>
      <c r="D756" s="22" t="s">
        <v>126</v>
      </c>
      <c r="E756" s="3">
        <v>0</v>
      </c>
      <c r="F756" s="9">
        <f t="shared" si="582"/>
        <v>0</v>
      </c>
      <c r="G756" s="4">
        <v>0</v>
      </c>
      <c r="H756" s="8">
        <v>0</v>
      </c>
      <c r="I756" s="6">
        <f t="shared" si="581"/>
        <v>0</v>
      </c>
      <c r="J756" s="4">
        <f t="shared" si="588"/>
        <v>0</v>
      </c>
      <c r="K756" s="4">
        <f t="shared" si="587"/>
        <v>0</v>
      </c>
      <c r="L756" s="40" t="e">
        <f t="shared" si="589"/>
        <v>#DIV/0!</v>
      </c>
      <c r="M756" s="145">
        <v>2.2907000000000002</v>
      </c>
      <c r="N756" s="11">
        <f t="shared" si="590"/>
        <v>0</v>
      </c>
      <c r="O756" s="154">
        <f>+M756*J756</f>
        <v>0</v>
      </c>
      <c r="P756" s="1206"/>
    </row>
    <row r="757" spans="2:16" ht="15" thickBot="1" x14ac:dyDescent="0.35">
      <c r="B757" s="1194"/>
      <c r="C757" s="41" t="s">
        <v>29</v>
      </c>
      <c r="D757" s="27" t="str">
        <f>+C757</f>
        <v>TOTAL 1/2</v>
      </c>
      <c r="E757" s="42">
        <f>SUM(E750:E756)</f>
        <v>0</v>
      </c>
      <c r="F757" s="43">
        <f>SUM(F750:F756)</f>
        <v>20100</v>
      </c>
      <c r="G757" s="43">
        <f>SUM(G750:G756)</f>
        <v>18750</v>
      </c>
      <c r="H757" s="44">
        <f>SUM(H750:H756)</f>
        <v>1350</v>
      </c>
      <c r="I757" s="45">
        <f>SUM(I754:I756)</f>
        <v>544662</v>
      </c>
      <c r="J757" s="43">
        <f>SUM(J750:J756)</f>
        <v>530500</v>
      </c>
      <c r="K757" s="43">
        <f>SUM(K750:K756)</f>
        <v>14162</v>
      </c>
      <c r="L757" s="46" t="e">
        <f>+J757/E757</f>
        <v>#DIV/0!</v>
      </c>
      <c r="M757" s="47"/>
      <c r="N757" s="48">
        <f>SUM(N754:N756)</f>
        <v>41514.375</v>
      </c>
      <c r="O757" s="49">
        <f>SUM(O750:O756)</f>
        <v>1174580.05</v>
      </c>
      <c r="P757" s="202"/>
    </row>
    <row r="758" spans="2:16" x14ac:dyDescent="0.3">
      <c r="B758" s="1194"/>
      <c r="C758" s="1207" t="s">
        <v>67</v>
      </c>
      <c r="D758" s="22" t="s">
        <v>64</v>
      </c>
      <c r="E758" s="3">
        <v>0</v>
      </c>
      <c r="F758" s="4">
        <f>G758+H758</f>
        <v>0</v>
      </c>
      <c r="G758" s="4">
        <v>0</v>
      </c>
      <c r="H758" s="8">
        <v>0</v>
      </c>
      <c r="I758" s="16">
        <f>J758+K758</f>
        <v>109220</v>
      </c>
      <c r="J758" s="4">
        <f>G758+J693</f>
        <v>105750</v>
      </c>
      <c r="K758" s="4">
        <f>H758+K693</f>
        <v>3470</v>
      </c>
      <c r="L758" s="50" t="e">
        <f>+J758/E758</f>
        <v>#DIV/0!</v>
      </c>
      <c r="M758" s="144">
        <v>4.1712999999999996</v>
      </c>
      <c r="N758" s="7">
        <f>+M758*G758</f>
        <v>0</v>
      </c>
      <c r="O758" s="93">
        <f>+M758*J758</f>
        <v>441114.97499999998</v>
      </c>
      <c r="P758" s="1204"/>
    </row>
    <row r="759" spans="2:16" x14ac:dyDescent="0.3">
      <c r="B759" s="1194"/>
      <c r="C759" s="1208"/>
      <c r="D759" s="22" t="s">
        <v>65</v>
      </c>
      <c r="E759" s="3">
        <v>0</v>
      </c>
      <c r="F759" s="4">
        <f>G759+H759</f>
        <v>0</v>
      </c>
      <c r="G759" s="4">
        <v>0</v>
      </c>
      <c r="H759" s="8">
        <v>0</v>
      </c>
      <c r="I759" s="6">
        <f>+R1803+F759</f>
        <v>0</v>
      </c>
      <c r="J759" s="4">
        <f>G759+J694</f>
        <v>120000</v>
      </c>
      <c r="K759" s="4">
        <f>H759+K694</f>
        <v>3230</v>
      </c>
      <c r="L759" s="51" t="e">
        <f t="shared" ref="L759:L763" si="592">+J759/E759</f>
        <v>#DIV/0!</v>
      </c>
      <c r="M759" s="145">
        <v>4.8285999999999998</v>
      </c>
      <c r="N759" s="11">
        <f t="shared" ref="N759:N761" si="593">+M759*G759</f>
        <v>0</v>
      </c>
      <c r="O759" s="94">
        <f t="shared" ref="O759:O761" si="594">+M759*J759</f>
        <v>579432</v>
      </c>
      <c r="P759" s="1205"/>
    </row>
    <row r="760" spans="2:16" x14ac:dyDescent="0.3">
      <c r="B760" s="1194"/>
      <c r="C760" s="1208"/>
      <c r="D760" s="22" t="s">
        <v>127</v>
      </c>
      <c r="E760" s="3"/>
      <c r="F760" s="4">
        <f>G760+H760</f>
        <v>0</v>
      </c>
      <c r="G760" s="4">
        <v>0</v>
      </c>
      <c r="H760" s="8">
        <v>0</v>
      </c>
      <c r="I760" s="6">
        <f>+R1804+F760</f>
        <v>0</v>
      </c>
      <c r="J760" s="4">
        <f t="shared" ref="J760:J761" si="595">G760+J695</f>
        <v>0</v>
      </c>
      <c r="K760" s="4">
        <f t="shared" ref="K760:K761" si="596">H760+K695</f>
        <v>0</v>
      </c>
      <c r="L760" s="51" t="e">
        <f t="shared" si="592"/>
        <v>#DIV/0!</v>
      </c>
      <c r="M760" s="144">
        <v>4.5023</v>
      </c>
      <c r="N760" s="11">
        <f t="shared" si="593"/>
        <v>0</v>
      </c>
      <c r="O760" s="94">
        <f t="shared" si="594"/>
        <v>0</v>
      </c>
      <c r="P760" s="1205"/>
    </row>
    <row r="761" spans="2:16" ht="15" thickBot="1" x14ac:dyDescent="0.35">
      <c r="B761" s="1194"/>
      <c r="C761" s="1208"/>
      <c r="D761" s="22" t="s">
        <v>111</v>
      </c>
      <c r="E761" s="3">
        <v>0</v>
      </c>
      <c r="F761" s="4">
        <f t="shared" ref="F761" si="597">G761+H761</f>
        <v>0</v>
      </c>
      <c r="G761" s="4">
        <v>0</v>
      </c>
      <c r="H761" s="8">
        <v>0</v>
      </c>
      <c r="I761" s="6">
        <f>+R1804+F761</f>
        <v>0</v>
      </c>
      <c r="J761" s="4">
        <f t="shared" si="595"/>
        <v>0</v>
      </c>
      <c r="K761" s="4">
        <f t="shared" si="596"/>
        <v>0</v>
      </c>
      <c r="L761" s="51" t="e">
        <f t="shared" si="592"/>
        <v>#DIV/0!</v>
      </c>
      <c r="M761" s="144">
        <v>4.4065000000000003</v>
      </c>
      <c r="N761" s="11">
        <f t="shared" si="593"/>
        <v>0</v>
      </c>
      <c r="O761" s="94">
        <f t="shared" si="594"/>
        <v>0</v>
      </c>
      <c r="P761" s="1205"/>
    </row>
    <row r="762" spans="2:16" ht="15" thickBot="1" x14ac:dyDescent="0.35">
      <c r="B762" s="1194"/>
      <c r="C762" s="41" t="s">
        <v>31</v>
      </c>
      <c r="D762" s="18" t="str">
        <f>+C762</f>
        <v>TOTAL 4/4</v>
      </c>
      <c r="E762" s="42">
        <f t="shared" ref="E762:K762" si="598">SUM(E758:E761)</f>
        <v>0</v>
      </c>
      <c r="F762" s="43">
        <f t="shared" si="598"/>
        <v>0</v>
      </c>
      <c r="G762" s="43">
        <f t="shared" si="598"/>
        <v>0</v>
      </c>
      <c r="H762" s="44">
        <f t="shared" si="598"/>
        <v>0</v>
      </c>
      <c r="I762" s="45">
        <f t="shared" si="598"/>
        <v>109220</v>
      </c>
      <c r="J762" s="43">
        <f t="shared" si="598"/>
        <v>225750</v>
      </c>
      <c r="K762" s="43">
        <f t="shared" si="598"/>
        <v>6700</v>
      </c>
      <c r="L762" s="46" t="e">
        <f t="shared" si="592"/>
        <v>#DIV/0!</v>
      </c>
      <c r="M762" s="47"/>
      <c r="N762" s="48">
        <f>SUM(N758:N761)</f>
        <v>0</v>
      </c>
      <c r="O762" s="92">
        <f>SUM(O758:O761)</f>
        <v>1020546.975</v>
      </c>
      <c r="P762" s="1206"/>
    </row>
    <row r="763" spans="2:16" ht="15" thickBot="1" x14ac:dyDescent="0.35">
      <c r="B763" s="1203"/>
      <c r="C763" s="41" t="s">
        <v>68</v>
      </c>
      <c r="D763" s="27" t="s">
        <v>64</v>
      </c>
      <c r="E763" s="25">
        <v>0</v>
      </c>
      <c r="F763" s="20">
        <f>G763+H763</f>
        <v>0</v>
      </c>
      <c r="G763" s="20">
        <v>0</v>
      </c>
      <c r="H763" s="24">
        <v>0</v>
      </c>
      <c r="I763" s="19">
        <f>J763+K763</f>
        <v>0</v>
      </c>
      <c r="J763" s="4">
        <f>G763+J698</f>
        <v>0</v>
      </c>
      <c r="K763" s="4">
        <f>H763+K698</f>
        <v>0</v>
      </c>
      <c r="L763" s="52" t="e">
        <f t="shared" si="592"/>
        <v>#DIV/0!</v>
      </c>
      <c r="M763" s="149">
        <v>1.4086000000000001</v>
      </c>
      <c r="N763" s="26">
        <f t="shared" ref="N763" si="599">+M763*G763</f>
        <v>0</v>
      </c>
      <c r="O763" s="95">
        <f t="shared" ref="O763" si="600">+M763*J763</f>
        <v>0</v>
      </c>
      <c r="P763" s="53"/>
    </row>
    <row r="764" spans="2:16" ht="15" thickBot="1" x14ac:dyDescent="0.35">
      <c r="B764" s="1178" t="s">
        <v>95</v>
      </c>
      <c r="C764" s="1179"/>
      <c r="D764" s="1179"/>
      <c r="E764" s="1179"/>
      <c r="F764" s="1179"/>
      <c r="G764" s="1179"/>
      <c r="H764" s="1179"/>
      <c r="I764" s="110">
        <f>J764+K764</f>
        <v>777112</v>
      </c>
      <c r="J764" s="110">
        <f>J757+J762+J763</f>
        <v>756250</v>
      </c>
      <c r="K764" s="110">
        <f>K757+K762+K763</f>
        <v>20862</v>
      </c>
      <c r="L764" s="111"/>
      <c r="M764" s="112"/>
      <c r="N764" s="109"/>
      <c r="O764" s="77">
        <f>+O763+O762+O757</f>
        <v>2195127.0249999999</v>
      </c>
      <c r="P764" s="84"/>
    </row>
    <row r="765" spans="2:16" x14ac:dyDescent="0.3">
      <c r="B765" s="1180" t="s">
        <v>69</v>
      </c>
      <c r="C765" s="1183" t="s">
        <v>70</v>
      </c>
      <c r="D765" s="54" t="s">
        <v>71</v>
      </c>
      <c r="E765" s="55">
        <v>0</v>
      </c>
      <c r="F765" s="56">
        <f>G765+H765</f>
        <v>5063</v>
      </c>
      <c r="G765" s="56">
        <v>5000</v>
      </c>
      <c r="H765" s="57">
        <v>63</v>
      </c>
      <c r="I765" s="78">
        <f>J765+K765</f>
        <v>15133</v>
      </c>
      <c r="J765" s="4">
        <f>G765+J700</f>
        <v>15000</v>
      </c>
      <c r="K765" s="4">
        <f>H765+K700</f>
        <v>133</v>
      </c>
      <c r="L765" s="58" t="e">
        <f t="shared" ref="L765" si="601">+J765/E765</f>
        <v>#DIV/0!</v>
      </c>
      <c r="M765" s="59">
        <v>32.946300000000001</v>
      </c>
      <c r="N765" s="60">
        <f>+M765*G765</f>
        <v>164731.5</v>
      </c>
      <c r="O765" s="60">
        <f>M765*J765</f>
        <v>494194.5</v>
      </c>
      <c r="P765" s="1185"/>
    </row>
    <row r="766" spans="2:16" x14ac:dyDescent="0.3">
      <c r="B766" s="1181"/>
      <c r="C766" s="1184"/>
      <c r="D766" s="61" t="s">
        <v>72</v>
      </c>
      <c r="E766" s="62">
        <v>0</v>
      </c>
      <c r="F766" s="63">
        <f>G766+H766</f>
        <v>0</v>
      </c>
      <c r="G766" s="63">
        <v>0</v>
      </c>
      <c r="H766" s="64">
        <v>0</v>
      </c>
      <c r="I766" s="79">
        <f>J766+K766</f>
        <v>31833</v>
      </c>
      <c r="J766" s="4">
        <f>G766+J701</f>
        <v>31420</v>
      </c>
      <c r="K766" s="4">
        <f>H766+K701</f>
        <v>413</v>
      </c>
      <c r="L766" s="65" t="e">
        <f>+J766/E766</f>
        <v>#DIV/0!</v>
      </c>
      <c r="M766" s="66">
        <v>35.398400000000002</v>
      </c>
      <c r="N766" s="67">
        <f>+M766*G766</f>
        <v>0</v>
      </c>
      <c r="O766" s="67">
        <f>M766*J766</f>
        <v>1112217.7280000001</v>
      </c>
      <c r="P766" s="1186"/>
    </row>
    <row r="767" spans="2:16" x14ac:dyDescent="0.3">
      <c r="B767" s="1181"/>
      <c r="C767" s="1184"/>
      <c r="D767" s="61" t="s">
        <v>73</v>
      </c>
      <c r="E767" s="62">
        <v>0</v>
      </c>
      <c r="F767" s="63">
        <f t="shared" ref="F767:F770" si="602">G767+H767</f>
        <v>0</v>
      </c>
      <c r="G767" s="63">
        <v>0</v>
      </c>
      <c r="H767" s="64">
        <v>0</v>
      </c>
      <c r="I767" s="79">
        <f t="shared" ref="I767:I776" si="603">J767+K767</f>
        <v>0</v>
      </c>
      <c r="J767" s="4">
        <f t="shared" ref="J767:J792" si="604">G767+J702</f>
        <v>0</v>
      </c>
      <c r="K767" s="4">
        <f t="shared" ref="K767:K771" si="605">H767+K702</f>
        <v>0</v>
      </c>
      <c r="L767" s="65" t="e">
        <f t="shared" ref="L767:L780" si="606">+J767/E767</f>
        <v>#DIV/0!</v>
      </c>
      <c r="M767" s="66">
        <v>32.946300000000001</v>
      </c>
      <c r="N767" s="67">
        <f t="shared" ref="N767:N787" si="607">+M767*G767</f>
        <v>0</v>
      </c>
      <c r="O767" s="67">
        <f t="shared" ref="O767:O775" si="608">M767*J767</f>
        <v>0</v>
      </c>
      <c r="P767" s="1186"/>
    </row>
    <row r="768" spans="2:16" x14ac:dyDescent="0.3">
      <c r="B768" s="1181"/>
      <c r="C768" s="1184" t="s">
        <v>74</v>
      </c>
      <c r="D768" s="61" t="s">
        <v>75</v>
      </c>
      <c r="E768" s="62">
        <v>0</v>
      </c>
      <c r="F768" s="63">
        <f t="shared" si="602"/>
        <v>2479</v>
      </c>
      <c r="G768" s="63">
        <v>2400</v>
      </c>
      <c r="H768" s="64">
        <v>79</v>
      </c>
      <c r="I768" s="79">
        <f t="shared" si="603"/>
        <v>14758</v>
      </c>
      <c r="J768" s="4">
        <f t="shared" si="604"/>
        <v>14400</v>
      </c>
      <c r="K768" s="4">
        <f t="shared" si="605"/>
        <v>358</v>
      </c>
      <c r="L768" s="65" t="e">
        <f t="shared" si="606"/>
        <v>#DIV/0!</v>
      </c>
      <c r="M768" s="66">
        <v>55.4758</v>
      </c>
      <c r="N768" s="67">
        <f t="shared" si="607"/>
        <v>133141.92000000001</v>
      </c>
      <c r="O768" s="67">
        <f t="shared" si="608"/>
        <v>798851.52</v>
      </c>
      <c r="P768" s="1186"/>
    </row>
    <row r="769" spans="2:16" x14ac:dyDescent="0.3">
      <c r="B769" s="1181"/>
      <c r="C769" s="1184"/>
      <c r="D769" s="61" t="s">
        <v>134</v>
      </c>
      <c r="E769" s="62">
        <v>0</v>
      </c>
      <c r="F769" s="63">
        <f t="shared" si="602"/>
        <v>0</v>
      </c>
      <c r="G769" s="63">
        <v>0</v>
      </c>
      <c r="H769" s="64">
        <v>0</v>
      </c>
      <c r="I769" s="79">
        <f t="shared" si="603"/>
        <v>0</v>
      </c>
      <c r="J769" s="4">
        <f t="shared" si="604"/>
        <v>0</v>
      </c>
      <c r="K769" s="4">
        <f t="shared" si="605"/>
        <v>0</v>
      </c>
      <c r="L769" s="65" t="e">
        <f t="shared" si="606"/>
        <v>#DIV/0!</v>
      </c>
      <c r="M769" s="66">
        <v>53.515999999999998</v>
      </c>
      <c r="N769" s="67">
        <f t="shared" si="607"/>
        <v>0</v>
      </c>
      <c r="O769" s="67">
        <f t="shared" si="608"/>
        <v>0</v>
      </c>
      <c r="P769" s="1186"/>
    </row>
    <row r="770" spans="2:16" x14ac:dyDescent="0.3">
      <c r="B770" s="1181"/>
      <c r="C770" s="1184"/>
      <c r="D770" s="61" t="s">
        <v>72</v>
      </c>
      <c r="E770" s="62">
        <v>0</v>
      </c>
      <c r="F770" s="63">
        <f t="shared" si="602"/>
        <v>0</v>
      </c>
      <c r="G770" s="63">
        <v>0</v>
      </c>
      <c r="H770" s="64">
        <v>0</v>
      </c>
      <c r="I770" s="79">
        <f t="shared" si="603"/>
        <v>9804</v>
      </c>
      <c r="J770" s="4">
        <f t="shared" si="604"/>
        <v>9600</v>
      </c>
      <c r="K770" s="4">
        <f t="shared" si="605"/>
        <v>204</v>
      </c>
      <c r="L770" s="65" t="e">
        <f t="shared" si="606"/>
        <v>#DIV/0!</v>
      </c>
      <c r="M770" s="66">
        <v>58.836300000000001</v>
      </c>
      <c r="N770" s="67">
        <f t="shared" si="607"/>
        <v>0</v>
      </c>
      <c r="O770" s="67">
        <f t="shared" si="608"/>
        <v>564828.48</v>
      </c>
      <c r="P770" s="1186"/>
    </row>
    <row r="771" spans="2:16" x14ac:dyDescent="0.3">
      <c r="B771" s="1181"/>
      <c r="C771" s="1188" t="s">
        <v>76</v>
      </c>
      <c r="D771" s="61" t="s">
        <v>77</v>
      </c>
      <c r="E771" s="62">
        <v>0</v>
      </c>
      <c r="F771" s="63">
        <f>G771+H771</f>
        <v>0</v>
      </c>
      <c r="G771" s="63">
        <v>0</v>
      </c>
      <c r="H771" s="64">
        <v>0</v>
      </c>
      <c r="I771" s="79">
        <f t="shared" si="603"/>
        <v>6690</v>
      </c>
      <c r="J771" s="4">
        <f t="shared" si="604"/>
        <v>6575</v>
      </c>
      <c r="K771" s="4">
        <f t="shared" si="605"/>
        <v>115</v>
      </c>
      <c r="L771" s="65" t="e">
        <f t="shared" si="606"/>
        <v>#DIV/0!</v>
      </c>
      <c r="M771" s="66">
        <v>25.687200000000001</v>
      </c>
      <c r="N771" s="67">
        <f t="shared" si="607"/>
        <v>0</v>
      </c>
      <c r="O771" s="67">
        <f t="shared" si="608"/>
        <v>168893.34</v>
      </c>
      <c r="P771" s="1186"/>
    </row>
    <row r="772" spans="2:16" x14ac:dyDescent="0.3">
      <c r="B772" s="1181"/>
      <c r="C772" s="1189"/>
      <c r="D772" s="61" t="s">
        <v>117</v>
      </c>
      <c r="E772" s="62">
        <v>0</v>
      </c>
      <c r="F772" s="63">
        <f>G772+H772</f>
        <v>0</v>
      </c>
      <c r="G772" s="63">
        <v>0</v>
      </c>
      <c r="H772" s="64">
        <v>0</v>
      </c>
      <c r="I772" s="79">
        <f t="shared" si="603"/>
        <v>0</v>
      </c>
      <c r="J772" s="4">
        <f t="shared" si="604"/>
        <v>0</v>
      </c>
      <c r="K772" s="4">
        <f>H772+K707</f>
        <v>0</v>
      </c>
      <c r="L772" s="65" t="e">
        <f t="shared" si="606"/>
        <v>#DIV/0!</v>
      </c>
      <c r="M772" s="66">
        <v>25.033899999999999</v>
      </c>
      <c r="N772" s="67">
        <f t="shared" si="607"/>
        <v>0</v>
      </c>
      <c r="O772" s="67">
        <f t="shared" si="608"/>
        <v>0</v>
      </c>
      <c r="P772" s="1186"/>
    </row>
    <row r="773" spans="2:16" x14ac:dyDescent="0.3">
      <c r="B773" s="1181"/>
      <c r="C773" s="1188" t="s">
        <v>78</v>
      </c>
      <c r="D773" s="61" t="s">
        <v>79</v>
      </c>
      <c r="E773" s="62">
        <v>0</v>
      </c>
      <c r="F773" s="63">
        <f t="shared" ref="F773:F792" si="609">G773+H773</f>
        <v>0</v>
      </c>
      <c r="G773" s="63">
        <v>0</v>
      </c>
      <c r="H773" s="64">
        <v>0</v>
      </c>
      <c r="I773" s="79">
        <f t="shared" si="603"/>
        <v>14273</v>
      </c>
      <c r="J773" s="4">
        <f t="shared" si="604"/>
        <v>14000</v>
      </c>
      <c r="K773" s="4">
        <f t="shared" ref="K773:K792" si="610">H773+K708</f>
        <v>273</v>
      </c>
      <c r="L773" s="65" t="e">
        <f t="shared" si="606"/>
        <v>#DIV/0!</v>
      </c>
      <c r="M773" s="66">
        <v>41.992699999999999</v>
      </c>
      <c r="N773" s="67">
        <f t="shared" si="607"/>
        <v>0</v>
      </c>
      <c r="O773" s="67">
        <f t="shared" si="608"/>
        <v>587897.80000000005</v>
      </c>
      <c r="P773" s="1186"/>
    </row>
    <row r="774" spans="2:16" x14ac:dyDescent="0.3">
      <c r="B774" s="1181"/>
      <c r="C774" s="1189"/>
      <c r="D774" s="61" t="s">
        <v>72</v>
      </c>
      <c r="E774" s="62">
        <v>0</v>
      </c>
      <c r="F774" s="63">
        <f t="shared" si="609"/>
        <v>0</v>
      </c>
      <c r="G774" s="63">
        <v>0</v>
      </c>
      <c r="H774" s="64">
        <v>0</v>
      </c>
      <c r="I774" s="79">
        <f t="shared" si="603"/>
        <v>0</v>
      </c>
      <c r="J774" s="4">
        <f t="shared" si="604"/>
        <v>0</v>
      </c>
      <c r="K774" s="4">
        <f t="shared" si="610"/>
        <v>0</v>
      </c>
      <c r="L774" s="65" t="e">
        <f t="shared" si="606"/>
        <v>#DIV/0!</v>
      </c>
      <c r="M774" s="66">
        <v>42.283799999999999</v>
      </c>
      <c r="N774" s="67">
        <f t="shared" si="607"/>
        <v>0</v>
      </c>
      <c r="O774" s="67">
        <f t="shared" si="608"/>
        <v>0</v>
      </c>
      <c r="P774" s="1186"/>
    </row>
    <row r="775" spans="2:16" x14ac:dyDescent="0.3">
      <c r="B775" s="1181"/>
      <c r="C775" s="200" t="s">
        <v>80</v>
      </c>
      <c r="D775" s="61" t="s">
        <v>81</v>
      </c>
      <c r="E775" s="62">
        <v>0</v>
      </c>
      <c r="F775" s="63">
        <f t="shared" si="609"/>
        <v>0</v>
      </c>
      <c r="G775" s="63">
        <v>0</v>
      </c>
      <c r="H775" s="64">
        <v>0</v>
      </c>
      <c r="I775" s="79">
        <f t="shared" si="603"/>
        <v>24803</v>
      </c>
      <c r="J775" s="4">
        <f t="shared" si="604"/>
        <v>24000</v>
      </c>
      <c r="K775" s="4">
        <f t="shared" si="610"/>
        <v>803</v>
      </c>
      <c r="L775" s="65" t="e">
        <f t="shared" si="606"/>
        <v>#DIV/0!</v>
      </c>
      <c r="M775" s="66">
        <v>4.3535000000000004</v>
      </c>
      <c r="N775" s="67">
        <f t="shared" si="607"/>
        <v>0</v>
      </c>
      <c r="O775" s="67">
        <f t="shared" si="608"/>
        <v>104484.00000000001</v>
      </c>
      <c r="P775" s="1186"/>
    </row>
    <row r="776" spans="2:16" x14ac:dyDescent="0.3">
      <c r="B776" s="1181"/>
      <c r="C776" s="1184" t="s">
        <v>82</v>
      </c>
      <c r="D776" s="61" t="s">
        <v>77</v>
      </c>
      <c r="E776" s="62">
        <v>0</v>
      </c>
      <c r="F776" s="63">
        <f t="shared" si="609"/>
        <v>0</v>
      </c>
      <c r="G776" s="63">
        <v>0</v>
      </c>
      <c r="H776" s="64">
        <v>0</v>
      </c>
      <c r="I776" s="79">
        <f t="shared" si="603"/>
        <v>0</v>
      </c>
      <c r="J776" s="4">
        <f t="shared" si="604"/>
        <v>0</v>
      </c>
      <c r="K776" s="4">
        <f t="shared" si="610"/>
        <v>0</v>
      </c>
      <c r="L776" s="65" t="e">
        <f t="shared" si="606"/>
        <v>#DIV/0!</v>
      </c>
      <c r="M776" s="66">
        <v>4.6184000000000003</v>
      </c>
      <c r="N776" s="67">
        <f t="shared" si="607"/>
        <v>0</v>
      </c>
      <c r="O776" s="67">
        <f>M776*J776</f>
        <v>0</v>
      </c>
      <c r="P776" s="1186"/>
    </row>
    <row r="777" spans="2:16" x14ac:dyDescent="0.3">
      <c r="B777" s="1181"/>
      <c r="C777" s="1184"/>
      <c r="D777" s="61" t="s">
        <v>119</v>
      </c>
      <c r="E777" s="62">
        <v>0</v>
      </c>
      <c r="F777" s="63">
        <f t="shared" si="609"/>
        <v>0</v>
      </c>
      <c r="G777" s="63">
        <v>0</v>
      </c>
      <c r="H777" s="64">
        <v>0</v>
      </c>
      <c r="I777" s="79">
        <f>J777+K777</f>
        <v>0</v>
      </c>
      <c r="J777" s="4">
        <f t="shared" si="604"/>
        <v>0</v>
      </c>
      <c r="K777" s="4">
        <f t="shared" si="610"/>
        <v>0</v>
      </c>
      <c r="L777" s="65" t="e">
        <f t="shared" si="606"/>
        <v>#DIV/0!</v>
      </c>
      <c r="M777" s="153">
        <v>4.6184000000000003</v>
      </c>
      <c r="N777" s="67">
        <f t="shared" si="607"/>
        <v>0</v>
      </c>
      <c r="O777" s="67">
        <f>M777*J777</f>
        <v>0</v>
      </c>
      <c r="P777" s="1186"/>
    </row>
    <row r="778" spans="2:16" x14ac:dyDescent="0.3">
      <c r="B778" s="1181"/>
      <c r="C778" s="1184"/>
      <c r="D778" s="61" t="s">
        <v>123</v>
      </c>
      <c r="E778" s="62">
        <v>0</v>
      </c>
      <c r="F778" s="63">
        <f t="shared" si="609"/>
        <v>0</v>
      </c>
      <c r="G778" s="63">
        <v>0</v>
      </c>
      <c r="H778" s="64">
        <v>0</v>
      </c>
      <c r="I778" s="79">
        <f t="shared" ref="I778:I792" si="611">J778+K778</f>
        <v>0</v>
      </c>
      <c r="J778" s="4">
        <f t="shared" si="604"/>
        <v>0</v>
      </c>
      <c r="K778" s="4">
        <f t="shared" si="610"/>
        <v>0</v>
      </c>
      <c r="L778" s="65" t="e">
        <f t="shared" si="606"/>
        <v>#DIV/0!</v>
      </c>
      <c r="M778" s="153">
        <v>4.6184000000000003</v>
      </c>
      <c r="N778" s="67">
        <f t="shared" si="607"/>
        <v>0</v>
      </c>
      <c r="O778" s="67">
        <f t="shared" ref="O778:O783" si="612">M778*J778</f>
        <v>0</v>
      </c>
      <c r="P778" s="1186"/>
    </row>
    <row r="779" spans="2:16" x14ac:dyDescent="0.3">
      <c r="B779" s="1181"/>
      <c r="C779" s="1184"/>
      <c r="D779" s="61" t="s">
        <v>124</v>
      </c>
      <c r="E779" s="62">
        <v>0</v>
      </c>
      <c r="F779" s="63">
        <f t="shared" si="609"/>
        <v>20397</v>
      </c>
      <c r="G779" s="63">
        <v>20100</v>
      </c>
      <c r="H779" s="64">
        <v>297</v>
      </c>
      <c r="I779" s="79">
        <f t="shared" si="611"/>
        <v>237198</v>
      </c>
      <c r="J779" s="4">
        <f t="shared" si="604"/>
        <v>230335</v>
      </c>
      <c r="K779" s="4">
        <f t="shared" si="610"/>
        <v>6863</v>
      </c>
      <c r="L779" s="65" t="e">
        <f t="shared" si="606"/>
        <v>#DIV/0!</v>
      </c>
      <c r="M779" s="153">
        <v>4.7636000000000003</v>
      </c>
      <c r="N779" s="67">
        <f t="shared" si="607"/>
        <v>95748.36</v>
      </c>
      <c r="O779" s="67">
        <f t="shared" si="612"/>
        <v>1097223.8060000001</v>
      </c>
      <c r="P779" s="1186"/>
    </row>
    <row r="780" spans="2:16" x14ac:dyDescent="0.3">
      <c r="B780" s="1181"/>
      <c r="C780" s="1184"/>
      <c r="D780" s="61" t="s">
        <v>83</v>
      </c>
      <c r="E780" s="62">
        <v>0</v>
      </c>
      <c r="F780" s="63">
        <f t="shared" si="609"/>
        <v>0</v>
      </c>
      <c r="G780" s="63">
        <v>0</v>
      </c>
      <c r="H780" s="64">
        <v>0</v>
      </c>
      <c r="I780" s="79">
        <f t="shared" si="611"/>
        <v>0</v>
      </c>
      <c r="J780" s="4">
        <f t="shared" si="604"/>
        <v>0</v>
      </c>
      <c r="K780" s="4">
        <f t="shared" si="610"/>
        <v>0</v>
      </c>
      <c r="L780" s="65" t="e">
        <f t="shared" si="606"/>
        <v>#DIV/0!</v>
      </c>
      <c r="M780" s="66">
        <v>4.8738000000000001</v>
      </c>
      <c r="N780" s="67">
        <f t="shared" si="607"/>
        <v>0</v>
      </c>
      <c r="O780" s="67">
        <f t="shared" si="612"/>
        <v>0</v>
      </c>
      <c r="P780" s="1186"/>
    </row>
    <row r="781" spans="2:16" x14ac:dyDescent="0.3">
      <c r="B781" s="1181"/>
      <c r="C781" s="200" t="s">
        <v>128</v>
      </c>
      <c r="D781" s="61" t="s">
        <v>124</v>
      </c>
      <c r="E781" s="62"/>
      <c r="F781" s="63">
        <f t="shared" si="609"/>
        <v>0</v>
      </c>
      <c r="G781" s="63">
        <v>0</v>
      </c>
      <c r="H781" s="64">
        <v>0</v>
      </c>
      <c r="I781" s="79">
        <f t="shared" si="611"/>
        <v>0</v>
      </c>
      <c r="J781" s="4">
        <f t="shared" si="604"/>
        <v>0</v>
      </c>
      <c r="K781" s="4">
        <f t="shared" si="610"/>
        <v>0</v>
      </c>
      <c r="L781" s="65"/>
      <c r="M781" s="66">
        <v>4.8738000000000001</v>
      </c>
      <c r="N781" s="67">
        <f t="shared" si="607"/>
        <v>0</v>
      </c>
      <c r="O781" s="67">
        <f t="shared" si="612"/>
        <v>0</v>
      </c>
      <c r="P781" s="1186"/>
    </row>
    <row r="782" spans="2:16" x14ac:dyDescent="0.3">
      <c r="B782" s="1181"/>
      <c r="C782" s="1184" t="s">
        <v>84</v>
      </c>
      <c r="D782" s="61" t="s">
        <v>77</v>
      </c>
      <c r="E782" s="62">
        <v>0</v>
      </c>
      <c r="F782" s="63">
        <f t="shared" si="609"/>
        <v>0</v>
      </c>
      <c r="G782" s="63">
        <v>0</v>
      </c>
      <c r="H782" s="64">
        <v>0</v>
      </c>
      <c r="I782" s="79">
        <f t="shared" si="611"/>
        <v>190900</v>
      </c>
      <c r="J782" s="4">
        <f t="shared" si="604"/>
        <v>188900</v>
      </c>
      <c r="K782" s="4">
        <f t="shared" si="610"/>
        <v>2000</v>
      </c>
      <c r="L782" s="65" t="e">
        <f t="shared" ref="L782:L792" si="613">+J782/E782</f>
        <v>#DIV/0!</v>
      </c>
      <c r="M782" s="66">
        <v>4.9344999999999999</v>
      </c>
      <c r="N782" s="67">
        <f t="shared" si="607"/>
        <v>0</v>
      </c>
      <c r="O782" s="67">
        <f t="shared" si="612"/>
        <v>932127.04999999993</v>
      </c>
      <c r="P782" s="1186"/>
    </row>
    <row r="783" spans="2:16" x14ac:dyDescent="0.3">
      <c r="B783" s="1181"/>
      <c r="C783" s="1184"/>
      <c r="D783" s="61" t="s">
        <v>135</v>
      </c>
      <c r="E783" s="62"/>
      <c r="F783" s="63">
        <f t="shared" si="609"/>
        <v>20789</v>
      </c>
      <c r="G783" s="63">
        <v>19800</v>
      </c>
      <c r="H783" s="64">
        <v>989</v>
      </c>
      <c r="I783" s="79">
        <f t="shared" si="611"/>
        <v>24817</v>
      </c>
      <c r="J783" s="4">
        <f t="shared" si="604"/>
        <v>22850</v>
      </c>
      <c r="K783" s="4">
        <f t="shared" si="610"/>
        <v>1967</v>
      </c>
      <c r="L783" s="65" t="e">
        <f t="shared" si="613"/>
        <v>#DIV/0!</v>
      </c>
      <c r="M783" s="66">
        <v>4.9344999999999999</v>
      </c>
      <c r="N783" s="67">
        <f t="shared" si="607"/>
        <v>97703.099999999991</v>
      </c>
      <c r="O783" s="67">
        <f t="shared" si="612"/>
        <v>112753.325</v>
      </c>
      <c r="P783" s="1186"/>
    </row>
    <row r="784" spans="2:16" x14ac:dyDescent="0.3">
      <c r="B784" s="1181"/>
      <c r="C784" s="1184"/>
      <c r="D784" s="61" t="s">
        <v>129</v>
      </c>
      <c r="E784" s="62">
        <v>0</v>
      </c>
      <c r="F784" s="63">
        <f t="shared" si="609"/>
        <v>0</v>
      </c>
      <c r="G784" s="155">
        <v>0</v>
      </c>
      <c r="H784" s="156">
        <v>0</v>
      </c>
      <c r="I784" s="157">
        <f t="shared" si="611"/>
        <v>0</v>
      </c>
      <c r="J784" s="4">
        <f t="shared" si="604"/>
        <v>0</v>
      </c>
      <c r="K784" s="4">
        <f t="shared" si="610"/>
        <v>0</v>
      </c>
      <c r="L784" s="158" t="e">
        <f t="shared" si="613"/>
        <v>#DIV/0!</v>
      </c>
      <c r="M784" s="66">
        <v>4.9344999999999999</v>
      </c>
      <c r="N784" s="159">
        <f t="shared" si="607"/>
        <v>0</v>
      </c>
      <c r="O784" s="67">
        <f>M784*J784</f>
        <v>0</v>
      </c>
      <c r="P784" s="1186"/>
    </row>
    <row r="785" spans="2:16" x14ac:dyDescent="0.3">
      <c r="B785" s="1181"/>
      <c r="C785" s="1184" t="s">
        <v>85</v>
      </c>
      <c r="D785" s="61" t="s">
        <v>77</v>
      </c>
      <c r="E785" s="62">
        <v>0</v>
      </c>
      <c r="F785" s="63">
        <f t="shared" si="609"/>
        <v>0</v>
      </c>
      <c r="G785" s="63">
        <v>0</v>
      </c>
      <c r="H785" s="64">
        <v>0</v>
      </c>
      <c r="I785" s="79">
        <f t="shared" si="611"/>
        <v>138276</v>
      </c>
      <c r="J785" s="4">
        <f t="shared" si="604"/>
        <v>130950</v>
      </c>
      <c r="K785" s="4">
        <f t="shared" si="610"/>
        <v>7326</v>
      </c>
      <c r="L785" s="65" t="e">
        <f t="shared" si="613"/>
        <v>#DIV/0!</v>
      </c>
      <c r="M785" s="148">
        <v>5.5069999999999997</v>
      </c>
      <c r="N785" s="67">
        <f t="shared" si="607"/>
        <v>0</v>
      </c>
      <c r="O785" s="67">
        <f>M785*J785</f>
        <v>721141.64999999991</v>
      </c>
      <c r="P785" s="1186"/>
    </row>
    <row r="786" spans="2:16" x14ac:dyDescent="0.3">
      <c r="B786" s="1181"/>
      <c r="C786" s="1184"/>
      <c r="D786" s="61" t="s">
        <v>112</v>
      </c>
      <c r="E786" s="62">
        <v>0</v>
      </c>
      <c r="F786" s="63">
        <f t="shared" si="609"/>
        <v>19389</v>
      </c>
      <c r="G786" s="63">
        <v>18900</v>
      </c>
      <c r="H786" s="64">
        <v>489</v>
      </c>
      <c r="I786" s="79">
        <f t="shared" si="611"/>
        <v>68765</v>
      </c>
      <c r="J786" s="4">
        <f t="shared" si="604"/>
        <v>66600</v>
      </c>
      <c r="K786" s="4">
        <f t="shared" si="610"/>
        <v>2165</v>
      </c>
      <c r="L786" s="65" t="e">
        <f t="shared" si="613"/>
        <v>#DIV/0!</v>
      </c>
      <c r="M786" s="147">
        <v>5.6550000000000002</v>
      </c>
      <c r="N786" s="67">
        <f t="shared" si="607"/>
        <v>106879.5</v>
      </c>
      <c r="O786" s="67">
        <f>M786*J786</f>
        <v>376623</v>
      </c>
      <c r="P786" s="1186"/>
    </row>
    <row r="787" spans="2:16" x14ac:dyDescent="0.3">
      <c r="B787" s="1181"/>
      <c r="C787" s="1184"/>
      <c r="D787" s="61" t="s">
        <v>118</v>
      </c>
      <c r="E787" s="62">
        <v>0</v>
      </c>
      <c r="F787" s="63">
        <f t="shared" si="609"/>
        <v>0</v>
      </c>
      <c r="G787" s="63">
        <v>0</v>
      </c>
      <c r="H787" s="64">
        <v>0</v>
      </c>
      <c r="I787" s="79">
        <f t="shared" si="611"/>
        <v>0</v>
      </c>
      <c r="J787" s="4">
        <f t="shared" si="604"/>
        <v>0</v>
      </c>
      <c r="K787" s="4">
        <f t="shared" si="610"/>
        <v>0</v>
      </c>
      <c r="L787" s="65" t="e">
        <f t="shared" si="613"/>
        <v>#DIV/0!</v>
      </c>
      <c r="M787" s="152">
        <v>5.6550000000000002</v>
      </c>
      <c r="N787" s="67">
        <f t="shared" si="607"/>
        <v>0</v>
      </c>
      <c r="O787" s="67">
        <f>M787*J787</f>
        <v>0</v>
      </c>
      <c r="P787" s="1186"/>
    </row>
    <row r="788" spans="2:16" x14ac:dyDescent="0.3">
      <c r="B788" s="1181"/>
      <c r="C788" s="1184"/>
      <c r="D788" s="61" t="s">
        <v>121</v>
      </c>
      <c r="E788" s="62">
        <v>0</v>
      </c>
      <c r="F788" s="63">
        <f t="shared" si="609"/>
        <v>0</v>
      </c>
      <c r="G788" s="63">
        <v>0</v>
      </c>
      <c r="H788" s="64">
        <v>0</v>
      </c>
      <c r="I788" s="79">
        <f t="shared" si="611"/>
        <v>28324</v>
      </c>
      <c r="J788" s="4">
        <f t="shared" si="604"/>
        <v>26710</v>
      </c>
      <c r="K788" s="4">
        <f t="shared" si="610"/>
        <v>1614</v>
      </c>
      <c r="L788" s="65" t="e">
        <f t="shared" si="613"/>
        <v>#DIV/0!</v>
      </c>
      <c r="M788" s="66">
        <v>5.7885299999999997</v>
      </c>
      <c r="N788" s="67">
        <f>+M788*G788</f>
        <v>0</v>
      </c>
      <c r="O788" s="67">
        <f>M788*J788</f>
        <v>154611.63629999998</v>
      </c>
      <c r="P788" s="1186"/>
    </row>
    <row r="789" spans="2:16" x14ac:dyDescent="0.3">
      <c r="B789" s="1181"/>
      <c r="C789" s="1184"/>
      <c r="D789" s="61" t="s">
        <v>136</v>
      </c>
      <c r="E789" s="62">
        <v>0</v>
      </c>
      <c r="F789" s="63">
        <f t="shared" si="609"/>
        <v>0</v>
      </c>
      <c r="G789" s="63">
        <v>0</v>
      </c>
      <c r="H789" s="64">
        <v>0</v>
      </c>
      <c r="I789" s="79">
        <f t="shared" si="611"/>
        <v>0</v>
      </c>
      <c r="J789" s="4">
        <f t="shared" si="604"/>
        <v>0</v>
      </c>
      <c r="K789" s="4">
        <f t="shared" si="610"/>
        <v>0</v>
      </c>
      <c r="L789" s="65" t="e">
        <f t="shared" si="613"/>
        <v>#DIV/0!</v>
      </c>
      <c r="M789" s="152">
        <v>5.6550000000000002</v>
      </c>
      <c r="N789" s="67">
        <f t="shared" ref="N789:N791" si="614">+M789*G789</f>
        <v>0</v>
      </c>
      <c r="O789" s="67">
        <f t="shared" ref="O789:O792" si="615">M789*J789</f>
        <v>0</v>
      </c>
      <c r="P789" s="1186"/>
    </row>
    <row r="790" spans="2:16" x14ac:dyDescent="0.3">
      <c r="B790" s="1181"/>
      <c r="C790" s="200" t="s">
        <v>86</v>
      </c>
      <c r="D790" s="61" t="s">
        <v>77</v>
      </c>
      <c r="E790" s="62">
        <v>0</v>
      </c>
      <c r="F790" s="63">
        <f t="shared" si="609"/>
        <v>0</v>
      </c>
      <c r="G790" s="63">
        <v>0</v>
      </c>
      <c r="H790" s="64">
        <v>0</v>
      </c>
      <c r="I790" s="79">
        <f t="shared" si="611"/>
        <v>0</v>
      </c>
      <c r="J790" s="4">
        <f t="shared" si="604"/>
        <v>0</v>
      </c>
      <c r="K790" s="4">
        <f t="shared" si="610"/>
        <v>0</v>
      </c>
      <c r="L790" s="65" t="e">
        <f t="shared" si="613"/>
        <v>#DIV/0!</v>
      </c>
      <c r="M790" s="66">
        <v>3.2963</v>
      </c>
      <c r="N790" s="67">
        <f t="shared" si="614"/>
        <v>0</v>
      </c>
      <c r="O790" s="67">
        <f t="shared" si="615"/>
        <v>0</v>
      </c>
      <c r="P790" s="1186"/>
    </row>
    <row r="791" spans="2:16" x14ac:dyDescent="0.3">
      <c r="B791" s="1181"/>
      <c r="C791" s="200" t="s">
        <v>87</v>
      </c>
      <c r="D791" s="61" t="s">
        <v>77</v>
      </c>
      <c r="E791" s="62">
        <v>0</v>
      </c>
      <c r="F791" s="63">
        <f t="shared" si="609"/>
        <v>0</v>
      </c>
      <c r="G791" s="63">
        <v>0</v>
      </c>
      <c r="H791" s="64">
        <v>0</v>
      </c>
      <c r="I791" s="79">
        <f t="shared" si="611"/>
        <v>0</v>
      </c>
      <c r="J791" s="4">
        <f t="shared" si="604"/>
        <v>0</v>
      </c>
      <c r="K791" s="4">
        <f t="shared" si="610"/>
        <v>0</v>
      </c>
      <c r="L791" s="65" t="e">
        <f t="shared" si="613"/>
        <v>#DIV/0!</v>
      </c>
      <c r="M791" s="66">
        <v>3.2963</v>
      </c>
      <c r="N791" s="67">
        <f t="shared" si="614"/>
        <v>0</v>
      </c>
      <c r="O791" s="67">
        <f t="shared" si="615"/>
        <v>0</v>
      </c>
      <c r="P791" s="1186"/>
    </row>
    <row r="792" spans="2:16" ht="15" thickBot="1" x14ac:dyDescent="0.35">
      <c r="B792" s="1181"/>
      <c r="C792" s="68" t="s">
        <v>88</v>
      </c>
      <c r="D792" s="69" t="s">
        <v>89</v>
      </c>
      <c r="E792" s="70">
        <v>0</v>
      </c>
      <c r="F792" s="71">
        <f t="shared" si="609"/>
        <v>0</v>
      </c>
      <c r="G792" s="71">
        <v>0</v>
      </c>
      <c r="H792" s="72">
        <v>0</v>
      </c>
      <c r="I792" s="80">
        <f t="shared" si="611"/>
        <v>65030</v>
      </c>
      <c r="J792" s="4">
        <f t="shared" si="604"/>
        <v>65000</v>
      </c>
      <c r="K792" s="4">
        <f t="shared" si="610"/>
        <v>30</v>
      </c>
      <c r="L792" s="65" t="e">
        <f t="shared" si="613"/>
        <v>#DIV/0!</v>
      </c>
      <c r="M792" s="73">
        <v>2.3201000000000001</v>
      </c>
      <c r="N792" s="74">
        <f t="shared" ref="N792" si="616">M792*G792</f>
        <v>0</v>
      </c>
      <c r="O792" s="74">
        <f t="shared" si="615"/>
        <v>150806.5</v>
      </c>
      <c r="P792" s="1187"/>
    </row>
    <row r="793" spans="2:16" ht="15" thickBot="1" x14ac:dyDescent="0.35">
      <c r="B793" s="1182"/>
      <c r="C793" s="1190" t="s">
        <v>99</v>
      </c>
      <c r="D793" s="1191"/>
      <c r="E793" s="1191"/>
      <c r="F793" s="1191"/>
      <c r="G793" s="1191"/>
      <c r="H793" s="1192"/>
      <c r="I793" s="116">
        <f>J793+K793</f>
        <v>870604</v>
      </c>
      <c r="J793" s="115">
        <f>SUM(J765:J792)</f>
        <v>846340</v>
      </c>
      <c r="K793" s="115">
        <f>SUM(K765:K792)</f>
        <v>24264</v>
      </c>
      <c r="L793" s="114"/>
      <c r="M793" s="113"/>
      <c r="N793" s="114"/>
      <c r="O793" s="97">
        <f>SUM(O765:O792)</f>
        <v>7376654.3352999995</v>
      </c>
      <c r="P793" s="96"/>
    </row>
    <row r="794" spans="2:16" ht="15" thickBot="1" x14ac:dyDescent="0.35">
      <c r="B794" s="100"/>
      <c r="C794" s="101"/>
      <c r="D794" s="101"/>
      <c r="E794" s="101"/>
      <c r="F794" s="101"/>
      <c r="G794" s="101"/>
      <c r="H794" s="101"/>
      <c r="I794" s="101"/>
      <c r="J794" s="101"/>
      <c r="K794" s="101"/>
      <c r="L794" s="101"/>
      <c r="M794" s="101"/>
      <c r="N794" s="101"/>
      <c r="O794" s="101"/>
      <c r="P794" s="102"/>
    </row>
    <row r="795" spans="2:16" ht="15" thickBot="1" x14ac:dyDescent="0.35">
      <c r="B795" s="1175" t="s">
        <v>100</v>
      </c>
      <c r="C795" s="1176"/>
      <c r="D795" s="1176"/>
      <c r="E795" s="1176"/>
      <c r="F795" s="1176"/>
      <c r="G795" s="1176"/>
      <c r="H795" s="1176"/>
      <c r="I795" s="1176"/>
      <c r="J795" s="1176"/>
      <c r="K795" s="1176"/>
      <c r="L795" s="1176"/>
      <c r="M795" s="1176"/>
      <c r="N795" s="1177"/>
      <c r="O795" s="103">
        <f>+O793+O764+O749</f>
        <v>16167084.592299998</v>
      </c>
      <c r="P795" s="96"/>
    </row>
    <row r="796" spans="2:16" ht="15" thickBot="1" x14ac:dyDescent="0.35"/>
    <row r="797" spans="2:16" x14ac:dyDescent="0.3">
      <c r="B797" s="1209" t="s">
        <v>1</v>
      </c>
      <c r="C797" s="1211" t="s">
        <v>2</v>
      </c>
      <c r="D797" s="1214" t="s">
        <v>3</v>
      </c>
      <c r="E797" s="1217" t="s">
        <v>4</v>
      </c>
      <c r="F797" s="1218"/>
      <c r="G797" s="1218"/>
      <c r="H797" s="1218"/>
      <c r="I797" s="1218"/>
      <c r="J797" s="1218"/>
      <c r="K797" s="1218"/>
      <c r="L797" s="1219"/>
      <c r="M797" s="1220" t="s">
        <v>5</v>
      </c>
      <c r="N797" s="1221"/>
      <c r="O797" s="1222"/>
      <c r="P797" s="1214" t="s">
        <v>6</v>
      </c>
    </row>
    <row r="798" spans="2:16" x14ac:dyDescent="0.3">
      <c r="B798" s="1210"/>
      <c r="C798" s="1212"/>
      <c r="D798" s="1215"/>
      <c r="E798" s="1223" t="s">
        <v>7</v>
      </c>
      <c r="F798" s="1225" t="s">
        <v>152</v>
      </c>
      <c r="G798" s="1225"/>
      <c r="H798" s="1226"/>
      <c r="I798" s="1227" t="s">
        <v>8</v>
      </c>
      <c r="J798" s="1225"/>
      <c r="K798" s="1225"/>
      <c r="L798" s="1226" t="s">
        <v>9</v>
      </c>
      <c r="M798" s="1229" t="s">
        <v>10</v>
      </c>
      <c r="N798" s="1231" t="s">
        <v>11</v>
      </c>
      <c r="O798" s="1233" t="s">
        <v>12</v>
      </c>
      <c r="P798" s="1215"/>
    </row>
    <row r="799" spans="2:16" ht="15" thickBot="1" x14ac:dyDescent="0.35">
      <c r="B799" s="1210"/>
      <c r="C799" s="1213"/>
      <c r="D799" s="1216"/>
      <c r="E799" s="1224"/>
      <c r="F799" s="2" t="s">
        <v>13</v>
      </c>
      <c r="G799" s="2" t="s">
        <v>14</v>
      </c>
      <c r="H799" s="207" t="s">
        <v>15</v>
      </c>
      <c r="I799" s="142" t="s">
        <v>13</v>
      </c>
      <c r="J799" s="2" t="s">
        <v>14</v>
      </c>
      <c r="K799" s="2" t="s">
        <v>15</v>
      </c>
      <c r="L799" s="1228"/>
      <c r="M799" s="1230"/>
      <c r="N799" s="1232"/>
      <c r="O799" s="1234"/>
      <c r="P799" s="1216"/>
    </row>
    <row r="800" spans="2:16" x14ac:dyDescent="0.3">
      <c r="B800" s="1193" t="s">
        <v>53</v>
      </c>
      <c r="C800" s="29"/>
      <c r="D800" s="117" t="s">
        <v>143</v>
      </c>
      <c r="E800" s="98">
        <v>0</v>
      </c>
      <c r="F800" s="4">
        <f>+G800+H800</f>
        <v>0</v>
      </c>
      <c r="G800" s="4">
        <v>0</v>
      </c>
      <c r="H800" s="8">
        <v>0</v>
      </c>
      <c r="I800" s="6">
        <f>J800+K800</f>
        <v>285266</v>
      </c>
      <c r="J800" s="4">
        <f>G800+J735</f>
        <v>280000</v>
      </c>
      <c r="K800" s="4">
        <f>H800+K735</f>
        <v>5266</v>
      </c>
      <c r="L800" s="33" t="e">
        <f>+J800/E800</f>
        <v>#DIV/0!</v>
      </c>
      <c r="M800" s="104">
        <v>1.3652</v>
      </c>
      <c r="N800" s="31">
        <f>G800*M800</f>
        <v>0</v>
      </c>
      <c r="O800" s="86">
        <f>M800*J800</f>
        <v>382256</v>
      </c>
      <c r="P800" s="1195"/>
    </row>
    <row r="801" spans="2:16" x14ac:dyDescent="0.3">
      <c r="B801" s="1194"/>
      <c r="C801" s="32"/>
      <c r="D801" s="118" t="s">
        <v>109</v>
      </c>
      <c r="E801" s="99">
        <v>0</v>
      </c>
      <c r="F801" s="9">
        <f>+G801+H801</f>
        <v>0</v>
      </c>
      <c r="G801" s="9">
        <v>0</v>
      </c>
      <c r="H801" s="10">
        <v>0</v>
      </c>
      <c r="I801" s="6">
        <f>J801+K801</f>
        <v>0</v>
      </c>
      <c r="J801" s="4">
        <f>+G801+J736</f>
        <v>0</v>
      </c>
      <c r="K801" s="4">
        <f>+H801+K736</f>
        <v>0</v>
      </c>
      <c r="L801" s="33"/>
      <c r="M801" s="105">
        <v>5.9917999999999996</v>
      </c>
      <c r="N801" s="34">
        <f>M801*G801</f>
        <v>0</v>
      </c>
      <c r="O801" s="87">
        <f>M801*J801</f>
        <v>0</v>
      </c>
      <c r="P801" s="1196"/>
    </row>
    <row r="802" spans="2:16" x14ac:dyDescent="0.3">
      <c r="B802" s="1194"/>
      <c r="C802" s="35"/>
      <c r="D802" s="119" t="s">
        <v>55</v>
      </c>
      <c r="E802" s="99">
        <v>0</v>
      </c>
      <c r="F802" s="9">
        <f t="shared" ref="F802:F806" si="617">+G802+H802</f>
        <v>173596</v>
      </c>
      <c r="G802" s="9">
        <v>172500</v>
      </c>
      <c r="H802" s="10">
        <v>1096</v>
      </c>
      <c r="I802" s="6">
        <f t="shared" ref="I802:I806" si="618">J802+K802</f>
        <v>2436688</v>
      </c>
      <c r="J802" s="4">
        <f t="shared" ref="J802:J806" si="619">+G802+J737</f>
        <v>2418250</v>
      </c>
      <c r="K802" s="4">
        <f t="shared" ref="K802:K806" si="620">+H802+K737</f>
        <v>18438</v>
      </c>
      <c r="L802" s="33" t="e">
        <f t="shared" ref="L802" si="621">+J802/E802</f>
        <v>#DIV/0!</v>
      </c>
      <c r="M802" s="106">
        <v>2.3807999999999998</v>
      </c>
      <c r="N802" s="36">
        <f>G802*M802</f>
        <v>410687.99999999994</v>
      </c>
      <c r="O802" s="88">
        <f>M802*J802</f>
        <v>5757369.5999999996</v>
      </c>
      <c r="P802" s="1196"/>
    </row>
    <row r="803" spans="2:16" x14ac:dyDescent="0.3">
      <c r="B803" s="1194"/>
      <c r="C803" s="35"/>
      <c r="D803" s="119" t="s">
        <v>56</v>
      </c>
      <c r="E803" s="99">
        <v>0</v>
      </c>
      <c r="F803" s="9">
        <f t="shared" si="617"/>
        <v>0</v>
      </c>
      <c r="G803" s="9">
        <v>0</v>
      </c>
      <c r="H803" s="10">
        <v>0</v>
      </c>
      <c r="I803" s="6">
        <f t="shared" si="618"/>
        <v>0</v>
      </c>
      <c r="J803" s="4">
        <f t="shared" si="619"/>
        <v>0</v>
      </c>
      <c r="K803" s="4">
        <f t="shared" si="620"/>
        <v>0</v>
      </c>
      <c r="L803" s="33"/>
      <c r="M803" s="106">
        <v>2.1457999999999999</v>
      </c>
      <c r="N803" s="36">
        <f t="shared" ref="N803:N806" si="622">G803*M803</f>
        <v>0</v>
      </c>
      <c r="O803" s="88">
        <f>M803*J803</f>
        <v>0</v>
      </c>
      <c r="P803" s="1196"/>
    </row>
    <row r="804" spans="2:16" x14ac:dyDescent="0.3">
      <c r="B804" s="1194"/>
      <c r="C804" s="35"/>
      <c r="D804" s="119" t="s">
        <v>106</v>
      </c>
      <c r="E804" s="99">
        <v>0</v>
      </c>
      <c r="F804" s="9">
        <f t="shared" si="617"/>
        <v>53280</v>
      </c>
      <c r="G804" s="9">
        <v>42000</v>
      </c>
      <c r="H804" s="10">
        <v>11280</v>
      </c>
      <c r="I804" s="6">
        <f t="shared" si="618"/>
        <v>53280</v>
      </c>
      <c r="J804" s="4">
        <f t="shared" si="619"/>
        <v>42000</v>
      </c>
      <c r="K804" s="4">
        <f t="shared" si="620"/>
        <v>11280</v>
      </c>
      <c r="L804" s="33" t="e">
        <f t="shared" ref="L804:L805" si="623">+J804/E804</f>
        <v>#DIV/0!</v>
      </c>
      <c r="M804" s="143">
        <v>4.0426000000000002</v>
      </c>
      <c r="N804" s="36">
        <f t="shared" si="622"/>
        <v>169789.2</v>
      </c>
      <c r="O804" s="88">
        <f>M804*J804</f>
        <v>169789.2</v>
      </c>
      <c r="P804" s="1196"/>
    </row>
    <row r="805" spans="2:16" x14ac:dyDescent="0.3">
      <c r="B805" s="1194"/>
      <c r="C805" s="35"/>
      <c r="D805" s="119" t="s">
        <v>110</v>
      </c>
      <c r="E805" s="99">
        <v>0</v>
      </c>
      <c r="F805" s="9">
        <f t="shared" si="617"/>
        <v>0</v>
      </c>
      <c r="G805" s="9">
        <v>0</v>
      </c>
      <c r="H805" s="10">
        <v>0</v>
      </c>
      <c r="I805" s="6">
        <f t="shared" si="618"/>
        <v>0</v>
      </c>
      <c r="J805" s="4">
        <f t="shared" si="619"/>
        <v>0</v>
      </c>
      <c r="K805" s="4">
        <f t="shared" si="620"/>
        <v>0</v>
      </c>
      <c r="L805" s="33" t="e">
        <f t="shared" si="623"/>
        <v>#DIV/0!</v>
      </c>
      <c r="M805" s="143">
        <v>3.8715000000000002</v>
      </c>
      <c r="N805" s="36">
        <f t="shared" si="622"/>
        <v>0</v>
      </c>
      <c r="O805" s="88">
        <f t="shared" ref="O805:O806" si="624">M805*J805</f>
        <v>0</v>
      </c>
      <c r="P805" s="1196"/>
    </row>
    <row r="806" spans="2:16" ht="15" thickBot="1" x14ac:dyDescent="0.35">
      <c r="B806" s="1194"/>
      <c r="C806" s="82"/>
      <c r="D806" s="120" t="s">
        <v>57</v>
      </c>
      <c r="E806" s="108">
        <v>0</v>
      </c>
      <c r="F806" s="12">
        <f t="shared" si="617"/>
        <v>0</v>
      </c>
      <c r="G806" s="12">
        <v>0</v>
      </c>
      <c r="H806" s="13">
        <v>0</v>
      </c>
      <c r="I806" s="21">
        <f t="shared" si="618"/>
        <v>0</v>
      </c>
      <c r="J806" s="4">
        <f t="shared" si="619"/>
        <v>0</v>
      </c>
      <c r="K806" s="4">
        <f t="shared" si="620"/>
        <v>0</v>
      </c>
      <c r="L806" s="81"/>
      <c r="M806" s="127">
        <v>12.284700000000001</v>
      </c>
      <c r="N806" s="36">
        <f t="shared" si="622"/>
        <v>0</v>
      </c>
      <c r="O806" s="128">
        <f t="shared" si="624"/>
        <v>0</v>
      </c>
      <c r="P806" s="1196"/>
    </row>
    <row r="807" spans="2:16" ht="15" thickBot="1" x14ac:dyDescent="0.35">
      <c r="B807" s="1194"/>
      <c r="C807" s="1199" t="s">
        <v>104</v>
      </c>
      <c r="D807" s="1200"/>
      <c r="E807" s="129"/>
      <c r="F807" s="130">
        <f>SUM(F800:F806)</f>
        <v>226876</v>
      </c>
      <c r="G807" s="130">
        <f>SUM(G800:G806)</f>
        <v>214500</v>
      </c>
      <c r="H807" s="131">
        <f>SUM(H800:H806)</f>
        <v>12376</v>
      </c>
      <c r="I807" s="132">
        <f>+J807+K807</f>
        <v>2775234</v>
      </c>
      <c r="J807" s="133">
        <f>SUM(J800:J806)</f>
        <v>2740250</v>
      </c>
      <c r="K807" s="133">
        <f>SUM(K800:K806)</f>
        <v>34984</v>
      </c>
      <c r="L807" s="134"/>
      <c r="M807" s="135"/>
      <c r="N807" s="136"/>
      <c r="O807" s="137">
        <f>SUM(O800:O806)</f>
        <v>6309414.7999999998</v>
      </c>
      <c r="P807" s="1197"/>
    </row>
    <row r="808" spans="2:16" x14ac:dyDescent="0.3">
      <c r="B808" s="1194"/>
      <c r="C808" s="32"/>
      <c r="D808" s="118" t="s">
        <v>58</v>
      </c>
      <c r="E808" s="98">
        <v>0</v>
      </c>
      <c r="F808" s="4">
        <f t="shared" ref="F808:F811" si="625">+G808+H808</f>
        <v>0</v>
      </c>
      <c r="G808" s="4">
        <v>0</v>
      </c>
      <c r="H808" s="8">
        <v>0</v>
      </c>
      <c r="I808" s="6">
        <f t="shared" ref="I808:I812" si="626">J808+K808</f>
        <v>0</v>
      </c>
      <c r="J808" s="4">
        <f>G808+J743</f>
        <v>0</v>
      </c>
      <c r="K808" s="4">
        <f>H808+K743</f>
        <v>0</v>
      </c>
      <c r="L808" s="33" t="e">
        <f t="shared" ref="L808" si="627">+J808/E808</f>
        <v>#DIV/0!</v>
      </c>
      <c r="M808" s="105">
        <v>12.029500000000001</v>
      </c>
      <c r="N808" s="34">
        <f>M808*G808</f>
        <v>0</v>
      </c>
      <c r="O808" s="87">
        <f t="shared" ref="O808:O810" si="628">M808*J808</f>
        <v>0</v>
      </c>
      <c r="P808" s="1196"/>
    </row>
    <row r="809" spans="2:16" x14ac:dyDescent="0.3">
      <c r="B809" s="1194"/>
      <c r="C809" s="35"/>
      <c r="D809" s="119" t="s">
        <v>59</v>
      </c>
      <c r="E809" s="99">
        <v>0</v>
      </c>
      <c r="F809" s="9">
        <f t="shared" si="625"/>
        <v>0</v>
      </c>
      <c r="G809" s="9">
        <v>0</v>
      </c>
      <c r="H809" s="10">
        <v>0</v>
      </c>
      <c r="I809" s="6">
        <f t="shared" si="626"/>
        <v>0</v>
      </c>
      <c r="J809" s="4">
        <f>G809+J744</f>
        <v>0</v>
      </c>
      <c r="K809" s="4">
        <f>H809+K744</f>
        <v>0</v>
      </c>
      <c r="L809" s="33"/>
      <c r="M809" s="106">
        <v>0</v>
      </c>
      <c r="N809" s="36"/>
      <c r="O809" s="88">
        <f t="shared" si="628"/>
        <v>0</v>
      </c>
      <c r="P809" s="1196"/>
    </row>
    <row r="810" spans="2:16" x14ac:dyDescent="0.3">
      <c r="B810" s="1194"/>
      <c r="C810" s="35"/>
      <c r="D810" s="119" t="s">
        <v>97</v>
      </c>
      <c r="E810" s="99">
        <v>0</v>
      </c>
      <c r="F810" s="9">
        <f t="shared" si="625"/>
        <v>0</v>
      </c>
      <c r="G810" s="9">
        <v>0</v>
      </c>
      <c r="H810" s="10">
        <v>0</v>
      </c>
      <c r="I810" s="6">
        <f t="shared" si="626"/>
        <v>0</v>
      </c>
      <c r="J810" s="4">
        <f t="shared" ref="J810:J812" si="629">G810+J745</f>
        <v>0</v>
      </c>
      <c r="K810" s="4">
        <f t="shared" ref="K810:K812" si="630">H810+K745</f>
        <v>0</v>
      </c>
      <c r="L810" s="33" t="e">
        <f t="shared" ref="L810:L812" si="631">+J810/E810</f>
        <v>#DIV/0!</v>
      </c>
      <c r="M810" s="106">
        <v>19.688600000000001</v>
      </c>
      <c r="N810" s="36">
        <f>M810*G810</f>
        <v>0</v>
      </c>
      <c r="O810" s="88">
        <f t="shared" si="628"/>
        <v>0</v>
      </c>
      <c r="P810" s="1196"/>
    </row>
    <row r="811" spans="2:16" x14ac:dyDescent="0.3">
      <c r="B811" s="1194"/>
      <c r="C811" s="35"/>
      <c r="D811" s="119" t="s">
        <v>61</v>
      </c>
      <c r="E811" s="99">
        <v>0</v>
      </c>
      <c r="F811" s="9">
        <f t="shared" si="625"/>
        <v>0</v>
      </c>
      <c r="G811" s="9">
        <v>0</v>
      </c>
      <c r="H811" s="10">
        <v>0</v>
      </c>
      <c r="I811" s="6">
        <f t="shared" si="626"/>
        <v>0</v>
      </c>
      <c r="J811" s="4">
        <f t="shared" si="629"/>
        <v>0</v>
      </c>
      <c r="K811" s="4">
        <f t="shared" si="630"/>
        <v>0</v>
      </c>
      <c r="L811" s="33" t="e">
        <f t="shared" si="631"/>
        <v>#DIV/0!</v>
      </c>
      <c r="M811" s="106">
        <v>1.2824</v>
      </c>
      <c r="N811" s="151">
        <f>M811*G811</f>
        <v>0</v>
      </c>
      <c r="O811" s="88">
        <f>M811*J811</f>
        <v>0</v>
      </c>
      <c r="P811" s="1196"/>
    </row>
    <row r="812" spans="2:16" ht="15" thickBot="1" x14ac:dyDescent="0.35">
      <c r="B812" s="1194"/>
      <c r="C812" s="82"/>
      <c r="D812" s="120" t="s">
        <v>60</v>
      </c>
      <c r="E812" s="108">
        <v>0</v>
      </c>
      <c r="F812" s="12">
        <v>0</v>
      </c>
      <c r="G812" s="12">
        <v>8640</v>
      </c>
      <c r="H812" s="13">
        <v>104</v>
      </c>
      <c r="I812" s="21">
        <f t="shared" si="626"/>
        <v>56834</v>
      </c>
      <c r="J812" s="4">
        <f t="shared" si="629"/>
        <v>56160</v>
      </c>
      <c r="K812" s="4">
        <f t="shared" si="630"/>
        <v>674</v>
      </c>
      <c r="L812" s="81" t="e">
        <f t="shared" si="631"/>
        <v>#DIV/0!</v>
      </c>
      <c r="M812" s="107">
        <v>18.2316</v>
      </c>
      <c r="N812" s="75"/>
      <c r="O812" s="89">
        <f t="shared" ref="O812" si="632">M812*J812</f>
        <v>1023886.656</v>
      </c>
      <c r="P812" s="1198"/>
    </row>
    <row r="813" spans="2:16" ht="15" thickBot="1" x14ac:dyDescent="0.35">
      <c r="B813" s="1178" t="s">
        <v>105</v>
      </c>
      <c r="C813" s="1179"/>
      <c r="D813" s="1179"/>
      <c r="E813" s="124"/>
      <c r="F813" s="125">
        <f>+G813+H813</f>
        <v>8744</v>
      </c>
      <c r="G813" s="125">
        <f>SUM(G808:G812)</f>
        <v>8640</v>
      </c>
      <c r="H813" s="126">
        <f>SUM(H808:H812)</f>
        <v>104</v>
      </c>
      <c r="I813" s="121">
        <f>J813+K813</f>
        <v>56834</v>
      </c>
      <c r="J813" s="122">
        <f>SUM(J808:J812)</f>
        <v>56160</v>
      </c>
      <c r="K813" s="123">
        <f>SUM(K808:K812)</f>
        <v>674</v>
      </c>
      <c r="L813" s="138"/>
      <c r="M813" s="139"/>
      <c r="N813" s="140"/>
      <c r="O813" s="141">
        <f>SUM(O808:O812)</f>
        <v>1023886.656</v>
      </c>
      <c r="P813" s="205"/>
    </row>
    <row r="814" spans="2:16" ht="15" thickBot="1" x14ac:dyDescent="0.35">
      <c r="B814" s="1178" t="s">
        <v>98</v>
      </c>
      <c r="C814" s="1179"/>
      <c r="D814" s="1179"/>
      <c r="E814" s="1201"/>
      <c r="F814" s="1201"/>
      <c r="G814" s="1201"/>
      <c r="H814" s="1201"/>
      <c r="I814" s="1179"/>
      <c r="J814" s="1179"/>
      <c r="K814" s="1179"/>
      <c r="L814" s="1179"/>
      <c r="M814" s="1179"/>
      <c r="N814" s="1202"/>
      <c r="O814" s="83">
        <f>O807+O813</f>
        <v>7333301.4560000002</v>
      </c>
      <c r="P814" s="205"/>
    </row>
    <row r="815" spans="2:16" x14ac:dyDescent="0.3">
      <c r="B815" s="1193" t="s">
        <v>62</v>
      </c>
      <c r="C815" s="37" t="s">
        <v>63</v>
      </c>
      <c r="D815" s="28" t="s">
        <v>64</v>
      </c>
      <c r="E815" s="38">
        <v>0</v>
      </c>
      <c r="F815" s="14">
        <f>+G815+H815</f>
        <v>0</v>
      </c>
      <c r="G815" s="14">
        <v>0</v>
      </c>
      <c r="H815" s="5">
        <v>0</v>
      </c>
      <c r="I815" s="17">
        <f t="shared" ref="I815:I821" si="633">J815+K815</f>
        <v>0</v>
      </c>
      <c r="J815" s="4">
        <f>G815+J750</f>
        <v>0</v>
      </c>
      <c r="K815" s="4">
        <f>H815+K750</f>
        <v>0</v>
      </c>
      <c r="L815" s="30" t="e">
        <f>+J815/E815</f>
        <v>#DIV/0!</v>
      </c>
      <c r="M815" s="146">
        <v>2.2141000000000002</v>
      </c>
      <c r="N815" s="15">
        <f>+M815*G815</f>
        <v>0</v>
      </c>
      <c r="O815" s="90">
        <f>+M815*J815</f>
        <v>0</v>
      </c>
      <c r="P815" s="1204"/>
    </row>
    <row r="816" spans="2:16" x14ac:dyDescent="0.3">
      <c r="B816" s="1194"/>
      <c r="C816" s="39"/>
      <c r="D816" s="22" t="s">
        <v>65</v>
      </c>
      <c r="E816" s="3">
        <v>0</v>
      </c>
      <c r="F816" s="9">
        <f t="shared" ref="F816:F821" si="634">+G816+H816</f>
        <v>0</v>
      </c>
      <c r="G816" s="4">
        <v>0</v>
      </c>
      <c r="H816" s="8">
        <v>0</v>
      </c>
      <c r="I816" s="6">
        <f t="shared" si="633"/>
        <v>0</v>
      </c>
      <c r="J816" s="4">
        <f>+G816+J751</f>
        <v>0</v>
      </c>
      <c r="K816" s="4">
        <f>+H816+K751</f>
        <v>0</v>
      </c>
      <c r="L816" s="40" t="e">
        <f t="shared" ref="L816:L817" si="635">+J816/E816</f>
        <v>#DIV/0!</v>
      </c>
      <c r="M816" s="145">
        <v>2.4565999999999999</v>
      </c>
      <c r="N816" s="11">
        <f t="shared" ref="N816:N818" si="636">+M816*G816</f>
        <v>0</v>
      </c>
      <c r="O816" s="91">
        <f t="shared" ref="O816:O818" si="637">+M816*J816</f>
        <v>0</v>
      </c>
      <c r="P816" s="1205"/>
    </row>
    <row r="817" spans="2:16" x14ac:dyDescent="0.3">
      <c r="B817" s="1194"/>
      <c r="C817" s="39"/>
      <c r="D817" s="23" t="s">
        <v>126</v>
      </c>
      <c r="E817" s="3">
        <v>0</v>
      </c>
      <c r="F817" s="9">
        <f t="shared" si="634"/>
        <v>0</v>
      </c>
      <c r="G817" s="4">
        <v>0</v>
      </c>
      <c r="H817" s="8">
        <v>0</v>
      </c>
      <c r="I817" s="6">
        <f t="shared" si="633"/>
        <v>0</v>
      </c>
      <c r="J817" s="4">
        <f t="shared" ref="J817:J818" si="638">+G817+J752</f>
        <v>0</v>
      </c>
      <c r="K817" s="4">
        <f t="shared" ref="K817:K821" si="639">+H817+K752</f>
        <v>0</v>
      </c>
      <c r="L817" s="40" t="e">
        <f t="shared" si="635"/>
        <v>#DIV/0!</v>
      </c>
      <c r="M817" s="145">
        <v>2.2907000000000002</v>
      </c>
      <c r="N817" s="11">
        <f t="shared" si="636"/>
        <v>0</v>
      </c>
      <c r="O817" s="91">
        <f t="shared" si="637"/>
        <v>0</v>
      </c>
      <c r="P817" s="1205"/>
    </row>
    <row r="818" spans="2:16" x14ac:dyDescent="0.3">
      <c r="B818" s="1194"/>
      <c r="C818" s="39"/>
      <c r="D818" s="22" t="s">
        <v>131</v>
      </c>
      <c r="E818" s="3"/>
      <c r="F818" s="9">
        <f t="shared" si="634"/>
        <v>0</v>
      </c>
      <c r="G818" s="4">
        <v>0</v>
      </c>
      <c r="H818" s="8">
        <v>0</v>
      </c>
      <c r="I818" s="6">
        <f t="shared" si="633"/>
        <v>0</v>
      </c>
      <c r="J818" s="4">
        <f t="shared" si="638"/>
        <v>0</v>
      </c>
      <c r="K818" s="4">
        <f t="shared" si="639"/>
        <v>0</v>
      </c>
      <c r="L818" s="33"/>
      <c r="M818" s="150">
        <v>2.544</v>
      </c>
      <c r="N818" s="11">
        <f t="shared" si="636"/>
        <v>0</v>
      </c>
      <c r="O818" s="91">
        <f t="shared" si="637"/>
        <v>0</v>
      </c>
      <c r="P818" s="1205"/>
    </row>
    <row r="819" spans="2:16" x14ac:dyDescent="0.3">
      <c r="B819" s="1194"/>
      <c r="C819" s="39" t="s">
        <v>66</v>
      </c>
      <c r="D819" s="22" t="s">
        <v>133</v>
      </c>
      <c r="E819" s="3">
        <v>0</v>
      </c>
      <c r="F819" s="9">
        <f t="shared" si="634"/>
        <v>23285</v>
      </c>
      <c r="G819" s="4">
        <v>22250</v>
      </c>
      <c r="H819" s="8">
        <v>1035</v>
      </c>
      <c r="I819" s="6">
        <f t="shared" si="633"/>
        <v>567947</v>
      </c>
      <c r="J819" s="4">
        <f>+G819+J754</f>
        <v>552750</v>
      </c>
      <c r="K819" s="4">
        <f t="shared" si="639"/>
        <v>15197</v>
      </c>
      <c r="L819" s="33" t="e">
        <f>+J819/E819</f>
        <v>#DIV/0!</v>
      </c>
      <c r="M819" s="144">
        <v>2.2141000000000002</v>
      </c>
      <c r="N819" s="7">
        <f>+M819*G819</f>
        <v>49263.725000000006</v>
      </c>
      <c r="O819" s="85">
        <f>+M819*J819</f>
        <v>1223843.7750000001</v>
      </c>
      <c r="P819" s="1205"/>
    </row>
    <row r="820" spans="2:16" x14ac:dyDescent="0.3">
      <c r="B820" s="1194"/>
      <c r="C820" s="39"/>
      <c r="D820" s="22" t="s">
        <v>65</v>
      </c>
      <c r="E820" s="3">
        <v>0</v>
      </c>
      <c r="F820" s="9">
        <f t="shared" si="634"/>
        <v>0</v>
      </c>
      <c r="G820" s="4">
        <v>0</v>
      </c>
      <c r="H820" s="8">
        <v>0</v>
      </c>
      <c r="I820" s="6">
        <f t="shared" si="633"/>
        <v>0</v>
      </c>
      <c r="J820" s="4">
        <f t="shared" ref="J820:J821" si="640">+G820+J755</f>
        <v>0</v>
      </c>
      <c r="K820" s="4">
        <f t="shared" si="639"/>
        <v>0</v>
      </c>
      <c r="L820" s="40" t="e">
        <f t="shared" ref="L820:L821" si="641">+J820/E820</f>
        <v>#DIV/0!</v>
      </c>
      <c r="M820" s="145">
        <v>2.4565999999999999</v>
      </c>
      <c r="N820" s="11">
        <f t="shared" ref="N820:N821" si="642">+M820*G820</f>
        <v>0</v>
      </c>
      <c r="O820" s="91">
        <f t="shared" ref="O820" si="643">+M820*J820</f>
        <v>0</v>
      </c>
      <c r="P820" s="1205"/>
    </row>
    <row r="821" spans="2:16" ht="15" thickBot="1" x14ac:dyDescent="0.35">
      <c r="B821" s="1194"/>
      <c r="C821" s="39"/>
      <c r="D821" s="22" t="s">
        <v>126</v>
      </c>
      <c r="E821" s="3">
        <v>0</v>
      </c>
      <c r="F821" s="9">
        <f t="shared" si="634"/>
        <v>0</v>
      </c>
      <c r="G821" s="4">
        <v>0</v>
      </c>
      <c r="H821" s="8">
        <v>0</v>
      </c>
      <c r="I821" s="6">
        <f t="shared" si="633"/>
        <v>0</v>
      </c>
      <c r="J821" s="4">
        <f t="shared" si="640"/>
        <v>0</v>
      </c>
      <c r="K821" s="4">
        <f t="shared" si="639"/>
        <v>0</v>
      </c>
      <c r="L821" s="40" t="e">
        <f t="shared" si="641"/>
        <v>#DIV/0!</v>
      </c>
      <c r="M821" s="145">
        <v>2.2907000000000002</v>
      </c>
      <c r="N821" s="11">
        <f t="shared" si="642"/>
        <v>0</v>
      </c>
      <c r="O821" s="154">
        <f>+M821*J821</f>
        <v>0</v>
      </c>
      <c r="P821" s="1206"/>
    </row>
    <row r="822" spans="2:16" ht="15" thickBot="1" x14ac:dyDescent="0.35">
      <c r="B822" s="1194"/>
      <c r="C822" s="41" t="s">
        <v>29</v>
      </c>
      <c r="D822" s="27" t="str">
        <f>+C822</f>
        <v>TOTAL 1/2</v>
      </c>
      <c r="E822" s="42">
        <f>SUM(E815:E821)</f>
        <v>0</v>
      </c>
      <c r="F822" s="43">
        <f>SUM(F815:F821)</f>
        <v>23285</v>
      </c>
      <c r="G822" s="43">
        <f>SUM(G815:G821)</f>
        <v>22250</v>
      </c>
      <c r="H822" s="44">
        <f>SUM(H815:H821)</f>
        <v>1035</v>
      </c>
      <c r="I822" s="45">
        <f>SUM(I819:I821)</f>
        <v>567947</v>
      </c>
      <c r="J822" s="43">
        <f>SUM(J815:J821)</f>
        <v>552750</v>
      </c>
      <c r="K822" s="43">
        <f>SUM(K815:K821)</f>
        <v>15197</v>
      </c>
      <c r="L822" s="46" t="e">
        <f>+J822/E822</f>
        <v>#DIV/0!</v>
      </c>
      <c r="M822" s="47"/>
      <c r="N822" s="48">
        <f>SUM(N819:N821)</f>
        <v>49263.725000000006</v>
      </c>
      <c r="O822" s="49">
        <f>SUM(O815:O821)</f>
        <v>1223843.7750000001</v>
      </c>
      <c r="P822" s="206"/>
    </row>
    <row r="823" spans="2:16" x14ac:dyDescent="0.3">
      <c r="B823" s="1194"/>
      <c r="C823" s="1207" t="s">
        <v>67</v>
      </c>
      <c r="D823" s="22" t="s">
        <v>64</v>
      </c>
      <c r="E823" s="3">
        <v>0</v>
      </c>
      <c r="F823" s="4">
        <f>G823+H823</f>
        <v>0</v>
      </c>
      <c r="G823" s="4">
        <v>0</v>
      </c>
      <c r="H823" s="8">
        <v>0</v>
      </c>
      <c r="I823" s="16">
        <f>J823+K823</f>
        <v>109220</v>
      </c>
      <c r="J823" s="4">
        <f>G823+J758</f>
        <v>105750</v>
      </c>
      <c r="K823" s="4">
        <f>H823+K758</f>
        <v>3470</v>
      </c>
      <c r="L823" s="50" t="e">
        <f>+J823/E823</f>
        <v>#DIV/0!</v>
      </c>
      <c r="M823" s="144">
        <v>4.1712999999999996</v>
      </c>
      <c r="N823" s="7">
        <f>+M823*G823</f>
        <v>0</v>
      </c>
      <c r="O823" s="93">
        <f>+M823*J823</f>
        <v>441114.97499999998</v>
      </c>
      <c r="P823" s="1204"/>
    </row>
    <row r="824" spans="2:16" x14ac:dyDescent="0.3">
      <c r="B824" s="1194"/>
      <c r="C824" s="1208"/>
      <c r="D824" s="22" t="s">
        <v>65</v>
      </c>
      <c r="E824" s="3">
        <v>0</v>
      </c>
      <c r="F824" s="4">
        <f>G824+H824</f>
        <v>0</v>
      </c>
      <c r="G824" s="4">
        <v>0</v>
      </c>
      <c r="H824" s="8">
        <v>0</v>
      </c>
      <c r="I824" s="6">
        <f>+R1868+F824</f>
        <v>0</v>
      </c>
      <c r="J824" s="4">
        <f>G824+J759</f>
        <v>120000</v>
      </c>
      <c r="K824" s="4">
        <f>H824+K759</f>
        <v>3230</v>
      </c>
      <c r="L824" s="51" t="e">
        <f t="shared" ref="L824:L828" si="644">+J824/E824</f>
        <v>#DIV/0!</v>
      </c>
      <c r="M824" s="145">
        <v>4.8285999999999998</v>
      </c>
      <c r="N824" s="11">
        <f t="shared" ref="N824:N826" si="645">+M824*G824</f>
        <v>0</v>
      </c>
      <c r="O824" s="94">
        <f t="shared" ref="O824:O826" si="646">+M824*J824</f>
        <v>579432</v>
      </c>
      <c r="P824" s="1205"/>
    </row>
    <row r="825" spans="2:16" x14ac:dyDescent="0.3">
      <c r="B825" s="1194"/>
      <c r="C825" s="1208"/>
      <c r="D825" s="22" t="s">
        <v>127</v>
      </c>
      <c r="E825" s="3"/>
      <c r="F825" s="4">
        <f>G825+H825</f>
        <v>0</v>
      </c>
      <c r="G825" s="4">
        <v>0</v>
      </c>
      <c r="H825" s="8">
        <v>0</v>
      </c>
      <c r="I825" s="6">
        <f>+R1869+F825</f>
        <v>0</v>
      </c>
      <c r="J825" s="4">
        <f t="shared" ref="J825:J826" si="647">G825+J760</f>
        <v>0</v>
      </c>
      <c r="K825" s="4">
        <f t="shared" ref="K825:K826" si="648">H825+K760</f>
        <v>0</v>
      </c>
      <c r="L825" s="51" t="e">
        <f t="shared" si="644"/>
        <v>#DIV/0!</v>
      </c>
      <c r="M825" s="144">
        <v>4.5023</v>
      </c>
      <c r="N825" s="11">
        <f t="shared" si="645"/>
        <v>0</v>
      </c>
      <c r="O825" s="94">
        <f t="shared" si="646"/>
        <v>0</v>
      </c>
      <c r="P825" s="1205"/>
    </row>
    <row r="826" spans="2:16" ht="15" thickBot="1" x14ac:dyDescent="0.35">
      <c r="B826" s="1194"/>
      <c r="C826" s="1208"/>
      <c r="D826" s="22" t="s">
        <v>111</v>
      </c>
      <c r="E826" s="3">
        <v>0</v>
      </c>
      <c r="F826" s="4">
        <f t="shared" ref="F826" si="649">G826+H826</f>
        <v>0</v>
      </c>
      <c r="G826" s="4">
        <v>0</v>
      </c>
      <c r="H826" s="8">
        <v>0</v>
      </c>
      <c r="I826" s="6">
        <f>+R1869+F826</f>
        <v>0</v>
      </c>
      <c r="J826" s="4">
        <f t="shared" si="647"/>
        <v>0</v>
      </c>
      <c r="K826" s="4">
        <f t="shared" si="648"/>
        <v>0</v>
      </c>
      <c r="L826" s="51" t="e">
        <f t="shared" si="644"/>
        <v>#DIV/0!</v>
      </c>
      <c r="M826" s="144">
        <v>4.4065000000000003</v>
      </c>
      <c r="N826" s="11">
        <f t="shared" si="645"/>
        <v>0</v>
      </c>
      <c r="O826" s="94">
        <f t="shared" si="646"/>
        <v>0</v>
      </c>
      <c r="P826" s="1205"/>
    </row>
    <row r="827" spans="2:16" ht="15" thickBot="1" x14ac:dyDescent="0.35">
      <c r="B827" s="1194"/>
      <c r="C827" s="41" t="s">
        <v>31</v>
      </c>
      <c r="D827" s="18" t="str">
        <f>+C827</f>
        <v>TOTAL 4/4</v>
      </c>
      <c r="E827" s="42">
        <f t="shared" ref="E827:K827" si="650">SUM(E823:E826)</f>
        <v>0</v>
      </c>
      <c r="F827" s="43">
        <f t="shared" si="650"/>
        <v>0</v>
      </c>
      <c r="G827" s="43">
        <f t="shared" si="650"/>
        <v>0</v>
      </c>
      <c r="H827" s="44">
        <f t="shared" si="650"/>
        <v>0</v>
      </c>
      <c r="I827" s="45">
        <f t="shared" si="650"/>
        <v>109220</v>
      </c>
      <c r="J827" s="43">
        <f t="shared" si="650"/>
        <v>225750</v>
      </c>
      <c r="K827" s="43">
        <f t="shared" si="650"/>
        <v>6700</v>
      </c>
      <c r="L827" s="46" t="e">
        <f t="shared" si="644"/>
        <v>#DIV/0!</v>
      </c>
      <c r="M827" s="47"/>
      <c r="N827" s="48">
        <f>SUM(N823:N826)</f>
        <v>0</v>
      </c>
      <c r="O827" s="92">
        <f>SUM(O823:O826)</f>
        <v>1020546.975</v>
      </c>
      <c r="P827" s="1206"/>
    </row>
    <row r="828" spans="2:16" ht="15" thickBot="1" x14ac:dyDescent="0.35">
      <c r="B828" s="1203"/>
      <c r="C828" s="41" t="s">
        <v>68</v>
      </c>
      <c r="D828" s="27" t="s">
        <v>64</v>
      </c>
      <c r="E828" s="25">
        <v>0</v>
      </c>
      <c r="F828" s="20">
        <f>G828+H828</f>
        <v>0</v>
      </c>
      <c r="G828" s="20">
        <v>0</v>
      </c>
      <c r="H828" s="24">
        <v>0</v>
      </c>
      <c r="I828" s="19">
        <f>J828+K828</f>
        <v>0</v>
      </c>
      <c r="J828" s="4">
        <f>G828+J763</f>
        <v>0</v>
      </c>
      <c r="K828" s="4">
        <f>H828+K763</f>
        <v>0</v>
      </c>
      <c r="L828" s="52" t="e">
        <f t="shared" si="644"/>
        <v>#DIV/0!</v>
      </c>
      <c r="M828" s="149">
        <v>1.4086000000000001</v>
      </c>
      <c r="N828" s="26">
        <f t="shared" ref="N828" si="651">+M828*G828</f>
        <v>0</v>
      </c>
      <c r="O828" s="95">
        <f t="shared" ref="O828" si="652">+M828*J828</f>
        <v>0</v>
      </c>
      <c r="P828" s="53"/>
    </row>
    <row r="829" spans="2:16" ht="15" thickBot="1" x14ac:dyDescent="0.35">
      <c r="B829" s="1178" t="s">
        <v>95</v>
      </c>
      <c r="C829" s="1179"/>
      <c r="D829" s="1179"/>
      <c r="E829" s="1179"/>
      <c r="F829" s="1179"/>
      <c r="G829" s="1179"/>
      <c r="H829" s="1179"/>
      <c r="I829" s="110">
        <f>J829+K829</f>
        <v>800397</v>
      </c>
      <c r="J829" s="110">
        <f>J822+J827+J828</f>
        <v>778500</v>
      </c>
      <c r="K829" s="110">
        <f>K822+K827+K828</f>
        <v>21897</v>
      </c>
      <c r="L829" s="111"/>
      <c r="M829" s="112"/>
      <c r="N829" s="109"/>
      <c r="O829" s="77">
        <f>+O828+O827+O822</f>
        <v>2244390.75</v>
      </c>
      <c r="P829" s="84"/>
    </row>
    <row r="830" spans="2:16" x14ac:dyDescent="0.3">
      <c r="B830" s="1180" t="s">
        <v>69</v>
      </c>
      <c r="C830" s="1183" t="s">
        <v>70</v>
      </c>
      <c r="D830" s="54" t="s">
        <v>71</v>
      </c>
      <c r="E830" s="55">
        <v>0</v>
      </c>
      <c r="F830" s="56">
        <f>G830+H830</f>
        <v>5075</v>
      </c>
      <c r="G830" s="56">
        <v>5000</v>
      </c>
      <c r="H830" s="57">
        <v>75</v>
      </c>
      <c r="I830" s="78">
        <f>J830+K830</f>
        <v>20208</v>
      </c>
      <c r="J830" s="4">
        <f>G830+J765</f>
        <v>20000</v>
      </c>
      <c r="K830" s="4">
        <f>H830+K765</f>
        <v>208</v>
      </c>
      <c r="L830" s="58" t="e">
        <f t="shared" ref="L830" si="653">+J830/E830</f>
        <v>#DIV/0!</v>
      </c>
      <c r="M830" s="59">
        <v>32.946300000000001</v>
      </c>
      <c r="N830" s="60">
        <f>+M830*G830</f>
        <v>164731.5</v>
      </c>
      <c r="O830" s="60">
        <f>M830*J830</f>
        <v>658926</v>
      </c>
      <c r="P830" s="1185"/>
    </row>
    <row r="831" spans="2:16" x14ac:dyDescent="0.3">
      <c r="B831" s="1181"/>
      <c r="C831" s="1184"/>
      <c r="D831" s="61" t="s">
        <v>72</v>
      </c>
      <c r="E831" s="62">
        <v>0</v>
      </c>
      <c r="F831" s="63">
        <f>G831+H831</f>
        <v>0</v>
      </c>
      <c r="G831" s="63">
        <v>0</v>
      </c>
      <c r="H831" s="64">
        <v>0</v>
      </c>
      <c r="I831" s="79">
        <f>J831+K831</f>
        <v>31833</v>
      </c>
      <c r="J831" s="4">
        <f>G831+J766</f>
        <v>31420</v>
      </c>
      <c r="K831" s="4">
        <f>H831+K766</f>
        <v>413</v>
      </c>
      <c r="L831" s="65" t="e">
        <f>+J831/E831</f>
        <v>#DIV/0!</v>
      </c>
      <c r="M831" s="66">
        <v>35.398400000000002</v>
      </c>
      <c r="N831" s="67">
        <f>+M831*G831</f>
        <v>0</v>
      </c>
      <c r="O831" s="67">
        <f>M831*J831</f>
        <v>1112217.7280000001</v>
      </c>
      <c r="P831" s="1186"/>
    </row>
    <row r="832" spans="2:16" x14ac:dyDescent="0.3">
      <c r="B832" s="1181"/>
      <c r="C832" s="1184"/>
      <c r="D832" s="61" t="s">
        <v>73</v>
      </c>
      <c r="E832" s="62">
        <v>0</v>
      </c>
      <c r="F832" s="63">
        <f t="shared" ref="F832:F835" si="654">G832+H832</f>
        <v>0</v>
      </c>
      <c r="G832" s="63">
        <v>0</v>
      </c>
      <c r="H832" s="64">
        <v>0</v>
      </c>
      <c r="I832" s="79">
        <f t="shared" ref="I832:I841" si="655">J832+K832</f>
        <v>0</v>
      </c>
      <c r="J832" s="4">
        <f t="shared" ref="J832:J857" si="656">G832+J767</f>
        <v>0</v>
      </c>
      <c r="K832" s="4">
        <f t="shared" ref="K832:K836" si="657">H832+K767</f>
        <v>0</v>
      </c>
      <c r="L832" s="65" t="e">
        <f t="shared" ref="L832:L845" si="658">+J832/E832</f>
        <v>#DIV/0!</v>
      </c>
      <c r="M832" s="66">
        <v>32.946300000000001</v>
      </c>
      <c r="N832" s="67">
        <f t="shared" ref="N832:N852" si="659">+M832*G832</f>
        <v>0</v>
      </c>
      <c r="O832" s="67">
        <f t="shared" ref="O832:O840" si="660">M832*J832</f>
        <v>0</v>
      </c>
      <c r="P832" s="1186"/>
    </row>
    <row r="833" spans="2:16" x14ac:dyDescent="0.3">
      <c r="B833" s="1181"/>
      <c r="C833" s="1184" t="s">
        <v>74</v>
      </c>
      <c r="D833" s="61" t="s">
        <v>75</v>
      </c>
      <c r="E833" s="62">
        <v>0</v>
      </c>
      <c r="F833" s="63">
        <f t="shared" si="654"/>
        <v>2492</v>
      </c>
      <c r="G833" s="63">
        <v>2400</v>
      </c>
      <c r="H833" s="64">
        <v>92</v>
      </c>
      <c r="I833" s="79">
        <f t="shared" si="655"/>
        <v>17250</v>
      </c>
      <c r="J833" s="4">
        <f t="shared" si="656"/>
        <v>16800</v>
      </c>
      <c r="K833" s="4">
        <f t="shared" si="657"/>
        <v>450</v>
      </c>
      <c r="L833" s="65" t="e">
        <f t="shared" si="658"/>
        <v>#DIV/0!</v>
      </c>
      <c r="M833" s="66">
        <v>55.4758</v>
      </c>
      <c r="N833" s="67">
        <f t="shared" si="659"/>
        <v>133141.92000000001</v>
      </c>
      <c r="O833" s="67">
        <f t="shared" si="660"/>
        <v>931993.44</v>
      </c>
      <c r="P833" s="1186"/>
    </row>
    <row r="834" spans="2:16" x14ac:dyDescent="0.3">
      <c r="B834" s="1181"/>
      <c r="C834" s="1184"/>
      <c r="D834" s="61" t="s">
        <v>134</v>
      </c>
      <c r="E834" s="62">
        <v>0</v>
      </c>
      <c r="F834" s="63">
        <f t="shared" si="654"/>
        <v>0</v>
      </c>
      <c r="G834" s="63">
        <v>0</v>
      </c>
      <c r="H834" s="64">
        <v>0</v>
      </c>
      <c r="I834" s="79">
        <f t="shared" si="655"/>
        <v>0</v>
      </c>
      <c r="J834" s="4">
        <f t="shared" si="656"/>
        <v>0</v>
      </c>
      <c r="K834" s="4">
        <f t="shared" si="657"/>
        <v>0</v>
      </c>
      <c r="L834" s="65" t="e">
        <f t="shared" si="658"/>
        <v>#DIV/0!</v>
      </c>
      <c r="M834" s="66">
        <v>53.515999999999998</v>
      </c>
      <c r="N834" s="67">
        <f t="shared" si="659"/>
        <v>0</v>
      </c>
      <c r="O834" s="67">
        <f t="shared" si="660"/>
        <v>0</v>
      </c>
      <c r="P834" s="1186"/>
    </row>
    <row r="835" spans="2:16" x14ac:dyDescent="0.3">
      <c r="B835" s="1181"/>
      <c r="C835" s="1184"/>
      <c r="D835" s="61" t="s">
        <v>72</v>
      </c>
      <c r="E835" s="62">
        <v>0</v>
      </c>
      <c r="F835" s="63">
        <f t="shared" si="654"/>
        <v>0</v>
      </c>
      <c r="G835" s="63">
        <v>0</v>
      </c>
      <c r="H835" s="64">
        <v>0</v>
      </c>
      <c r="I835" s="79">
        <f t="shared" si="655"/>
        <v>9804</v>
      </c>
      <c r="J835" s="4">
        <f t="shared" si="656"/>
        <v>9600</v>
      </c>
      <c r="K835" s="4">
        <f t="shared" si="657"/>
        <v>204</v>
      </c>
      <c r="L835" s="65" t="e">
        <f t="shared" si="658"/>
        <v>#DIV/0!</v>
      </c>
      <c r="M835" s="66">
        <v>58.836300000000001</v>
      </c>
      <c r="N835" s="67">
        <f t="shared" si="659"/>
        <v>0</v>
      </c>
      <c r="O835" s="67">
        <f t="shared" si="660"/>
        <v>564828.48</v>
      </c>
      <c r="P835" s="1186"/>
    </row>
    <row r="836" spans="2:16" x14ac:dyDescent="0.3">
      <c r="B836" s="1181"/>
      <c r="C836" s="1188" t="s">
        <v>76</v>
      </c>
      <c r="D836" s="61" t="s">
        <v>77</v>
      </c>
      <c r="E836" s="62">
        <v>0</v>
      </c>
      <c r="F836" s="63">
        <f>G836+H836</f>
        <v>6605</v>
      </c>
      <c r="G836" s="63">
        <v>6425</v>
      </c>
      <c r="H836" s="64">
        <v>180</v>
      </c>
      <c r="I836" s="79">
        <f t="shared" si="655"/>
        <v>13295</v>
      </c>
      <c r="J836" s="4">
        <f t="shared" si="656"/>
        <v>13000</v>
      </c>
      <c r="K836" s="4">
        <f t="shared" si="657"/>
        <v>295</v>
      </c>
      <c r="L836" s="65" t="e">
        <f t="shared" si="658"/>
        <v>#DIV/0!</v>
      </c>
      <c r="M836" s="66">
        <v>25.687200000000001</v>
      </c>
      <c r="N836" s="67">
        <f t="shared" si="659"/>
        <v>165040.26</v>
      </c>
      <c r="O836" s="67">
        <f t="shared" si="660"/>
        <v>333933.60000000003</v>
      </c>
      <c r="P836" s="1186"/>
    </row>
    <row r="837" spans="2:16" x14ac:dyDescent="0.3">
      <c r="B837" s="1181"/>
      <c r="C837" s="1189"/>
      <c r="D837" s="61" t="s">
        <v>117</v>
      </c>
      <c r="E837" s="62">
        <v>0</v>
      </c>
      <c r="F837" s="63">
        <f>G837+H837</f>
        <v>0</v>
      </c>
      <c r="G837" s="63">
        <v>0</v>
      </c>
      <c r="H837" s="64">
        <v>0</v>
      </c>
      <c r="I837" s="79">
        <f t="shared" si="655"/>
        <v>0</v>
      </c>
      <c r="J837" s="4">
        <f t="shared" si="656"/>
        <v>0</v>
      </c>
      <c r="K837" s="4">
        <f>H837+K772</f>
        <v>0</v>
      </c>
      <c r="L837" s="65" t="e">
        <f t="shared" si="658"/>
        <v>#DIV/0!</v>
      </c>
      <c r="M837" s="66">
        <v>25.033899999999999</v>
      </c>
      <c r="N837" s="67">
        <f t="shared" si="659"/>
        <v>0</v>
      </c>
      <c r="O837" s="67">
        <f t="shared" si="660"/>
        <v>0</v>
      </c>
      <c r="P837" s="1186"/>
    </row>
    <row r="838" spans="2:16" x14ac:dyDescent="0.3">
      <c r="B838" s="1181"/>
      <c r="C838" s="1188" t="s">
        <v>78</v>
      </c>
      <c r="D838" s="61" t="s">
        <v>79</v>
      </c>
      <c r="E838" s="62">
        <v>0</v>
      </c>
      <c r="F838" s="63">
        <f t="shared" ref="F838:F857" si="661">G838+H838</f>
        <v>2070</v>
      </c>
      <c r="G838" s="63">
        <v>2000</v>
      </c>
      <c r="H838" s="64">
        <v>70</v>
      </c>
      <c r="I838" s="79">
        <f t="shared" si="655"/>
        <v>16343</v>
      </c>
      <c r="J838" s="4">
        <f t="shared" si="656"/>
        <v>16000</v>
      </c>
      <c r="K838" s="4">
        <f t="shared" ref="K838:K857" si="662">H838+K773</f>
        <v>343</v>
      </c>
      <c r="L838" s="65" t="e">
        <f t="shared" si="658"/>
        <v>#DIV/0!</v>
      </c>
      <c r="M838" s="66">
        <v>41.992699999999999</v>
      </c>
      <c r="N838" s="67">
        <f t="shared" si="659"/>
        <v>83985.4</v>
      </c>
      <c r="O838" s="67">
        <f t="shared" si="660"/>
        <v>671883.2</v>
      </c>
      <c r="P838" s="1186"/>
    </row>
    <row r="839" spans="2:16" x14ac:dyDescent="0.3">
      <c r="B839" s="1181"/>
      <c r="C839" s="1189"/>
      <c r="D839" s="61" t="s">
        <v>72</v>
      </c>
      <c r="E839" s="62">
        <v>0</v>
      </c>
      <c r="F839" s="63">
        <f t="shared" si="661"/>
        <v>0</v>
      </c>
      <c r="G839" s="63">
        <v>0</v>
      </c>
      <c r="H839" s="64">
        <v>0</v>
      </c>
      <c r="I839" s="79">
        <f t="shared" si="655"/>
        <v>0</v>
      </c>
      <c r="J839" s="4">
        <f t="shared" si="656"/>
        <v>0</v>
      </c>
      <c r="K839" s="4">
        <f t="shared" si="662"/>
        <v>0</v>
      </c>
      <c r="L839" s="65" t="e">
        <f t="shared" si="658"/>
        <v>#DIV/0!</v>
      </c>
      <c r="M839" s="66">
        <v>42.283799999999999</v>
      </c>
      <c r="N839" s="67">
        <f t="shared" si="659"/>
        <v>0</v>
      </c>
      <c r="O839" s="67">
        <f t="shared" si="660"/>
        <v>0</v>
      </c>
      <c r="P839" s="1186"/>
    </row>
    <row r="840" spans="2:16" x14ac:dyDescent="0.3">
      <c r="B840" s="1181"/>
      <c r="C840" s="204" t="s">
        <v>80</v>
      </c>
      <c r="D840" s="61" t="s">
        <v>81</v>
      </c>
      <c r="E840" s="62">
        <v>0</v>
      </c>
      <c r="F840" s="63">
        <f t="shared" si="661"/>
        <v>0</v>
      </c>
      <c r="G840" s="63">
        <v>0</v>
      </c>
      <c r="H840" s="64">
        <v>0</v>
      </c>
      <c r="I840" s="79">
        <f t="shared" si="655"/>
        <v>24803</v>
      </c>
      <c r="J840" s="4">
        <f t="shared" si="656"/>
        <v>24000</v>
      </c>
      <c r="K840" s="4">
        <f t="shared" si="662"/>
        <v>803</v>
      </c>
      <c r="L840" s="65" t="e">
        <f t="shared" si="658"/>
        <v>#DIV/0!</v>
      </c>
      <c r="M840" s="66">
        <v>4.3535000000000004</v>
      </c>
      <c r="N840" s="67">
        <f t="shared" si="659"/>
        <v>0</v>
      </c>
      <c r="O840" s="67">
        <f t="shared" si="660"/>
        <v>104484.00000000001</v>
      </c>
      <c r="P840" s="1186"/>
    </row>
    <row r="841" spans="2:16" x14ac:dyDescent="0.3">
      <c r="B841" s="1181"/>
      <c r="C841" s="1184" t="s">
        <v>82</v>
      </c>
      <c r="D841" s="61" t="s">
        <v>77</v>
      </c>
      <c r="E841" s="62">
        <v>0</v>
      </c>
      <c r="F841" s="63">
        <f t="shared" si="661"/>
        <v>0</v>
      </c>
      <c r="G841" s="63">
        <v>0</v>
      </c>
      <c r="H841" s="64">
        <v>0</v>
      </c>
      <c r="I841" s="79">
        <f t="shared" si="655"/>
        <v>0</v>
      </c>
      <c r="J841" s="4">
        <f t="shared" si="656"/>
        <v>0</v>
      </c>
      <c r="K841" s="4">
        <f t="shared" si="662"/>
        <v>0</v>
      </c>
      <c r="L841" s="65" t="e">
        <f t="shared" si="658"/>
        <v>#DIV/0!</v>
      </c>
      <c r="M841" s="66">
        <v>4.6184000000000003</v>
      </c>
      <c r="N841" s="67">
        <f t="shared" si="659"/>
        <v>0</v>
      </c>
      <c r="O841" s="67">
        <f>M841*J841</f>
        <v>0</v>
      </c>
      <c r="P841" s="1186"/>
    </row>
    <row r="842" spans="2:16" x14ac:dyDescent="0.3">
      <c r="B842" s="1181"/>
      <c r="C842" s="1184"/>
      <c r="D842" s="61" t="s">
        <v>119</v>
      </c>
      <c r="E842" s="62">
        <v>0</v>
      </c>
      <c r="F842" s="63">
        <f t="shared" si="661"/>
        <v>0</v>
      </c>
      <c r="G842" s="63">
        <v>0</v>
      </c>
      <c r="H842" s="64">
        <v>0</v>
      </c>
      <c r="I842" s="79">
        <f>J842+K842</f>
        <v>0</v>
      </c>
      <c r="J842" s="4">
        <f t="shared" si="656"/>
        <v>0</v>
      </c>
      <c r="K842" s="4">
        <f t="shared" si="662"/>
        <v>0</v>
      </c>
      <c r="L842" s="65" t="e">
        <f t="shared" si="658"/>
        <v>#DIV/0!</v>
      </c>
      <c r="M842" s="153">
        <v>4.6184000000000003</v>
      </c>
      <c r="N842" s="67">
        <f t="shared" si="659"/>
        <v>0</v>
      </c>
      <c r="O842" s="67">
        <f>M842*J842</f>
        <v>0</v>
      </c>
      <c r="P842" s="1186"/>
    </row>
    <row r="843" spans="2:16" x14ac:dyDescent="0.3">
      <c r="B843" s="1181"/>
      <c r="C843" s="1184"/>
      <c r="D843" s="61" t="s">
        <v>123</v>
      </c>
      <c r="E843" s="62">
        <v>0</v>
      </c>
      <c r="F843" s="63">
        <f t="shared" si="661"/>
        <v>0</v>
      </c>
      <c r="G843" s="63">
        <v>0</v>
      </c>
      <c r="H843" s="64">
        <v>0</v>
      </c>
      <c r="I843" s="79">
        <f t="shared" ref="I843:I857" si="663">J843+K843</f>
        <v>0</v>
      </c>
      <c r="J843" s="4">
        <f t="shared" si="656"/>
        <v>0</v>
      </c>
      <c r="K843" s="4">
        <f t="shared" si="662"/>
        <v>0</v>
      </c>
      <c r="L843" s="65" t="e">
        <f t="shared" si="658"/>
        <v>#DIV/0!</v>
      </c>
      <c r="M843" s="153">
        <v>4.6184000000000003</v>
      </c>
      <c r="N843" s="67">
        <f t="shared" si="659"/>
        <v>0</v>
      </c>
      <c r="O843" s="67">
        <f t="shared" ref="O843:O848" si="664">M843*J843</f>
        <v>0</v>
      </c>
      <c r="P843" s="1186"/>
    </row>
    <row r="844" spans="2:16" x14ac:dyDescent="0.3">
      <c r="B844" s="1181"/>
      <c r="C844" s="1184"/>
      <c r="D844" s="61" t="s">
        <v>124</v>
      </c>
      <c r="E844" s="62">
        <v>0</v>
      </c>
      <c r="F844" s="63">
        <f t="shared" si="661"/>
        <v>13686</v>
      </c>
      <c r="G844" s="63">
        <v>13440</v>
      </c>
      <c r="H844" s="64">
        <v>246</v>
      </c>
      <c r="I844" s="79">
        <f t="shared" si="663"/>
        <v>250884</v>
      </c>
      <c r="J844" s="4">
        <f t="shared" si="656"/>
        <v>243775</v>
      </c>
      <c r="K844" s="4">
        <f t="shared" si="662"/>
        <v>7109</v>
      </c>
      <c r="L844" s="65" t="e">
        <f t="shared" si="658"/>
        <v>#DIV/0!</v>
      </c>
      <c r="M844" s="153">
        <v>4.7636000000000003</v>
      </c>
      <c r="N844" s="67">
        <f t="shared" si="659"/>
        <v>64022.784000000007</v>
      </c>
      <c r="O844" s="67">
        <f t="shared" si="664"/>
        <v>1161246.5900000001</v>
      </c>
      <c r="P844" s="1186"/>
    </row>
    <row r="845" spans="2:16" x14ac:dyDescent="0.3">
      <c r="B845" s="1181"/>
      <c r="C845" s="1184"/>
      <c r="D845" s="61" t="s">
        <v>83</v>
      </c>
      <c r="E845" s="62">
        <v>0</v>
      </c>
      <c r="F845" s="63">
        <f t="shared" si="661"/>
        <v>0</v>
      </c>
      <c r="G845" s="63">
        <v>0</v>
      </c>
      <c r="H845" s="64">
        <v>0</v>
      </c>
      <c r="I845" s="79">
        <f t="shared" si="663"/>
        <v>0</v>
      </c>
      <c r="J845" s="4">
        <f t="shared" si="656"/>
        <v>0</v>
      </c>
      <c r="K845" s="4">
        <f t="shared" si="662"/>
        <v>0</v>
      </c>
      <c r="L845" s="65" t="e">
        <f t="shared" si="658"/>
        <v>#DIV/0!</v>
      </c>
      <c r="M845" s="66">
        <v>4.8738000000000001</v>
      </c>
      <c r="N845" s="67">
        <f t="shared" si="659"/>
        <v>0</v>
      </c>
      <c r="O845" s="67">
        <f t="shared" si="664"/>
        <v>0</v>
      </c>
      <c r="P845" s="1186"/>
    </row>
    <row r="846" spans="2:16" x14ac:dyDescent="0.3">
      <c r="B846" s="1181"/>
      <c r="C846" s="204" t="s">
        <v>128</v>
      </c>
      <c r="D846" s="61" t="s">
        <v>124</v>
      </c>
      <c r="E846" s="62"/>
      <c r="F846" s="63">
        <f t="shared" si="661"/>
        <v>0</v>
      </c>
      <c r="G846" s="63">
        <v>0</v>
      </c>
      <c r="H846" s="64">
        <v>0</v>
      </c>
      <c r="I846" s="79">
        <f t="shared" si="663"/>
        <v>0</v>
      </c>
      <c r="J846" s="4">
        <f t="shared" si="656"/>
        <v>0</v>
      </c>
      <c r="K846" s="4">
        <f t="shared" si="662"/>
        <v>0</v>
      </c>
      <c r="L846" s="65"/>
      <c r="M846" s="66">
        <v>4.8738000000000001</v>
      </c>
      <c r="N846" s="67">
        <f t="shared" si="659"/>
        <v>0</v>
      </c>
      <c r="O846" s="67">
        <f t="shared" si="664"/>
        <v>0</v>
      </c>
      <c r="P846" s="1186"/>
    </row>
    <row r="847" spans="2:16" x14ac:dyDescent="0.3">
      <c r="B847" s="1181"/>
      <c r="C847" s="1184" t="s">
        <v>84</v>
      </c>
      <c r="D847" s="61" t="s">
        <v>77</v>
      </c>
      <c r="E847" s="62">
        <v>0</v>
      </c>
      <c r="F847" s="63">
        <f t="shared" si="661"/>
        <v>6700</v>
      </c>
      <c r="G847" s="63">
        <v>6050</v>
      </c>
      <c r="H847" s="64">
        <v>650</v>
      </c>
      <c r="I847" s="79">
        <f t="shared" si="663"/>
        <v>197600</v>
      </c>
      <c r="J847" s="4">
        <f t="shared" si="656"/>
        <v>194950</v>
      </c>
      <c r="K847" s="4">
        <f t="shared" si="662"/>
        <v>2650</v>
      </c>
      <c r="L847" s="65" t="e">
        <f t="shared" ref="L847:L857" si="665">+J847/E847</f>
        <v>#DIV/0!</v>
      </c>
      <c r="M847" s="66">
        <v>4.9344999999999999</v>
      </c>
      <c r="N847" s="67">
        <f t="shared" si="659"/>
        <v>29853.724999999999</v>
      </c>
      <c r="O847" s="67">
        <f t="shared" si="664"/>
        <v>961980.77500000002</v>
      </c>
      <c r="P847" s="1186"/>
    </row>
    <row r="848" spans="2:16" x14ac:dyDescent="0.3">
      <c r="B848" s="1181"/>
      <c r="C848" s="1184"/>
      <c r="D848" s="61" t="s">
        <v>135</v>
      </c>
      <c r="E848" s="62"/>
      <c r="F848" s="63">
        <f t="shared" si="661"/>
        <v>18465</v>
      </c>
      <c r="G848" s="63">
        <v>17650</v>
      </c>
      <c r="H848" s="64">
        <v>815</v>
      </c>
      <c r="I848" s="79">
        <f t="shared" si="663"/>
        <v>43282</v>
      </c>
      <c r="J848" s="4">
        <f t="shared" si="656"/>
        <v>40500</v>
      </c>
      <c r="K848" s="4">
        <f t="shared" si="662"/>
        <v>2782</v>
      </c>
      <c r="L848" s="65" t="e">
        <f t="shared" si="665"/>
        <v>#DIV/0!</v>
      </c>
      <c r="M848" s="66">
        <v>4.9344999999999999</v>
      </c>
      <c r="N848" s="67">
        <f t="shared" si="659"/>
        <v>87093.925000000003</v>
      </c>
      <c r="O848" s="67">
        <f t="shared" si="664"/>
        <v>199847.25</v>
      </c>
      <c r="P848" s="1186"/>
    </row>
    <row r="849" spans="2:16" x14ac:dyDescent="0.3">
      <c r="B849" s="1181"/>
      <c r="C849" s="1184"/>
      <c r="D849" s="61" t="s">
        <v>129</v>
      </c>
      <c r="E849" s="62">
        <v>0</v>
      </c>
      <c r="F849" s="63">
        <f t="shared" si="661"/>
        <v>0</v>
      </c>
      <c r="G849" s="155">
        <v>0</v>
      </c>
      <c r="H849" s="156">
        <v>0</v>
      </c>
      <c r="I849" s="157">
        <f t="shared" si="663"/>
        <v>0</v>
      </c>
      <c r="J849" s="4">
        <f t="shared" si="656"/>
        <v>0</v>
      </c>
      <c r="K849" s="4">
        <f t="shared" si="662"/>
        <v>0</v>
      </c>
      <c r="L849" s="158" t="e">
        <f t="shared" si="665"/>
        <v>#DIV/0!</v>
      </c>
      <c r="M849" s="66">
        <v>4.9344999999999999</v>
      </c>
      <c r="N849" s="159">
        <f t="shared" si="659"/>
        <v>0</v>
      </c>
      <c r="O849" s="67">
        <f>M849*J849</f>
        <v>0</v>
      </c>
      <c r="P849" s="1186"/>
    </row>
    <row r="850" spans="2:16" x14ac:dyDescent="0.3">
      <c r="B850" s="1181"/>
      <c r="C850" s="1184" t="s">
        <v>85</v>
      </c>
      <c r="D850" s="61" t="s">
        <v>77</v>
      </c>
      <c r="E850" s="62">
        <v>0</v>
      </c>
      <c r="F850" s="63">
        <f t="shared" si="661"/>
        <v>0</v>
      </c>
      <c r="G850" s="63">
        <v>0</v>
      </c>
      <c r="H850" s="64">
        <v>0</v>
      </c>
      <c r="I850" s="79">
        <f t="shared" si="663"/>
        <v>138276</v>
      </c>
      <c r="J850" s="4">
        <f t="shared" si="656"/>
        <v>130950</v>
      </c>
      <c r="K850" s="4">
        <f t="shared" si="662"/>
        <v>7326</v>
      </c>
      <c r="L850" s="65" t="e">
        <f t="shared" si="665"/>
        <v>#DIV/0!</v>
      </c>
      <c r="M850" s="148">
        <v>5.5069999999999997</v>
      </c>
      <c r="N850" s="67">
        <f t="shared" si="659"/>
        <v>0</v>
      </c>
      <c r="O850" s="67">
        <f>M850*J850</f>
        <v>721141.64999999991</v>
      </c>
      <c r="P850" s="1186"/>
    </row>
    <row r="851" spans="2:16" x14ac:dyDescent="0.3">
      <c r="B851" s="1181"/>
      <c r="C851" s="1184"/>
      <c r="D851" s="61" t="s">
        <v>112</v>
      </c>
      <c r="E851" s="62">
        <v>0</v>
      </c>
      <c r="F851" s="63">
        <f t="shared" si="661"/>
        <v>6688</v>
      </c>
      <c r="G851" s="63">
        <v>6300</v>
      </c>
      <c r="H851" s="64">
        <v>388</v>
      </c>
      <c r="I851" s="79">
        <f t="shared" si="663"/>
        <v>75453</v>
      </c>
      <c r="J851" s="4">
        <f t="shared" si="656"/>
        <v>72900</v>
      </c>
      <c r="K851" s="4">
        <f t="shared" si="662"/>
        <v>2553</v>
      </c>
      <c r="L851" s="65" t="e">
        <f t="shared" si="665"/>
        <v>#DIV/0!</v>
      </c>
      <c r="M851" s="147">
        <v>5.6550000000000002</v>
      </c>
      <c r="N851" s="67">
        <f t="shared" si="659"/>
        <v>35626.5</v>
      </c>
      <c r="O851" s="67">
        <f>M851*J851</f>
        <v>412249.5</v>
      </c>
      <c r="P851" s="1186"/>
    </row>
    <row r="852" spans="2:16" x14ac:dyDescent="0.3">
      <c r="B852" s="1181"/>
      <c r="C852" s="1184"/>
      <c r="D852" s="61" t="s">
        <v>118</v>
      </c>
      <c r="E852" s="62">
        <v>0</v>
      </c>
      <c r="F852" s="63">
        <f t="shared" si="661"/>
        <v>0</v>
      </c>
      <c r="G852" s="63">
        <v>0</v>
      </c>
      <c r="H852" s="64">
        <v>0</v>
      </c>
      <c r="I852" s="79">
        <f t="shared" si="663"/>
        <v>0</v>
      </c>
      <c r="J852" s="4">
        <f t="shared" si="656"/>
        <v>0</v>
      </c>
      <c r="K852" s="4">
        <f t="shared" si="662"/>
        <v>0</v>
      </c>
      <c r="L852" s="65" t="e">
        <f t="shared" si="665"/>
        <v>#DIV/0!</v>
      </c>
      <c r="M852" s="152">
        <v>5.6550000000000002</v>
      </c>
      <c r="N852" s="67">
        <f t="shared" si="659"/>
        <v>0</v>
      </c>
      <c r="O852" s="67">
        <f>M852*J852</f>
        <v>0</v>
      </c>
      <c r="P852" s="1186"/>
    </row>
    <row r="853" spans="2:16" x14ac:dyDescent="0.3">
      <c r="B853" s="1181"/>
      <c r="C853" s="1184"/>
      <c r="D853" s="61" t="s">
        <v>121</v>
      </c>
      <c r="E853" s="62">
        <v>0</v>
      </c>
      <c r="F853" s="63">
        <f t="shared" si="661"/>
        <v>0</v>
      </c>
      <c r="G853" s="63">
        <v>0</v>
      </c>
      <c r="H853" s="64">
        <v>0</v>
      </c>
      <c r="I853" s="79">
        <f t="shared" si="663"/>
        <v>28324</v>
      </c>
      <c r="J853" s="4">
        <f t="shared" si="656"/>
        <v>26710</v>
      </c>
      <c r="K853" s="4">
        <f t="shared" si="662"/>
        <v>1614</v>
      </c>
      <c r="L853" s="65" t="e">
        <f t="shared" si="665"/>
        <v>#DIV/0!</v>
      </c>
      <c r="M853" s="66">
        <v>5.7885299999999997</v>
      </c>
      <c r="N853" s="67">
        <f>+M853*G853</f>
        <v>0</v>
      </c>
      <c r="O853" s="67">
        <f>M853*J853</f>
        <v>154611.63629999998</v>
      </c>
      <c r="P853" s="1186"/>
    </row>
    <row r="854" spans="2:16" x14ac:dyDescent="0.3">
      <c r="B854" s="1181"/>
      <c r="C854" s="1184"/>
      <c r="D854" s="61" t="s">
        <v>136</v>
      </c>
      <c r="E854" s="62">
        <v>0</v>
      </c>
      <c r="F854" s="63">
        <f t="shared" si="661"/>
        <v>0</v>
      </c>
      <c r="G854" s="63">
        <v>0</v>
      </c>
      <c r="H854" s="64">
        <v>0</v>
      </c>
      <c r="I854" s="79">
        <f t="shared" si="663"/>
        <v>0</v>
      </c>
      <c r="J854" s="4">
        <f t="shared" si="656"/>
        <v>0</v>
      </c>
      <c r="K854" s="4">
        <f t="shared" si="662"/>
        <v>0</v>
      </c>
      <c r="L854" s="65" t="e">
        <f t="shared" si="665"/>
        <v>#DIV/0!</v>
      </c>
      <c r="M854" s="152">
        <v>5.6550000000000002</v>
      </c>
      <c r="N854" s="67">
        <f t="shared" ref="N854:N856" si="666">+M854*G854</f>
        <v>0</v>
      </c>
      <c r="O854" s="67">
        <f t="shared" ref="O854:O857" si="667">M854*J854</f>
        <v>0</v>
      </c>
      <c r="P854" s="1186"/>
    </row>
    <row r="855" spans="2:16" x14ac:dyDescent="0.3">
      <c r="B855" s="1181"/>
      <c r="C855" s="204" t="s">
        <v>86</v>
      </c>
      <c r="D855" s="61" t="s">
        <v>77</v>
      </c>
      <c r="E855" s="62">
        <v>0</v>
      </c>
      <c r="F855" s="63">
        <f t="shared" si="661"/>
        <v>0</v>
      </c>
      <c r="G855" s="63">
        <v>0</v>
      </c>
      <c r="H855" s="64">
        <v>0</v>
      </c>
      <c r="I855" s="79">
        <f t="shared" si="663"/>
        <v>0</v>
      </c>
      <c r="J855" s="4">
        <f t="shared" si="656"/>
        <v>0</v>
      </c>
      <c r="K855" s="4">
        <f t="shared" si="662"/>
        <v>0</v>
      </c>
      <c r="L855" s="65" t="e">
        <f t="shared" si="665"/>
        <v>#DIV/0!</v>
      </c>
      <c r="M855" s="66">
        <v>3.2963</v>
      </c>
      <c r="N855" s="67">
        <f t="shared" si="666"/>
        <v>0</v>
      </c>
      <c r="O855" s="67">
        <f t="shared" si="667"/>
        <v>0</v>
      </c>
      <c r="P855" s="1186"/>
    </row>
    <row r="856" spans="2:16" x14ac:dyDescent="0.3">
      <c r="B856" s="1181"/>
      <c r="C856" s="204" t="s">
        <v>87</v>
      </c>
      <c r="D856" s="61" t="s">
        <v>77</v>
      </c>
      <c r="E856" s="62">
        <v>0</v>
      </c>
      <c r="F856" s="63">
        <f t="shared" si="661"/>
        <v>0</v>
      </c>
      <c r="G856" s="63">
        <v>0</v>
      </c>
      <c r="H856" s="64">
        <v>0</v>
      </c>
      <c r="I856" s="79">
        <f t="shared" si="663"/>
        <v>0</v>
      </c>
      <c r="J856" s="4">
        <f t="shared" si="656"/>
        <v>0</v>
      </c>
      <c r="K856" s="4">
        <f t="shared" si="662"/>
        <v>0</v>
      </c>
      <c r="L856" s="65" t="e">
        <f t="shared" si="665"/>
        <v>#DIV/0!</v>
      </c>
      <c r="M856" s="66">
        <v>3.2963</v>
      </c>
      <c r="N856" s="67">
        <f t="shared" si="666"/>
        <v>0</v>
      </c>
      <c r="O856" s="67">
        <f t="shared" si="667"/>
        <v>0</v>
      </c>
      <c r="P856" s="1186"/>
    </row>
    <row r="857" spans="2:16" ht="15" thickBot="1" x14ac:dyDescent="0.35">
      <c r="B857" s="1181"/>
      <c r="C857" s="68" t="s">
        <v>88</v>
      </c>
      <c r="D857" s="69" t="s">
        <v>89</v>
      </c>
      <c r="E857" s="70">
        <v>0</v>
      </c>
      <c r="F857" s="71">
        <f t="shared" si="661"/>
        <v>0</v>
      </c>
      <c r="G857" s="71">
        <v>0</v>
      </c>
      <c r="H857" s="72">
        <v>0</v>
      </c>
      <c r="I857" s="80">
        <f t="shared" si="663"/>
        <v>65030</v>
      </c>
      <c r="J857" s="4">
        <f t="shared" si="656"/>
        <v>65000</v>
      </c>
      <c r="K857" s="4">
        <f t="shared" si="662"/>
        <v>30</v>
      </c>
      <c r="L857" s="65" t="e">
        <f t="shared" si="665"/>
        <v>#DIV/0!</v>
      </c>
      <c r="M857" s="73">
        <v>2.3201000000000001</v>
      </c>
      <c r="N857" s="74">
        <f t="shared" ref="N857" si="668">M857*G857</f>
        <v>0</v>
      </c>
      <c r="O857" s="74">
        <f t="shared" si="667"/>
        <v>150806.5</v>
      </c>
      <c r="P857" s="1187"/>
    </row>
    <row r="858" spans="2:16" ht="15" thickBot="1" x14ac:dyDescent="0.35">
      <c r="B858" s="1182"/>
      <c r="C858" s="1190" t="s">
        <v>99</v>
      </c>
      <c r="D858" s="1191"/>
      <c r="E858" s="1191"/>
      <c r="F858" s="1191"/>
      <c r="G858" s="1191"/>
      <c r="H858" s="1192"/>
      <c r="I858" s="116">
        <f>J858+K858</f>
        <v>932385</v>
      </c>
      <c r="J858" s="115">
        <f>SUM(J830:J857)</f>
        <v>905605</v>
      </c>
      <c r="K858" s="115">
        <f>SUM(K830:K857)</f>
        <v>26780</v>
      </c>
      <c r="L858" s="114"/>
      <c r="M858" s="113"/>
      <c r="N858" s="114"/>
      <c r="O858" s="97">
        <f>SUM(O830:O857)</f>
        <v>8140150.3492999999</v>
      </c>
      <c r="P858" s="96"/>
    </row>
    <row r="859" spans="2:16" ht="15" thickBot="1" x14ac:dyDescent="0.35">
      <c r="B859" s="100"/>
      <c r="C859" s="101"/>
      <c r="D859" s="101"/>
      <c r="E859" s="101"/>
      <c r="F859" s="101"/>
      <c r="G859" s="101"/>
      <c r="H859" s="101"/>
      <c r="I859" s="101"/>
      <c r="J859" s="101"/>
      <c r="K859" s="101"/>
      <c r="L859" s="101"/>
      <c r="M859" s="101"/>
      <c r="N859" s="101"/>
      <c r="O859" s="101"/>
      <c r="P859" s="102"/>
    </row>
    <row r="860" spans="2:16" ht="15" thickBot="1" x14ac:dyDescent="0.35">
      <c r="B860" s="1175" t="s">
        <v>100</v>
      </c>
      <c r="C860" s="1176"/>
      <c r="D860" s="1176"/>
      <c r="E860" s="1176"/>
      <c r="F860" s="1176"/>
      <c r="G860" s="1176"/>
      <c r="H860" s="1176"/>
      <c r="I860" s="1176"/>
      <c r="J860" s="1176"/>
      <c r="K860" s="1176"/>
      <c r="L860" s="1176"/>
      <c r="M860" s="1176"/>
      <c r="N860" s="1177"/>
      <c r="O860" s="103">
        <f>+O858+O829+O814</f>
        <v>17717842.555300001</v>
      </c>
      <c r="P860" s="96"/>
    </row>
    <row r="861" spans="2:16" ht="15" thickBot="1" x14ac:dyDescent="0.35"/>
    <row r="862" spans="2:16" x14ac:dyDescent="0.3">
      <c r="B862" s="1209" t="s">
        <v>1</v>
      </c>
      <c r="C862" s="1211" t="s">
        <v>2</v>
      </c>
      <c r="D862" s="1214" t="s">
        <v>3</v>
      </c>
      <c r="E862" s="1217" t="s">
        <v>4</v>
      </c>
      <c r="F862" s="1218"/>
      <c r="G862" s="1218"/>
      <c r="H862" s="1218"/>
      <c r="I862" s="1218"/>
      <c r="J862" s="1218"/>
      <c r="K862" s="1218"/>
      <c r="L862" s="1219"/>
      <c r="M862" s="1220" t="s">
        <v>5</v>
      </c>
      <c r="N862" s="1221"/>
      <c r="O862" s="1222"/>
      <c r="P862" s="1214" t="s">
        <v>6</v>
      </c>
    </row>
    <row r="863" spans="2:16" x14ac:dyDescent="0.3">
      <c r="B863" s="1210"/>
      <c r="C863" s="1212"/>
      <c r="D863" s="1215"/>
      <c r="E863" s="1223" t="s">
        <v>7</v>
      </c>
      <c r="F863" s="1225" t="s">
        <v>153</v>
      </c>
      <c r="G863" s="1225"/>
      <c r="H863" s="1226"/>
      <c r="I863" s="1227" t="s">
        <v>8</v>
      </c>
      <c r="J863" s="1225"/>
      <c r="K863" s="1225"/>
      <c r="L863" s="1226" t="s">
        <v>9</v>
      </c>
      <c r="M863" s="1229" t="s">
        <v>10</v>
      </c>
      <c r="N863" s="1231" t="s">
        <v>11</v>
      </c>
      <c r="O863" s="1233" t="s">
        <v>12</v>
      </c>
      <c r="P863" s="1215"/>
    </row>
    <row r="864" spans="2:16" ht="15" thickBot="1" x14ac:dyDescent="0.35">
      <c r="B864" s="1210"/>
      <c r="C864" s="1213"/>
      <c r="D864" s="1216"/>
      <c r="E864" s="1224"/>
      <c r="F864" s="2" t="s">
        <v>13</v>
      </c>
      <c r="G864" s="2" t="s">
        <v>14</v>
      </c>
      <c r="H864" s="211" t="s">
        <v>15</v>
      </c>
      <c r="I864" s="142" t="s">
        <v>13</v>
      </c>
      <c r="J864" s="2" t="s">
        <v>14</v>
      </c>
      <c r="K864" s="2" t="s">
        <v>15</v>
      </c>
      <c r="L864" s="1228"/>
      <c r="M864" s="1230"/>
      <c r="N864" s="1232"/>
      <c r="O864" s="1234"/>
      <c r="P864" s="1216"/>
    </row>
    <row r="865" spans="2:16" x14ac:dyDescent="0.3">
      <c r="B865" s="1193" t="s">
        <v>53</v>
      </c>
      <c r="C865" s="29"/>
      <c r="D865" s="117" t="s">
        <v>143</v>
      </c>
      <c r="E865" s="98">
        <v>0</v>
      </c>
      <c r="F865" s="4">
        <f>+G865+H865</f>
        <v>90940</v>
      </c>
      <c r="G865" s="4">
        <v>89600</v>
      </c>
      <c r="H865" s="8">
        <v>1340</v>
      </c>
      <c r="I865" s="6">
        <f>J865+K865</f>
        <v>376206</v>
      </c>
      <c r="J865" s="4">
        <f>G865+J800</f>
        <v>369600</v>
      </c>
      <c r="K865" s="4">
        <f>H865+K800</f>
        <v>6606</v>
      </c>
      <c r="L865" s="33" t="e">
        <f>+J865/E865</f>
        <v>#DIV/0!</v>
      </c>
      <c r="M865" s="104">
        <v>1.3652</v>
      </c>
      <c r="N865" s="31">
        <f>G865*M865</f>
        <v>122321.92</v>
      </c>
      <c r="O865" s="86">
        <f>M865*J865</f>
        <v>504577.92</v>
      </c>
      <c r="P865" s="1195"/>
    </row>
    <row r="866" spans="2:16" x14ac:dyDescent="0.3">
      <c r="B866" s="1194"/>
      <c r="C866" s="32"/>
      <c r="D866" s="118" t="s">
        <v>109</v>
      </c>
      <c r="E866" s="99">
        <v>0</v>
      </c>
      <c r="F866" s="9">
        <f>+G866+H866</f>
        <v>0</v>
      </c>
      <c r="G866" s="9">
        <v>0</v>
      </c>
      <c r="H866" s="10">
        <v>0</v>
      </c>
      <c r="I866" s="6">
        <f>J866+K866</f>
        <v>0</v>
      </c>
      <c r="J866" s="4">
        <f>+G866+J801</f>
        <v>0</v>
      </c>
      <c r="K866" s="4">
        <f>+H866+K801</f>
        <v>0</v>
      </c>
      <c r="L866" s="33"/>
      <c r="M866" s="105">
        <v>5.9917999999999996</v>
      </c>
      <c r="N866" s="34">
        <f>M866*G866</f>
        <v>0</v>
      </c>
      <c r="O866" s="87">
        <f>M866*J866</f>
        <v>0</v>
      </c>
      <c r="P866" s="1196"/>
    </row>
    <row r="867" spans="2:16" x14ac:dyDescent="0.3">
      <c r="B867" s="1194"/>
      <c r="C867" s="35"/>
      <c r="D867" s="119" t="s">
        <v>55</v>
      </c>
      <c r="E867" s="99">
        <v>0</v>
      </c>
      <c r="F867" s="9">
        <f t="shared" ref="F867:F871" si="669">+G867+H867</f>
        <v>231207</v>
      </c>
      <c r="G867" s="9">
        <v>230000</v>
      </c>
      <c r="H867" s="10">
        <v>1207</v>
      </c>
      <c r="I867" s="6">
        <f t="shared" ref="I867:I871" si="670">J867+K867</f>
        <v>2667895</v>
      </c>
      <c r="J867" s="4">
        <f t="shared" ref="J867:J871" si="671">+G867+J802</f>
        <v>2648250</v>
      </c>
      <c r="K867" s="4">
        <f t="shared" ref="K867:K871" si="672">+H867+K802</f>
        <v>19645</v>
      </c>
      <c r="L867" s="33" t="e">
        <f t="shared" ref="L867" si="673">+J867/E867</f>
        <v>#DIV/0!</v>
      </c>
      <c r="M867" s="106">
        <v>2.3807999999999998</v>
      </c>
      <c r="N867" s="36">
        <f>G867*M867</f>
        <v>547584</v>
      </c>
      <c r="O867" s="88">
        <f>M867*J867</f>
        <v>6304953.5999999996</v>
      </c>
      <c r="P867" s="1196"/>
    </row>
    <row r="868" spans="2:16" x14ac:dyDescent="0.3">
      <c r="B868" s="1194"/>
      <c r="C868" s="35"/>
      <c r="D868" s="119" t="s">
        <v>56</v>
      </c>
      <c r="E868" s="99">
        <v>0</v>
      </c>
      <c r="F868" s="9">
        <f t="shared" si="669"/>
        <v>0</v>
      </c>
      <c r="G868" s="9">
        <v>0</v>
      </c>
      <c r="H868" s="10">
        <v>0</v>
      </c>
      <c r="I868" s="6">
        <f t="shared" si="670"/>
        <v>0</v>
      </c>
      <c r="J868" s="4">
        <f t="shared" si="671"/>
        <v>0</v>
      </c>
      <c r="K868" s="4">
        <f t="shared" si="672"/>
        <v>0</v>
      </c>
      <c r="L868" s="33"/>
      <c r="M868" s="106">
        <v>2.1457999999999999</v>
      </c>
      <c r="N868" s="36">
        <f t="shared" ref="N868:N871" si="674">G868*M868</f>
        <v>0</v>
      </c>
      <c r="O868" s="88">
        <f>M868*J868</f>
        <v>0</v>
      </c>
      <c r="P868" s="1196"/>
    </row>
    <row r="869" spans="2:16" x14ac:dyDescent="0.3">
      <c r="B869" s="1194"/>
      <c r="C869" s="35"/>
      <c r="D869" s="119" t="s">
        <v>106</v>
      </c>
      <c r="E869" s="99">
        <v>0</v>
      </c>
      <c r="F869" s="9">
        <f t="shared" si="669"/>
        <v>0</v>
      </c>
      <c r="G869" s="9">
        <v>0</v>
      </c>
      <c r="H869" s="10">
        <v>0</v>
      </c>
      <c r="I869" s="6">
        <f t="shared" si="670"/>
        <v>53280</v>
      </c>
      <c r="J869" s="4">
        <f t="shared" si="671"/>
        <v>42000</v>
      </c>
      <c r="K869" s="4">
        <f t="shared" si="672"/>
        <v>11280</v>
      </c>
      <c r="L869" s="33" t="e">
        <f t="shared" ref="L869:L870" si="675">+J869/E869</f>
        <v>#DIV/0!</v>
      </c>
      <c r="M869" s="143">
        <v>4.0426000000000002</v>
      </c>
      <c r="N869" s="36">
        <f t="shared" si="674"/>
        <v>0</v>
      </c>
      <c r="O869" s="88">
        <f>M869*J869</f>
        <v>169789.2</v>
      </c>
      <c r="P869" s="1196"/>
    </row>
    <row r="870" spans="2:16" x14ac:dyDescent="0.3">
      <c r="B870" s="1194"/>
      <c r="C870" s="35"/>
      <c r="D870" s="119" t="s">
        <v>110</v>
      </c>
      <c r="E870" s="99">
        <v>0</v>
      </c>
      <c r="F870" s="9">
        <f t="shared" si="669"/>
        <v>0</v>
      </c>
      <c r="G870" s="9">
        <v>0</v>
      </c>
      <c r="H870" s="10">
        <v>0</v>
      </c>
      <c r="I870" s="6">
        <f t="shared" si="670"/>
        <v>0</v>
      </c>
      <c r="J870" s="4">
        <f t="shared" si="671"/>
        <v>0</v>
      </c>
      <c r="K870" s="4">
        <f t="shared" si="672"/>
        <v>0</v>
      </c>
      <c r="L870" s="33" t="e">
        <f t="shared" si="675"/>
        <v>#DIV/0!</v>
      </c>
      <c r="M870" s="143">
        <v>3.8715000000000002</v>
      </c>
      <c r="N870" s="36">
        <f t="shared" si="674"/>
        <v>0</v>
      </c>
      <c r="O870" s="88">
        <f t="shared" ref="O870:O871" si="676">M870*J870</f>
        <v>0</v>
      </c>
      <c r="P870" s="1196"/>
    </row>
    <row r="871" spans="2:16" ht="15" thickBot="1" x14ac:dyDescent="0.35">
      <c r="B871" s="1194"/>
      <c r="C871" s="82"/>
      <c r="D871" s="120" t="s">
        <v>57</v>
      </c>
      <c r="E871" s="108">
        <v>0</v>
      </c>
      <c r="F871" s="12">
        <f t="shared" si="669"/>
        <v>0</v>
      </c>
      <c r="G871" s="12">
        <v>0</v>
      </c>
      <c r="H871" s="13">
        <v>0</v>
      </c>
      <c r="I871" s="21">
        <f t="shared" si="670"/>
        <v>0</v>
      </c>
      <c r="J871" s="4">
        <f t="shared" si="671"/>
        <v>0</v>
      </c>
      <c r="K871" s="4">
        <f t="shared" si="672"/>
        <v>0</v>
      </c>
      <c r="L871" s="81"/>
      <c r="M871" s="127">
        <v>12.284700000000001</v>
      </c>
      <c r="N871" s="36">
        <f t="shared" si="674"/>
        <v>0</v>
      </c>
      <c r="O871" s="128">
        <f t="shared" si="676"/>
        <v>0</v>
      </c>
      <c r="P871" s="1196"/>
    </row>
    <row r="872" spans="2:16" ht="15" thickBot="1" x14ac:dyDescent="0.35">
      <c r="B872" s="1194"/>
      <c r="C872" s="1199" t="s">
        <v>104</v>
      </c>
      <c r="D872" s="1200"/>
      <c r="E872" s="129"/>
      <c r="F872" s="130">
        <f>SUM(F865:F871)</f>
        <v>322147</v>
      </c>
      <c r="G872" s="130">
        <f>SUM(G865:G871)</f>
        <v>319600</v>
      </c>
      <c r="H872" s="131">
        <f>SUM(H865:H871)</f>
        <v>2547</v>
      </c>
      <c r="I872" s="132">
        <f>+J872+K872</f>
        <v>3097381</v>
      </c>
      <c r="J872" s="133">
        <f>SUM(J865:J871)</f>
        <v>3059850</v>
      </c>
      <c r="K872" s="133">
        <f>SUM(K865:K871)</f>
        <v>37531</v>
      </c>
      <c r="L872" s="134"/>
      <c r="M872" s="135"/>
      <c r="N872" s="136"/>
      <c r="O872" s="137">
        <f>SUM(O865:O871)</f>
        <v>6979320.7199999997</v>
      </c>
      <c r="P872" s="1197"/>
    </row>
    <row r="873" spans="2:16" x14ac:dyDescent="0.3">
      <c r="B873" s="1194"/>
      <c r="C873" s="32"/>
      <c r="D873" s="118" t="s">
        <v>58</v>
      </c>
      <c r="E873" s="98">
        <v>0</v>
      </c>
      <c r="F873" s="4">
        <f t="shared" ref="F873:F876" si="677">+G873+H873</f>
        <v>0</v>
      </c>
      <c r="G873" s="4">
        <v>0</v>
      </c>
      <c r="H873" s="8">
        <v>0</v>
      </c>
      <c r="I873" s="6">
        <f t="shared" ref="I873:I877" si="678">J873+K873</f>
        <v>0</v>
      </c>
      <c r="J873" s="4">
        <f>G873+J808</f>
        <v>0</v>
      </c>
      <c r="K873" s="4">
        <f>H873+K808</f>
        <v>0</v>
      </c>
      <c r="L873" s="33" t="e">
        <f t="shared" ref="L873" si="679">+J873/E873</f>
        <v>#DIV/0!</v>
      </c>
      <c r="M873" s="105">
        <v>12.029500000000001</v>
      </c>
      <c r="N873" s="34">
        <f>M873*G873</f>
        <v>0</v>
      </c>
      <c r="O873" s="87">
        <f t="shared" ref="O873:O875" si="680">M873*J873</f>
        <v>0</v>
      </c>
      <c r="P873" s="1196"/>
    </row>
    <row r="874" spans="2:16" x14ac:dyDescent="0.3">
      <c r="B874" s="1194"/>
      <c r="C874" s="35"/>
      <c r="D874" s="119" t="s">
        <v>59</v>
      </c>
      <c r="E874" s="99">
        <v>0</v>
      </c>
      <c r="F874" s="9">
        <f t="shared" si="677"/>
        <v>0</v>
      </c>
      <c r="G874" s="9">
        <v>0</v>
      </c>
      <c r="H874" s="10">
        <v>0</v>
      </c>
      <c r="I874" s="6">
        <f t="shared" si="678"/>
        <v>0</v>
      </c>
      <c r="J874" s="4">
        <f>G874+J809</f>
        <v>0</v>
      </c>
      <c r="K874" s="4">
        <f>H874+K809</f>
        <v>0</v>
      </c>
      <c r="L874" s="33"/>
      <c r="M874" s="106">
        <v>0</v>
      </c>
      <c r="N874" s="36"/>
      <c r="O874" s="88">
        <f t="shared" si="680"/>
        <v>0</v>
      </c>
      <c r="P874" s="1196"/>
    </row>
    <row r="875" spans="2:16" x14ac:dyDescent="0.3">
      <c r="B875" s="1194"/>
      <c r="C875" s="35"/>
      <c r="D875" s="119" t="s">
        <v>97</v>
      </c>
      <c r="E875" s="99">
        <v>0</v>
      </c>
      <c r="F875" s="9">
        <f t="shared" si="677"/>
        <v>0</v>
      </c>
      <c r="G875" s="9">
        <v>0</v>
      </c>
      <c r="H875" s="10">
        <v>0</v>
      </c>
      <c r="I875" s="6">
        <f t="shared" si="678"/>
        <v>0</v>
      </c>
      <c r="J875" s="4">
        <f t="shared" ref="J875:J877" si="681">G875+J810</f>
        <v>0</v>
      </c>
      <c r="K875" s="4">
        <f t="shared" ref="K875:K877" si="682">H875+K810</f>
        <v>0</v>
      </c>
      <c r="L875" s="33" t="e">
        <f t="shared" ref="L875:L877" si="683">+J875/E875</f>
        <v>#DIV/0!</v>
      </c>
      <c r="M875" s="106">
        <v>19.688600000000001</v>
      </c>
      <c r="N875" s="36">
        <f>M875*G875</f>
        <v>0</v>
      </c>
      <c r="O875" s="88">
        <f t="shared" si="680"/>
        <v>0</v>
      </c>
      <c r="P875" s="1196"/>
    </row>
    <row r="876" spans="2:16" x14ac:dyDescent="0.3">
      <c r="B876" s="1194"/>
      <c r="C876" s="35"/>
      <c r="D876" s="119" t="s">
        <v>61</v>
      </c>
      <c r="E876" s="99">
        <v>0</v>
      </c>
      <c r="F876" s="9">
        <f t="shared" si="677"/>
        <v>60000</v>
      </c>
      <c r="G876" s="9">
        <v>60000</v>
      </c>
      <c r="H876" s="10">
        <v>0</v>
      </c>
      <c r="I876" s="6">
        <f t="shared" si="678"/>
        <v>60000</v>
      </c>
      <c r="J876" s="4">
        <f t="shared" si="681"/>
        <v>60000</v>
      </c>
      <c r="K876" s="4">
        <f t="shared" si="682"/>
        <v>0</v>
      </c>
      <c r="L876" s="33" t="e">
        <f t="shared" si="683"/>
        <v>#DIV/0!</v>
      </c>
      <c r="M876" s="106">
        <v>1.2824</v>
      </c>
      <c r="N876" s="151">
        <f>M876*G876</f>
        <v>76944</v>
      </c>
      <c r="O876" s="88">
        <f>M876*J876</f>
        <v>76944</v>
      </c>
      <c r="P876" s="1196"/>
    </row>
    <row r="877" spans="2:16" ht="15" thickBot="1" x14ac:dyDescent="0.35">
      <c r="B877" s="1194"/>
      <c r="C877" s="82"/>
      <c r="D877" s="120" t="s">
        <v>60</v>
      </c>
      <c r="E877" s="108">
        <v>0</v>
      </c>
      <c r="F877" s="12">
        <v>0</v>
      </c>
      <c r="G877" s="12">
        <v>12960</v>
      </c>
      <c r="H877" s="13">
        <v>174</v>
      </c>
      <c r="I877" s="21">
        <f t="shared" si="678"/>
        <v>69968</v>
      </c>
      <c r="J877" s="4">
        <f t="shared" si="681"/>
        <v>69120</v>
      </c>
      <c r="K877" s="4">
        <f t="shared" si="682"/>
        <v>848</v>
      </c>
      <c r="L877" s="81" t="e">
        <f t="shared" si="683"/>
        <v>#DIV/0!</v>
      </c>
      <c r="M877" s="107">
        <v>18.2316</v>
      </c>
      <c r="N877" s="75"/>
      <c r="O877" s="89">
        <f t="shared" ref="O877" si="684">M877*J877</f>
        <v>1260168.192</v>
      </c>
      <c r="P877" s="1198"/>
    </row>
    <row r="878" spans="2:16" ht="15" thickBot="1" x14ac:dyDescent="0.35">
      <c r="B878" s="1178" t="s">
        <v>105</v>
      </c>
      <c r="C878" s="1179"/>
      <c r="D878" s="1179"/>
      <c r="E878" s="124"/>
      <c r="F878" s="125">
        <f>+G878+H878</f>
        <v>73134</v>
      </c>
      <c r="G878" s="125">
        <f>SUM(G873:G877)</f>
        <v>72960</v>
      </c>
      <c r="H878" s="126">
        <f>SUM(H873:H877)</f>
        <v>174</v>
      </c>
      <c r="I878" s="121">
        <f>J878+K878</f>
        <v>129968</v>
      </c>
      <c r="J878" s="122">
        <f>SUM(J873:J877)</f>
        <v>129120</v>
      </c>
      <c r="K878" s="123">
        <f>SUM(K873:K877)</f>
        <v>848</v>
      </c>
      <c r="L878" s="138"/>
      <c r="M878" s="139"/>
      <c r="N878" s="140"/>
      <c r="O878" s="141">
        <f>SUM(O873:O877)</f>
        <v>1337112.192</v>
      </c>
      <c r="P878" s="209"/>
    </row>
    <row r="879" spans="2:16" ht="15" thickBot="1" x14ac:dyDescent="0.35">
      <c r="B879" s="1178" t="s">
        <v>98</v>
      </c>
      <c r="C879" s="1179"/>
      <c r="D879" s="1179"/>
      <c r="E879" s="1201"/>
      <c r="F879" s="1201"/>
      <c r="G879" s="1201"/>
      <c r="H879" s="1201"/>
      <c r="I879" s="1179"/>
      <c r="J879" s="1179"/>
      <c r="K879" s="1179"/>
      <c r="L879" s="1179"/>
      <c r="M879" s="1179"/>
      <c r="N879" s="1202"/>
      <c r="O879" s="83">
        <f>O872+O878</f>
        <v>8316432.9119999995</v>
      </c>
      <c r="P879" s="209"/>
    </row>
    <row r="880" spans="2:16" x14ac:dyDescent="0.3">
      <c r="B880" s="1193" t="s">
        <v>62</v>
      </c>
      <c r="C880" s="37" t="s">
        <v>63</v>
      </c>
      <c r="D880" s="28" t="s">
        <v>64</v>
      </c>
      <c r="E880" s="38">
        <v>0</v>
      </c>
      <c r="F880" s="14">
        <f>+G880+H880</f>
        <v>0</v>
      </c>
      <c r="G880" s="14">
        <v>0</v>
      </c>
      <c r="H880" s="5">
        <v>0</v>
      </c>
      <c r="I880" s="17">
        <f t="shared" ref="I880:I886" si="685">J880+K880</f>
        <v>0</v>
      </c>
      <c r="J880" s="4">
        <f>G880+J815</f>
        <v>0</v>
      </c>
      <c r="K880" s="4">
        <f>H880+K815</f>
        <v>0</v>
      </c>
      <c r="L880" s="30" t="e">
        <f>+J880/E880</f>
        <v>#DIV/0!</v>
      </c>
      <c r="M880" s="146">
        <v>2.2141000000000002</v>
      </c>
      <c r="N880" s="15">
        <f>+M880*G880</f>
        <v>0</v>
      </c>
      <c r="O880" s="90">
        <f>+M880*J880</f>
        <v>0</v>
      </c>
      <c r="P880" s="1204"/>
    </row>
    <row r="881" spans="2:16" x14ac:dyDescent="0.3">
      <c r="B881" s="1194"/>
      <c r="C881" s="39"/>
      <c r="D881" s="22" t="s">
        <v>65</v>
      </c>
      <c r="E881" s="3">
        <v>0</v>
      </c>
      <c r="F881" s="9">
        <f t="shared" ref="F881:F886" si="686">+G881+H881</f>
        <v>0</v>
      </c>
      <c r="G881" s="4">
        <v>0</v>
      </c>
      <c r="H881" s="8">
        <v>0</v>
      </c>
      <c r="I881" s="6">
        <f t="shared" si="685"/>
        <v>0</v>
      </c>
      <c r="J881" s="4">
        <f>+G881+J816</f>
        <v>0</v>
      </c>
      <c r="K881" s="4">
        <f>+H881+K816</f>
        <v>0</v>
      </c>
      <c r="L881" s="40" t="e">
        <f t="shared" ref="L881:L882" si="687">+J881/E881</f>
        <v>#DIV/0!</v>
      </c>
      <c r="M881" s="145">
        <v>2.4565999999999999</v>
      </c>
      <c r="N881" s="11">
        <f t="shared" ref="N881:N883" si="688">+M881*G881</f>
        <v>0</v>
      </c>
      <c r="O881" s="91">
        <f t="shared" ref="O881:O883" si="689">+M881*J881</f>
        <v>0</v>
      </c>
      <c r="P881" s="1205"/>
    </row>
    <row r="882" spans="2:16" x14ac:dyDescent="0.3">
      <c r="B882" s="1194"/>
      <c r="C882" s="39"/>
      <c r="D882" s="23" t="s">
        <v>126</v>
      </c>
      <c r="E882" s="3">
        <v>0</v>
      </c>
      <c r="F882" s="9">
        <f t="shared" si="686"/>
        <v>0</v>
      </c>
      <c r="G882" s="4">
        <v>0</v>
      </c>
      <c r="H882" s="8">
        <v>0</v>
      </c>
      <c r="I882" s="6">
        <f t="shared" si="685"/>
        <v>0</v>
      </c>
      <c r="J882" s="4">
        <f t="shared" ref="J882:J883" si="690">+G882+J817</f>
        <v>0</v>
      </c>
      <c r="K882" s="4">
        <f t="shared" ref="K882:K886" si="691">+H882+K817</f>
        <v>0</v>
      </c>
      <c r="L882" s="40" t="e">
        <f t="shared" si="687"/>
        <v>#DIV/0!</v>
      </c>
      <c r="M882" s="145">
        <v>2.2907000000000002</v>
      </c>
      <c r="N882" s="11">
        <f t="shared" si="688"/>
        <v>0</v>
      </c>
      <c r="O882" s="91">
        <f t="shared" si="689"/>
        <v>0</v>
      </c>
      <c r="P882" s="1205"/>
    </row>
    <row r="883" spans="2:16" x14ac:dyDescent="0.3">
      <c r="B883" s="1194"/>
      <c r="C883" s="39"/>
      <c r="D883" s="22" t="s">
        <v>131</v>
      </c>
      <c r="E883" s="3"/>
      <c r="F883" s="9">
        <f t="shared" si="686"/>
        <v>0</v>
      </c>
      <c r="G883" s="4">
        <v>0</v>
      </c>
      <c r="H883" s="8">
        <v>0</v>
      </c>
      <c r="I883" s="6">
        <f t="shared" si="685"/>
        <v>0</v>
      </c>
      <c r="J883" s="4">
        <f t="shared" si="690"/>
        <v>0</v>
      </c>
      <c r="K883" s="4">
        <f t="shared" si="691"/>
        <v>0</v>
      </c>
      <c r="L883" s="33"/>
      <c r="M883" s="150">
        <v>2.544</v>
      </c>
      <c r="N883" s="11">
        <f t="shared" si="688"/>
        <v>0</v>
      </c>
      <c r="O883" s="91">
        <f t="shared" si="689"/>
        <v>0</v>
      </c>
      <c r="P883" s="1205"/>
    </row>
    <row r="884" spans="2:16" x14ac:dyDescent="0.3">
      <c r="B884" s="1194"/>
      <c r="C884" s="39" t="s">
        <v>66</v>
      </c>
      <c r="D884" s="22" t="s">
        <v>133</v>
      </c>
      <c r="E884" s="3">
        <v>0</v>
      </c>
      <c r="F884" s="9">
        <f t="shared" si="686"/>
        <v>0</v>
      </c>
      <c r="G884" s="4">
        <v>0</v>
      </c>
      <c r="H884" s="8">
        <v>0</v>
      </c>
      <c r="I884" s="6">
        <f t="shared" si="685"/>
        <v>567947</v>
      </c>
      <c r="J884" s="4">
        <f>+G884+J819</f>
        <v>552750</v>
      </c>
      <c r="K884" s="4">
        <f t="shared" si="691"/>
        <v>15197</v>
      </c>
      <c r="L884" s="33" t="e">
        <f>+J884/E884</f>
        <v>#DIV/0!</v>
      </c>
      <c r="M884" s="144">
        <v>2.2141000000000002</v>
      </c>
      <c r="N884" s="7">
        <f>+M884*G884</f>
        <v>0</v>
      </c>
      <c r="O884" s="85">
        <f>+M884*J884</f>
        <v>1223843.7750000001</v>
      </c>
      <c r="P884" s="1205"/>
    </row>
    <row r="885" spans="2:16" x14ac:dyDescent="0.3">
      <c r="B885" s="1194"/>
      <c r="C885" s="39"/>
      <c r="D885" s="22" t="s">
        <v>65</v>
      </c>
      <c r="E885" s="3">
        <v>0</v>
      </c>
      <c r="F885" s="9">
        <f t="shared" si="686"/>
        <v>0</v>
      </c>
      <c r="G885" s="4">
        <v>0</v>
      </c>
      <c r="H885" s="8">
        <v>0</v>
      </c>
      <c r="I885" s="6">
        <f t="shared" si="685"/>
        <v>0</v>
      </c>
      <c r="J885" s="4">
        <f t="shared" ref="J885:J886" si="692">+G885+J820</f>
        <v>0</v>
      </c>
      <c r="K885" s="4">
        <f t="shared" si="691"/>
        <v>0</v>
      </c>
      <c r="L885" s="40" t="e">
        <f t="shared" ref="L885:L886" si="693">+J885/E885</f>
        <v>#DIV/0!</v>
      </c>
      <c r="M885" s="145">
        <v>2.4565999999999999</v>
      </c>
      <c r="N885" s="11">
        <f t="shared" ref="N885:N886" si="694">+M885*G885</f>
        <v>0</v>
      </c>
      <c r="O885" s="91">
        <f t="shared" ref="O885" si="695">+M885*J885</f>
        <v>0</v>
      </c>
      <c r="P885" s="1205"/>
    </row>
    <row r="886" spans="2:16" ht="15" thickBot="1" x14ac:dyDescent="0.35">
      <c r="B886" s="1194"/>
      <c r="C886" s="39"/>
      <c r="D886" s="22" t="s">
        <v>126</v>
      </c>
      <c r="E886" s="3">
        <v>0</v>
      </c>
      <c r="F886" s="9">
        <f t="shared" si="686"/>
        <v>0</v>
      </c>
      <c r="G886" s="4">
        <v>0</v>
      </c>
      <c r="H886" s="8">
        <v>0</v>
      </c>
      <c r="I886" s="6">
        <f t="shared" si="685"/>
        <v>0</v>
      </c>
      <c r="J886" s="4">
        <f t="shared" si="692"/>
        <v>0</v>
      </c>
      <c r="K886" s="4">
        <f t="shared" si="691"/>
        <v>0</v>
      </c>
      <c r="L886" s="40" t="e">
        <f t="shared" si="693"/>
        <v>#DIV/0!</v>
      </c>
      <c r="M886" s="145">
        <v>2.2907000000000002</v>
      </c>
      <c r="N886" s="11">
        <f t="shared" si="694"/>
        <v>0</v>
      </c>
      <c r="O886" s="154">
        <f>+M886*J886</f>
        <v>0</v>
      </c>
      <c r="P886" s="1206"/>
    </row>
    <row r="887" spans="2:16" ht="15" thickBot="1" x14ac:dyDescent="0.35">
      <c r="B887" s="1194"/>
      <c r="C887" s="41" t="s">
        <v>29</v>
      </c>
      <c r="D887" s="27" t="str">
        <f>+C887</f>
        <v>TOTAL 1/2</v>
      </c>
      <c r="E887" s="42">
        <f>SUM(E880:E886)</f>
        <v>0</v>
      </c>
      <c r="F887" s="43">
        <f>SUM(F880:F886)</f>
        <v>0</v>
      </c>
      <c r="G887" s="43">
        <f>SUM(G880:G886)</f>
        <v>0</v>
      </c>
      <c r="H887" s="44">
        <f>SUM(H880:H886)</f>
        <v>0</v>
      </c>
      <c r="I887" s="45">
        <f>SUM(I884:I886)</f>
        <v>567947</v>
      </c>
      <c r="J887" s="43">
        <f>SUM(J880:J886)</f>
        <v>552750</v>
      </c>
      <c r="K887" s="43">
        <f>SUM(K880:K886)</f>
        <v>15197</v>
      </c>
      <c r="L887" s="46" t="e">
        <f>+J887/E887</f>
        <v>#DIV/0!</v>
      </c>
      <c r="M887" s="47"/>
      <c r="N887" s="48">
        <f>SUM(N884:N886)</f>
        <v>0</v>
      </c>
      <c r="O887" s="49">
        <f>SUM(O880:O886)</f>
        <v>1223843.7750000001</v>
      </c>
      <c r="P887" s="210"/>
    </row>
    <row r="888" spans="2:16" x14ac:dyDescent="0.3">
      <c r="B888" s="1194"/>
      <c r="C888" s="1207" t="s">
        <v>67</v>
      </c>
      <c r="D888" s="22" t="s">
        <v>64</v>
      </c>
      <c r="E888" s="3">
        <v>0</v>
      </c>
      <c r="F888" s="4">
        <f>G888+H888</f>
        <v>0</v>
      </c>
      <c r="G888" s="4">
        <v>0</v>
      </c>
      <c r="H888" s="8">
        <v>0</v>
      </c>
      <c r="I888" s="16">
        <f>J888+K888</f>
        <v>109220</v>
      </c>
      <c r="J888" s="4">
        <f>G888+J823</f>
        <v>105750</v>
      </c>
      <c r="K888" s="4">
        <f>H888+K823</f>
        <v>3470</v>
      </c>
      <c r="L888" s="50" t="e">
        <f>+J888/E888</f>
        <v>#DIV/0!</v>
      </c>
      <c r="M888" s="144">
        <v>4.1712999999999996</v>
      </c>
      <c r="N888" s="7">
        <f>+M888*G888</f>
        <v>0</v>
      </c>
      <c r="O888" s="93">
        <f>+M888*J888</f>
        <v>441114.97499999998</v>
      </c>
      <c r="P888" s="1204"/>
    </row>
    <row r="889" spans="2:16" x14ac:dyDescent="0.3">
      <c r="B889" s="1194"/>
      <c r="C889" s="1208"/>
      <c r="D889" s="22" t="s">
        <v>65</v>
      </c>
      <c r="E889" s="3">
        <v>0</v>
      </c>
      <c r="F889" s="4">
        <f>G889+H889</f>
        <v>0</v>
      </c>
      <c r="G889" s="4">
        <v>0</v>
      </c>
      <c r="H889" s="8">
        <v>0</v>
      </c>
      <c r="I889" s="6">
        <f>+R1933+F889</f>
        <v>0</v>
      </c>
      <c r="J889" s="4">
        <f>G889+J824</f>
        <v>120000</v>
      </c>
      <c r="K889" s="4">
        <f>H889+K824</f>
        <v>3230</v>
      </c>
      <c r="L889" s="51" t="e">
        <f t="shared" ref="L889:L893" si="696">+J889/E889</f>
        <v>#DIV/0!</v>
      </c>
      <c r="M889" s="145">
        <v>4.8285999999999998</v>
      </c>
      <c r="N889" s="11">
        <f t="shared" ref="N889:N891" si="697">+M889*G889</f>
        <v>0</v>
      </c>
      <c r="O889" s="94">
        <f t="shared" ref="O889:O891" si="698">+M889*J889</f>
        <v>579432</v>
      </c>
      <c r="P889" s="1205"/>
    </row>
    <row r="890" spans="2:16" x14ac:dyDescent="0.3">
      <c r="B890" s="1194"/>
      <c r="C890" s="1208"/>
      <c r="D890" s="22" t="s">
        <v>127</v>
      </c>
      <c r="E890" s="3"/>
      <c r="F890" s="4">
        <f>G890+H890</f>
        <v>0</v>
      </c>
      <c r="G890" s="4">
        <v>0</v>
      </c>
      <c r="H890" s="8">
        <v>0</v>
      </c>
      <c r="I890" s="6">
        <f>+R1934+F890</f>
        <v>0</v>
      </c>
      <c r="J890" s="4">
        <f t="shared" ref="J890:J891" si="699">G890+J825</f>
        <v>0</v>
      </c>
      <c r="K890" s="4">
        <f t="shared" ref="K890:K891" si="700">H890+K825</f>
        <v>0</v>
      </c>
      <c r="L890" s="51" t="e">
        <f t="shared" si="696"/>
        <v>#DIV/0!</v>
      </c>
      <c r="M890" s="144">
        <v>4.5023</v>
      </c>
      <c r="N890" s="11">
        <f t="shared" si="697"/>
        <v>0</v>
      </c>
      <c r="O890" s="94">
        <f t="shared" si="698"/>
        <v>0</v>
      </c>
      <c r="P890" s="1205"/>
    </row>
    <row r="891" spans="2:16" ht="15" thickBot="1" x14ac:dyDescent="0.35">
      <c r="B891" s="1194"/>
      <c r="C891" s="1208"/>
      <c r="D891" s="22" t="s">
        <v>111</v>
      </c>
      <c r="E891" s="3">
        <v>0</v>
      </c>
      <c r="F891" s="4">
        <f t="shared" ref="F891" si="701">G891+H891</f>
        <v>0</v>
      </c>
      <c r="G891" s="4">
        <v>0</v>
      </c>
      <c r="H891" s="8">
        <v>0</v>
      </c>
      <c r="I891" s="6">
        <f>+R1934+F891</f>
        <v>0</v>
      </c>
      <c r="J891" s="4">
        <f t="shared" si="699"/>
        <v>0</v>
      </c>
      <c r="K891" s="4">
        <f t="shared" si="700"/>
        <v>0</v>
      </c>
      <c r="L891" s="51" t="e">
        <f t="shared" si="696"/>
        <v>#DIV/0!</v>
      </c>
      <c r="M891" s="144">
        <v>4.4065000000000003</v>
      </c>
      <c r="N891" s="11">
        <f t="shared" si="697"/>
        <v>0</v>
      </c>
      <c r="O891" s="94">
        <f t="shared" si="698"/>
        <v>0</v>
      </c>
      <c r="P891" s="1205"/>
    </row>
    <row r="892" spans="2:16" ht="15" thickBot="1" x14ac:dyDescent="0.35">
      <c r="B892" s="1194"/>
      <c r="C892" s="41" t="s">
        <v>31</v>
      </c>
      <c r="D892" s="18" t="str">
        <f>+C892</f>
        <v>TOTAL 4/4</v>
      </c>
      <c r="E892" s="42">
        <f t="shared" ref="E892:K892" si="702">SUM(E888:E891)</f>
        <v>0</v>
      </c>
      <c r="F892" s="43">
        <f t="shared" si="702"/>
        <v>0</v>
      </c>
      <c r="G892" s="43">
        <f t="shared" si="702"/>
        <v>0</v>
      </c>
      <c r="H892" s="44">
        <f t="shared" si="702"/>
        <v>0</v>
      </c>
      <c r="I892" s="45">
        <f t="shared" si="702"/>
        <v>109220</v>
      </c>
      <c r="J892" s="43">
        <f t="shared" si="702"/>
        <v>225750</v>
      </c>
      <c r="K892" s="43">
        <f t="shared" si="702"/>
        <v>6700</v>
      </c>
      <c r="L892" s="46" t="e">
        <f t="shared" si="696"/>
        <v>#DIV/0!</v>
      </c>
      <c r="M892" s="47"/>
      <c r="N892" s="48">
        <f>SUM(N888:N891)</f>
        <v>0</v>
      </c>
      <c r="O892" s="92">
        <f>SUM(O888:O891)</f>
        <v>1020546.975</v>
      </c>
      <c r="P892" s="1206"/>
    </row>
    <row r="893" spans="2:16" ht="15" thickBot="1" x14ac:dyDescent="0.35">
      <c r="B893" s="1203"/>
      <c r="C893" s="41" t="s">
        <v>68</v>
      </c>
      <c r="D893" s="27" t="s">
        <v>64</v>
      </c>
      <c r="E893" s="25">
        <v>0</v>
      </c>
      <c r="F893" s="20">
        <f>G893+H893</f>
        <v>0</v>
      </c>
      <c r="G893" s="20">
        <v>0</v>
      </c>
      <c r="H893" s="24">
        <v>0</v>
      </c>
      <c r="I893" s="19">
        <f>J893+K893</f>
        <v>0</v>
      </c>
      <c r="J893" s="4">
        <f>G893+J828</f>
        <v>0</v>
      </c>
      <c r="K893" s="4">
        <f>H893+K828</f>
        <v>0</v>
      </c>
      <c r="L893" s="52" t="e">
        <f t="shared" si="696"/>
        <v>#DIV/0!</v>
      </c>
      <c r="M893" s="149">
        <v>1.4086000000000001</v>
      </c>
      <c r="N893" s="26">
        <f t="shared" ref="N893" si="703">+M893*G893</f>
        <v>0</v>
      </c>
      <c r="O893" s="95">
        <f t="shared" ref="O893" si="704">+M893*J893</f>
        <v>0</v>
      </c>
      <c r="P893" s="53"/>
    </row>
    <row r="894" spans="2:16" ht="15" thickBot="1" x14ac:dyDescent="0.35">
      <c r="B894" s="1178" t="s">
        <v>95</v>
      </c>
      <c r="C894" s="1179"/>
      <c r="D894" s="1179"/>
      <c r="E894" s="1179"/>
      <c r="F894" s="1179"/>
      <c r="G894" s="1179"/>
      <c r="H894" s="1179"/>
      <c r="I894" s="110">
        <f>J894+K894</f>
        <v>800397</v>
      </c>
      <c r="J894" s="110">
        <f>J887+J892+J893</f>
        <v>778500</v>
      </c>
      <c r="K894" s="110">
        <f>K887+K892+K893</f>
        <v>21897</v>
      </c>
      <c r="L894" s="111"/>
      <c r="M894" s="112"/>
      <c r="N894" s="109"/>
      <c r="O894" s="77">
        <f>+O893+O892+O887</f>
        <v>2244390.75</v>
      </c>
      <c r="P894" s="84"/>
    </row>
    <row r="895" spans="2:16" x14ac:dyDescent="0.3">
      <c r="B895" s="1180" t="s">
        <v>69</v>
      </c>
      <c r="C895" s="1183" t="s">
        <v>70</v>
      </c>
      <c r="D895" s="54" t="s">
        <v>71</v>
      </c>
      <c r="E895" s="55">
        <v>0</v>
      </c>
      <c r="F895" s="56">
        <f>G895+H895</f>
        <v>10056</v>
      </c>
      <c r="G895" s="56">
        <v>10000</v>
      </c>
      <c r="H895" s="57">
        <v>56</v>
      </c>
      <c r="I895" s="78">
        <f>J895+K895</f>
        <v>30264</v>
      </c>
      <c r="J895" s="4">
        <f>G895+J830</f>
        <v>30000</v>
      </c>
      <c r="K895" s="4">
        <f>H895+K830</f>
        <v>264</v>
      </c>
      <c r="L895" s="58" t="e">
        <f t="shared" ref="L895" si="705">+J895/E895</f>
        <v>#DIV/0!</v>
      </c>
      <c r="M895" s="59">
        <v>32.946300000000001</v>
      </c>
      <c r="N895" s="60">
        <f>+M895*G895</f>
        <v>329463</v>
      </c>
      <c r="O895" s="60">
        <f>M895*J895</f>
        <v>988389</v>
      </c>
      <c r="P895" s="1185"/>
    </row>
    <row r="896" spans="2:16" x14ac:dyDescent="0.3">
      <c r="B896" s="1181"/>
      <c r="C896" s="1184"/>
      <c r="D896" s="61" t="s">
        <v>72</v>
      </c>
      <c r="E896" s="62">
        <v>0</v>
      </c>
      <c r="F896" s="63">
        <f>G896+H896</f>
        <v>0</v>
      </c>
      <c r="G896" s="63">
        <v>0</v>
      </c>
      <c r="H896" s="64">
        <v>0</v>
      </c>
      <c r="I896" s="79">
        <f>J896+K896</f>
        <v>31833</v>
      </c>
      <c r="J896" s="4">
        <f>G896+J831</f>
        <v>31420</v>
      </c>
      <c r="K896" s="4">
        <f>H896+K831</f>
        <v>413</v>
      </c>
      <c r="L896" s="65" t="e">
        <f>+J896/E896</f>
        <v>#DIV/0!</v>
      </c>
      <c r="M896" s="66">
        <v>35.398400000000002</v>
      </c>
      <c r="N896" s="67">
        <f>+M896*G896</f>
        <v>0</v>
      </c>
      <c r="O896" s="67">
        <f>M896*J896</f>
        <v>1112217.7280000001</v>
      </c>
      <c r="P896" s="1186"/>
    </row>
    <row r="897" spans="2:16" x14ac:dyDescent="0.3">
      <c r="B897" s="1181"/>
      <c r="C897" s="1184"/>
      <c r="D897" s="61" t="s">
        <v>73</v>
      </c>
      <c r="E897" s="62">
        <v>0</v>
      </c>
      <c r="F897" s="63">
        <f t="shared" ref="F897:F900" si="706">G897+H897</f>
        <v>0</v>
      </c>
      <c r="G897" s="63">
        <v>0</v>
      </c>
      <c r="H897" s="64">
        <v>0</v>
      </c>
      <c r="I897" s="79">
        <f t="shared" ref="I897:I906" si="707">J897+K897</f>
        <v>0</v>
      </c>
      <c r="J897" s="4">
        <f t="shared" ref="J897:J922" si="708">G897+J832</f>
        <v>0</v>
      </c>
      <c r="K897" s="4">
        <f t="shared" ref="K897:K901" si="709">H897+K832</f>
        <v>0</v>
      </c>
      <c r="L897" s="65" t="e">
        <f t="shared" ref="L897:L910" si="710">+J897/E897</f>
        <v>#DIV/0!</v>
      </c>
      <c r="M897" s="66">
        <v>32.946300000000001</v>
      </c>
      <c r="N897" s="67">
        <f t="shared" ref="N897:N917" si="711">+M897*G897</f>
        <v>0</v>
      </c>
      <c r="O897" s="67">
        <f t="shared" ref="O897:O905" si="712">M897*J897</f>
        <v>0</v>
      </c>
      <c r="P897" s="1186"/>
    </row>
    <row r="898" spans="2:16" x14ac:dyDescent="0.3">
      <c r="B898" s="1181"/>
      <c r="C898" s="1184" t="s">
        <v>74</v>
      </c>
      <c r="D898" s="61" t="s">
        <v>75</v>
      </c>
      <c r="E898" s="62">
        <v>0</v>
      </c>
      <c r="F898" s="63">
        <f t="shared" si="706"/>
        <v>2535</v>
      </c>
      <c r="G898" s="63">
        <v>2400</v>
      </c>
      <c r="H898" s="64">
        <v>135</v>
      </c>
      <c r="I898" s="79">
        <f t="shared" si="707"/>
        <v>19785</v>
      </c>
      <c r="J898" s="4">
        <f t="shared" si="708"/>
        <v>19200</v>
      </c>
      <c r="K898" s="4">
        <f t="shared" si="709"/>
        <v>585</v>
      </c>
      <c r="L898" s="65" t="e">
        <f t="shared" si="710"/>
        <v>#DIV/0!</v>
      </c>
      <c r="M898" s="66">
        <v>55.4758</v>
      </c>
      <c r="N898" s="67">
        <f t="shared" si="711"/>
        <v>133141.92000000001</v>
      </c>
      <c r="O898" s="67">
        <f t="shared" si="712"/>
        <v>1065135.3600000001</v>
      </c>
      <c r="P898" s="1186"/>
    </row>
    <row r="899" spans="2:16" x14ac:dyDescent="0.3">
      <c r="B899" s="1181"/>
      <c r="C899" s="1184"/>
      <c r="D899" s="61" t="s">
        <v>134</v>
      </c>
      <c r="E899" s="62">
        <v>0</v>
      </c>
      <c r="F899" s="63">
        <f t="shared" si="706"/>
        <v>0</v>
      </c>
      <c r="G899" s="63">
        <v>0</v>
      </c>
      <c r="H899" s="64">
        <v>0</v>
      </c>
      <c r="I899" s="79">
        <f t="shared" si="707"/>
        <v>0</v>
      </c>
      <c r="J899" s="4">
        <f t="shared" si="708"/>
        <v>0</v>
      </c>
      <c r="K899" s="4">
        <f t="shared" si="709"/>
        <v>0</v>
      </c>
      <c r="L899" s="65" t="e">
        <f t="shared" si="710"/>
        <v>#DIV/0!</v>
      </c>
      <c r="M899" s="66">
        <v>53.515999999999998</v>
      </c>
      <c r="N899" s="67">
        <f t="shared" si="711"/>
        <v>0</v>
      </c>
      <c r="O899" s="67">
        <f t="shared" si="712"/>
        <v>0</v>
      </c>
      <c r="P899" s="1186"/>
    </row>
    <row r="900" spans="2:16" x14ac:dyDescent="0.3">
      <c r="B900" s="1181"/>
      <c r="C900" s="1184"/>
      <c r="D900" s="61" t="s">
        <v>72</v>
      </c>
      <c r="E900" s="62">
        <v>0</v>
      </c>
      <c r="F900" s="63">
        <f t="shared" si="706"/>
        <v>0</v>
      </c>
      <c r="G900" s="63">
        <v>0</v>
      </c>
      <c r="H900" s="64">
        <v>0</v>
      </c>
      <c r="I900" s="79">
        <f t="shared" si="707"/>
        <v>9804</v>
      </c>
      <c r="J900" s="4">
        <f t="shared" si="708"/>
        <v>9600</v>
      </c>
      <c r="K900" s="4">
        <f t="shared" si="709"/>
        <v>204</v>
      </c>
      <c r="L900" s="65" t="e">
        <f t="shared" si="710"/>
        <v>#DIV/0!</v>
      </c>
      <c r="M900" s="66">
        <v>58.836300000000001</v>
      </c>
      <c r="N900" s="67">
        <f t="shared" si="711"/>
        <v>0</v>
      </c>
      <c r="O900" s="67">
        <f t="shared" si="712"/>
        <v>564828.48</v>
      </c>
      <c r="P900" s="1186"/>
    </row>
    <row r="901" spans="2:16" x14ac:dyDescent="0.3">
      <c r="B901" s="1181"/>
      <c r="C901" s="1188" t="s">
        <v>76</v>
      </c>
      <c r="D901" s="61" t="s">
        <v>77</v>
      </c>
      <c r="E901" s="62">
        <v>0</v>
      </c>
      <c r="F901" s="63">
        <f>G901+H901</f>
        <v>0</v>
      </c>
      <c r="G901" s="63">
        <v>0</v>
      </c>
      <c r="H901" s="64">
        <v>0</v>
      </c>
      <c r="I901" s="79">
        <f t="shared" si="707"/>
        <v>13295</v>
      </c>
      <c r="J901" s="4">
        <f t="shared" si="708"/>
        <v>13000</v>
      </c>
      <c r="K901" s="4">
        <f t="shared" si="709"/>
        <v>295</v>
      </c>
      <c r="L901" s="65" t="e">
        <f t="shared" si="710"/>
        <v>#DIV/0!</v>
      </c>
      <c r="M901" s="66">
        <v>25.687200000000001</v>
      </c>
      <c r="N901" s="67">
        <f t="shared" si="711"/>
        <v>0</v>
      </c>
      <c r="O901" s="67">
        <f t="shared" si="712"/>
        <v>333933.60000000003</v>
      </c>
      <c r="P901" s="1186"/>
    </row>
    <row r="902" spans="2:16" x14ac:dyDescent="0.3">
      <c r="B902" s="1181"/>
      <c r="C902" s="1189"/>
      <c r="D902" s="61" t="s">
        <v>117</v>
      </c>
      <c r="E902" s="62">
        <v>0</v>
      </c>
      <c r="F902" s="63">
        <f>G902+H902</f>
        <v>0</v>
      </c>
      <c r="G902" s="63">
        <v>0</v>
      </c>
      <c r="H902" s="64">
        <v>0</v>
      </c>
      <c r="I902" s="79">
        <f t="shared" si="707"/>
        <v>0</v>
      </c>
      <c r="J902" s="4">
        <f t="shared" si="708"/>
        <v>0</v>
      </c>
      <c r="K902" s="4">
        <f>H902+K837</f>
        <v>0</v>
      </c>
      <c r="L902" s="65" t="e">
        <f t="shared" si="710"/>
        <v>#DIV/0!</v>
      </c>
      <c r="M902" s="66">
        <v>25.033899999999999</v>
      </c>
      <c r="N902" s="67">
        <f t="shared" si="711"/>
        <v>0</v>
      </c>
      <c r="O902" s="67">
        <f t="shared" si="712"/>
        <v>0</v>
      </c>
      <c r="P902" s="1186"/>
    </row>
    <row r="903" spans="2:16" x14ac:dyDescent="0.3">
      <c r="B903" s="1181"/>
      <c r="C903" s="1188" t="s">
        <v>78</v>
      </c>
      <c r="D903" s="61" t="s">
        <v>79</v>
      </c>
      <c r="E903" s="62">
        <v>0</v>
      </c>
      <c r="F903" s="63">
        <f t="shared" ref="F903:F922" si="713">G903+H903</f>
        <v>0</v>
      </c>
      <c r="G903" s="63">
        <v>0</v>
      </c>
      <c r="H903" s="64">
        <v>0</v>
      </c>
      <c r="I903" s="79">
        <f t="shared" si="707"/>
        <v>16343</v>
      </c>
      <c r="J903" s="4">
        <f t="shared" si="708"/>
        <v>16000</v>
      </c>
      <c r="K903" s="4">
        <f t="shared" ref="K903:K922" si="714">H903+K838</f>
        <v>343</v>
      </c>
      <c r="L903" s="65" t="e">
        <f t="shared" si="710"/>
        <v>#DIV/0!</v>
      </c>
      <c r="M903" s="66">
        <v>41.992699999999999</v>
      </c>
      <c r="N903" s="67">
        <f t="shared" si="711"/>
        <v>0</v>
      </c>
      <c r="O903" s="67">
        <f t="shared" si="712"/>
        <v>671883.2</v>
      </c>
      <c r="P903" s="1186"/>
    </row>
    <row r="904" spans="2:16" x14ac:dyDescent="0.3">
      <c r="B904" s="1181"/>
      <c r="C904" s="1189"/>
      <c r="D904" s="61" t="s">
        <v>72</v>
      </c>
      <c r="E904" s="62">
        <v>0</v>
      </c>
      <c r="F904" s="63">
        <f t="shared" si="713"/>
        <v>0</v>
      </c>
      <c r="G904" s="63">
        <v>0</v>
      </c>
      <c r="H904" s="64">
        <v>0</v>
      </c>
      <c r="I904" s="79">
        <f t="shared" si="707"/>
        <v>0</v>
      </c>
      <c r="J904" s="4">
        <f t="shared" si="708"/>
        <v>0</v>
      </c>
      <c r="K904" s="4">
        <f t="shared" si="714"/>
        <v>0</v>
      </c>
      <c r="L904" s="65" t="e">
        <f t="shared" si="710"/>
        <v>#DIV/0!</v>
      </c>
      <c r="M904" s="66">
        <v>42.283799999999999</v>
      </c>
      <c r="N904" s="67">
        <f t="shared" si="711"/>
        <v>0</v>
      </c>
      <c r="O904" s="67">
        <f t="shared" si="712"/>
        <v>0</v>
      </c>
      <c r="P904" s="1186"/>
    </row>
    <row r="905" spans="2:16" x14ac:dyDescent="0.3">
      <c r="B905" s="1181"/>
      <c r="C905" s="208" t="s">
        <v>80</v>
      </c>
      <c r="D905" s="61" t="s">
        <v>81</v>
      </c>
      <c r="E905" s="62">
        <v>0</v>
      </c>
      <c r="F905" s="63">
        <f t="shared" si="713"/>
        <v>0</v>
      </c>
      <c r="G905" s="63">
        <v>0</v>
      </c>
      <c r="H905" s="64">
        <v>0</v>
      </c>
      <c r="I905" s="79">
        <f t="shared" si="707"/>
        <v>24803</v>
      </c>
      <c r="J905" s="4">
        <f t="shared" si="708"/>
        <v>24000</v>
      </c>
      <c r="K905" s="4">
        <f t="shared" si="714"/>
        <v>803</v>
      </c>
      <c r="L905" s="65" t="e">
        <f t="shared" si="710"/>
        <v>#DIV/0!</v>
      </c>
      <c r="M905" s="66">
        <v>4.3535000000000004</v>
      </c>
      <c r="N905" s="67">
        <f t="shared" si="711"/>
        <v>0</v>
      </c>
      <c r="O905" s="67">
        <f t="shared" si="712"/>
        <v>104484.00000000001</v>
      </c>
      <c r="P905" s="1186"/>
    </row>
    <row r="906" spans="2:16" x14ac:dyDescent="0.3">
      <c r="B906" s="1181"/>
      <c r="C906" s="1184" t="s">
        <v>82</v>
      </c>
      <c r="D906" s="61" t="s">
        <v>77</v>
      </c>
      <c r="E906" s="62">
        <v>0</v>
      </c>
      <c r="F906" s="63">
        <f t="shared" si="713"/>
        <v>0</v>
      </c>
      <c r="G906" s="63">
        <v>0</v>
      </c>
      <c r="H906" s="64">
        <v>0</v>
      </c>
      <c r="I906" s="79">
        <f t="shared" si="707"/>
        <v>0</v>
      </c>
      <c r="J906" s="4">
        <f t="shared" si="708"/>
        <v>0</v>
      </c>
      <c r="K906" s="4">
        <f t="shared" si="714"/>
        <v>0</v>
      </c>
      <c r="L906" s="65" t="e">
        <f t="shared" si="710"/>
        <v>#DIV/0!</v>
      </c>
      <c r="M906" s="66">
        <v>4.6184000000000003</v>
      </c>
      <c r="N906" s="67">
        <f t="shared" si="711"/>
        <v>0</v>
      </c>
      <c r="O906" s="67">
        <f>M906*J906</f>
        <v>0</v>
      </c>
      <c r="P906" s="1186"/>
    </row>
    <row r="907" spans="2:16" x14ac:dyDescent="0.3">
      <c r="B907" s="1181"/>
      <c r="C907" s="1184"/>
      <c r="D907" s="61" t="s">
        <v>119</v>
      </c>
      <c r="E907" s="62">
        <v>0</v>
      </c>
      <c r="F907" s="63">
        <f t="shared" si="713"/>
        <v>0</v>
      </c>
      <c r="G907" s="63">
        <v>0</v>
      </c>
      <c r="H907" s="64">
        <v>0</v>
      </c>
      <c r="I907" s="79">
        <f>J907+K907</f>
        <v>0</v>
      </c>
      <c r="J907" s="4">
        <f t="shared" si="708"/>
        <v>0</v>
      </c>
      <c r="K907" s="4">
        <f t="shared" si="714"/>
        <v>0</v>
      </c>
      <c r="L907" s="65" t="e">
        <f t="shared" si="710"/>
        <v>#DIV/0!</v>
      </c>
      <c r="M907" s="153">
        <v>4.6184000000000003</v>
      </c>
      <c r="N907" s="67">
        <f t="shared" si="711"/>
        <v>0</v>
      </c>
      <c r="O907" s="67">
        <f>M907*J907</f>
        <v>0</v>
      </c>
      <c r="P907" s="1186"/>
    </row>
    <row r="908" spans="2:16" x14ac:dyDescent="0.3">
      <c r="B908" s="1181"/>
      <c r="C908" s="1184"/>
      <c r="D908" s="61" t="s">
        <v>123</v>
      </c>
      <c r="E908" s="62">
        <v>0</v>
      </c>
      <c r="F908" s="63">
        <f t="shared" si="713"/>
        <v>0</v>
      </c>
      <c r="G908" s="63">
        <v>0</v>
      </c>
      <c r="H908" s="64">
        <v>0</v>
      </c>
      <c r="I908" s="79">
        <f t="shared" ref="I908:I922" si="715">J908+K908</f>
        <v>0</v>
      </c>
      <c r="J908" s="4">
        <f t="shared" si="708"/>
        <v>0</v>
      </c>
      <c r="K908" s="4">
        <f t="shared" si="714"/>
        <v>0</v>
      </c>
      <c r="L908" s="65" t="e">
        <f t="shared" si="710"/>
        <v>#DIV/0!</v>
      </c>
      <c r="M908" s="153">
        <v>4.6184000000000003</v>
      </c>
      <c r="N908" s="67">
        <f t="shared" si="711"/>
        <v>0</v>
      </c>
      <c r="O908" s="67">
        <f t="shared" ref="O908:O913" si="716">M908*J908</f>
        <v>0</v>
      </c>
      <c r="P908" s="1186"/>
    </row>
    <row r="909" spans="2:16" x14ac:dyDescent="0.3">
      <c r="B909" s="1181"/>
      <c r="C909" s="1184"/>
      <c r="D909" s="61" t="s">
        <v>124</v>
      </c>
      <c r="E909" s="62">
        <v>0</v>
      </c>
      <c r="F909" s="63">
        <f t="shared" si="713"/>
        <v>30800</v>
      </c>
      <c r="G909" s="63">
        <v>30500</v>
      </c>
      <c r="H909" s="64">
        <v>300</v>
      </c>
      <c r="I909" s="79">
        <f t="shared" si="715"/>
        <v>281684</v>
      </c>
      <c r="J909" s="4">
        <f t="shared" si="708"/>
        <v>274275</v>
      </c>
      <c r="K909" s="4">
        <f t="shared" si="714"/>
        <v>7409</v>
      </c>
      <c r="L909" s="65" t="e">
        <f t="shared" si="710"/>
        <v>#DIV/0!</v>
      </c>
      <c r="M909" s="153">
        <v>4.7636000000000003</v>
      </c>
      <c r="N909" s="67">
        <f t="shared" si="711"/>
        <v>145289.80000000002</v>
      </c>
      <c r="O909" s="67">
        <f t="shared" si="716"/>
        <v>1306536.3900000001</v>
      </c>
      <c r="P909" s="1186"/>
    </row>
    <row r="910" spans="2:16" x14ac:dyDescent="0.3">
      <c r="B910" s="1181"/>
      <c r="C910" s="1184"/>
      <c r="D910" s="61" t="s">
        <v>83</v>
      </c>
      <c r="E910" s="62">
        <v>0</v>
      </c>
      <c r="F910" s="63">
        <f t="shared" si="713"/>
        <v>0</v>
      </c>
      <c r="G910" s="63">
        <v>0</v>
      </c>
      <c r="H910" s="64">
        <v>0</v>
      </c>
      <c r="I910" s="79">
        <f t="shared" si="715"/>
        <v>0</v>
      </c>
      <c r="J910" s="4">
        <f t="shared" si="708"/>
        <v>0</v>
      </c>
      <c r="K910" s="4">
        <f t="shared" si="714"/>
        <v>0</v>
      </c>
      <c r="L910" s="65" t="e">
        <f t="shared" si="710"/>
        <v>#DIV/0!</v>
      </c>
      <c r="M910" s="66">
        <v>4.8738000000000001</v>
      </c>
      <c r="N910" s="67">
        <f t="shared" si="711"/>
        <v>0</v>
      </c>
      <c r="O910" s="67">
        <f t="shared" si="716"/>
        <v>0</v>
      </c>
      <c r="P910" s="1186"/>
    </row>
    <row r="911" spans="2:16" x14ac:dyDescent="0.3">
      <c r="B911" s="1181"/>
      <c r="C911" s="208" t="s">
        <v>128</v>
      </c>
      <c r="D911" s="61" t="s">
        <v>124</v>
      </c>
      <c r="E911" s="62"/>
      <c r="F911" s="63">
        <f t="shared" si="713"/>
        <v>0</v>
      </c>
      <c r="G911" s="63">
        <v>0</v>
      </c>
      <c r="H911" s="64">
        <v>0</v>
      </c>
      <c r="I911" s="79">
        <f t="shared" si="715"/>
        <v>0</v>
      </c>
      <c r="J911" s="4">
        <f t="shared" si="708"/>
        <v>0</v>
      </c>
      <c r="K911" s="4">
        <f t="shared" si="714"/>
        <v>0</v>
      </c>
      <c r="L911" s="65"/>
      <c r="M911" s="66">
        <v>4.8738000000000001</v>
      </c>
      <c r="N911" s="67">
        <f t="shared" si="711"/>
        <v>0</v>
      </c>
      <c r="O911" s="67">
        <f t="shared" si="716"/>
        <v>0</v>
      </c>
      <c r="P911" s="1186"/>
    </row>
    <row r="912" spans="2:16" x14ac:dyDescent="0.3">
      <c r="B912" s="1181"/>
      <c r="C912" s="1184" t="s">
        <v>84</v>
      </c>
      <c r="D912" s="61" t="s">
        <v>77</v>
      </c>
      <c r="E912" s="62">
        <v>0</v>
      </c>
      <c r="F912" s="63">
        <f t="shared" si="713"/>
        <v>0</v>
      </c>
      <c r="G912" s="63">
        <v>0</v>
      </c>
      <c r="H912" s="64">
        <v>0</v>
      </c>
      <c r="I912" s="79">
        <f t="shared" si="715"/>
        <v>197600</v>
      </c>
      <c r="J912" s="4">
        <f t="shared" si="708"/>
        <v>194950</v>
      </c>
      <c r="K912" s="4">
        <f t="shared" si="714"/>
        <v>2650</v>
      </c>
      <c r="L912" s="65" t="e">
        <f t="shared" ref="L912:L922" si="717">+J912/E912</f>
        <v>#DIV/0!</v>
      </c>
      <c r="M912" s="66">
        <v>4.9344999999999999</v>
      </c>
      <c r="N912" s="67">
        <f t="shared" si="711"/>
        <v>0</v>
      </c>
      <c r="O912" s="67">
        <f t="shared" si="716"/>
        <v>961980.77500000002</v>
      </c>
      <c r="P912" s="1186"/>
    </row>
    <row r="913" spans="2:16" x14ac:dyDescent="0.3">
      <c r="B913" s="1181"/>
      <c r="C913" s="1184"/>
      <c r="D913" s="61" t="s">
        <v>135</v>
      </c>
      <c r="E913" s="62"/>
      <c r="F913" s="63">
        <f t="shared" si="713"/>
        <v>0</v>
      </c>
      <c r="G913" s="63">
        <v>0</v>
      </c>
      <c r="H913" s="64">
        <v>0</v>
      </c>
      <c r="I913" s="79">
        <f t="shared" si="715"/>
        <v>43282</v>
      </c>
      <c r="J913" s="4">
        <f t="shared" si="708"/>
        <v>40500</v>
      </c>
      <c r="K913" s="4">
        <f t="shared" si="714"/>
        <v>2782</v>
      </c>
      <c r="L913" s="65" t="e">
        <f t="shared" si="717"/>
        <v>#DIV/0!</v>
      </c>
      <c r="M913" s="66">
        <v>4.9344999999999999</v>
      </c>
      <c r="N913" s="67">
        <f t="shared" si="711"/>
        <v>0</v>
      </c>
      <c r="O913" s="67">
        <f t="shared" si="716"/>
        <v>199847.25</v>
      </c>
      <c r="P913" s="1186"/>
    </row>
    <row r="914" spans="2:16" x14ac:dyDescent="0.3">
      <c r="B914" s="1181"/>
      <c r="C914" s="1184"/>
      <c r="D914" s="61" t="s">
        <v>129</v>
      </c>
      <c r="E914" s="62">
        <v>0</v>
      </c>
      <c r="F914" s="63">
        <f t="shared" si="713"/>
        <v>0</v>
      </c>
      <c r="G914" s="155">
        <v>0</v>
      </c>
      <c r="H914" s="156">
        <v>0</v>
      </c>
      <c r="I914" s="157">
        <f t="shared" si="715"/>
        <v>0</v>
      </c>
      <c r="J914" s="4">
        <f t="shared" si="708"/>
        <v>0</v>
      </c>
      <c r="K914" s="4">
        <f t="shared" si="714"/>
        <v>0</v>
      </c>
      <c r="L914" s="158" t="e">
        <f t="shared" si="717"/>
        <v>#DIV/0!</v>
      </c>
      <c r="M914" s="66">
        <v>4.9344999999999999</v>
      </c>
      <c r="N914" s="159">
        <f t="shared" si="711"/>
        <v>0</v>
      </c>
      <c r="O914" s="67">
        <f>M914*J914</f>
        <v>0</v>
      </c>
      <c r="P914" s="1186"/>
    </row>
    <row r="915" spans="2:16" x14ac:dyDescent="0.3">
      <c r="B915" s="1181"/>
      <c r="C915" s="1184" t="s">
        <v>85</v>
      </c>
      <c r="D915" s="61" t="s">
        <v>77</v>
      </c>
      <c r="E915" s="62">
        <v>0</v>
      </c>
      <c r="F915" s="63">
        <f t="shared" si="713"/>
        <v>0</v>
      </c>
      <c r="G915" s="63">
        <v>0</v>
      </c>
      <c r="H915" s="64">
        <v>0</v>
      </c>
      <c r="I915" s="79">
        <f t="shared" si="715"/>
        <v>138276</v>
      </c>
      <c r="J915" s="4">
        <f t="shared" si="708"/>
        <v>130950</v>
      </c>
      <c r="K915" s="4">
        <f t="shared" si="714"/>
        <v>7326</v>
      </c>
      <c r="L915" s="65" t="e">
        <f t="shared" si="717"/>
        <v>#DIV/0!</v>
      </c>
      <c r="M915" s="148">
        <v>5.5069999999999997</v>
      </c>
      <c r="N915" s="67">
        <f t="shared" si="711"/>
        <v>0</v>
      </c>
      <c r="O915" s="67">
        <f>M915*J915</f>
        <v>721141.64999999991</v>
      </c>
      <c r="P915" s="1186"/>
    </row>
    <row r="916" spans="2:16" x14ac:dyDescent="0.3">
      <c r="B916" s="1181"/>
      <c r="C916" s="1184"/>
      <c r="D916" s="61" t="s">
        <v>112</v>
      </c>
      <c r="E916" s="62">
        <v>0</v>
      </c>
      <c r="F916" s="63">
        <f t="shared" si="713"/>
        <v>9429</v>
      </c>
      <c r="G916" s="63">
        <v>9000</v>
      </c>
      <c r="H916" s="64">
        <v>429</v>
      </c>
      <c r="I916" s="79">
        <f t="shared" si="715"/>
        <v>84882</v>
      </c>
      <c r="J916" s="4">
        <f t="shared" si="708"/>
        <v>81900</v>
      </c>
      <c r="K916" s="4">
        <f t="shared" si="714"/>
        <v>2982</v>
      </c>
      <c r="L916" s="65" t="e">
        <f t="shared" si="717"/>
        <v>#DIV/0!</v>
      </c>
      <c r="M916" s="147">
        <v>5.6550000000000002</v>
      </c>
      <c r="N916" s="67">
        <f t="shared" si="711"/>
        <v>50895</v>
      </c>
      <c r="O916" s="67">
        <f>M916*J916</f>
        <v>463144.5</v>
      </c>
      <c r="P916" s="1186"/>
    </row>
    <row r="917" spans="2:16" x14ac:dyDescent="0.3">
      <c r="B917" s="1181"/>
      <c r="C917" s="1184"/>
      <c r="D917" s="61" t="s">
        <v>118</v>
      </c>
      <c r="E917" s="62">
        <v>0</v>
      </c>
      <c r="F917" s="63">
        <f t="shared" si="713"/>
        <v>0</v>
      </c>
      <c r="G917" s="63">
        <v>0</v>
      </c>
      <c r="H917" s="64">
        <v>0</v>
      </c>
      <c r="I917" s="79">
        <f t="shared" si="715"/>
        <v>0</v>
      </c>
      <c r="J917" s="4">
        <f t="shared" si="708"/>
        <v>0</v>
      </c>
      <c r="K917" s="4">
        <f t="shared" si="714"/>
        <v>0</v>
      </c>
      <c r="L917" s="65" t="e">
        <f t="shared" si="717"/>
        <v>#DIV/0!</v>
      </c>
      <c r="M917" s="152">
        <v>5.6550000000000002</v>
      </c>
      <c r="N917" s="67">
        <f t="shared" si="711"/>
        <v>0</v>
      </c>
      <c r="O917" s="67">
        <f>M917*J917</f>
        <v>0</v>
      </c>
      <c r="P917" s="1186"/>
    </row>
    <row r="918" spans="2:16" x14ac:dyDescent="0.3">
      <c r="B918" s="1181"/>
      <c r="C918" s="1184"/>
      <c r="D918" s="61" t="s">
        <v>121</v>
      </c>
      <c r="E918" s="62">
        <v>0</v>
      </c>
      <c r="F918" s="63">
        <f t="shared" si="713"/>
        <v>0</v>
      </c>
      <c r="G918" s="63">
        <v>0</v>
      </c>
      <c r="H918" s="64">
        <v>0</v>
      </c>
      <c r="I918" s="79">
        <f t="shared" si="715"/>
        <v>28324</v>
      </c>
      <c r="J918" s="4">
        <f t="shared" si="708"/>
        <v>26710</v>
      </c>
      <c r="K918" s="4">
        <f t="shared" si="714"/>
        <v>1614</v>
      </c>
      <c r="L918" s="65" t="e">
        <f t="shared" si="717"/>
        <v>#DIV/0!</v>
      </c>
      <c r="M918" s="66">
        <v>5.7885299999999997</v>
      </c>
      <c r="N918" s="67">
        <f>+M918*G918</f>
        <v>0</v>
      </c>
      <c r="O918" s="67">
        <f>M918*J918</f>
        <v>154611.63629999998</v>
      </c>
      <c r="P918" s="1186"/>
    </row>
    <row r="919" spans="2:16" x14ac:dyDescent="0.3">
      <c r="B919" s="1181"/>
      <c r="C919" s="1184"/>
      <c r="D919" s="61" t="s">
        <v>136</v>
      </c>
      <c r="E919" s="62">
        <v>0</v>
      </c>
      <c r="F919" s="63">
        <f t="shared" si="713"/>
        <v>0</v>
      </c>
      <c r="G919" s="63">
        <v>0</v>
      </c>
      <c r="H919" s="64">
        <v>0</v>
      </c>
      <c r="I919" s="79">
        <f t="shared" si="715"/>
        <v>0</v>
      </c>
      <c r="J919" s="4">
        <f t="shared" si="708"/>
        <v>0</v>
      </c>
      <c r="K919" s="4">
        <f t="shared" si="714"/>
        <v>0</v>
      </c>
      <c r="L919" s="65" t="e">
        <f t="shared" si="717"/>
        <v>#DIV/0!</v>
      </c>
      <c r="M919" s="152">
        <v>5.6550000000000002</v>
      </c>
      <c r="N919" s="67">
        <f t="shared" ref="N919:N921" si="718">+M919*G919</f>
        <v>0</v>
      </c>
      <c r="O919" s="67">
        <f t="shared" ref="O919:O922" si="719">M919*J919</f>
        <v>0</v>
      </c>
      <c r="P919" s="1186"/>
    </row>
    <row r="920" spans="2:16" x14ac:dyDescent="0.3">
      <c r="B920" s="1181"/>
      <c r="C920" s="208" t="s">
        <v>86</v>
      </c>
      <c r="D920" s="61" t="s">
        <v>77</v>
      </c>
      <c r="E920" s="62">
        <v>0</v>
      </c>
      <c r="F920" s="63">
        <f t="shared" si="713"/>
        <v>0</v>
      </c>
      <c r="G920" s="63">
        <v>0</v>
      </c>
      <c r="H920" s="64">
        <v>0</v>
      </c>
      <c r="I920" s="79">
        <f t="shared" si="715"/>
        <v>0</v>
      </c>
      <c r="J920" s="4">
        <f t="shared" si="708"/>
        <v>0</v>
      </c>
      <c r="K920" s="4">
        <f t="shared" si="714"/>
        <v>0</v>
      </c>
      <c r="L920" s="65" t="e">
        <f t="shared" si="717"/>
        <v>#DIV/0!</v>
      </c>
      <c r="M920" s="66">
        <v>3.2963</v>
      </c>
      <c r="N920" s="67">
        <f t="shared" si="718"/>
        <v>0</v>
      </c>
      <c r="O920" s="67">
        <f t="shared" si="719"/>
        <v>0</v>
      </c>
      <c r="P920" s="1186"/>
    </row>
    <row r="921" spans="2:16" x14ac:dyDescent="0.3">
      <c r="B921" s="1181"/>
      <c r="C921" s="208" t="s">
        <v>87</v>
      </c>
      <c r="D921" s="61" t="s">
        <v>77</v>
      </c>
      <c r="E921" s="62">
        <v>0</v>
      </c>
      <c r="F921" s="63">
        <f t="shared" si="713"/>
        <v>0</v>
      </c>
      <c r="G921" s="63">
        <v>0</v>
      </c>
      <c r="H921" s="64">
        <v>0</v>
      </c>
      <c r="I921" s="79">
        <f t="shared" si="715"/>
        <v>0</v>
      </c>
      <c r="J921" s="4">
        <f t="shared" si="708"/>
        <v>0</v>
      </c>
      <c r="K921" s="4">
        <f t="shared" si="714"/>
        <v>0</v>
      </c>
      <c r="L921" s="65" t="e">
        <f t="shared" si="717"/>
        <v>#DIV/0!</v>
      </c>
      <c r="M921" s="66">
        <v>3.2963</v>
      </c>
      <c r="N921" s="67">
        <f t="shared" si="718"/>
        <v>0</v>
      </c>
      <c r="O921" s="67">
        <f t="shared" si="719"/>
        <v>0</v>
      </c>
      <c r="P921" s="1186"/>
    </row>
    <row r="922" spans="2:16" ht="15" thickBot="1" x14ac:dyDescent="0.35">
      <c r="B922" s="1181"/>
      <c r="C922" s="68" t="s">
        <v>88</v>
      </c>
      <c r="D922" s="69" t="s">
        <v>89</v>
      </c>
      <c r="E922" s="70">
        <v>0</v>
      </c>
      <c r="F922" s="71">
        <f t="shared" si="713"/>
        <v>0</v>
      </c>
      <c r="G922" s="71">
        <v>0</v>
      </c>
      <c r="H922" s="72">
        <v>0</v>
      </c>
      <c r="I922" s="80">
        <f t="shared" si="715"/>
        <v>65030</v>
      </c>
      <c r="J922" s="4">
        <f t="shared" si="708"/>
        <v>65000</v>
      </c>
      <c r="K922" s="4">
        <f t="shared" si="714"/>
        <v>30</v>
      </c>
      <c r="L922" s="65" t="e">
        <f t="shared" si="717"/>
        <v>#DIV/0!</v>
      </c>
      <c r="M922" s="73">
        <v>2.3201000000000001</v>
      </c>
      <c r="N922" s="74">
        <f t="shared" ref="N922" si="720">M922*G922</f>
        <v>0</v>
      </c>
      <c r="O922" s="74">
        <f t="shared" si="719"/>
        <v>150806.5</v>
      </c>
      <c r="P922" s="1187"/>
    </row>
    <row r="923" spans="2:16" ht="15" thickBot="1" x14ac:dyDescent="0.35">
      <c r="B923" s="1182"/>
      <c r="C923" s="1190" t="s">
        <v>99</v>
      </c>
      <c r="D923" s="1191"/>
      <c r="E923" s="1191"/>
      <c r="F923" s="1191"/>
      <c r="G923" s="1191"/>
      <c r="H923" s="1192"/>
      <c r="I923" s="116">
        <f>J923+K923</f>
        <v>985205</v>
      </c>
      <c r="J923" s="115">
        <f>SUM(J895:J922)</f>
        <v>957505</v>
      </c>
      <c r="K923" s="115">
        <f>SUM(K895:K922)</f>
        <v>27700</v>
      </c>
      <c r="L923" s="114"/>
      <c r="M923" s="113"/>
      <c r="N923" s="114"/>
      <c r="O923" s="97">
        <f>SUM(O895:O922)</f>
        <v>8798940.0693000015</v>
      </c>
      <c r="P923" s="96"/>
    </row>
    <row r="924" spans="2:16" ht="15" thickBot="1" x14ac:dyDescent="0.35">
      <c r="B924" s="100"/>
      <c r="C924" s="101"/>
      <c r="D924" s="101"/>
      <c r="E924" s="101"/>
      <c r="F924" s="101"/>
      <c r="G924" s="101"/>
      <c r="H924" s="101"/>
      <c r="I924" s="101"/>
      <c r="J924" s="101"/>
      <c r="K924" s="101"/>
      <c r="L924" s="101"/>
      <c r="M924" s="101"/>
      <c r="N924" s="101"/>
      <c r="O924" s="101"/>
      <c r="P924" s="102"/>
    </row>
    <row r="925" spans="2:16" ht="15" thickBot="1" x14ac:dyDescent="0.35">
      <c r="B925" s="1175" t="s">
        <v>100</v>
      </c>
      <c r="C925" s="1176"/>
      <c r="D925" s="1176"/>
      <c r="E925" s="1176"/>
      <c r="F925" s="1176"/>
      <c r="G925" s="1176"/>
      <c r="H925" s="1176"/>
      <c r="I925" s="1176"/>
      <c r="J925" s="1176"/>
      <c r="K925" s="1176"/>
      <c r="L925" s="1176"/>
      <c r="M925" s="1176"/>
      <c r="N925" s="1177"/>
      <c r="O925" s="103">
        <f>+O923+O894+O879</f>
        <v>19359763.7313</v>
      </c>
      <c r="P925" s="96"/>
    </row>
    <row r="926" spans="2:16" ht="15" thickBot="1" x14ac:dyDescent="0.35"/>
    <row r="927" spans="2:16" x14ac:dyDescent="0.3">
      <c r="B927" s="1209" t="s">
        <v>1</v>
      </c>
      <c r="C927" s="1211" t="s">
        <v>2</v>
      </c>
      <c r="D927" s="1214" t="s">
        <v>3</v>
      </c>
      <c r="E927" s="1217" t="s">
        <v>4</v>
      </c>
      <c r="F927" s="1218"/>
      <c r="G927" s="1218"/>
      <c r="H927" s="1218"/>
      <c r="I927" s="1218"/>
      <c r="J927" s="1218"/>
      <c r="K927" s="1218"/>
      <c r="L927" s="1219"/>
      <c r="M927" s="1220" t="s">
        <v>5</v>
      </c>
      <c r="N927" s="1221"/>
      <c r="O927" s="1222"/>
      <c r="P927" s="1214" t="s">
        <v>6</v>
      </c>
    </row>
    <row r="928" spans="2:16" x14ac:dyDescent="0.3">
      <c r="B928" s="1210"/>
      <c r="C928" s="1212"/>
      <c r="D928" s="1215"/>
      <c r="E928" s="1223" t="s">
        <v>7</v>
      </c>
      <c r="F928" s="1225" t="s">
        <v>154</v>
      </c>
      <c r="G928" s="1225"/>
      <c r="H928" s="1226"/>
      <c r="I928" s="1227" t="s">
        <v>8</v>
      </c>
      <c r="J928" s="1225"/>
      <c r="K928" s="1225"/>
      <c r="L928" s="1226" t="s">
        <v>9</v>
      </c>
      <c r="M928" s="1229" t="s">
        <v>10</v>
      </c>
      <c r="N928" s="1231" t="s">
        <v>11</v>
      </c>
      <c r="O928" s="1233" t="s">
        <v>12</v>
      </c>
      <c r="P928" s="1215"/>
    </row>
    <row r="929" spans="2:16" ht="15" thickBot="1" x14ac:dyDescent="0.35">
      <c r="B929" s="1210"/>
      <c r="C929" s="1213"/>
      <c r="D929" s="1216"/>
      <c r="E929" s="1224"/>
      <c r="F929" s="2" t="s">
        <v>13</v>
      </c>
      <c r="G929" s="2" t="s">
        <v>14</v>
      </c>
      <c r="H929" s="215" t="s">
        <v>15</v>
      </c>
      <c r="I929" s="142" t="s">
        <v>13</v>
      </c>
      <c r="J929" s="2" t="s">
        <v>14</v>
      </c>
      <c r="K929" s="2" t="s">
        <v>15</v>
      </c>
      <c r="L929" s="1228"/>
      <c r="M929" s="1230"/>
      <c r="N929" s="1232"/>
      <c r="O929" s="1234"/>
      <c r="P929" s="1216"/>
    </row>
    <row r="930" spans="2:16" x14ac:dyDescent="0.3">
      <c r="B930" s="1193" t="s">
        <v>53</v>
      </c>
      <c r="C930" s="29"/>
      <c r="D930" s="117" t="s">
        <v>143</v>
      </c>
      <c r="E930" s="98">
        <v>0</v>
      </c>
      <c r="F930" s="4">
        <f>+G930+H930</f>
        <v>62640</v>
      </c>
      <c r="G930" s="4">
        <v>61320</v>
      </c>
      <c r="H930" s="8">
        <v>1320</v>
      </c>
      <c r="I930" s="6">
        <f>J930+K930</f>
        <v>438846</v>
      </c>
      <c r="J930" s="4">
        <f>G930+J865</f>
        <v>430920</v>
      </c>
      <c r="K930" s="4">
        <f>H930+K865</f>
        <v>7926</v>
      </c>
      <c r="L930" s="33" t="e">
        <f>+J930/E930</f>
        <v>#DIV/0!</v>
      </c>
      <c r="M930" s="104">
        <v>1.3652</v>
      </c>
      <c r="N930" s="31">
        <f>G930*M930</f>
        <v>83714.063999999998</v>
      </c>
      <c r="O930" s="86">
        <f>M930*J930</f>
        <v>588291.98399999994</v>
      </c>
      <c r="P930" s="1195"/>
    </row>
    <row r="931" spans="2:16" x14ac:dyDescent="0.3">
      <c r="B931" s="1194"/>
      <c r="C931" s="32"/>
      <c r="D931" s="118" t="s">
        <v>109</v>
      </c>
      <c r="E931" s="99">
        <v>0</v>
      </c>
      <c r="F931" s="9">
        <f>+G931+H931</f>
        <v>0</v>
      </c>
      <c r="G931" s="9">
        <v>0</v>
      </c>
      <c r="H931" s="10">
        <v>0</v>
      </c>
      <c r="I931" s="6">
        <f>J931+K931</f>
        <v>0</v>
      </c>
      <c r="J931" s="4">
        <f>+G931+J866</f>
        <v>0</v>
      </c>
      <c r="K931" s="4">
        <f>+H931+K866</f>
        <v>0</v>
      </c>
      <c r="L931" s="33"/>
      <c r="M931" s="105">
        <v>5.9917999999999996</v>
      </c>
      <c r="N931" s="34">
        <f>M931*G931</f>
        <v>0</v>
      </c>
      <c r="O931" s="87">
        <f>M931*J931</f>
        <v>0</v>
      </c>
      <c r="P931" s="1196"/>
    </row>
    <row r="932" spans="2:16" x14ac:dyDescent="0.3">
      <c r="B932" s="1194"/>
      <c r="C932" s="35"/>
      <c r="D932" s="119" t="s">
        <v>55</v>
      </c>
      <c r="E932" s="99">
        <v>0</v>
      </c>
      <c r="F932" s="9">
        <f t="shared" ref="F932:F936" si="721">+G932+H932</f>
        <v>173656</v>
      </c>
      <c r="G932" s="9">
        <v>172500</v>
      </c>
      <c r="H932" s="10">
        <v>1156</v>
      </c>
      <c r="I932" s="6">
        <f t="shared" ref="I932:I936" si="722">J932+K932</f>
        <v>2841551</v>
      </c>
      <c r="J932" s="4">
        <f t="shared" ref="J932:J936" si="723">+G932+J867</f>
        <v>2820750</v>
      </c>
      <c r="K932" s="4">
        <f t="shared" ref="K932:K936" si="724">+H932+K867</f>
        <v>20801</v>
      </c>
      <c r="L932" s="33" t="e">
        <f t="shared" ref="L932" si="725">+J932/E932</f>
        <v>#DIV/0!</v>
      </c>
      <c r="M932" s="106">
        <v>2.3807999999999998</v>
      </c>
      <c r="N932" s="36">
        <f>G932*M932</f>
        <v>410687.99999999994</v>
      </c>
      <c r="O932" s="88">
        <f>M932*J932</f>
        <v>6715641.5999999996</v>
      </c>
      <c r="P932" s="1196"/>
    </row>
    <row r="933" spans="2:16" x14ac:dyDescent="0.3">
      <c r="B933" s="1194"/>
      <c r="C933" s="35"/>
      <c r="D933" s="119" t="s">
        <v>56</v>
      </c>
      <c r="E933" s="99">
        <v>0</v>
      </c>
      <c r="F933" s="9">
        <f t="shared" si="721"/>
        <v>0</v>
      </c>
      <c r="G933" s="9">
        <v>0</v>
      </c>
      <c r="H933" s="10">
        <v>0</v>
      </c>
      <c r="I933" s="6">
        <f t="shared" si="722"/>
        <v>0</v>
      </c>
      <c r="J933" s="4">
        <f t="shared" si="723"/>
        <v>0</v>
      </c>
      <c r="K933" s="4">
        <f t="shared" si="724"/>
        <v>0</v>
      </c>
      <c r="L933" s="33"/>
      <c r="M933" s="106">
        <v>2.1457999999999999</v>
      </c>
      <c r="N933" s="36">
        <f t="shared" ref="N933:N936" si="726">G933*M933</f>
        <v>0</v>
      </c>
      <c r="O933" s="88">
        <f>M933*J933</f>
        <v>0</v>
      </c>
      <c r="P933" s="1196"/>
    </row>
    <row r="934" spans="2:16" x14ac:dyDescent="0.3">
      <c r="B934" s="1194"/>
      <c r="C934" s="35"/>
      <c r="D934" s="119" t="s">
        <v>106</v>
      </c>
      <c r="E934" s="99">
        <v>0</v>
      </c>
      <c r="F934" s="9">
        <f t="shared" si="721"/>
        <v>0</v>
      </c>
      <c r="G934" s="9">
        <v>0</v>
      </c>
      <c r="H934" s="10">
        <v>0</v>
      </c>
      <c r="I934" s="6">
        <f t="shared" si="722"/>
        <v>53280</v>
      </c>
      <c r="J934" s="4">
        <f t="shared" si="723"/>
        <v>42000</v>
      </c>
      <c r="K934" s="4">
        <f t="shared" si="724"/>
        <v>11280</v>
      </c>
      <c r="L934" s="33" t="e">
        <f t="shared" ref="L934:L935" si="727">+J934/E934</f>
        <v>#DIV/0!</v>
      </c>
      <c r="M934" s="143">
        <v>4.0426000000000002</v>
      </c>
      <c r="N934" s="36">
        <f t="shared" si="726"/>
        <v>0</v>
      </c>
      <c r="O934" s="88">
        <f>M934*J934</f>
        <v>169789.2</v>
      </c>
      <c r="P934" s="1196"/>
    </row>
    <row r="935" spans="2:16" x14ac:dyDescent="0.3">
      <c r="B935" s="1194"/>
      <c r="C935" s="35"/>
      <c r="D935" s="119" t="s">
        <v>110</v>
      </c>
      <c r="E935" s="99">
        <v>0</v>
      </c>
      <c r="F935" s="9">
        <f t="shared" si="721"/>
        <v>0</v>
      </c>
      <c r="G935" s="9">
        <v>0</v>
      </c>
      <c r="H935" s="10">
        <v>0</v>
      </c>
      <c r="I935" s="6">
        <f t="shared" si="722"/>
        <v>0</v>
      </c>
      <c r="J935" s="4">
        <f t="shared" si="723"/>
        <v>0</v>
      </c>
      <c r="K935" s="4">
        <f t="shared" si="724"/>
        <v>0</v>
      </c>
      <c r="L935" s="33" t="e">
        <f t="shared" si="727"/>
        <v>#DIV/0!</v>
      </c>
      <c r="M935" s="143">
        <v>3.8715000000000002</v>
      </c>
      <c r="N935" s="36">
        <f t="shared" si="726"/>
        <v>0</v>
      </c>
      <c r="O935" s="88">
        <f t="shared" ref="O935:O936" si="728">M935*J935</f>
        <v>0</v>
      </c>
      <c r="P935" s="1196"/>
    </row>
    <row r="936" spans="2:16" ht="15" thickBot="1" x14ac:dyDescent="0.35">
      <c r="B936" s="1194"/>
      <c r="C936" s="82"/>
      <c r="D936" s="120" t="s">
        <v>57</v>
      </c>
      <c r="E936" s="108">
        <v>0</v>
      </c>
      <c r="F936" s="12">
        <f t="shared" si="721"/>
        <v>0</v>
      </c>
      <c r="G936" s="12">
        <v>0</v>
      </c>
      <c r="H936" s="13">
        <v>0</v>
      </c>
      <c r="I936" s="21">
        <f t="shared" si="722"/>
        <v>0</v>
      </c>
      <c r="J936" s="4">
        <f t="shared" si="723"/>
        <v>0</v>
      </c>
      <c r="K936" s="4">
        <f t="shared" si="724"/>
        <v>0</v>
      </c>
      <c r="L936" s="81"/>
      <c r="M936" s="127">
        <v>12.284700000000001</v>
      </c>
      <c r="N936" s="36">
        <f t="shared" si="726"/>
        <v>0</v>
      </c>
      <c r="O936" s="128">
        <f t="shared" si="728"/>
        <v>0</v>
      </c>
      <c r="P936" s="1196"/>
    </row>
    <row r="937" spans="2:16" ht="15" thickBot="1" x14ac:dyDescent="0.35">
      <c r="B937" s="1194"/>
      <c r="C937" s="1199" t="s">
        <v>104</v>
      </c>
      <c r="D937" s="1200"/>
      <c r="E937" s="129"/>
      <c r="F937" s="130">
        <f>SUM(F930:F936)</f>
        <v>236296</v>
      </c>
      <c r="G937" s="130">
        <f>SUM(G930:G936)</f>
        <v>233820</v>
      </c>
      <c r="H937" s="131">
        <f>SUM(H930:H936)</f>
        <v>2476</v>
      </c>
      <c r="I937" s="132">
        <f>+J937+K937</f>
        <v>3333677</v>
      </c>
      <c r="J937" s="133">
        <f>SUM(J930:J936)</f>
        <v>3293670</v>
      </c>
      <c r="K937" s="133">
        <f>SUM(K930:K936)</f>
        <v>40007</v>
      </c>
      <c r="L937" s="134"/>
      <c r="M937" s="135"/>
      <c r="N937" s="136"/>
      <c r="O937" s="137">
        <f>SUM(O930:O936)</f>
        <v>7473722.784</v>
      </c>
      <c r="P937" s="1197"/>
    </row>
    <row r="938" spans="2:16" x14ac:dyDescent="0.3">
      <c r="B938" s="1194"/>
      <c r="C938" s="32"/>
      <c r="D938" s="118" t="s">
        <v>58</v>
      </c>
      <c r="E938" s="98">
        <v>0</v>
      </c>
      <c r="F938" s="4">
        <f t="shared" ref="F938:F941" si="729">+G938+H938</f>
        <v>0</v>
      </c>
      <c r="G938" s="4">
        <v>0</v>
      </c>
      <c r="H938" s="8">
        <v>0</v>
      </c>
      <c r="I938" s="6">
        <f t="shared" ref="I938:I942" si="730">J938+K938</f>
        <v>0</v>
      </c>
      <c r="J938" s="4">
        <f>G938+J873</f>
        <v>0</v>
      </c>
      <c r="K938" s="4">
        <f>H938+K873</f>
        <v>0</v>
      </c>
      <c r="L938" s="33" t="e">
        <f t="shared" ref="L938" si="731">+J938/E938</f>
        <v>#DIV/0!</v>
      </c>
      <c r="M938" s="105">
        <v>12.029500000000001</v>
      </c>
      <c r="N938" s="34">
        <f>M938*G938</f>
        <v>0</v>
      </c>
      <c r="O938" s="87">
        <f t="shared" ref="O938:O940" si="732">M938*J938</f>
        <v>0</v>
      </c>
      <c r="P938" s="1196"/>
    </row>
    <row r="939" spans="2:16" x14ac:dyDescent="0.3">
      <c r="B939" s="1194"/>
      <c r="C939" s="35"/>
      <c r="D939" s="119" t="s">
        <v>59</v>
      </c>
      <c r="E939" s="99">
        <v>0</v>
      </c>
      <c r="F939" s="9">
        <f t="shared" si="729"/>
        <v>0</v>
      </c>
      <c r="G939" s="9">
        <v>0</v>
      </c>
      <c r="H939" s="10">
        <v>0</v>
      </c>
      <c r="I939" s="6">
        <f t="shared" si="730"/>
        <v>0</v>
      </c>
      <c r="J939" s="4">
        <f>G939+J874</f>
        <v>0</v>
      </c>
      <c r="K939" s="4">
        <f>H939+K874</f>
        <v>0</v>
      </c>
      <c r="L939" s="33"/>
      <c r="M939" s="106">
        <v>0</v>
      </c>
      <c r="N939" s="36"/>
      <c r="O939" s="88">
        <f t="shared" si="732"/>
        <v>0</v>
      </c>
      <c r="P939" s="1196"/>
    </row>
    <row r="940" spans="2:16" x14ac:dyDescent="0.3">
      <c r="B940" s="1194"/>
      <c r="C940" s="35"/>
      <c r="D940" s="119" t="s">
        <v>97</v>
      </c>
      <c r="E940" s="99">
        <v>0</v>
      </c>
      <c r="F940" s="9">
        <f t="shared" si="729"/>
        <v>0</v>
      </c>
      <c r="G940" s="9">
        <v>0</v>
      </c>
      <c r="H940" s="10">
        <v>0</v>
      </c>
      <c r="I940" s="6">
        <f t="shared" si="730"/>
        <v>0</v>
      </c>
      <c r="J940" s="4">
        <f t="shared" ref="J940:J942" si="733">G940+J875</f>
        <v>0</v>
      </c>
      <c r="K940" s="4">
        <f t="shared" ref="K940:K942" si="734">H940+K875</f>
        <v>0</v>
      </c>
      <c r="L940" s="33" t="e">
        <f t="shared" ref="L940:L942" si="735">+J940/E940</f>
        <v>#DIV/0!</v>
      </c>
      <c r="M940" s="106">
        <v>19.688600000000001</v>
      </c>
      <c r="N940" s="36">
        <f>M940*G940</f>
        <v>0</v>
      </c>
      <c r="O940" s="88">
        <f t="shared" si="732"/>
        <v>0</v>
      </c>
      <c r="P940" s="1196"/>
    </row>
    <row r="941" spans="2:16" x14ac:dyDescent="0.3">
      <c r="B941" s="1194"/>
      <c r="C941" s="35"/>
      <c r="D941" s="119" t="s">
        <v>61</v>
      </c>
      <c r="E941" s="99">
        <v>0</v>
      </c>
      <c r="F941" s="9">
        <f t="shared" si="729"/>
        <v>0</v>
      </c>
      <c r="G941" s="9">
        <v>0</v>
      </c>
      <c r="H941" s="10">
        <v>0</v>
      </c>
      <c r="I941" s="6">
        <f t="shared" si="730"/>
        <v>60000</v>
      </c>
      <c r="J941" s="4">
        <f t="shared" si="733"/>
        <v>60000</v>
      </c>
      <c r="K941" s="4">
        <f t="shared" si="734"/>
        <v>0</v>
      </c>
      <c r="L941" s="33" t="e">
        <f t="shared" si="735"/>
        <v>#DIV/0!</v>
      </c>
      <c r="M941" s="106">
        <v>1.2824</v>
      </c>
      <c r="N941" s="151">
        <f>M941*G941</f>
        <v>0</v>
      </c>
      <c r="O941" s="88">
        <f>M941*J941</f>
        <v>76944</v>
      </c>
      <c r="P941" s="1196"/>
    </row>
    <row r="942" spans="2:16" ht="15" thickBot="1" x14ac:dyDescent="0.35">
      <c r="B942" s="1194"/>
      <c r="C942" s="82"/>
      <c r="D942" s="120" t="s">
        <v>60</v>
      </c>
      <c r="E942" s="108">
        <v>0</v>
      </c>
      <c r="F942" s="12">
        <v>0</v>
      </c>
      <c r="G942" s="12">
        <v>12960</v>
      </c>
      <c r="H942" s="13">
        <v>214</v>
      </c>
      <c r="I942" s="21">
        <f t="shared" si="730"/>
        <v>83142</v>
      </c>
      <c r="J942" s="4">
        <f t="shared" si="733"/>
        <v>82080</v>
      </c>
      <c r="K942" s="4">
        <f t="shared" si="734"/>
        <v>1062</v>
      </c>
      <c r="L942" s="81" t="e">
        <f t="shared" si="735"/>
        <v>#DIV/0!</v>
      </c>
      <c r="M942" s="107">
        <v>18.2316</v>
      </c>
      <c r="N942" s="75"/>
      <c r="O942" s="89">
        <f t="shared" ref="O942" si="736">M942*J942</f>
        <v>1496449.7280000001</v>
      </c>
      <c r="P942" s="1198"/>
    </row>
    <row r="943" spans="2:16" ht="15" thickBot="1" x14ac:dyDescent="0.35">
      <c r="B943" s="1178" t="s">
        <v>105</v>
      </c>
      <c r="C943" s="1179"/>
      <c r="D943" s="1179"/>
      <c r="E943" s="124"/>
      <c r="F943" s="125">
        <f>+G943+H943</f>
        <v>13174</v>
      </c>
      <c r="G943" s="125">
        <f>SUM(G938:G942)</f>
        <v>12960</v>
      </c>
      <c r="H943" s="126">
        <f>SUM(H938:H942)</f>
        <v>214</v>
      </c>
      <c r="I943" s="121">
        <f>J943+K943</f>
        <v>143142</v>
      </c>
      <c r="J943" s="122">
        <f>SUM(J938:J942)</f>
        <v>142080</v>
      </c>
      <c r="K943" s="123">
        <f>SUM(K938:K942)</f>
        <v>1062</v>
      </c>
      <c r="L943" s="138"/>
      <c r="M943" s="139"/>
      <c r="N943" s="140"/>
      <c r="O943" s="141">
        <f>SUM(O938:O942)</f>
        <v>1573393.7280000001</v>
      </c>
      <c r="P943" s="213"/>
    </row>
    <row r="944" spans="2:16" ht="15" thickBot="1" x14ac:dyDescent="0.35">
      <c r="B944" s="1178" t="s">
        <v>98</v>
      </c>
      <c r="C944" s="1179"/>
      <c r="D944" s="1179"/>
      <c r="E944" s="1201"/>
      <c r="F944" s="1201"/>
      <c r="G944" s="1201"/>
      <c r="H944" s="1201"/>
      <c r="I944" s="1179"/>
      <c r="J944" s="1179"/>
      <c r="K944" s="1179"/>
      <c r="L944" s="1179"/>
      <c r="M944" s="1179"/>
      <c r="N944" s="1202"/>
      <c r="O944" s="83">
        <f>O937+O943</f>
        <v>9047116.5120000001</v>
      </c>
      <c r="P944" s="213"/>
    </row>
    <row r="945" spans="2:16" x14ac:dyDescent="0.3">
      <c r="B945" s="1193" t="s">
        <v>62</v>
      </c>
      <c r="C945" s="37" t="s">
        <v>63</v>
      </c>
      <c r="D945" s="28" t="s">
        <v>64</v>
      </c>
      <c r="E945" s="38">
        <v>0</v>
      </c>
      <c r="F945" s="14">
        <f>+G945+H945</f>
        <v>0</v>
      </c>
      <c r="G945" s="14">
        <v>0</v>
      </c>
      <c r="H945" s="5">
        <v>0</v>
      </c>
      <c r="I945" s="17">
        <f t="shared" ref="I945:I951" si="737">J945+K945</f>
        <v>0</v>
      </c>
      <c r="J945" s="4">
        <f>G945+J880</f>
        <v>0</v>
      </c>
      <c r="K945" s="4">
        <f>H945+K880</f>
        <v>0</v>
      </c>
      <c r="L945" s="30" t="e">
        <f>+J945/E945</f>
        <v>#DIV/0!</v>
      </c>
      <c r="M945" s="146">
        <v>2.2141000000000002</v>
      </c>
      <c r="N945" s="15">
        <f>+M945*G945</f>
        <v>0</v>
      </c>
      <c r="O945" s="90">
        <f>+M945*J945</f>
        <v>0</v>
      </c>
      <c r="P945" s="1204"/>
    </row>
    <row r="946" spans="2:16" x14ac:dyDescent="0.3">
      <c r="B946" s="1194"/>
      <c r="C946" s="39"/>
      <c r="D946" s="22" t="s">
        <v>65</v>
      </c>
      <c r="E946" s="3">
        <v>0</v>
      </c>
      <c r="F946" s="9">
        <f t="shared" ref="F946:F951" si="738">+G946+H946</f>
        <v>0</v>
      </c>
      <c r="G946" s="4">
        <v>0</v>
      </c>
      <c r="H946" s="8">
        <v>0</v>
      </c>
      <c r="I946" s="6">
        <f t="shared" si="737"/>
        <v>0</v>
      </c>
      <c r="J946" s="4">
        <f>+G946+J881</f>
        <v>0</v>
      </c>
      <c r="K946" s="4">
        <f>+H946+K881</f>
        <v>0</v>
      </c>
      <c r="L946" s="40" t="e">
        <f t="shared" ref="L946:L947" si="739">+J946/E946</f>
        <v>#DIV/0!</v>
      </c>
      <c r="M946" s="145">
        <v>2.4565999999999999</v>
      </c>
      <c r="N946" s="11">
        <f t="shared" ref="N946:N948" si="740">+M946*G946</f>
        <v>0</v>
      </c>
      <c r="O946" s="91">
        <f t="shared" ref="O946:O948" si="741">+M946*J946</f>
        <v>0</v>
      </c>
      <c r="P946" s="1205"/>
    </row>
    <row r="947" spans="2:16" x14ac:dyDescent="0.3">
      <c r="B947" s="1194"/>
      <c r="C947" s="39"/>
      <c r="D947" s="23" t="s">
        <v>126</v>
      </c>
      <c r="E947" s="3">
        <v>0</v>
      </c>
      <c r="F947" s="9">
        <f t="shared" si="738"/>
        <v>0</v>
      </c>
      <c r="G947" s="4">
        <v>0</v>
      </c>
      <c r="H947" s="8">
        <v>0</v>
      </c>
      <c r="I947" s="6">
        <f t="shared" si="737"/>
        <v>0</v>
      </c>
      <c r="J947" s="4">
        <f t="shared" ref="J947:J948" si="742">+G947+J882</f>
        <v>0</v>
      </c>
      <c r="K947" s="4">
        <f t="shared" ref="K947:K951" si="743">+H947+K882</f>
        <v>0</v>
      </c>
      <c r="L947" s="40" t="e">
        <f t="shared" si="739"/>
        <v>#DIV/0!</v>
      </c>
      <c r="M947" s="145">
        <v>2.2907000000000002</v>
      </c>
      <c r="N947" s="11">
        <f t="shared" si="740"/>
        <v>0</v>
      </c>
      <c r="O947" s="91">
        <f t="shared" si="741"/>
        <v>0</v>
      </c>
      <c r="P947" s="1205"/>
    </row>
    <row r="948" spans="2:16" x14ac:dyDescent="0.3">
      <c r="B948" s="1194"/>
      <c r="C948" s="39"/>
      <c r="D948" s="22" t="s">
        <v>131</v>
      </c>
      <c r="E948" s="3"/>
      <c r="F948" s="9">
        <f t="shared" si="738"/>
        <v>0</v>
      </c>
      <c r="G948" s="4">
        <v>0</v>
      </c>
      <c r="H948" s="8">
        <v>0</v>
      </c>
      <c r="I948" s="6">
        <f t="shared" si="737"/>
        <v>0</v>
      </c>
      <c r="J948" s="4">
        <f t="shared" si="742"/>
        <v>0</v>
      </c>
      <c r="K948" s="4">
        <f t="shared" si="743"/>
        <v>0</v>
      </c>
      <c r="L948" s="33"/>
      <c r="M948" s="150">
        <v>2.544</v>
      </c>
      <c r="N948" s="11">
        <f t="shared" si="740"/>
        <v>0</v>
      </c>
      <c r="O948" s="91">
        <f t="shared" si="741"/>
        <v>0</v>
      </c>
      <c r="P948" s="1205"/>
    </row>
    <row r="949" spans="2:16" x14ac:dyDescent="0.3">
      <c r="B949" s="1194"/>
      <c r="C949" s="39" t="s">
        <v>66</v>
      </c>
      <c r="D949" s="22" t="s">
        <v>133</v>
      </c>
      <c r="E949" s="3">
        <v>0</v>
      </c>
      <c r="F949" s="9">
        <f t="shared" si="738"/>
        <v>0</v>
      </c>
      <c r="G949" s="4">
        <v>0</v>
      </c>
      <c r="H949" s="8">
        <v>0</v>
      </c>
      <c r="I949" s="6">
        <f t="shared" si="737"/>
        <v>567947</v>
      </c>
      <c r="J949" s="4">
        <f>+G949+J884</f>
        <v>552750</v>
      </c>
      <c r="K949" s="4">
        <f t="shared" si="743"/>
        <v>15197</v>
      </c>
      <c r="L949" s="33" t="e">
        <f>+J949/E949</f>
        <v>#DIV/0!</v>
      </c>
      <c r="M949" s="144">
        <v>2.2141000000000002</v>
      </c>
      <c r="N949" s="7">
        <f>+M949*G949</f>
        <v>0</v>
      </c>
      <c r="O949" s="85">
        <f>+M949*J949</f>
        <v>1223843.7750000001</v>
      </c>
      <c r="P949" s="1205"/>
    </row>
    <row r="950" spans="2:16" x14ac:dyDescent="0.3">
      <c r="B950" s="1194"/>
      <c r="C950" s="39"/>
      <c r="D950" s="22" t="s">
        <v>65</v>
      </c>
      <c r="E950" s="3">
        <v>0</v>
      </c>
      <c r="F950" s="9">
        <f t="shared" si="738"/>
        <v>0</v>
      </c>
      <c r="G950" s="4">
        <v>0</v>
      </c>
      <c r="H950" s="8">
        <v>0</v>
      </c>
      <c r="I950" s="6">
        <f t="shared" si="737"/>
        <v>0</v>
      </c>
      <c r="J950" s="4">
        <f t="shared" ref="J950:J951" si="744">+G950+J885</f>
        <v>0</v>
      </c>
      <c r="K950" s="4">
        <f t="shared" si="743"/>
        <v>0</v>
      </c>
      <c r="L950" s="40" t="e">
        <f t="shared" ref="L950:L951" si="745">+J950/E950</f>
        <v>#DIV/0!</v>
      </c>
      <c r="M950" s="145">
        <v>2.4565999999999999</v>
      </c>
      <c r="N950" s="11">
        <f t="shared" ref="N950:N951" si="746">+M950*G950</f>
        <v>0</v>
      </c>
      <c r="O950" s="91">
        <f t="shared" ref="O950" si="747">+M950*J950</f>
        <v>0</v>
      </c>
      <c r="P950" s="1205"/>
    </row>
    <row r="951" spans="2:16" ht="15" thickBot="1" x14ac:dyDescent="0.35">
      <c r="B951" s="1194"/>
      <c r="C951" s="39"/>
      <c r="D951" s="22" t="s">
        <v>126</v>
      </c>
      <c r="E951" s="3">
        <v>0</v>
      </c>
      <c r="F951" s="9">
        <f t="shared" si="738"/>
        <v>0</v>
      </c>
      <c r="G951" s="4">
        <v>0</v>
      </c>
      <c r="H951" s="8">
        <v>0</v>
      </c>
      <c r="I951" s="6">
        <f t="shared" si="737"/>
        <v>0</v>
      </c>
      <c r="J951" s="4">
        <f t="shared" si="744"/>
        <v>0</v>
      </c>
      <c r="K951" s="4">
        <f t="shared" si="743"/>
        <v>0</v>
      </c>
      <c r="L951" s="40" t="e">
        <f t="shared" si="745"/>
        <v>#DIV/0!</v>
      </c>
      <c r="M951" s="145">
        <v>2.2907000000000002</v>
      </c>
      <c r="N951" s="11">
        <f t="shared" si="746"/>
        <v>0</v>
      </c>
      <c r="O951" s="154">
        <f>+M951*J951</f>
        <v>0</v>
      </c>
      <c r="P951" s="1206"/>
    </row>
    <row r="952" spans="2:16" ht="15" thickBot="1" x14ac:dyDescent="0.35">
      <c r="B952" s="1194"/>
      <c r="C952" s="41" t="s">
        <v>29</v>
      </c>
      <c r="D952" s="27" t="str">
        <f>+C952</f>
        <v>TOTAL 1/2</v>
      </c>
      <c r="E952" s="42">
        <f>SUM(E945:E951)</f>
        <v>0</v>
      </c>
      <c r="F952" s="43">
        <f>SUM(F945:F951)</f>
        <v>0</v>
      </c>
      <c r="G952" s="43">
        <f>SUM(G945:G951)</f>
        <v>0</v>
      </c>
      <c r="H952" s="44">
        <f>SUM(H945:H951)</f>
        <v>0</v>
      </c>
      <c r="I952" s="45">
        <f>SUM(I949:I951)</f>
        <v>567947</v>
      </c>
      <c r="J952" s="43">
        <f>SUM(J945:J951)</f>
        <v>552750</v>
      </c>
      <c r="K952" s="43">
        <f>SUM(K945:K951)</f>
        <v>15197</v>
      </c>
      <c r="L952" s="46" t="e">
        <f>+J952/E952</f>
        <v>#DIV/0!</v>
      </c>
      <c r="M952" s="47"/>
      <c r="N952" s="48">
        <f>SUM(N949:N951)</f>
        <v>0</v>
      </c>
      <c r="O952" s="49">
        <f>SUM(O945:O951)</f>
        <v>1223843.7750000001</v>
      </c>
      <c r="P952" s="214"/>
    </row>
    <row r="953" spans="2:16" x14ac:dyDescent="0.3">
      <c r="B953" s="1194"/>
      <c r="C953" s="1207" t="s">
        <v>67</v>
      </c>
      <c r="D953" s="22" t="s">
        <v>64</v>
      </c>
      <c r="E953" s="3">
        <v>0</v>
      </c>
      <c r="F953" s="4">
        <f>G953+H953</f>
        <v>0</v>
      </c>
      <c r="G953" s="4">
        <v>0</v>
      </c>
      <c r="H953" s="8">
        <v>0</v>
      </c>
      <c r="I953" s="16">
        <f>J953+K953</f>
        <v>109220</v>
      </c>
      <c r="J953" s="4">
        <f>G953+J888</f>
        <v>105750</v>
      </c>
      <c r="K953" s="4">
        <f>H953+K888</f>
        <v>3470</v>
      </c>
      <c r="L953" s="50" t="e">
        <f>+J953/E953</f>
        <v>#DIV/0!</v>
      </c>
      <c r="M953" s="144">
        <v>4.1712999999999996</v>
      </c>
      <c r="N953" s="7">
        <f>+M953*G953</f>
        <v>0</v>
      </c>
      <c r="O953" s="93">
        <f>+M953*J953</f>
        <v>441114.97499999998</v>
      </c>
      <c r="P953" s="1204"/>
    </row>
    <row r="954" spans="2:16" x14ac:dyDescent="0.3">
      <c r="B954" s="1194"/>
      <c r="C954" s="1208"/>
      <c r="D954" s="22" t="s">
        <v>65</v>
      </c>
      <c r="E954" s="3">
        <v>0</v>
      </c>
      <c r="F954" s="4">
        <f>G954+H954</f>
        <v>27980</v>
      </c>
      <c r="G954" s="4">
        <v>26500</v>
      </c>
      <c r="H954" s="8">
        <v>1480</v>
      </c>
      <c r="I954" s="6">
        <f>+R1998+F954</f>
        <v>27980</v>
      </c>
      <c r="J954" s="4">
        <f>G954+J889</f>
        <v>146500</v>
      </c>
      <c r="K954" s="4">
        <f>H954+K889</f>
        <v>4710</v>
      </c>
      <c r="L954" s="51" t="e">
        <f t="shared" ref="L954:L958" si="748">+J954/E954</f>
        <v>#DIV/0!</v>
      </c>
      <c r="M954" s="145">
        <v>4.8285999999999998</v>
      </c>
      <c r="N954" s="11">
        <f t="shared" ref="N954:N956" si="749">+M954*G954</f>
        <v>127957.9</v>
      </c>
      <c r="O954" s="94">
        <f t="shared" ref="O954:O956" si="750">+M954*J954</f>
        <v>707389.9</v>
      </c>
      <c r="P954" s="1205"/>
    </row>
    <row r="955" spans="2:16" x14ac:dyDescent="0.3">
      <c r="B955" s="1194"/>
      <c r="C955" s="1208"/>
      <c r="D955" s="22" t="s">
        <v>127</v>
      </c>
      <c r="E955" s="3"/>
      <c r="F955" s="4">
        <f>G955+H955</f>
        <v>0</v>
      </c>
      <c r="G955" s="4">
        <v>0</v>
      </c>
      <c r="H955" s="8">
        <v>0</v>
      </c>
      <c r="I955" s="6">
        <f>+R1999+F955</f>
        <v>0</v>
      </c>
      <c r="J955" s="4">
        <f t="shared" ref="J955:J956" si="751">G955+J890</f>
        <v>0</v>
      </c>
      <c r="K955" s="4">
        <f t="shared" ref="K955:K956" si="752">H955+K890</f>
        <v>0</v>
      </c>
      <c r="L955" s="51" t="e">
        <f t="shared" si="748"/>
        <v>#DIV/0!</v>
      </c>
      <c r="M955" s="144">
        <v>4.5023</v>
      </c>
      <c r="N955" s="11">
        <f t="shared" si="749"/>
        <v>0</v>
      </c>
      <c r="O955" s="94">
        <f t="shared" si="750"/>
        <v>0</v>
      </c>
      <c r="P955" s="1205"/>
    </row>
    <row r="956" spans="2:16" ht="15" thickBot="1" x14ac:dyDescent="0.35">
      <c r="B956" s="1194"/>
      <c r="C956" s="1208"/>
      <c r="D956" s="22" t="s">
        <v>111</v>
      </c>
      <c r="E956" s="3">
        <v>0</v>
      </c>
      <c r="F956" s="4">
        <f t="shared" ref="F956" si="753">G956+H956</f>
        <v>0</v>
      </c>
      <c r="G956" s="4">
        <v>0</v>
      </c>
      <c r="H956" s="8">
        <v>0</v>
      </c>
      <c r="I956" s="6">
        <f>+R1999+F956</f>
        <v>0</v>
      </c>
      <c r="J956" s="4">
        <f t="shared" si="751"/>
        <v>0</v>
      </c>
      <c r="K956" s="4">
        <f t="shared" si="752"/>
        <v>0</v>
      </c>
      <c r="L956" s="51" t="e">
        <f t="shared" si="748"/>
        <v>#DIV/0!</v>
      </c>
      <c r="M956" s="144">
        <v>4.4065000000000003</v>
      </c>
      <c r="N956" s="11">
        <f t="shared" si="749"/>
        <v>0</v>
      </c>
      <c r="O956" s="94">
        <f t="shared" si="750"/>
        <v>0</v>
      </c>
      <c r="P956" s="1205"/>
    </row>
    <row r="957" spans="2:16" ht="15" thickBot="1" x14ac:dyDescent="0.35">
      <c r="B957" s="1194"/>
      <c r="C957" s="41" t="s">
        <v>31</v>
      </c>
      <c r="D957" s="18" t="str">
        <f>+C957</f>
        <v>TOTAL 4/4</v>
      </c>
      <c r="E957" s="42">
        <f t="shared" ref="E957:K957" si="754">SUM(E953:E956)</f>
        <v>0</v>
      </c>
      <c r="F957" s="43">
        <f t="shared" si="754"/>
        <v>27980</v>
      </c>
      <c r="G957" s="43">
        <f t="shared" si="754"/>
        <v>26500</v>
      </c>
      <c r="H957" s="44">
        <f t="shared" si="754"/>
        <v>1480</v>
      </c>
      <c r="I957" s="45">
        <f t="shared" si="754"/>
        <v>137200</v>
      </c>
      <c r="J957" s="43">
        <f t="shared" si="754"/>
        <v>252250</v>
      </c>
      <c r="K957" s="43">
        <f t="shared" si="754"/>
        <v>8180</v>
      </c>
      <c r="L957" s="46" t="e">
        <f t="shared" si="748"/>
        <v>#DIV/0!</v>
      </c>
      <c r="M957" s="47"/>
      <c r="N957" s="48">
        <f>SUM(N953:N956)</f>
        <v>127957.9</v>
      </c>
      <c r="O957" s="92">
        <f>SUM(O953:O956)</f>
        <v>1148504.875</v>
      </c>
      <c r="P957" s="1206"/>
    </row>
    <row r="958" spans="2:16" ht="15" thickBot="1" x14ac:dyDescent="0.35">
      <c r="B958" s="1203"/>
      <c r="C958" s="41" t="s">
        <v>68</v>
      </c>
      <c r="D958" s="27" t="s">
        <v>64</v>
      </c>
      <c r="E958" s="25">
        <v>0</v>
      </c>
      <c r="F958" s="20">
        <f>G958+H958</f>
        <v>0</v>
      </c>
      <c r="G958" s="20">
        <v>0</v>
      </c>
      <c r="H958" s="24">
        <v>0</v>
      </c>
      <c r="I958" s="19">
        <f>J958+K958</f>
        <v>0</v>
      </c>
      <c r="J958" s="4">
        <f>G958+J893</f>
        <v>0</v>
      </c>
      <c r="K958" s="4">
        <f>H958+K893</f>
        <v>0</v>
      </c>
      <c r="L958" s="52" t="e">
        <f t="shared" si="748"/>
        <v>#DIV/0!</v>
      </c>
      <c r="M958" s="149">
        <v>1.4086000000000001</v>
      </c>
      <c r="N958" s="26">
        <f t="shared" ref="N958" si="755">+M958*G958</f>
        <v>0</v>
      </c>
      <c r="O958" s="95">
        <f t="shared" ref="O958" si="756">+M958*J958</f>
        <v>0</v>
      </c>
      <c r="P958" s="53"/>
    </row>
    <row r="959" spans="2:16" ht="15" thickBot="1" x14ac:dyDescent="0.35">
      <c r="B959" s="1178" t="s">
        <v>95</v>
      </c>
      <c r="C959" s="1179"/>
      <c r="D959" s="1179"/>
      <c r="E959" s="1179"/>
      <c r="F959" s="1179"/>
      <c r="G959" s="1179"/>
      <c r="H959" s="1179"/>
      <c r="I959" s="110">
        <f>J959+K959</f>
        <v>828377</v>
      </c>
      <c r="J959" s="110">
        <f>J952+J957+J958</f>
        <v>805000</v>
      </c>
      <c r="K959" s="110">
        <f>K952+K957+K958</f>
        <v>23377</v>
      </c>
      <c r="L959" s="111"/>
      <c r="M959" s="112"/>
      <c r="N959" s="109"/>
      <c r="O959" s="77">
        <f>+O958+O957+O952</f>
        <v>2372348.6500000004</v>
      </c>
      <c r="P959" s="84"/>
    </row>
    <row r="960" spans="2:16" x14ac:dyDescent="0.3">
      <c r="B960" s="1180" t="s">
        <v>69</v>
      </c>
      <c r="C960" s="1183" t="s">
        <v>70</v>
      </c>
      <c r="D960" s="54" t="s">
        <v>71</v>
      </c>
      <c r="E960" s="55">
        <v>0</v>
      </c>
      <c r="F960" s="56">
        <f>G960+H960</f>
        <v>6689</v>
      </c>
      <c r="G960" s="56">
        <v>6600</v>
      </c>
      <c r="H960" s="57">
        <v>89</v>
      </c>
      <c r="I960" s="78">
        <f>J960+K960</f>
        <v>36953</v>
      </c>
      <c r="J960" s="4">
        <f>G960+J895</f>
        <v>36600</v>
      </c>
      <c r="K960" s="4">
        <f>H960+K895</f>
        <v>353</v>
      </c>
      <c r="L960" s="58" t="e">
        <f t="shared" ref="L960" si="757">+J960/E960</f>
        <v>#DIV/0!</v>
      </c>
      <c r="M960" s="59">
        <v>32.946300000000001</v>
      </c>
      <c r="N960" s="60">
        <f>+M960*G960</f>
        <v>217445.58000000002</v>
      </c>
      <c r="O960" s="60">
        <f>M960*J960</f>
        <v>1205834.58</v>
      </c>
      <c r="P960" s="1185"/>
    </row>
    <row r="961" spans="2:16" x14ac:dyDescent="0.3">
      <c r="B961" s="1181"/>
      <c r="C961" s="1184"/>
      <c r="D961" s="61" t="s">
        <v>72</v>
      </c>
      <c r="E961" s="62">
        <v>0</v>
      </c>
      <c r="F961" s="63">
        <f>G961+H961</f>
        <v>0</v>
      </c>
      <c r="G961" s="63">
        <v>0</v>
      </c>
      <c r="H961" s="64">
        <v>0</v>
      </c>
      <c r="I961" s="79">
        <f>J961+K961</f>
        <v>31833</v>
      </c>
      <c r="J961" s="4">
        <f>G961+J896</f>
        <v>31420</v>
      </c>
      <c r="K961" s="4">
        <f>H961+K896</f>
        <v>413</v>
      </c>
      <c r="L961" s="65" t="e">
        <f>+J961/E961</f>
        <v>#DIV/0!</v>
      </c>
      <c r="M961" s="66">
        <v>35.398400000000002</v>
      </c>
      <c r="N961" s="67">
        <f>+M961*G961</f>
        <v>0</v>
      </c>
      <c r="O961" s="67">
        <f>M961*J961</f>
        <v>1112217.7280000001</v>
      </c>
      <c r="P961" s="1186"/>
    </row>
    <row r="962" spans="2:16" x14ac:dyDescent="0.3">
      <c r="B962" s="1181"/>
      <c r="C962" s="1184"/>
      <c r="D962" s="61" t="s">
        <v>73</v>
      </c>
      <c r="E962" s="62">
        <v>0</v>
      </c>
      <c r="F962" s="63">
        <f t="shared" ref="F962:F965" si="758">G962+H962</f>
        <v>0</v>
      </c>
      <c r="G962" s="63">
        <v>0</v>
      </c>
      <c r="H962" s="64">
        <v>0</v>
      </c>
      <c r="I962" s="79">
        <f t="shared" ref="I962:I971" si="759">J962+K962</f>
        <v>0</v>
      </c>
      <c r="J962" s="4">
        <f t="shared" ref="J962:J987" si="760">G962+J897</f>
        <v>0</v>
      </c>
      <c r="K962" s="4">
        <f t="shared" ref="K962:K966" si="761">H962+K897</f>
        <v>0</v>
      </c>
      <c r="L962" s="65" t="e">
        <f t="shared" ref="L962:L975" si="762">+J962/E962</f>
        <v>#DIV/0!</v>
      </c>
      <c r="M962" s="66">
        <v>32.946300000000001</v>
      </c>
      <c r="N962" s="67">
        <f t="shared" ref="N962:N982" si="763">+M962*G962</f>
        <v>0</v>
      </c>
      <c r="O962" s="67">
        <f t="shared" ref="O962:O970" si="764">M962*J962</f>
        <v>0</v>
      </c>
      <c r="P962" s="1186"/>
    </row>
    <row r="963" spans="2:16" x14ac:dyDescent="0.3">
      <c r="B963" s="1181"/>
      <c r="C963" s="1184" t="s">
        <v>74</v>
      </c>
      <c r="D963" s="61" t="s">
        <v>75</v>
      </c>
      <c r="E963" s="62">
        <v>0</v>
      </c>
      <c r="F963" s="63">
        <f t="shared" si="758"/>
        <v>9750</v>
      </c>
      <c r="G963" s="63">
        <v>9600</v>
      </c>
      <c r="H963" s="64">
        <v>150</v>
      </c>
      <c r="I963" s="79">
        <f t="shared" si="759"/>
        <v>29535</v>
      </c>
      <c r="J963" s="4">
        <f t="shared" si="760"/>
        <v>28800</v>
      </c>
      <c r="K963" s="4">
        <f t="shared" si="761"/>
        <v>735</v>
      </c>
      <c r="L963" s="65" t="e">
        <f t="shared" si="762"/>
        <v>#DIV/0!</v>
      </c>
      <c r="M963" s="66">
        <v>55.4758</v>
      </c>
      <c r="N963" s="67">
        <f t="shared" si="763"/>
        <v>532567.68000000005</v>
      </c>
      <c r="O963" s="67">
        <f t="shared" si="764"/>
        <v>1597703.04</v>
      </c>
      <c r="P963" s="1186"/>
    </row>
    <row r="964" spans="2:16" x14ac:dyDescent="0.3">
      <c r="B964" s="1181"/>
      <c r="C964" s="1184"/>
      <c r="D964" s="61" t="s">
        <v>134</v>
      </c>
      <c r="E964" s="62">
        <v>0</v>
      </c>
      <c r="F964" s="63">
        <f t="shared" si="758"/>
        <v>0</v>
      </c>
      <c r="G964" s="63">
        <v>0</v>
      </c>
      <c r="H964" s="64">
        <v>0</v>
      </c>
      <c r="I964" s="79">
        <f t="shared" si="759"/>
        <v>0</v>
      </c>
      <c r="J964" s="4">
        <f t="shared" si="760"/>
        <v>0</v>
      </c>
      <c r="K964" s="4">
        <f t="shared" si="761"/>
        <v>0</v>
      </c>
      <c r="L964" s="65" t="e">
        <f t="shared" si="762"/>
        <v>#DIV/0!</v>
      </c>
      <c r="M964" s="66">
        <v>53.515999999999998</v>
      </c>
      <c r="N964" s="67">
        <f t="shared" si="763"/>
        <v>0</v>
      </c>
      <c r="O964" s="67">
        <f t="shared" si="764"/>
        <v>0</v>
      </c>
      <c r="P964" s="1186"/>
    </row>
    <row r="965" spans="2:16" x14ac:dyDescent="0.3">
      <c r="B965" s="1181"/>
      <c r="C965" s="1184"/>
      <c r="D965" s="61" t="s">
        <v>72</v>
      </c>
      <c r="E965" s="62">
        <v>0</v>
      </c>
      <c r="F965" s="63">
        <f t="shared" si="758"/>
        <v>0</v>
      </c>
      <c r="G965" s="63">
        <v>0</v>
      </c>
      <c r="H965" s="64">
        <v>0</v>
      </c>
      <c r="I965" s="79">
        <f t="shared" si="759"/>
        <v>9804</v>
      </c>
      <c r="J965" s="4">
        <f t="shared" si="760"/>
        <v>9600</v>
      </c>
      <c r="K965" s="4">
        <f t="shared" si="761"/>
        <v>204</v>
      </c>
      <c r="L965" s="65" t="e">
        <f t="shared" si="762"/>
        <v>#DIV/0!</v>
      </c>
      <c r="M965" s="66">
        <v>58.836300000000001</v>
      </c>
      <c r="N965" s="67">
        <f t="shared" si="763"/>
        <v>0</v>
      </c>
      <c r="O965" s="67">
        <f t="shared" si="764"/>
        <v>564828.48</v>
      </c>
      <c r="P965" s="1186"/>
    </row>
    <row r="966" spans="2:16" x14ac:dyDescent="0.3">
      <c r="B966" s="1181"/>
      <c r="C966" s="1188" t="s">
        <v>76</v>
      </c>
      <c r="D966" s="61" t="s">
        <v>77</v>
      </c>
      <c r="E966" s="62">
        <v>0</v>
      </c>
      <c r="F966" s="63">
        <f>G966+H966</f>
        <v>0</v>
      </c>
      <c r="G966" s="63">
        <v>0</v>
      </c>
      <c r="H966" s="64">
        <v>0</v>
      </c>
      <c r="I966" s="79">
        <f t="shared" si="759"/>
        <v>13295</v>
      </c>
      <c r="J966" s="4">
        <f t="shared" si="760"/>
        <v>13000</v>
      </c>
      <c r="K966" s="4">
        <f t="shared" si="761"/>
        <v>295</v>
      </c>
      <c r="L966" s="65" t="e">
        <f t="shared" si="762"/>
        <v>#DIV/0!</v>
      </c>
      <c r="M966" s="66">
        <v>25.687200000000001</v>
      </c>
      <c r="N966" s="67">
        <f t="shared" si="763"/>
        <v>0</v>
      </c>
      <c r="O966" s="67">
        <f t="shared" si="764"/>
        <v>333933.60000000003</v>
      </c>
      <c r="P966" s="1186"/>
    </row>
    <row r="967" spans="2:16" x14ac:dyDescent="0.3">
      <c r="B967" s="1181"/>
      <c r="C967" s="1189"/>
      <c r="D967" s="61" t="s">
        <v>117</v>
      </c>
      <c r="E967" s="62">
        <v>0</v>
      </c>
      <c r="F967" s="63">
        <f>G967+H967</f>
        <v>0</v>
      </c>
      <c r="G967" s="63">
        <v>0</v>
      </c>
      <c r="H967" s="64">
        <v>0</v>
      </c>
      <c r="I967" s="79">
        <f t="shared" si="759"/>
        <v>0</v>
      </c>
      <c r="J967" s="4">
        <f t="shared" si="760"/>
        <v>0</v>
      </c>
      <c r="K967" s="4">
        <f>H967+K902</f>
        <v>0</v>
      </c>
      <c r="L967" s="65" t="e">
        <f t="shared" si="762"/>
        <v>#DIV/0!</v>
      </c>
      <c r="M967" s="66">
        <v>25.033899999999999</v>
      </c>
      <c r="N967" s="67">
        <f t="shared" si="763"/>
        <v>0</v>
      </c>
      <c r="O967" s="67">
        <f t="shared" si="764"/>
        <v>0</v>
      </c>
      <c r="P967" s="1186"/>
    </row>
    <row r="968" spans="2:16" x14ac:dyDescent="0.3">
      <c r="B968" s="1181"/>
      <c r="C968" s="1188" t="s">
        <v>78</v>
      </c>
      <c r="D968" s="61" t="s">
        <v>79</v>
      </c>
      <c r="E968" s="62">
        <v>0</v>
      </c>
      <c r="F968" s="63">
        <f t="shared" ref="F968:F987" si="765">G968+H968</f>
        <v>0</v>
      </c>
      <c r="G968" s="63">
        <v>0</v>
      </c>
      <c r="H968" s="64">
        <v>0</v>
      </c>
      <c r="I968" s="79">
        <f t="shared" si="759"/>
        <v>16343</v>
      </c>
      <c r="J968" s="4">
        <f t="shared" si="760"/>
        <v>16000</v>
      </c>
      <c r="K968" s="4">
        <f t="shared" ref="K968:K987" si="766">H968+K903</f>
        <v>343</v>
      </c>
      <c r="L968" s="65" t="e">
        <f t="shared" si="762"/>
        <v>#DIV/0!</v>
      </c>
      <c r="M968" s="66">
        <v>41.992699999999999</v>
      </c>
      <c r="N968" s="67">
        <f t="shared" si="763"/>
        <v>0</v>
      </c>
      <c r="O968" s="67">
        <f t="shared" si="764"/>
        <v>671883.2</v>
      </c>
      <c r="P968" s="1186"/>
    </row>
    <row r="969" spans="2:16" x14ac:dyDescent="0.3">
      <c r="B969" s="1181"/>
      <c r="C969" s="1189"/>
      <c r="D969" s="61" t="s">
        <v>72</v>
      </c>
      <c r="E969" s="62">
        <v>0</v>
      </c>
      <c r="F969" s="63">
        <f t="shared" si="765"/>
        <v>0</v>
      </c>
      <c r="G969" s="63">
        <v>0</v>
      </c>
      <c r="H969" s="64">
        <v>0</v>
      </c>
      <c r="I969" s="79">
        <f t="shared" si="759"/>
        <v>0</v>
      </c>
      <c r="J969" s="4">
        <f t="shared" si="760"/>
        <v>0</v>
      </c>
      <c r="K969" s="4">
        <f t="shared" si="766"/>
        <v>0</v>
      </c>
      <c r="L969" s="65" t="e">
        <f t="shared" si="762"/>
        <v>#DIV/0!</v>
      </c>
      <c r="M969" s="66">
        <v>42.283799999999999</v>
      </c>
      <c r="N969" s="67">
        <f t="shared" si="763"/>
        <v>0</v>
      </c>
      <c r="O969" s="67">
        <f t="shared" si="764"/>
        <v>0</v>
      </c>
      <c r="P969" s="1186"/>
    </row>
    <row r="970" spans="2:16" x14ac:dyDescent="0.3">
      <c r="B970" s="1181"/>
      <c r="C970" s="212" t="s">
        <v>80</v>
      </c>
      <c r="D970" s="61" t="s">
        <v>81</v>
      </c>
      <c r="E970" s="62">
        <v>0</v>
      </c>
      <c r="F970" s="63">
        <f t="shared" si="765"/>
        <v>0</v>
      </c>
      <c r="G970" s="63">
        <v>0</v>
      </c>
      <c r="H970" s="64">
        <v>0</v>
      </c>
      <c r="I970" s="79">
        <f t="shared" si="759"/>
        <v>24803</v>
      </c>
      <c r="J970" s="4">
        <f t="shared" si="760"/>
        <v>24000</v>
      </c>
      <c r="K970" s="4">
        <f t="shared" si="766"/>
        <v>803</v>
      </c>
      <c r="L970" s="65" t="e">
        <f t="shared" si="762"/>
        <v>#DIV/0!</v>
      </c>
      <c r="M970" s="66">
        <v>4.3535000000000004</v>
      </c>
      <c r="N970" s="67">
        <f t="shared" si="763"/>
        <v>0</v>
      </c>
      <c r="O970" s="67">
        <f t="shared" si="764"/>
        <v>104484.00000000001</v>
      </c>
      <c r="P970" s="1186"/>
    </row>
    <row r="971" spans="2:16" x14ac:dyDescent="0.3">
      <c r="B971" s="1181"/>
      <c r="C971" s="1184" t="s">
        <v>82</v>
      </c>
      <c r="D971" s="61" t="s">
        <v>77</v>
      </c>
      <c r="E971" s="62">
        <v>0</v>
      </c>
      <c r="F971" s="63">
        <f t="shared" si="765"/>
        <v>0</v>
      </c>
      <c r="G971" s="63">
        <v>0</v>
      </c>
      <c r="H971" s="64">
        <v>0</v>
      </c>
      <c r="I971" s="79">
        <f t="shared" si="759"/>
        <v>0</v>
      </c>
      <c r="J971" s="4">
        <f t="shared" si="760"/>
        <v>0</v>
      </c>
      <c r="K971" s="4">
        <f t="shared" si="766"/>
        <v>0</v>
      </c>
      <c r="L971" s="65" t="e">
        <f t="shared" si="762"/>
        <v>#DIV/0!</v>
      </c>
      <c r="M971" s="66">
        <v>4.6184000000000003</v>
      </c>
      <c r="N971" s="67">
        <f t="shared" si="763"/>
        <v>0</v>
      </c>
      <c r="O971" s="67">
        <f>M971*J971</f>
        <v>0</v>
      </c>
      <c r="P971" s="1186"/>
    </row>
    <row r="972" spans="2:16" x14ac:dyDescent="0.3">
      <c r="B972" s="1181"/>
      <c r="C972" s="1184"/>
      <c r="D972" s="61" t="s">
        <v>119</v>
      </c>
      <c r="E972" s="62">
        <v>0</v>
      </c>
      <c r="F972" s="63">
        <f t="shared" si="765"/>
        <v>9582</v>
      </c>
      <c r="G972" s="63">
        <v>9200</v>
      </c>
      <c r="H972" s="64">
        <v>382</v>
      </c>
      <c r="I972" s="79">
        <f>J972+K972</f>
        <v>9582</v>
      </c>
      <c r="J972" s="4">
        <f t="shared" si="760"/>
        <v>9200</v>
      </c>
      <c r="K972" s="4">
        <f t="shared" si="766"/>
        <v>382</v>
      </c>
      <c r="L972" s="65" t="e">
        <f t="shared" si="762"/>
        <v>#DIV/0!</v>
      </c>
      <c r="M972" s="153">
        <v>4.6184000000000003</v>
      </c>
      <c r="N972" s="67">
        <f t="shared" si="763"/>
        <v>42489.280000000006</v>
      </c>
      <c r="O972" s="67">
        <f>M972*J972</f>
        <v>42489.280000000006</v>
      </c>
      <c r="P972" s="1186"/>
    </row>
    <row r="973" spans="2:16" x14ac:dyDescent="0.3">
      <c r="B973" s="1181"/>
      <c r="C973" s="1184"/>
      <c r="D973" s="61" t="s">
        <v>123</v>
      </c>
      <c r="E973" s="62">
        <v>0</v>
      </c>
      <c r="F973" s="63">
        <f t="shared" si="765"/>
        <v>0</v>
      </c>
      <c r="G973" s="63">
        <v>0</v>
      </c>
      <c r="H973" s="64">
        <v>0</v>
      </c>
      <c r="I973" s="79">
        <f t="shared" ref="I973:I987" si="767">J973+K973</f>
        <v>0</v>
      </c>
      <c r="J973" s="4">
        <f t="shared" si="760"/>
        <v>0</v>
      </c>
      <c r="K973" s="4">
        <f t="shared" si="766"/>
        <v>0</v>
      </c>
      <c r="L973" s="65" t="e">
        <f t="shared" si="762"/>
        <v>#DIV/0!</v>
      </c>
      <c r="M973" s="153">
        <v>4.6184000000000003</v>
      </c>
      <c r="N973" s="67">
        <f t="shared" si="763"/>
        <v>0</v>
      </c>
      <c r="O973" s="67">
        <f t="shared" ref="O973:O978" si="768">M973*J973</f>
        <v>0</v>
      </c>
      <c r="P973" s="1186"/>
    </row>
    <row r="974" spans="2:16" x14ac:dyDescent="0.3">
      <c r="B974" s="1181"/>
      <c r="C974" s="1184"/>
      <c r="D974" s="61" t="s">
        <v>124</v>
      </c>
      <c r="E974" s="62">
        <v>0</v>
      </c>
      <c r="F974" s="63">
        <f t="shared" si="765"/>
        <v>0</v>
      </c>
      <c r="G974" s="63">
        <v>0</v>
      </c>
      <c r="H974" s="64">
        <v>0</v>
      </c>
      <c r="I974" s="79">
        <f t="shared" si="767"/>
        <v>281684</v>
      </c>
      <c r="J974" s="4">
        <f t="shared" si="760"/>
        <v>274275</v>
      </c>
      <c r="K974" s="4">
        <f t="shared" si="766"/>
        <v>7409</v>
      </c>
      <c r="L974" s="65" t="e">
        <f t="shared" si="762"/>
        <v>#DIV/0!</v>
      </c>
      <c r="M974" s="153">
        <v>4.7636000000000003</v>
      </c>
      <c r="N974" s="67">
        <f t="shared" si="763"/>
        <v>0</v>
      </c>
      <c r="O974" s="67">
        <f t="shared" si="768"/>
        <v>1306536.3900000001</v>
      </c>
      <c r="P974" s="1186"/>
    </row>
    <row r="975" spans="2:16" x14ac:dyDescent="0.3">
      <c r="B975" s="1181"/>
      <c r="C975" s="1184"/>
      <c r="D975" s="61" t="s">
        <v>83</v>
      </c>
      <c r="E975" s="62">
        <v>0</v>
      </c>
      <c r="F975" s="63">
        <f t="shared" si="765"/>
        <v>0</v>
      </c>
      <c r="G975" s="63">
        <v>0</v>
      </c>
      <c r="H975" s="64">
        <v>0</v>
      </c>
      <c r="I975" s="79">
        <f t="shared" si="767"/>
        <v>0</v>
      </c>
      <c r="J975" s="4">
        <f t="shared" si="760"/>
        <v>0</v>
      </c>
      <c r="K975" s="4">
        <f t="shared" si="766"/>
        <v>0</v>
      </c>
      <c r="L975" s="65" t="e">
        <f t="shared" si="762"/>
        <v>#DIV/0!</v>
      </c>
      <c r="M975" s="66">
        <v>4.8738000000000001</v>
      </c>
      <c r="N975" s="67">
        <f t="shared" si="763"/>
        <v>0</v>
      </c>
      <c r="O975" s="67">
        <f t="shared" si="768"/>
        <v>0</v>
      </c>
      <c r="P975" s="1186"/>
    </row>
    <row r="976" spans="2:16" x14ac:dyDescent="0.3">
      <c r="B976" s="1181"/>
      <c r="C976" s="212" t="s">
        <v>128</v>
      </c>
      <c r="D976" s="61" t="s">
        <v>124</v>
      </c>
      <c r="E976" s="62"/>
      <c r="F976" s="63">
        <f t="shared" si="765"/>
        <v>0</v>
      </c>
      <c r="G976" s="63">
        <v>0</v>
      </c>
      <c r="H976" s="64">
        <v>0</v>
      </c>
      <c r="I976" s="79">
        <f t="shared" si="767"/>
        <v>0</v>
      </c>
      <c r="J976" s="4">
        <f t="shared" si="760"/>
        <v>0</v>
      </c>
      <c r="K976" s="4">
        <f t="shared" si="766"/>
        <v>0</v>
      </c>
      <c r="L976" s="65"/>
      <c r="M976" s="66">
        <v>4.8738000000000001</v>
      </c>
      <c r="N976" s="67">
        <f t="shared" si="763"/>
        <v>0</v>
      </c>
      <c r="O976" s="67">
        <f t="shared" si="768"/>
        <v>0</v>
      </c>
      <c r="P976" s="1186"/>
    </row>
    <row r="977" spans="2:16" x14ac:dyDescent="0.3">
      <c r="B977" s="1181"/>
      <c r="C977" s="1184" t="s">
        <v>84</v>
      </c>
      <c r="D977" s="61" t="s">
        <v>77</v>
      </c>
      <c r="E977" s="62">
        <v>0</v>
      </c>
      <c r="F977" s="63">
        <f t="shared" si="765"/>
        <v>0</v>
      </c>
      <c r="G977" s="63">
        <v>0</v>
      </c>
      <c r="H977" s="64">
        <v>0</v>
      </c>
      <c r="I977" s="79">
        <f t="shared" si="767"/>
        <v>197600</v>
      </c>
      <c r="J977" s="4">
        <f t="shared" si="760"/>
        <v>194950</v>
      </c>
      <c r="K977" s="4">
        <f t="shared" si="766"/>
        <v>2650</v>
      </c>
      <c r="L977" s="65" t="e">
        <f t="shared" ref="L977:L987" si="769">+J977/E977</f>
        <v>#DIV/0!</v>
      </c>
      <c r="M977" s="66">
        <v>4.9344999999999999</v>
      </c>
      <c r="N977" s="67">
        <f t="shared" si="763"/>
        <v>0</v>
      </c>
      <c r="O977" s="67">
        <f t="shared" si="768"/>
        <v>961980.77500000002</v>
      </c>
      <c r="P977" s="1186"/>
    </row>
    <row r="978" spans="2:16" x14ac:dyDescent="0.3">
      <c r="B978" s="1181"/>
      <c r="C978" s="1184"/>
      <c r="D978" s="61" t="s">
        <v>135</v>
      </c>
      <c r="E978" s="62"/>
      <c r="F978" s="63">
        <f t="shared" si="765"/>
        <v>18296</v>
      </c>
      <c r="G978" s="63">
        <v>18000</v>
      </c>
      <c r="H978" s="64">
        <v>296</v>
      </c>
      <c r="I978" s="79">
        <f t="shared" si="767"/>
        <v>61578</v>
      </c>
      <c r="J978" s="4">
        <f t="shared" si="760"/>
        <v>58500</v>
      </c>
      <c r="K978" s="4">
        <f t="shared" si="766"/>
        <v>3078</v>
      </c>
      <c r="L978" s="65" t="e">
        <f t="shared" si="769"/>
        <v>#DIV/0!</v>
      </c>
      <c r="M978" s="66">
        <v>4.9344999999999999</v>
      </c>
      <c r="N978" s="67">
        <f t="shared" si="763"/>
        <v>88821</v>
      </c>
      <c r="O978" s="67">
        <f t="shared" si="768"/>
        <v>288668.25</v>
      </c>
      <c r="P978" s="1186"/>
    </row>
    <row r="979" spans="2:16" x14ac:dyDescent="0.3">
      <c r="B979" s="1181"/>
      <c r="C979" s="1184"/>
      <c r="D979" s="61" t="s">
        <v>129</v>
      </c>
      <c r="E979" s="62">
        <v>0</v>
      </c>
      <c r="F979" s="63">
        <f t="shared" si="765"/>
        <v>0</v>
      </c>
      <c r="G979" s="155">
        <v>0</v>
      </c>
      <c r="H979" s="156">
        <v>0</v>
      </c>
      <c r="I979" s="157">
        <f t="shared" si="767"/>
        <v>0</v>
      </c>
      <c r="J979" s="4">
        <f t="shared" si="760"/>
        <v>0</v>
      </c>
      <c r="K979" s="4">
        <f t="shared" si="766"/>
        <v>0</v>
      </c>
      <c r="L979" s="158" t="e">
        <f t="shared" si="769"/>
        <v>#DIV/0!</v>
      </c>
      <c r="M979" s="66">
        <v>4.9344999999999999</v>
      </c>
      <c r="N979" s="159">
        <f t="shared" si="763"/>
        <v>0</v>
      </c>
      <c r="O979" s="67">
        <f>M979*J979</f>
        <v>0</v>
      </c>
      <c r="P979" s="1186"/>
    </row>
    <row r="980" spans="2:16" x14ac:dyDescent="0.3">
      <c r="B980" s="1181"/>
      <c r="C980" s="1184" t="s">
        <v>85</v>
      </c>
      <c r="D980" s="61" t="s">
        <v>77</v>
      </c>
      <c r="E980" s="62">
        <v>0</v>
      </c>
      <c r="F980" s="63">
        <f t="shared" si="765"/>
        <v>0</v>
      </c>
      <c r="G980" s="63">
        <v>0</v>
      </c>
      <c r="H980" s="64">
        <v>0</v>
      </c>
      <c r="I980" s="79">
        <f t="shared" si="767"/>
        <v>138276</v>
      </c>
      <c r="J980" s="4">
        <f t="shared" si="760"/>
        <v>130950</v>
      </c>
      <c r="K980" s="4">
        <f t="shared" si="766"/>
        <v>7326</v>
      </c>
      <c r="L980" s="65" t="e">
        <f t="shared" si="769"/>
        <v>#DIV/0!</v>
      </c>
      <c r="M980" s="148">
        <v>5.5069999999999997</v>
      </c>
      <c r="N980" s="67">
        <f t="shared" si="763"/>
        <v>0</v>
      </c>
      <c r="O980" s="67">
        <f>M980*J980</f>
        <v>721141.64999999991</v>
      </c>
      <c r="P980" s="1186"/>
    </row>
    <row r="981" spans="2:16" x14ac:dyDescent="0.3">
      <c r="B981" s="1181"/>
      <c r="C981" s="1184"/>
      <c r="D981" s="61" t="s">
        <v>112</v>
      </c>
      <c r="E981" s="62">
        <v>0</v>
      </c>
      <c r="F981" s="63">
        <f t="shared" si="765"/>
        <v>10862</v>
      </c>
      <c r="G981" s="63">
        <v>10350</v>
      </c>
      <c r="H981" s="64">
        <v>512</v>
      </c>
      <c r="I981" s="79">
        <f t="shared" si="767"/>
        <v>95744</v>
      </c>
      <c r="J981" s="4">
        <f t="shared" si="760"/>
        <v>92250</v>
      </c>
      <c r="K981" s="4">
        <f t="shared" si="766"/>
        <v>3494</v>
      </c>
      <c r="L981" s="65" t="e">
        <f t="shared" si="769"/>
        <v>#DIV/0!</v>
      </c>
      <c r="M981" s="147">
        <v>5.6550000000000002</v>
      </c>
      <c r="N981" s="67">
        <f t="shared" si="763"/>
        <v>58529.25</v>
      </c>
      <c r="O981" s="67">
        <f>M981*J981</f>
        <v>521673.75</v>
      </c>
      <c r="P981" s="1186"/>
    </row>
    <row r="982" spans="2:16" x14ac:dyDescent="0.3">
      <c r="B982" s="1181"/>
      <c r="C982" s="1184"/>
      <c r="D982" s="61" t="s">
        <v>118</v>
      </c>
      <c r="E982" s="62">
        <v>0</v>
      </c>
      <c r="F982" s="63">
        <f t="shared" si="765"/>
        <v>0</v>
      </c>
      <c r="G982" s="63">
        <v>0</v>
      </c>
      <c r="H982" s="64">
        <v>0</v>
      </c>
      <c r="I982" s="79">
        <f t="shared" si="767"/>
        <v>0</v>
      </c>
      <c r="J982" s="4">
        <f t="shared" si="760"/>
        <v>0</v>
      </c>
      <c r="K982" s="4">
        <f t="shared" si="766"/>
        <v>0</v>
      </c>
      <c r="L982" s="65" t="e">
        <f t="shared" si="769"/>
        <v>#DIV/0!</v>
      </c>
      <c r="M982" s="152">
        <v>5.6550000000000002</v>
      </c>
      <c r="N982" s="67">
        <f t="shared" si="763"/>
        <v>0</v>
      </c>
      <c r="O982" s="67">
        <f>M982*J982</f>
        <v>0</v>
      </c>
      <c r="P982" s="1186"/>
    </row>
    <row r="983" spans="2:16" x14ac:dyDescent="0.3">
      <c r="B983" s="1181"/>
      <c r="C983" s="1184"/>
      <c r="D983" s="61" t="s">
        <v>121</v>
      </c>
      <c r="E983" s="62">
        <v>0</v>
      </c>
      <c r="F983" s="63">
        <f t="shared" si="765"/>
        <v>0</v>
      </c>
      <c r="G983" s="63">
        <v>0</v>
      </c>
      <c r="H983" s="64">
        <v>0</v>
      </c>
      <c r="I983" s="79">
        <f t="shared" si="767"/>
        <v>28324</v>
      </c>
      <c r="J983" s="4">
        <f t="shared" si="760"/>
        <v>26710</v>
      </c>
      <c r="K983" s="4">
        <f t="shared" si="766"/>
        <v>1614</v>
      </c>
      <c r="L983" s="65" t="e">
        <f t="shared" si="769"/>
        <v>#DIV/0!</v>
      </c>
      <c r="M983" s="66">
        <v>5.7885299999999997</v>
      </c>
      <c r="N983" s="67">
        <f>+M983*G983</f>
        <v>0</v>
      </c>
      <c r="O983" s="67">
        <f>M983*J983</f>
        <v>154611.63629999998</v>
      </c>
      <c r="P983" s="1186"/>
    </row>
    <row r="984" spans="2:16" x14ac:dyDescent="0.3">
      <c r="B984" s="1181"/>
      <c r="C984" s="1184"/>
      <c r="D984" s="61" t="s">
        <v>136</v>
      </c>
      <c r="E984" s="62">
        <v>0</v>
      </c>
      <c r="F984" s="63">
        <f t="shared" si="765"/>
        <v>0</v>
      </c>
      <c r="G984" s="63">
        <v>0</v>
      </c>
      <c r="H984" s="64">
        <v>0</v>
      </c>
      <c r="I984" s="79">
        <f t="shared" si="767"/>
        <v>0</v>
      </c>
      <c r="J984" s="4">
        <f t="shared" si="760"/>
        <v>0</v>
      </c>
      <c r="K984" s="4">
        <f t="shared" si="766"/>
        <v>0</v>
      </c>
      <c r="L984" s="65" t="e">
        <f t="shared" si="769"/>
        <v>#DIV/0!</v>
      </c>
      <c r="M984" s="152">
        <v>5.6550000000000002</v>
      </c>
      <c r="N984" s="67">
        <f t="shared" ref="N984:N986" si="770">+M984*G984</f>
        <v>0</v>
      </c>
      <c r="O984" s="67">
        <f t="shared" ref="O984:O987" si="771">M984*J984</f>
        <v>0</v>
      </c>
      <c r="P984" s="1186"/>
    </row>
    <row r="985" spans="2:16" x14ac:dyDescent="0.3">
      <c r="B985" s="1181"/>
      <c r="C985" s="212" t="s">
        <v>86</v>
      </c>
      <c r="D985" s="61" t="s">
        <v>77</v>
      </c>
      <c r="E985" s="62">
        <v>0</v>
      </c>
      <c r="F985" s="63">
        <f t="shared" si="765"/>
        <v>0</v>
      </c>
      <c r="G985" s="63">
        <v>0</v>
      </c>
      <c r="H985" s="64">
        <v>0</v>
      </c>
      <c r="I985" s="79">
        <f t="shared" si="767"/>
        <v>0</v>
      </c>
      <c r="J985" s="4">
        <f t="shared" si="760"/>
        <v>0</v>
      </c>
      <c r="K985" s="4">
        <f t="shared" si="766"/>
        <v>0</v>
      </c>
      <c r="L985" s="65" t="e">
        <f t="shared" si="769"/>
        <v>#DIV/0!</v>
      </c>
      <c r="M985" s="66">
        <v>3.2963</v>
      </c>
      <c r="N985" s="67">
        <f t="shared" si="770"/>
        <v>0</v>
      </c>
      <c r="O985" s="67">
        <f t="shared" si="771"/>
        <v>0</v>
      </c>
      <c r="P985" s="1186"/>
    </row>
    <row r="986" spans="2:16" x14ac:dyDescent="0.3">
      <c r="B986" s="1181"/>
      <c r="C986" s="212" t="s">
        <v>87</v>
      </c>
      <c r="D986" s="61" t="s">
        <v>77</v>
      </c>
      <c r="E986" s="62">
        <v>0</v>
      </c>
      <c r="F986" s="63">
        <f t="shared" si="765"/>
        <v>0</v>
      </c>
      <c r="G986" s="63">
        <v>0</v>
      </c>
      <c r="H986" s="64">
        <v>0</v>
      </c>
      <c r="I986" s="79">
        <f t="shared" si="767"/>
        <v>0</v>
      </c>
      <c r="J986" s="4">
        <f t="shared" si="760"/>
        <v>0</v>
      </c>
      <c r="K986" s="4">
        <f t="shared" si="766"/>
        <v>0</v>
      </c>
      <c r="L986" s="65" t="e">
        <f t="shared" si="769"/>
        <v>#DIV/0!</v>
      </c>
      <c r="M986" s="66">
        <v>3.2963</v>
      </c>
      <c r="N986" s="67">
        <f t="shared" si="770"/>
        <v>0</v>
      </c>
      <c r="O986" s="67">
        <f t="shared" si="771"/>
        <v>0</v>
      </c>
      <c r="P986" s="1186"/>
    </row>
    <row r="987" spans="2:16" ht="15" thickBot="1" x14ac:dyDescent="0.35">
      <c r="B987" s="1181"/>
      <c r="C987" s="68" t="s">
        <v>88</v>
      </c>
      <c r="D987" s="69" t="s">
        <v>89</v>
      </c>
      <c r="E987" s="70">
        <v>0</v>
      </c>
      <c r="F987" s="71">
        <f t="shared" si="765"/>
        <v>0</v>
      </c>
      <c r="G987" s="71">
        <v>0</v>
      </c>
      <c r="H987" s="72">
        <v>0</v>
      </c>
      <c r="I987" s="80">
        <f t="shared" si="767"/>
        <v>65030</v>
      </c>
      <c r="J987" s="4">
        <f t="shared" si="760"/>
        <v>65000</v>
      </c>
      <c r="K987" s="4">
        <f t="shared" si="766"/>
        <v>30</v>
      </c>
      <c r="L987" s="65" t="e">
        <f t="shared" si="769"/>
        <v>#DIV/0!</v>
      </c>
      <c r="M987" s="73">
        <v>2.3201000000000001</v>
      </c>
      <c r="N987" s="74">
        <f t="shared" ref="N987" si="772">M987*G987</f>
        <v>0</v>
      </c>
      <c r="O987" s="74">
        <f t="shared" si="771"/>
        <v>150806.5</v>
      </c>
      <c r="P987" s="1187"/>
    </row>
    <row r="988" spans="2:16" ht="15" thickBot="1" x14ac:dyDescent="0.35">
      <c r="B988" s="1182"/>
      <c r="C988" s="1190" t="s">
        <v>99</v>
      </c>
      <c r="D988" s="1191"/>
      <c r="E988" s="1191"/>
      <c r="F988" s="1191"/>
      <c r="G988" s="1191"/>
      <c r="H988" s="1192"/>
      <c r="I988" s="116">
        <f>J988+K988</f>
        <v>1040384</v>
      </c>
      <c r="J988" s="115">
        <f>SUM(J960:J987)</f>
        <v>1011255</v>
      </c>
      <c r="K988" s="115">
        <f>SUM(K960:K987)</f>
        <v>29129</v>
      </c>
      <c r="L988" s="114"/>
      <c r="M988" s="113"/>
      <c r="N988" s="114"/>
      <c r="O988" s="97">
        <f>SUM(O960:O987)</f>
        <v>9738792.8593000006</v>
      </c>
      <c r="P988" s="96"/>
    </row>
    <row r="989" spans="2:16" ht="15" thickBot="1" x14ac:dyDescent="0.35">
      <c r="B989" s="100"/>
      <c r="C989" s="101"/>
      <c r="D989" s="101"/>
      <c r="E989" s="101"/>
      <c r="F989" s="101"/>
      <c r="G989" s="101"/>
      <c r="H989" s="101"/>
      <c r="I989" s="101"/>
      <c r="J989" s="101"/>
      <c r="K989" s="101"/>
      <c r="L989" s="101"/>
      <c r="M989" s="101"/>
      <c r="N989" s="101"/>
      <c r="O989" s="101"/>
      <c r="P989" s="102"/>
    </row>
    <row r="990" spans="2:16" ht="15" thickBot="1" x14ac:dyDescent="0.35">
      <c r="B990" s="1175" t="s">
        <v>100</v>
      </c>
      <c r="C990" s="1176"/>
      <c r="D990" s="1176"/>
      <c r="E990" s="1176"/>
      <c r="F990" s="1176"/>
      <c r="G990" s="1176"/>
      <c r="H990" s="1176"/>
      <c r="I990" s="1176"/>
      <c r="J990" s="1176"/>
      <c r="K990" s="1176"/>
      <c r="L990" s="1176"/>
      <c r="M990" s="1176"/>
      <c r="N990" s="1177"/>
      <c r="O990" s="103">
        <f>+O988+O959+O944</f>
        <v>21158258.021300003</v>
      </c>
      <c r="P990" s="96"/>
    </row>
    <row r="991" spans="2:16" ht="15" thickBot="1" x14ac:dyDescent="0.35"/>
    <row r="992" spans="2:16" x14ac:dyDescent="0.3">
      <c r="B992" s="1209" t="s">
        <v>1</v>
      </c>
      <c r="C992" s="1211" t="s">
        <v>2</v>
      </c>
      <c r="D992" s="1214" t="s">
        <v>3</v>
      </c>
      <c r="E992" s="1217" t="s">
        <v>4</v>
      </c>
      <c r="F992" s="1218"/>
      <c r="G992" s="1218"/>
      <c r="H992" s="1218"/>
      <c r="I992" s="1218"/>
      <c r="J992" s="1218"/>
      <c r="K992" s="1218"/>
      <c r="L992" s="1219"/>
      <c r="M992" s="1220" t="s">
        <v>5</v>
      </c>
      <c r="N992" s="1221"/>
      <c r="O992" s="1222"/>
      <c r="P992" s="1214" t="s">
        <v>6</v>
      </c>
    </row>
    <row r="993" spans="2:16" x14ac:dyDescent="0.3">
      <c r="B993" s="1210"/>
      <c r="C993" s="1212"/>
      <c r="D993" s="1215"/>
      <c r="E993" s="1223" t="s">
        <v>7</v>
      </c>
      <c r="F993" s="1225" t="s">
        <v>155</v>
      </c>
      <c r="G993" s="1225"/>
      <c r="H993" s="1226"/>
      <c r="I993" s="1227" t="s">
        <v>8</v>
      </c>
      <c r="J993" s="1225"/>
      <c r="K993" s="1225"/>
      <c r="L993" s="1226" t="s">
        <v>9</v>
      </c>
      <c r="M993" s="1229" t="s">
        <v>10</v>
      </c>
      <c r="N993" s="1231" t="s">
        <v>11</v>
      </c>
      <c r="O993" s="1233" t="s">
        <v>12</v>
      </c>
      <c r="P993" s="1215"/>
    </row>
    <row r="994" spans="2:16" ht="15" thickBot="1" x14ac:dyDescent="0.35">
      <c r="B994" s="1210"/>
      <c r="C994" s="1213"/>
      <c r="D994" s="1216"/>
      <c r="E994" s="1224"/>
      <c r="F994" s="2" t="s">
        <v>13</v>
      </c>
      <c r="G994" s="2" t="s">
        <v>14</v>
      </c>
      <c r="H994" s="219" t="s">
        <v>15</v>
      </c>
      <c r="I994" s="142" t="s">
        <v>13</v>
      </c>
      <c r="J994" s="2" t="s">
        <v>14</v>
      </c>
      <c r="K994" s="2" t="s">
        <v>15</v>
      </c>
      <c r="L994" s="1228"/>
      <c r="M994" s="1230"/>
      <c r="N994" s="1232"/>
      <c r="O994" s="1234"/>
      <c r="P994" s="1216"/>
    </row>
    <row r="995" spans="2:16" x14ac:dyDescent="0.3">
      <c r="B995" s="1193" t="s">
        <v>53</v>
      </c>
      <c r="C995" s="29"/>
      <c r="D995" s="117" t="s">
        <v>143</v>
      </c>
      <c r="E995" s="98">
        <v>0</v>
      </c>
      <c r="F995" s="4">
        <f>+G995+H995</f>
        <v>45480</v>
      </c>
      <c r="G995" s="4">
        <v>44240</v>
      </c>
      <c r="H995" s="8">
        <v>1240</v>
      </c>
      <c r="I995" s="6">
        <f>J995+K995</f>
        <v>484326</v>
      </c>
      <c r="J995" s="4">
        <f>G995+J930</f>
        <v>475160</v>
      </c>
      <c r="K995" s="4">
        <f>H995+K930</f>
        <v>9166</v>
      </c>
      <c r="L995" s="33" t="e">
        <f>+J995/E995</f>
        <v>#DIV/0!</v>
      </c>
      <c r="M995" s="104">
        <v>1.3652</v>
      </c>
      <c r="N995" s="31">
        <f>G995*M995</f>
        <v>60396.447999999997</v>
      </c>
      <c r="O995" s="86">
        <f>M995*J995</f>
        <v>648688.43200000003</v>
      </c>
      <c r="P995" s="1195"/>
    </row>
    <row r="996" spans="2:16" x14ac:dyDescent="0.3">
      <c r="B996" s="1194"/>
      <c r="C996" s="32"/>
      <c r="D996" s="118" t="s">
        <v>109</v>
      </c>
      <c r="E996" s="99">
        <v>0</v>
      </c>
      <c r="F996" s="9">
        <f>+G996+H996</f>
        <v>0</v>
      </c>
      <c r="G996" s="9">
        <v>0</v>
      </c>
      <c r="H996" s="10">
        <v>0</v>
      </c>
      <c r="I996" s="6">
        <f>J996+K996</f>
        <v>0</v>
      </c>
      <c r="J996" s="4">
        <f>+G996+J931</f>
        <v>0</v>
      </c>
      <c r="K996" s="4">
        <f>+H996+K931</f>
        <v>0</v>
      </c>
      <c r="L996" s="33"/>
      <c r="M996" s="105">
        <v>5.9917999999999996</v>
      </c>
      <c r="N996" s="34">
        <f>M996*G996</f>
        <v>0</v>
      </c>
      <c r="O996" s="87">
        <f>M996*J996</f>
        <v>0</v>
      </c>
      <c r="P996" s="1196"/>
    </row>
    <row r="997" spans="2:16" x14ac:dyDescent="0.3">
      <c r="B997" s="1194"/>
      <c r="C997" s="35"/>
      <c r="D997" s="119" t="s">
        <v>55</v>
      </c>
      <c r="E997" s="99">
        <v>0</v>
      </c>
      <c r="F997" s="9">
        <f t="shared" ref="F997:F1001" si="773">+G997+H997</f>
        <v>161248</v>
      </c>
      <c r="G997" s="9">
        <v>160250</v>
      </c>
      <c r="H997" s="10">
        <v>998</v>
      </c>
      <c r="I997" s="6">
        <f t="shared" ref="I997:I1001" si="774">J997+K997</f>
        <v>3002799</v>
      </c>
      <c r="J997" s="4">
        <f t="shared" ref="J997:J1001" si="775">+G997+J932</f>
        <v>2981000</v>
      </c>
      <c r="K997" s="4">
        <f t="shared" ref="K997:K1001" si="776">+H997+K932</f>
        <v>21799</v>
      </c>
      <c r="L997" s="33" t="e">
        <f t="shared" ref="L997" si="777">+J997/E997</f>
        <v>#DIV/0!</v>
      </c>
      <c r="M997" s="106">
        <v>2.3807999999999998</v>
      </c>
      <c r="N997" s="36">
        <f>G997*M997</f>
        <v>381523.19999999995</v>
      </c>
      <c r="O997" s="88">
        <f>M997*J997</f>
        <v>7097164.7999999998</v>
      </c>
      <c r="P997" s="1196"/>
    </row>
    <row r="998" spans="2:16" x14ac:dyDescent="0.3">
      <c r="B998" s="1194"/>
      <c r="C998" s="35"/>
      <c r="D998" s="119" t="s">
        <v>56</v>
      </c>
      <c r="E998" s="99">
        <v>0</v>
      </c>
      <c r="F998" s="9">
        <f t="shared" si="773"/>
        <v>0</v>
      </c>
      <c r="G998" s="9">
        <v>0</v>
      </c>
      <c r="H998" s="10">
        <v>0</v>
      </c>
      <c r="I998" s="6">
        <f t="shared" si="774"/>
        <v>0</v>
      </c>
      <c r="J998" s="4">
        <f t="shared" si="775"/>
        <v>0</v>
      </c>
      <c r="K998" s="4">
        <f t="shared" si="776"/>
        <v>0</v>
      </c>
      <c r="L998" s="33"/>
      <c r="M998" s="106">
        <v>2.1457999999999999</v>
      </c>
      <c r="N998" s="36">
        <f t="shared" ref="N998:N1001" si="778">G998*M998</f>
        <v>0</v>
      </c>
      <c r="O998" s="88">
        <f>M998*J998</f>
        <v>0</v>
      </c>
      <c r="P998" s="1196"/>
    </row>
    <row r="999" spans="2:16" x14ac:dyDescent="0.3">
      <c r="B999" s="1194"/>
      <c r="C999" s="35"/>
      <c r="D999" s="119" t="s">
        <v>106</v>
      </c>
      <c r="E999" s="99">
        <v>0</v>
      </c>
      <c r="F999" s="9">
        <f t="shared" si="773"/>
        <v>0</v>
      </c>
      <c r="G999" s="9">
        <v>0</v>
      </c>
      <c r="H999" s="10">
        <v>0</v>
      </c>
      <c r="I999" s="6">
        <f t="shared" si="774"/>
        <v>53280</v>
      </c>
      <c r="J999" s="4">
        <f t="shared" si="775"/>
        <v>42000</v>
      </c>
      <c r="K999" s="4">
        <f t="shared" si="776"/>
        <v>11280</v>
      </c>
      <c r="L999" s="33" t="e">
        <f t="shared" ref="L999:L1000" si="779">+J999/E999</f>
        <v>#DIV/0!</v>
      </c>
      <c r="M999" s="143">
        <v>4.0426000000000002</v>
      </c>
      <c r="N999" s="36">
        <f t="shared" si="778"/>
        <v>0</v>
      </c>
      <c r="O999" s="88">
        <f>M999*J999</f>
        <v>169789.2</v>
      </c>
      <c r="P999" s="1196"/>
    </row>
    <row r="1000" spans="2:16" x14ac:dyDescent="0.3">
      <c r="B1000" s="1194"/>
      <c r="C1000" s="35"/>
      <c r="D1000" s="119" t="s">
        <v>110</v>
      </c>
      <c r="E1000" s="99">
        <v>0</v>
      </c>
      <c r="F1000" s="9">
        <f t="shared" si="773"/>
        <v>0</v>
      </c>
      <c r="G1000" s="9">
        <v>0</v>
      </c>
      <c r="H1000" s="10">
        <v>0</v>
      </c>
      <c r="I1000" s="6">
        <f t="shared" si="774"/>
        <v>0</v>
      </c>
      <c r="J1000" s="4">
        <f t="shared" si="775"/>
        <v>0</v>
      </c>
      <c r="K1000" s="4">
        <f t="shared" si="776"/>
        <v>0</v>
      </c>
      <c r="L1000" s="33" t="e">
        <f t="shared" si="779"/>
        <v>#DIV/0!</v>
      </c>
      <c r="M1000" s="143">
        <v>3.8715000000000002</v>
      </c>
      <c r="N1000" s="36">
        <f t="shared" si="778"/>
        <v>0</v>
      </c>
      <c r="O1000" s="88">
        <f t="shared" ref="O1000:O1001" si="780">M1000*J1000</f>
        <v>0</v>
      </c>
      <c r="P1000" s="1196"/>
    </row>
    <row r="1001" spans="2:16" ht="15" thickBot="1" x14ac:dyDescent="0.35">
      <c r="B1001" s="1194"/>
      <c r="C1001" s="82"/>
      <c r="D1001" s="120" t="s">
        <v>57</v>
      </c>
      <c r="E1001" s="108">
        <v>0</v>
      </c>
      <c r="F1001" s="12">
        <f t="shared" si="773"/>
        <v>0</v>
      </c>
      <c r="G1001" s="12">
        <v>0</v>
      </c>
      <c r="H1001" s="13">
        <v>0</v>
      </c>
      <c r="I1001" s="21">
        <f t="shared" si="774"/>
        <v>0</v>
      </c>
      <c r="J1001" s="4">
        <f t="shared" si="775"/>
        <v>0</v>
      </c>
      <c r="K1001" s="4">
        <f t="shared" si="776"/>
        <v>0</v>
      </c>
      <c r="L1001" s="81"/>
      <c r="M1001" s="127">
        <v>12.284700000000001</v>
      </c>
      <c r="N1001" s="36">
        <f t="shared" si="778"/>
        <v>0</v>
      </c>
      <c r="O1001" s="128">
        <f t="shared" si="780"/>
        <v>0</v>
      </c>
      <c r="P1001" s="1196"/>
    </row>
    <row r="1002" spans="2:16" ht="15" thickBot="1" x14ac:dyDescent="0.35">
      <c r="B1002" s="1194"/>
      <c r="C1002" s="1199" t="s">
        <v>104</v>
      </c>
      <c r="D1002" s="1200"/>
      <c r="E1002" s="129"/>
      <c r="F1002" s="130">
        <f>SUM(F995:F1001)</f>
        <v>206728</v>
      </c>
      <c r="G1002" s="130">
        <f>SUM(G995:G1001)</f>
        <v>204490</v>
      </c>
      <c r="H1002" s="131">
        <f>SUM(H995:H1001)</f>
        <v>2238</v>
      </c>
      <c r="I1002" s="132">
        <f>+J1002+K1002</f>
        <v>3540405</v>
      </c>
      <c r="J1002" s="133">
        <f>SUM(J995:J1001)</f>
        <v>3498160</v>
      </c>
      <c r="K1002" s="133">
        <f>SUM(K995:K1001)</f>
        <v>42245</v>
      </c>
      <c r="L1002" s="134"/>
      <c r="M1002" s="135"/>
      <c r="N1002" s="136"/>
      <c r="O1002" s="137">
        <f>SUM(O995:O1001)</f>
        <v>7915642.432</v>
      </c>
      <c r="P1002" s="1197"/>
    </row>
    <row r="1003" spans="2:16" x14ac:dyDescent="0.3">
      <c r="B1003" s="1194"/>
      <c r="C1003" s="32"/>
      <c r="D1003" s="118" t="s">
        <v>58</v>
      </c>
      <c r="E1003" s="98">
        <v>0</v>
      </c>
      <c r="F1003" s="4">
        <f t="shared" ref="F1003:F1006" si="781">+G1003+H1003</f>
        <v>0</v>
      </c>
      <c r="G1003" s="4">
        <v>0</v>
      </c>
      <c r="H1003" s="8">
        <v>0</v>
      </c>
      <c r="I1003" s="6">
        <f t="shared" ref="I1003:I1007" si="782">J1003+K1003</f>
        <v>0</v>
      </c>
      <c r="J1003" s="4">
        <f>G1003+J938</f>
        <v>0</v>
      </c>
      <c r="K1003" s="4">
        <f>H1003+K938</f>
        <v>0</v>
      </c>
      <c r="L1003" s="33" t="e">
        <f t="shared" ref="L1003" si="783">+J1003/E1003</f>
        <v>#DIV/0!</v>
      </c>
      <c r="M1003" s="105">
        <v>12.029500000000001</v>
      </c>
      <c r="N1003" s="34">
        <f>M1003*G1003</f>
        <v>0</v>
      </c>
      <c r="O1003" s="87">
        <f t="shared" ref="O1003:O1005" si="784">M1003*J1003</f>
        <v>0</v>
      </c>
      <c r="P1003" s="1196"/>
    </row>
    <row r="1004" spans="2:16" x14ac:dyDescent="0.3">
      <c r="B1004" s="1194"/>
      <c r="C1004" s="35"/>
      <c r="D1004" s="119" t="s">
        <v>59</v>
      </c>
      <c r="E1004" s="99">
        <v>0</v>
      </c>
      <c r="F1004" s="9">
        <f t="shared" si="781"/>
        <v>0</v>
      </c>
      <c r="G1004" s="9">
        <v>0</v>
      </c>
      <c r="H1004" s="10">
        <v>0</v>
      </c>
      <c r="I1004" s="6">
        <f t="shared" si="782"/>
        <v>0</v>
      </c>
      <c r="J1004" s="4">
        <f>G1004+J939</f>
        <v>0</v>
      </c>
      <c r="K1004" s="4">
        <f>H1004+K939</f>
        <v>0</v>
      </c>
      <c r="L1004" s="33"/>
      <c r="M1004" s="106">
        <v>0</v>
      </c>
      <c r="N1004" s="36"/>
      <c r="O1004" s="88">
        <f t="shared" si="784"/>
        <v>0</v>
      </c>
      <c r="P1004" s="1196"/>
    </row>
    <row r="1005" spans="2:16" x14ac:dyDescent="0.3">
      <c r="B1005" s="1194"/>
      <c r="C1005" s="35"/>
      <c r="D1005" s="119" t="s">
        <v>97</v>
      </c>
      <c r="E1005" s="99">
        <v>0</v>
      </c>
      <c r="F1005" s="9">
        <f t="shared" si="781"/>
        <v>0</v>
      </c>
      <c r="G1005" s="9">
        <v>0</v>
      </c>
      <c r="H1005" s="10">
        <v>0</v>
      </c>
      <c r="I1005" s="6">
        <f t="shared" si="782"/>
        <v>0</v>
      </c>
      <c r="J1005" s="4">
        <f t="shared" ref="J1005:J1007" si="785">G1005+J940</f>
        <v>0</v>
      </c>
      <c r="K1005" s="4">
        <f t="shared" ref="K1005:K1007" si="786">H1005+K940</f>
        <v>0</v>
      </c>
      <c r="L1005" s="33" t="e">
        <f t="shared" ref="L1005:L1007" si="787">+J1005/E1005</f>
        <v>#DIV/0!</v>
      </c>
      <c r="M1005" s="106">
        <v>19.688600000000001</v>
      </c>
      <c r="N1005" s="36">
        <f>M1005*G1005</f>
        <v>0</v>
      </c>
      <c r="O1005" s="88">
        <f t="shared" si="784"/>
        <v>0</v>
      </c>
      <c r="P1005" s="1196"/>
    </row>
    <row r="1006" spans="2:16" x14ac:dyDescent="0.3">
      <c r="B1006" s="1194"/>
      <c r="C1006" s="35"/>
      <c r="D1006" s="119" t="s">
        <v>61</v>
      </c>
      <c r="E1006" s="99">
        <v>0</v>
      </c>
      <c r="F1006" s="9">
        <f t="shared" si="781"/>
        <v>0</v>
      </c>
      <c r="G1006" s="9">
        <v>0</v>
      </c>
      <c r="H1006" s="10">
        <v>0</v>
      </c>
      <c r="I1006" s="6">
        <f t="shared" si="782"/>
        <v>60000</v>
      </c>
      <c r="J1006" s="4">
        <f t="shared" si="785"/>
        <v>60000</v>
      </c>
      <c r="K1006" s="4">
        <f t="shared" si="786"/>
        <v>0</v>
      </c>
      <c r="L1006" s="33" t="e">
        <f t="shared" si="787"/>
        <v>#DIV/0!</v>
      </c>
      <c r="M1006" s="106">
        <v>1.2824</v>
      </c>
      <c r="N1006" s="151">
        <f>M1006*G1006</f>
        <v>0</v>
      </c>
      <c r="O1006" s="88">
        <f>M1006*J1006</f>
        <v>76944</v>
      </c>
      <c r="P1006" s="1196"/>
    </row>
    <row r="1007" spans="2:16" ht="15" thickBot="1" x14ac:dyDescent="0.35">
      <c r="B1007" s="1194"/>
      <c r="C1007" s="82"/>
      <c r="D1007" s="120" t="s">
        <v>60</v>
      </c>
      <c r="E1007" s="108">
        <v>0</v>
      </c>
      <c r="F1007" s="12">
        <v>0</v>
      </c>
      <c r="G1007" s="12">
        <v>12960</v>
      </c>
      <c r="H1007" s="13">
        <v>182</v>
      </c>
      <c r="I1007" s="21">
        <f t="shared" si="782"/>
        <v>96284</v>
      </c>
      <c r="J1007" s="4">
        <f t="shared" si="785"/>
        <v>95040</v>
      </c>
      <c r="K1007" s="4">
        <f t="shared" si="786"/>
        <v>1244</v>
      </c>
      <c r="L1007" s="81" t="e">
        <f t="shared" si="787"/>
        <v>#DIV/0!</v>
      </c>
      <c r="M1007" s="107">
        <v>18.2316</v>
      </c>
      <c r="N1007" s="75"/>
      <c r="O1007" s="89">
        <f t="shared" ref="O1007" si="788">M1007*J1007</f>
        <v>1732731.264</v>
      </c>
      <c r="P1007" s="1198"/>
    </row>
    <row r="1008" spans="2:16" ht="15" thickBot="1" x14ac:dyDescent="0.35">
      <c r="B1008" s="1178" t="s">
        <v>105</v>
      </c>
      <c r="C1008" s="1179"/>
      <c r="D1008" s="1179"/>
      <c r="E1008" s="124"/>
      <c r="F1008" s="125">
        <f>+G1008+H1008</f>
        <v>13142</v>
      </c>
      <c r="G1008" s="125">
        <f>SUM(G1003:G1007)</f>
        <v>12960</v>
      </c>
      <c r="H1008" s="126">
        <f>SUM(H1003:H1007)</f>
        <v>182</v>
      </c>
      <c r="I1008" s="121">
        <f>J1008+K1008</f>
        <v>156284</v>
      </c>
      <c r="J1008" s="122">
        <f>SUM(J1003:J1007)</f>
        <v>155040</v>
      </c>
      <c r="K1008" s="123">
        <f>SUM(K1003:K1007)</f>
        <v>1244</v>
      </c>
      <c r="L1008" s="138"/>
      <c r="M1008" s="139"/>
      <c r="N1008" s="140"/>
      <c r="O1008" s="141">
        <f>SUM(O1003:O1007)</f>
        <v>1809675.264</v>
      </c>
      <c r="P1008" s="217"/>
    </row>
    <row r="1009" spans="2:16" ht="15" thickBot="1" x14ac:dyDescent="0.35">
      <c r="B1009" s="1178" t="s">
        <v>98</v>
      </c>
      <c r="C1009" s="1179"/>
      <c r="D1009" s="1179"/>
      <c r="E1009" s="1201"/>
      <c r="F1009" s="1201"/>
      <c r="G1009" s="1201"/>
      <c r="H1009" s="1201"/>
      <c r="I1009" s="1179"/>
      <c r="J1009" s="1179"/>
      <c r="K1009" s="1179"/>
      <c r="L1009" s="1179"/>
      <c r="M1009" s="1179"/>
      <c r="N1009" s="1202"/>
      <c r="O1009" s="83">
        <f>O1002+O1008</f>
        <v>9725317.6960000005</v>
      </c>
      <c r="P1009" s="217"/>
    </row>
    <row r="1010" spans="2:16" x14ac:dyDescent="0.3">
      <c r="B1010" s="1193" t="s">
        <v>62</v>
      </c>
      <c r="C1010" s="37" t="s">
        <v>63</v>
      </c>
      <c r="D1010" s="28" t="s">
        <v>64</v>
      </c>
      <c r="E1010" s="38">
        <v>0</v>
      </c>
      <c r="F1010" s="14">
        <f>+G1010+H1010</f>
        <v>0</v>
      </c>
      <c r="G1010" s="14">
        <v>0</v>
      </c>
      <c r="H1010" s="5">
        <v>0</v>
      </c>
      <c r="I1010" s="17">
        <f t="shared" ref="I1010:I1016" si="789">J1010+K1010</f>
        <v>0</v>
      </c>
      <c r="J1010" s="4">
        <f>G1010+J945</f>
        <v>0</v>
      </c>
      <c r="K1010" s="4">
        <f>H1010+K945</f>
        <v>0</v>
      </c>
      <c r="L1010" s="30" t="e">
        <f>+J1010/E1010</f>
        <v>#DIV/0!</v>
      </c>
      <c r="M1010" s="146">
        <v>2.2141000000000002</v>
      </c>
      <c r="N1010" s="15">
        <f>+M1010*G1010</f>
        <v>0</v>
      </c>
      <c r="O1010" s="90">
        <f>+M1010*J1010</f>
        <v>0</v>
      </c>
      <c r="P1010" s="1204"/>
    </row>
    <row r="1011" spans="2:16" x14ac:dyDescent="0.3">
      <c r="B1011" s="1194"/>
      <c r="C1011" s="39"/>
      <c r="D1011" s="22" t="s">
        <v>65</v>
      </c>
      <c r="E1011" s="3">
        <v>0</v>
      </c>
      <c r="F1011" s="9">
        <f t="shared" ref="F1011:F1016" si="790">+G1011+H1011</f>
        <v>0</v>
      </c>
      <c r="G1011" s="4">
        <v>0</v>
      </c>
      <c r="H1011" s="8">
        <v>0</v>
      </c>
      <c r="I1011" s="6">
        <f t="shared" si="789"/>
        <v>0</v>
      </c>
      <c r="J1011" s="4">
        <f>+G1011+J946</f>
        <v>0</v>
      </c>
      <c r="K1011" s="4">
        <f>+H1011+K946</f>
        <v>0</v>
      </c>
      <c r="L1011" s="40" t="e">
        <f t="shared" ref="L1011:L1012" si="791">+J1011/E1011</f>
        <v>#DIV/0!</v>
      </c>
      <c r="M1011" s="145">
        <v>2.4565999999999999</v>
      </c>
      <c r="N1011" s="11">
        <f t="shared" ref="N1011:N1013" si="792">+M1011*G1011</f>
        <v>0</v>
      </c>
      <c r="O1011" s="91">
        <f t="shared" ref="O1011:O1013" si="793">+M1011*J1011</f>
        <v>0</v>
      </c>
      <c r="P1011" s="1205"/>
    </row>
    <row r="1012" spans="2:16" x14ac:dyDescent="0.3">
      <c r="B1012" s="1194"/>
      <c r="C1012" s="39"/>
      <c r="D1012" s="23" t="s">
        <v>126</v>
      </c>
      <c r="E1012" s="3">
        <v>0</v>
      </c>
      <c r="F1012" s="9">
        <f t="shared" si="790"/>
        <v>0</v>
      </c>
      <c r="G1012" s="4">
        <v>0</v>
      </c>
      <c r="H1012" s="8">
        <v>0</v>
      </c>
      <c r="I1012" s="6">
        <f t="shared" si="789"/>
        <v>0</v>
      </c>
      <c r="J1012" s="4">
        <f t="shared" ref="J1012:J1013" si="794">+G1012+J947</f>
        <v>0</v>
      </c>
      <c r="K1012" s="4">
        <f t="shared" ref="K1012:K1016" si="795">+H1012+K947</f>
        <v>0</v>
      </c>
      <c r="L1012" s="40" t="e">
        <f t="shared" si="791"/>
        <v>#DIV/0!</v>
      </c>
      <c r="M1012" s="145">
        <v>2.2907000000000002</v>
      </c>
      <c r="N1012" s="11">
        <f t="shared" si="792"/>
        <v>0</v>
      </c>
      <c r="O1012" s="91">
        <f t="shared" si="793"/>
        <v>0</v>
      </c>
      <c r="P1012" s="1205"/>
    </row>
    <row r="1013" spans="2:16" x14ac:dyDescent="0.3">
      <c r="B1013" s="1194"/>
      <c r="C1013" s="39"/>
      <c r="D1013" s="22" t="s">
        <v>131</v>
      </c>
      <c r="E1013" s="3"/>
      <c r="F1013" s="9">
        <f t="shared" si="790"/>
        <v>0</v>
      </c>
      <c r="G1013" s="4">
        <v>0</v>
      </c>
      <c r="H1013" s="8">
        <v>0</v>
      </c>
      <c r="I1013" s="6">
        <f t="shared" si="789"/>
        <v>0</v>
      </c>
      <c r="J1013" s="4">
        <f t="shared" si="794"/>
        <v>0</v>
      </c>
      <c r="K1013" s="4">
        <f t="shared" si="795"/>
        <v>0</v>
      </c>
      <c r="L1013" s="33"/>
      <c r="M1013" s="150">
        <v>2.544</v>
      </c>
      <c r="N1013" s="11">
        <f t="shared" si="792"/>
        <v>0</v>
      </c>
      <c r="O1013" s="91">
        <f t="shared" si="793"/>
        <v>0</v>
      </c>
      <c r="P1013" s="1205"/>
    </row>
    <row r="1014" spans="2:16" x14ac:dyDescent="0.3">
      <c r="B1014" s="1194"/>
      <c r="C1014" s="39" t="s">
        <v>66</v>
      </c>
      <c r="D1014" s="22" t="s">
        <v>133</v>
      </c>
      <c r="E1014" s="3">
        <v>0</v>
      </c>
      <c r="F1014" s="9">
        <f t="shared" si="790"/>
        <v>0</v>
      </c>
      <c r="G1014" s="4">
        <v>0</v>
      </c>
      <c r="H1014" s="8">
        <v>0</v>
      </c>
      <c r="I1014" s="6">
        <f t="shared" si="789"/>
        <v>567947</v>
      </c>
      <c r="J1014" s="4">
        <f>+G1014+J949</f>
        <v>552750</v>
      </c>
      <c r="K1014" s="4">
        <f t="shared" si="795"/>
        <v>15197</v>
      </c>
      <c r="L1014" s="33" t="e">
        <f>+J1014/E1014</f>
        <v>#DIV/0!</v>
      </c>
      <c r="M1014" s="144">
        <v>2.2141000000000002</v>
      </c>
      <c r="N1014" s="7">
        <f>+M1014*G1014</f>
        <v>0</v>
      </c>
      <c r="O1014" s="85">
        <f>+M1014*J1014</f>
        <v>1223843.7750000001</v>
      </c>
      <c r="P1014" s="1205"/>
    </row>
    <row r="1015" spans="2:16" x14ac:dyDescent="0.3">
      <c r="B1015" s="1194"/>
      <c r="C1015" s="39"/>
      <c r="D1015" s="22" t="s">
        <v>65</v>
      </c>
      <c r="E1015" s="3">
        <v>0</v>
      </c>
      <c r="F1015" s="9">
        <f t="shared" si="790"/>
        <v>0</v>
      </c>
      <c r="G1015" s="4">
        <v>0</v>
      </c>
      <c r="H1015" s="8">
        <v>0</v>
      </c>
      <c r="I1015" s="6">
        <f t="shared" si="789"/>
        <v>0</v>
      </c>
      <c r="J1015" s="4">
        <f t="shared" ref="J1015:J1016" si="796">+G1015+J950</f>
        <v>0</v>
      </c>
      <c r="K1015" s="4">
        <f t="shared" si="795"/>
        <v>0</v>
      </c>
      <c r="L1015" s="40" t="e">
        <f t="shared" ref="L1015:L1016" si="797">+J1015/E1015</f>
        <v>#DIV/0!</v>
      </c>
      <c r="M1015" s="145">
        <v>2.4565999999999999</v>
      </c>
      <c r="N1015" s="11">
        <f t="shared" ref="N1015:N1016" si="798">+M1015*G1015</f>
        <v>0</v>
      </c>
      <c r="O1015" s="91">
        <f t="shared" ref="O1015" si="799">+M1015*J1015</f>
        <v>0</v>
      </c>
      <c r="P1015" s="1205"/>
    </row>
    <row r="1016" spans="2:16" ht="15" thickBot="1" x14ac:dyDescent="0.35">
      <c r="B1016" s="1194"/>
      <c r="C1016" s="39"/>
      <c r="D1016" s="22" t="s">
        <v>126</v>
      </c>
      <c r="E1016" s="3">
        <v>0</v>
      </c>
      <c r="F1016" s="9">
        <f t="shared" si="790"/>
        <v>0</v>
      </c>
      <c r="G1016" s="4">
        <v>0</v>
      </c>
      <c r="H1016" s="8">
        <v>0</v>
      </c>
      <c r="I1016" s="6">
        <f t="shared" si="789"/>
        <v>0</v>
      </c>
      <c r="J1016" s="4">
        <f t="shared" si="796"/>
        <v>0</v>
      </c>
      <c r="K1016" s="4">
        <f t="shared" si="795"/>
        <v>0</v>
      </c>
      <c r="L1016" s="40" t="e">
        <f t="shared" si="797"/>
        <v>#DIV/0!</v>
      </c>
      <c r="M1016" s="145">
        <v>2.2907000000000002</v>
      </c>
      <c r="N1016" s="11">
        <f t="shared" si="798"/>
        <v>0</v>
      </c>
      <c r="O1016" s="154">
        <f>+M1016*J1016</f>
        <v>0</v>
      </c>
      <c r="P1016" s="1206"/>
    </row>
    <row r="1017" spans="2:16" ht="15" thickBot="1" x14ac:dyDescent="0.35">
      <c r="B1017" s="1194"/>
      <c r="C1017" s="41" t="s">
        <v>29</v>
      </c>
      <c r="D1017" s="27" t="str">
        <f>+C1017</f>
        <v>TOTAL 1/2</v>
      </c>
      <c r="E1017" s="42">
        <f>SUM(E1010:E1016)</f>
        <v>0</v>
      </c>
      <c r="F1017" s="43">
        <f>SUM(F1010:F1016)</f>
        <v>0</v>
      </c>
      <c r="G1017" s="43">
        <f>SUM(G1010:G1016)</f>
        <v>0</v>
      </c>
      <c r="H1017" s="44">
        <f>SUM(H1010:H1016)</f>
        <v>0</v>
      </c>
      <c r="I1017" s="45">
        <f>SUM(I1014:I1016)</f>
        <v>567947</v>
      </c>
      <c r="J1017" s="43">
        <f>SUM(J1010:J1016)</f>
        <v>552750</v>
      </c>
      <c r="K1017" s="43">
        <f>SUM(K1010:K1016)</f>
        <v>15197</v>
      </c>
      <c r="L1017" s="46" t="e">
        <f>+J1017/E1017</f>
        <v>#DIV/0!</v>
      </c>
      <c r="M1017" s="47"/>
      <c r="N1017" s="48">
        <f>SUM(N1014:N1016)</f>
        <v>0</v>
      </c>
      <c r="O1017" s="49">
        <f>SUM(O1010:O1016)</f>
        <v>1223843.7750000001</v>
      </c>
      <c r="P1017" s="218"/>
    </row>
    <row r="1018" spans="2:16" x14ac:dyDescent="0.3">
      <c r="B1018" s="1194"/>
      <c r="C1018" s="1207" t="s">
        <v>67</v>
      </c>
      <c r="D1018" s="22" t="s">
        <v>64</v>
      </c>
      <c r="E1018" s="3">
        <v>0</v>
      </c>
      <c r="F1018" s="4">
        <f>G1018+H1018</f>
        <v>0</v>
      </c>
      <c r="G1018" s="4">
        <v>0</v>
      </c>
      <c r="H1018" s="8">
        <v>0</v>
      </c>
      <c r="I1018" s="16">
        <f>J1018+K1018</f>
        <v>109220</v>
      </c>
      <c r="J1018" s="4">
        <f>G1018+J953</f>
        <v>105750</v>
      </c>
      <c r="K1018" s="4">
        <f>H1018+K953</f>
        <v>3470</v>
      </c>
      <c r="L1018" s="50" t="e">
        <f>+J1018/E1018</f>
        <v>#DIV/0!</v>
      </c>
      <c r="M1018" s="144">
        <v>4.1712999999999996</v>
      </c>
      <c r="N1018" s="7">
        <f>+M1018*G1018</f>
        <v>0</v>
      </c>
      <c r="O1018" s="93">
        <f>+M1018*J1018</f>
        <v>441114.97499999998</v>
      </c>
      <c r="P1018" s="1204"/>
    </row>
    <row r="1019" spans="2:16" x14ac:dyDescent="0.3">
      <c r="B1019" s="1194"/>
      <c r="C1019" s="1208"/>
      <c r="D1019" s="22" t="s">
        <v>65</v>
      </c>
      <c r="E1019" s="3">
        <v>0</v>
      </c>
      <c r="F1019" s="4">
        <f>G1019+H1019</f>
        <v>31370</v>
      </c>
      <c r="G1019" s="4">
        <v>30000</v>
      </c>
      <c r="H1019" s="8">
        <v>1370</v>
      </c>
      <c r="I1019" s="6">
        <f>+R2063+F1019</f>
        <v>31370</v>
      </c>
      <c r="J1019" s="4">
        <f>G1019+J954</f>
        <v>176500</v>
      </c>
      <c r="K1019" s="4">
        <f>H1019+K954</f>
        <v>6080</v>
      </c>
      <c r="L1019" s="51" t="e">
        <f t="shared" ref="L1019:L1023" si="800">+J1019/E1019</f>
        <v>#DIV/0!</v>
      </c>
      <c r="M1019" s="145">
        <v>4.8285999999999998</v>
      </c>
      <c r="N1019" s="11">
        <f t="shared" ref="N1019:N1021" si="801">+M1019*G1019</f>
        <v>144858</v>
      </c>
      <c r="O1019" s="94">
        <f t="shared" ref="O1019:O1021" si="802">+M1019*J1019</f>
        <v>852247.89999999991</v>
      </c>
      <c r="P1019" s="1205"/>
    </row>
    <row r="1020" spans="2:16" x14ac:dyDescent="0.3">
      <c r="B1020" s="1194"/>
      <c r="C1020" s="1208"/>
      <c r="D1020" s="22" t="s">
        <v>127</v>
      </c>
      <c r="E1020" s="3"/>
      <c r="F1020" s="4">
        <f>G1020+H1020</f>
        <v>0</v>
      </c>
      <c r="G1020" s="4">
        <v>0</v>
      </c>
      <c r="H1020" s="8">
        <v>0</v>
      </c>
      <c r="I1020" s="6">
        <f>+R2064+F1020</f>
        <v>0</v>
      </c>
      <c r="J1020" s="4">
        <f t="shared" ref="J1020:J1021" si="803">G1020+J955</f>
        <v>0</v>
      </c>
      <c r="K1020" s="4">
        <f t="shared" ref="K1020:K1021" si="804">H1020+K955</f>
        <v>0</v>
      </c>
      <c r="L1020" s="51" t="e">
        <f t="shared" si="800"/>
        <v>#DIV/0!</v>
      </c>
      <c r="M1020" s="144">
        <v>4.5023</v>
      </c>
      <c r="N1020" s="11">
        <f t="shared" si="801"/>
        <v>0</v>
      </c>
      <c r="O1020" s="94">
        <f t="shared" si="802"/>
        <v>0</v>
      </c>
      <c r="P1020" s="1205"/>
    </row>
    <row r="1021" spans="2:16" ht="15" thickBot="1" x14ac:dyDescent="0.35">
      <c r="B1021" s="1194"/>
      <c r="C1021" s="1208"/>
      <c r="D1021" s="22" t="s">
        <v>111</v>
      </c>
      <c r="E1021" s="3">
        <v>0</v>
      </c>
      <c r="F1021" s="4">
        <f t="shared" ref="F1021" si="805">G1021+H1021</f>
        <v>0</v>
      </c>
      <c r="G1021" s="4">
        <v>0</v>
      </c>
      <c r="H1021" s="8">
        <v>0</v>
      </c>
      <c r="I1021" s="6">
        <f>+R2064+F1021</f>
        <v>0</v>
      </c>
      <c r="J1021" s="4">
        <f t="shared" si="803"/>
        <v>0</v>
      </c>
      <c r="K1021" s="4">
        <f t="shared" si="804"/>
        <v>0</v>
      </c>
      <c r="L1021" s="51" t="e">
        <f t="shared" si="800"/>
        <v>#DIV/0!</v>
      </c>
      <c r="M1021" s="144">
        <v>4.4065000000000003</v>
      </c>
      <c r="N1021" s="11">
        <f t="shared" si="801"/>
        <v>0</v>
      </c>
      <c r="O1021" s="94">
        <f t="shared" si="802"/>
        <v>0</v>
      </c>
      <c r="P1021" s="1205"/>
    </row>
    <row r="1022" spans="2:16" ht="15" thickBot="1" x14ac:dyDescent="0.35">
      <c r="B1022" s="1194"/>
      <c r="C1022" s="41" t="s">
        <v>31</v>
      </c>
      <c r="D1022" s="18" t="str">
        <f>+C1022</f>
        <v>TOTAL 4/4</v>
      </c>
      <c r="E1022" s="42">
        <f t="shared" ref="E1022:K1022" si="806">SUM(E1018:E1021)</f>
        <v>0</v>
      </c>
      <c r="F1022" s="43">
        <f t="shared" si="806"/>
        <v>31370</v>
      </c>
      <c r="G1022" s="43">
        <f t="shared" si="806"/>
        <v>30000</v>
      </c>
      <c r="H1022" s="44">
        <f t="shared" si="806"/>
        <v>1370</v>
      </c>
      <c r="I1022" s="45">
        <f t="shared" si="806"/>
        <v>140590</v>
      </c>
      <c r="J1022" s="43">
        <f t="shared" si="806"/>
        <v>282250</v>
      </c>
      <c r="K1022" s="43">
        <f t="shared" si="806"/>
        <v>9550</v>
      </c>
      <c r="L1022" s="46" t="e">
        <f t="shared" si="800"/>
        <v>#DIV/0!</v>
      </c>
      <c r="M1022" s="47"/>
      <c r="N1022" s="48">
        <f>SUM(N1018:N1021)</f>
        <v>144858</v>
      </c>
      <c r="O1022" s="92">
        <f>SUM(O1018:O1021)</f>
        <v>1293362.875</v>
      </c>
      <c r="P1022" s="1206"/>
    </row>
    <row r="1023" spans="2:16" ht="15" thickBot="1" x14ac:dyDescent="0.35">
      <c r="B1023" s="1203"/>
      <c r="C1023" s="41" t="s">
        <v>68</v>
      </c>
      <c r="D1023" s="27" t="s">
        <v>64</v>
      </c>
      <c r="E1023" s="25">
        <v>0</v>
      </c>
      <c r="F1023" s="20">
        <f>G1023+H1023</f>
        <v>0</v>
      </c>
      <c r="G1023" s="20">
        <v>0</v>
      </c>
      <c r="H1023" s="24">
        <v>0</v>
      </c>
      <c r="I1023" s="19">
        <f>J1023+K1023</f>
        <v>0</v>
      </c>
      <c r="J1023" s="4">
        <f>G1023+J958</f>
        <v>0</v>
      </c>
      <c r="K1023" s="4">
        <f>H1023+K958</f>
        <v>0</v>
      </c>
      <c r="L1023" s="52" t="e">
        <f t="shared" si="800"/>
        <v>#DIV/0!</v>
      </c>
      <c r="M1023" s="149">
        <v>1.4086000000000001</v>
      </c>
      <c r="N1023" s="26">
        <f t="shared" ref="N1023" si="807">+M1023*G1023</f>
        <v>0</v>
      </c>
      <c r="O1023" s="95">
        <f t="shared" ref="O1023" si="808">+M1023*J1023</f>
        <v>0</v>
      </c>
      <c r="P1023" s="53"/>
    </row>
    <row r="1024" spans="2:16" ht="15" thickBot="1" x14ac:dyDescent="0.35">
      <c r="B1024" s="1178" t="s">
        <v>95</v>
      </c>
      <c r="C1024" s="1179"/>
      <c r="D1024" s="1179"/>
      <c r="E1024" s="1179"/>
      <c r="F1024" s="1179"/>
      <c r="G1024" s="1179"/>
      <c r="H1024" s="1179"/>
      <c r="I1024" s="110">
        <f>J1024+K1024</f>
        <v>859747</v>
      </c>
      <c r="J1024" s="110">
        <f>J1017+J1022+J1023</f>
        <v>835000</v>
      </c>
      <c r="K1024" s="110">
        <f>K1017+K1022+K1023</f>
        <v>24747</v>
      </c>
      <c r="L1024" s="111"/>
      <c r="M1024" s="112"/>
      <c r="N1024" s="109"/>
      <c r="O1024" s="77">
        <f>+O1023+O1022+O1017</f>
        <v>2517206.6500000004</v>
      </c>
      <c r="P1024" s="84"/>
    </row>
    <row r="1025" spans="2:16" x14ac:dyDescent="0.3">
      <c r="B1025" s="1180" t="s">
        <v>69</v>
      </c>
      <c r="C1025" s="1183" t="s">
        <v>70</v>
      </c>
      <c r="D1025" s="54" t="s">
        <v>71</v>
      </c>
      <c r="E1025" s="55">
        <v>0</v>
      </c>
      <c r="F1025" s="56">
        <f>G1025+H1025</f>
        <v>10089</v>
      </c>
      <c r="G1025" s="56">
        <v>10000</v>
      </c>
      <c r="H1025" s="57">
        <v>89</v>
      </c>
      <c r="I1025" s="78">
        <f>J1025+K1025</f>
        <v>47042</v>
      </c>
      <c r="J1025" s="4">
        <f>G1025+J960</f>
        <v>46600</v>
      </c>
      <c r="K1025" s="4">
        <f>H1025+K960</f>
        <v>442</v>
      </c>
      <c r="L1025" s="58" t="e">
        <f t="shared" ref="L1025" si="809">+J1025/E1025</f>
        <v>#DIV/0!</v>
      </c>
      <c r="M1025" s="59">
        <v>32.946300000000001</v>
      </c>
      <c r="N1025" s="60">
        <f>+M1025*G1025</f>
        <v>329463</v>
      </c>
      <c r="O1025" s="60">
        <f>M1025*J1025</f>
        <v>1535297.58</v>
      </c>
      <c r="P1025" s="1185"/>
    </row>
    <row r="1026" spans="2:16" x14ac:dyDescent="0.3">
      <c r="B1026" s="1181"/>
      <c r="C1026" s="1184"/>
      <c r="D1026" s="61" t="s">
        <v>72</v>
      </c>
      <c r="E1026" s="62">
        <v>0</v>
      </c>
      <c r="F1026" s="63">
        <f>G1026+H1026</f>
        <v>0</v>
      </c>
      <c r="G1026" s="63">
        <v>0</v>
      </c>
      <c r="H1026" s="64">
        <v>0</v>
      </c>
      <c r="I1026" s="79">
        <f>J1026+K1026</f>
        <v>31833</v>
      </c>
      <c r="J1026" s="4">
        <f>G1026+J961</f>
        <v>31420</v>
      </c>
      <c r="K1026" s="4">
        <f>H1026+K961</f>
        <v>413</v>
      </c>
      <c r="L1026" s="65" t="e">
        <f>+J1026/E1026</f>
        <v>#DIV/0!</v>
      </c>
      <c r="M1026" s="66">
        <v>35.398400000000002</v>
      </c>
      <c r="N1026" s="67">
        <f>+M1026*G1026</f>
        <v>0</v>
      </c>
      <c r="O1026" s="67">
        <f>M1026*J1026</f>
        <v>1112217.7280000001</v>
      </c>
      <c r="P1026" s="1186"/>
    </row>
    <row r="1027" spans="2:16" x14ac:dyDescent="0.3">
      <c r="B1027" s="1181"/>
      <c r="C1027" s="1184"/>
      <c r="D1027" s="61" t="s">
        <v>73</v>
      </c>
      <c r="E1027" s="62">
        <v>0</v>
      </c>
      <c r="F1027" s="63">
        <f t="shared" ref="F1027:F1030" si="810">G1027+H1027</f>
        <v>0</v>
      </c>
      <c r="G1027" s="63">
        <v>0</v>
      </c>
      <c r="H1027" s="64">
        <v>0</v>
      </c>
      <c r="I1027" s="79">
        <f t="shared" ref="I1027:I1036" si="811">J1027+K1027</f>
        <v>0</v>
      </c>
      <c r="J1027" s="4">
        <f t="shared" ref="J1027:J1052" si="812">G1027+J962</f>
        <v>0</v>
      </c>
      <c r="K1027" s="4">
        <f t="shared" ref="K1027:K1031" si="813">H1027+K962</f>
        <v>0</v>
      </c>
      <c r="L1027" s="65" t="e">
        <f t="shared" ref="L1027:L1040" si="814">+J1027/E1027</f>
        <v>#DIV/0!</v>
      </c>
      <c r="M1027" s="66">
        <v>32.946300000000001</v>
      </c>
      <c r="N1027" s="67">
        <f t="shared" ref="N1027:N1047" si="815">+M1027*G1027</f>
        <v>0</v>
      </c>
      <c r="O1027" s="67">
        <f t="shared" ref="O1027:O1035" si="816">M1027*J1027</f>
        <v>0</v>
      </c>
      <c r="P1027" s="1186"/>
    </row>
    <row r="1028" spans="2:16" x14ac:dyDescent="0.3">
      <c r="B1028" s="1181"/>
      <c r="C1028" s="1184" t="s">
        <v>74</v>
      </c>
      <c r="D1028" s="61" t="s">
        <v>75</v>
      </c>
      <c r="E1028" s="62">
        <v>0</v>
      </c>
      <c r="F1028" s="63">
        <f t="shared" si="810"/>
        <v>4980</v>
      </c>
      <c r="G1028" s="63">
        <v>4800</v>
      </c>
      <c r="H1028" s="64">
        <v>180</v>
      </c>
      <c r="I1028" s="79">
        <f t="shared" si="811"/>
        <v>34515</v>
      </c>
      <c r="J1028" s="4">
        <f t="shared" si="812"/>
        <v>33600</v>
      </c>
      <c r="K1028" s="4">
        <f t="shared" si="813"/>
        <v>915</v>
      </c>
      <c r="L1028" s="65" t="e">
        <f t="shared" si="814"/>
        <v>#DIV/0!</v>
      </c>
      <c r="M1028" s="66">
        <v>55.4758</v>
      </c>
      <c r="N1028" s="67">
        <f t="shared" si="815"/>
        <v>266283.84000000003</v>
      </c>
      <c r="O1028" s="67">
        <f t="shared" si="816"/>
        <v>1863986.88</v>
      </c>
      <c r="P1028" s="1186"/>
    </row>
    <row r="1029" spans="2:16" x14ac:dyDescent="0.3">
      <c r="B1029" s="1181"/>
      <c r="C1029" s="1184"/>
      <c r="D1029" s="61" t="s">
        <v>134</v>
      </c>
      <c r="E1029" s="62">
        <v>0</v>
      </c>
      <c r="F1029" s="63">
        <f t="shared" si="810"/>
        <v>0</v>
      </c>
      <c r="G1029" s="63">
        <v>0</v>
      </c>
      <c r="H1029" s="64">
        <v>0</v>
      </c>
      <c r="I1029" s="79">
        <f t="shared" si="811"/>
        <v>0</v>
      </c>
      <c r="J1029" s="4">
        <f t="shared" si="812"/>
        <v>0</v>
      </c>
      <c r="K1029" s="4">
        <f t="shared" si="813"/>
        <v>0</v>
      </c>
      <c r="L1029" s="65" t="e">
        <f t="shared" si="814"/>
        <v>#DIV/0!</v>
      </c>
      <c r="M1029" s="66">
        <v>53.515999999999998</v>
      </c>
      <c r="N1029" s="67">
        <f t="shared" si="815"/>
        <v>0</v>
      </c>
      <c r="O1029" s="67">
        <f t="shared" si="816"/>
        <v>0</v>
      </c>
      <c r="P1029" s="1186"/>
    </row>
    <row r="1030" spans="2:16" x14ac:dyDescent="0.3">
      <c r="B1030" s="1181"/>
      <c r="C1030" s="1184"/>
      <c r="D1030" s="61" t="s">
        <v>72</v>
      </c>
      <c r="E1030" s="62">
        <v>0</v>
      </c>
      <c r="F1030" s="63">
        <f t="shared" si="810"/>
        <v>0</v>
      </c>
      <c r="G1030" s="63">
        <v>0</v>
      </c>
      <c r="H1030" s="64">
        <v>0</v>
      </c>
      <c r="I1030" s="79">
        <f t="shared" si="811"/>
        <v>9804</v>
      </c>
      <c r="J1030" s="4">
        <f t="shared" si="812"/>
        <v>9600</v>
      </c>
      <c r="K1030" s="4">
        <f t="shared" si="813"/>
        <v>204</v>
      </c>
      <c r="L1030" s="65" t="e">
        <f t="shared" si="814"/>
        <v>#DIV/0!</v>
      </c>
      <c r="M1030" s="66">
        <v>58.836300000000001</v>
      </c>
      <c r="N1030" s="67">
        <f t="shared" si="815"/>
        <v>0</v>
      </c>
      <c r="O1030" s="67">
        <f t="shared" si="816"/>
        <v>564828.48</v>
      </c>
      <c r="P1030" s="1186"/>
    </row>
    <row r="1031" spans="2:16" x14ac:dyDescent="0.3">
      <c r="B1031" s="1181"/>
      <c r="C1031" s="1188" t="s">
        <v>76</v>
      </c>
      <c r="D1031" s="61" t="s">
        <v>77</v>
      </c>
      <c r="E1031" s="62">
        <v>0</v>
      </c>
      <c r="F1031" s="63">
        <f>G1031+H1031</f>
        <v>0</v>
      </c>
      <c r="G1031" s="63">
        <v>0</v>
      </c>
      <c r="H1031" s="64">
        <v>0</v>
      </c>
      <c r="I1031" s="79">
        <f t="shared" si="811"/>
        <v>13295</v>
      </c>
      <c r="J1031" s="4">
        <f t="shared" si="812"/>
        <v>13000</v>
      </c>
      <c r="K1031" s="4">
        <f t="shared" si="813"/>
        <v>295</v>
      </c>
      <c r="L1031" s="65" t="e">
        <f t="shared" si="814"/>
        <v>#DIV/0!</v>
      </c>
      <c r="M1031" s="66">
        <v>25.687200000000001</v>
      </c>
      <c r="N1031" s="67">
        <f t="shared" si="815"/>
        <v>0</v>
      </c>
      <c r="O1031" s="67">
        <f t="shared" si="816"/>
        <v>333933.60000000003</v>
      </c>
      <c r="P1031" s="1186"/>
    </row>
    <row r="1032" spans="2:16" x14ac:dyDescent="0.3">
      <c r="B1032" s="1181"/>
      <c r="C1032" s="1189"/>
      <c r="D1032" s="61" t="s">
        <v>117</v>
      </c>
      <c r="E1032" s="62">
        <v>0</v>
      </c>
      <c r="F1032" s="63">
        <f>G1032+H1032</f>
        <v>0</v>
      </c>
      <c r="G1032" s="63">
        <v>0</v>
      </c>
      <c r="H1032" s="64">
        <v>0</v>
      </c>
      <c r="I1032" s="79">
        <f t="shared" si="811"/>
        <v>0</v>
      </c>
      <c r="J1032" s="4">
        <f t="shared" si="812"/>
        <v>0</v>
      </c>
      <c r="K1032" s="4">
        <f>H1032+K967</f>
        <v>0</v>
      </c>
      <c r="L1032" s="65" t="e">
        <f t="shared" si="814"/>
        <v>#DIV/0!</v>
      </c>
      <c r="M1032" s="66">
        <v>25.033899999999999</v>
      </c>
      <c r="N1032" s="67">
        <f t="shared" si="815"/>
        <v>0</v>
      </c>
      <c r="O1032" s="67">
        <f t="shared" si="816"/>
        <v>0</v>
      </c>
      <c r="P1032" s="1186"/>
    </row>
    <row r="1033" spans="2:16" x14ac:dyDescent="0.3">
      <c r="B1033" s="1181"/>
      <c r="C1033" s="1188" t="s">
        <v>78</v>
      </c>
      <c r="D1033" s="61" t="s">
        <v>79</v>
      </c>
      <c r="E1033" s="62">
        <v>0</v>
      </c>
      <c r="F1033" s="63">
        <f t="shared" ref="F1033:F1052" si="817">G1033+H1033</f>
        <v>0</v>
      </c>
      <c r="G1033" s="63">
        <v>0</v>
      </c>
      <c r="H1033" s="64">
        <v>0</v>
      </c>
      <c r="I1033" s="79">
        <f t="shared" si="811"/>
        <v>16343</v>
      </c>
      <c r="J1033" s="4">
        <f t="shared" si="812"/>
        <v>16000</v>
      </c>
      <c r="K1033" s="4">
        <f t="shared" ref="K1033:K1052" si="818">H1033+K968</f>
        <v>343</v>
      </c>
      <c r="L1033" s="65" t="e">
        <f t="shared" si="814"/>
        <v>#DIV/0!</v>
      </c>
      <c r="M1033" s="66">
        <v>41.992699999999999</v>
      </c>
      <c r="N1033" s="67">
        <f t="shared" si="815"/>
        <v>0</v>
      </c>
      <c r="O1033" s="67">
        <f t="shared" si="816"/>
        <v>671883.2</v>
      </c>
      <c r="P1033" s="1186"/>
    </row>
    <row r="1034" spans="2:16" x14ac:dyDescent="0.3">
      <c r="B1034" s="1181"/>
      <c r="C1034" s="1189"/>
      <c r="D1034" s="61" t="s">
        <v>72</v>
      </c>
      <c r="E1034" s="62">
        <v>0</v>
      </c>
      <c r="F1034" s="63">
        <f t="shared" si="817"/>
        <v>0</v>
      </c>
      <c r="G1034" s="63">
        <v>0</v>
      </c>
      <c r="H1034" s="64">
        <v>0</v>
      </c>
      <c r="I1034" s="79">
        <f t="shared" si="811"/>
        <v>0</v>
      </c>
      <c r="J1034" s="4">
        <f t="shared" si="812"/>
        <v>0</v>
      </c>
      <c r="K1034" s="4">
        <f t="shared" si="818"/>
        <v>0</v>
      </c>
      <c r="L1034" s="65" t="e">
        <f t="shared" si="814"/>
        <v>#DIV/0!</v>
      </c>
      <c r="M1034" s="66">
        <v>42.283799999999999</v>
      </c>
      <c r="N1034" s="67">
        <f t="shared" si="815"/>
        <v>0</v>
      </c>
      <c r="O1034" s="67">
        <f t="shared" si="816"/>
        <v>0</v>
      </c>
      <c r="P1034" s="1186"/>
    </row>
    <row r="1035" spans="2:16" x14ac:dyDescent="0.3">
      <c r="B1035" s="1181"/>
      <c r="C1035" s="216" t="s">
        <v>80</v>
      </c>
      <c r="D1035" s="61" t="s">
        <v>81</v>
      </c>
      <c r="E1035" s="62">
        <v>0</v>
      </c>
      <c r="F1035" s="63">
        <f t="shared" si="817"/>
        <v>0</v>
      </c>
      <c r="G1035" s="63">
        <v>0</v>
      </c>
      <c r="H1035" s="64">
        <v>0</v>
      </c>
      <c r="I1035" s="79">
        <f t="shared" si="811"/>
        <v>24803</v>
      </c>
      <c r="J1035" s="4">
        <f t="shared" si="812"/>
        <v>24000</v>
      </c>
      <c r="K1035" s="4">
        <f t="shared" si="818"/>
        <v>803</v>
      </c>
      <c r="L1035" s="65" t="e">
        <f t="shared" si="814"/>
        <v>#DIV/0!</v>
      </c>
      <c r="M1035" s="66">
        <v>4.3535000000000004</v>
      </c>
      <c r="N1035" s="67">
        <f t="shared" si="815"/>
        <v>0</v>
      </c>
      <c r="O1035" s="67">
        <f t="shared" si="816"/>
        <v>104484.00000000001</v>
      </c>
      <c r="P1035" s="1186"/>
    </row>
    <row r="1036" spans="2:16" x14ac:dyDescent="0.3">
      <c r="B1036" s="1181"/>
      <c r="C1036" s="1184" t="s">
        <v>82</v>
      </c>
      <c r="D1036" s="61" t="s">
        <v>77</v>
      </c>
      <c r="E1036" s="62">
        <v>0</v>
      </c>
      <c r="F1036" s="63">
        <f t="shared" si="817"/>
        <v>0</v>
      </c>
      <c r="G1036" s="63">
        <v>0</v>
      </c>
      <c r="H1036" s="64">
        <v>0</v>
      </c>
      <c r="I1036" s="79">
        <f t="shared" si="811"/>
        <v>0</v>
      </c>
      <c r="J1036" s="4">
        <f t="shared" si="812"/>
        <v>0</v>
      </c>
      <c r="K1036" s="4">
        <f t="shared" si="818"/>
        <v>0</v>
      </c>
      <c r="L1036" s="65" t="e">
        <f t="shared" si="814"/>
        <v>#DIV/0!</v>
      </c>
      <c r="M1036" s="66">
        <v>4.6184000000000003</v>
      </c>
      <c r="N1036" s="67">
        <f t="shared" si="815"/>
        <v>0</v>
      </c>
      <c r="O1036" s="67">
        <f>M1036*J1036</f>
        <v>0</v>
      </c>
      <c r="P1036" s="1186"/>
    </row>
    <row r="1037" spans="2:16" x14ac:dyDescent="0.3">
      <c r="B1037" s="1181"/>
      <c r="C1037" s="1184"/>
      <c r="D1037" s="61" t="s">
        <v>119</v>
      </c>
      <c r="E1037" s="62">
        <v>0</v>
      </c>
      <c r="F1037" s="63">
        <f t="shared" si="817"/>
        <v>20139</v>
      </c>
      <c r="G1037" s="63">
        <v>19800</v>
      </c>
      <c r="H1037" s="64">
        <v>339</v>
      </c>
      <c r="I1037" s="79">
        <f>J1037+K1037</f>
        <v>29721</v>
      </c>
      <c r="J1037" s="4">
        <f t="shared" si="812"/>
        <v>29000</v>
      </c>
      <c r="K1037" s="4">
        <f t="shared" si="818"/>
        <v>721</v>
      </c>
      <c r="L1037" s="65" t="e">
        <f t="shared" si="814"/>
        <v>#DIV/0!</v>
      </c>
      <c r="M1037" s="153">
        <v>4.6184000000000003</v>
      </c>
      <c r="N1037" s="67">
        <f t="shared" si="815"/>
        <v>91444.32</v>
      </c>
      <c r="O1037" s="67">
        <f>M1037*J1037</f>
        <v>133933.6</v>
      </c>
      <c r="P1037" s="1186"/>
    </row>
    <row r="1038" spans="2:16" x14ac:dyDescent="0.3">
      <c r="B1038" s="1181"/>
      <c r="C1038" s="1184"/>
      <c r="D1038" s="61" t="s">
        <v>123</v>
      </c>
      <c r="E1038" s="62">
        <v>0</v>
      </c>
      <c r="F1038" s="63">
        <f t="shared" si="817"/>
        <v>0</v>
      </c>
      <c r="G1038" s="63">
        <v>0</v>
      </c>
      <c r="H1038" s="64">
        <v>0</v>
      </c>
      <c r="I1038" s="79">
        <f t="shared" ref="I1038:I1052" si="819">J1038+K1038</f>
        <v>0</v>
      </c>
      <c r="J1038" s="4">
        <f t="shared" si="812"/>
        <v>0</v>
      </c>
      <c r="K1038" s="4">
        <f t="shared" si="818"/>
        <v>0</v>
      </c>
      <c r="L1038" s="65" t="e">
        <f t="shared" si="814"/>
        <v>#DIV/0!</v>
      </c>
      <c r="M1038" s="153">
        <v>4.6184000000000003</v>
      </c>
      <c r="N1038" s="67">
        <f t="shared" si="815"/>
        <v>0</v>
      </c>
      <c r="O1038" s="67">
        <f t="shared" ref="O1038:O1043" si="820">M1038*J1038</f>
        <v>0</v>
      </c>
      <c r="P1038" s="1186"/>
    </row>
    <row r="1039" spans="2:16" x14ac:dyDescent="0.3">
      <c r="B1039" s="1181"/>
      <c r="C1039" s="1184"/>
      <c r="D1039" s="61" t="s">
        <v>124</v>
      </c>
      <c r="E1039" s="62">
        <v>0</v>
      </c>
      <c r="F1039" s="63">
        <f t="shared" si="817"/>
        <v>0</v>
      </c>
      <c r="G1039" s="63">
        <v>0</v>
      </c>
      <c r="H1039" s="64">
        <v>0</v>
      </c>
      <c r="I1039" s="79">
        <f t="shared" si="819"/>
        <v>281684</v>
      </c>
      <c r="J1039" s="4">
        <f t="shared" si="812"/>
        <v>274275</v>
      </c>
      <c r="K1039" s="4">
        <f t="shared" si="818"/>
        <v>7409</v>
      </c>
      <c r="L1039" s="65" t="e">
        <f t="shared" si="814"/>
        <v>#DIV/0!</v>
      </c>
      <c r="M1039" s="153">
        <v>4.7636000000000003</v>
      </c>
      <c r="N1039" s="67">
        <f t="shared" si="815"/>
        <v>0</v>
      </c>
      <c r="O1039" s="67">
        <f t="shared" si="820"/>
        <v>1306536.3900000001</v>
      </c>
      <c r="P1039" s="1186"/>
    </row>
    <row r="1040" spans="2:16" x14ac:dyDescent="0.3">
      <c r="B1040" s="1181"/>
      <c r="C1040" s="1184"/>
      <c r="D1040" s="61" t="s">
        <v>83</v>
      </c>
      <c r="E1040" s="62">
        <v>0</v>
      </c>
      <c r="F1040" s="63">
        <f t="shared" si="817"/>
        <v>0</v>
      </c>
      <c r="G1040" s="63">
        <v>0</v>
      </c>
      <c r="H1040" s="64">
        <v>0</v>
      </c>
      <c r="I1040" s="79">
        <f t="shared" si="819"/>
        <v>0</v>
      </c>
      <c r="J1040" s="4">
        <f t="shared" si="812"/>
        <v>0</v>
      </c>
      <c r="K1040" s="4">
        <f t="shared" si="818"/>
        <v>0</v>
      </c>
      <c r="L1040" s="65" t="e">
        <f t="shared" si="814"/>
        <v>#DIV/0!</v>
      </c>
      <c r="M1040" s="66">
        <v>4.8738000000000001</v>
      </c>
      <c r="N1040" s="67">
        <f t="shared" si="815"/>
        <v>0</v>
      </c>
      <c r="O1040" s="67">
        <f t="shared" si="820"/>
        <v>0</v>
      </c>
      <c r="P1040" s="1186"/>
    </row>
    <row r="1041" spans="2:16" x14ac:dyDescent="0.3">
      <c r="B1041" s="1181"/>
      <c r="C1041" s="216" t="s">
        <v>128</v>
      </c>
      <c r="D1041" s="61" t="s">
        <v>124</v>
      </c>
      <c r="E1041" s="62"/>
      <c r="F1041" s="63">
        <f t="shared" si="817"/>
        <v>0</v>
      </c>
      <c r="G1041" s="63">
        <v>0</v>
      </c>
      <c r="H1041" s="64">
        <v>0</v>
      </c>
      <c r="I1041" s="79">
        <f t="shared" si="819"/>
        <v>0</v>
      </c>
      <c r="J1041" s="4">
        <f t="shared" si="812"/>
        <v>0</v>
      </c>
      <c r="K1041" s="4">
        <f t="shared" si="818"/>
        <v>0</v>
      </c>
      <c r="L1041" s="65"/>
      <c r="M1041" s="66">
        <v>4.8738000000000001</v>
      </c>
      <c r="N1041" s="67">
        <f t="shared" si="815"/>
        <v>0</v>
      </c>
      <c r="O1041" s="67">
        <f t="shared" si="820"/>
        <v>0</v>
      </c>
      <c r="P1041" s="1186"/>
    </row>
    <row r="1042" spans="2:16" x14ac:dyDescent="0.3">
      <c r="B1042" s="1181"/>
      <c r="C1042" s="1184" t="s">
        <v>84</v>
      </c>
      <c r="D1042" s="61" t="s">
        <v>77</v>
      </c>
      <c r="E1042" s="62">
        <v>0</v>
      </c>
      <c r="F1042" s="63">
        <f t="shared" si="817"/>
        <v>0</v>
      </c>
      <c r="G1042" s="63">
        <v>0</v>
      </c>
      <c r="H1042" s="64">
        <v>0</v>
      </c>
      <c r="I1042" s="79">
        <f t="shared" si="819"/>
        <v>197600</v>
      </c>
      <c r="J1042" s="4">
        <f t="shared" si="812"/>
        <v>194950</v>
      </c>
      <c r="K1042" s="4">
        <f t="shared" si="818"/>
        <v>2650</v>
      </c>
      <c r="L1042" s="65" t="e">
        <f t="shared" ref="L1042:L1052" si="821">+J1042/E1042</f>
        <v>#DIV/0!</v>
      </c>
      <c r="M1042" s="66">
        <v>4.9344999999999999</v>
      </c>
      <c r="N1042" s="67">
        <f t="shared" si="815"/>
        <v>0</v>
      </c>
      <c r="O1042" s="67">
        <f t="shared" si="820"/>
        <v>961980.77500000002</v>
      </c>
      <c r="P1042" s="1186"/>
    </row>
    <row r="1043" spans="2:16" x14ac:dyDescent="0.3">
      <c r="B1043" s="1181"/>
      <c r="C1043" s="1184"/>
      <c r="D1043" s="61" t="s">
        <v>135</v>
      </c>
      <c r="E1043" s="62"/>
      <c r="F1043" s="63">
        <f t="shared" si="817"/>
        <v>25559</v>
      </c>
      <c r="G1043" s="63">
        <v>25200</v>
      </c>
      <c r="H1043" s="64">
        <v>359</v>
      </c>
      <c r="I1043" s="79">
        <f t="shared" si="819"/>
        <v>87137</v>
      </c>
      <c r="J1043" s="4">
        <f t="shared" si="812"/>
        <v>83700</v>
      </c>
      <c r="K1043" s="4">
        <f t="shared" si="818"/>
        <v>3437</v>
      </c>
      <c r="L1043" s="65" t="e">
        <f t="shared" si="821"/>
        <v>#DIV/0!</v>
      </c>
      <c r="M1043" s="66">
        <v>4.9344999999999999</v>
      </c>
      <c r="N1043" s="67">
        <f t="shared" si="815"/>
        <v>124349.4</v>
      </c>
      <c r="O1043" s="67">
        <f t="shared" si="820"/>
        <v>413017.64999999997</v>
      </c>
      <c r="P1043" s="1186"/>
    </row>
    <row r="1044" spans="2:16" x14ac:dyDescent="0.3">
      <c r="B1044" s="1181"/>
      <c r="C1044" s="1184"/>
      <c r="D1044" s="61" t="s">
        <v>129</v>
      </c>
      <c r="E1044" s="62">
        <v>0</v>
      </c>
      <c r="F1044" s="63">
        <f t="shared" si="817"/>
        <v>0</v>
      </c>
      <c r="G1044" s="155">
        <v>0</v>
      </c>
      <c r="H1044" s="156">
        <v>0</v>
      </c>
      <c r="I1044" s="157">
        <f t="shared" si="819"/>
        <v>0</v>
      </c>
      <c r="J1044" s="4">
        <f t="shared" si="812"/>
        <v>0</v>
      </c>
      <c r="K1044" s="4">
        <f t="shared" si="818"/>
        <v>0</v>
      </c>
      <c r="L1044" s="158" t="e">
        <f t="shared" si="821"/>
        <v>#DIV/0!</v>
      </c>
      <c r="M1044" s="66">
        <v>4.9344999999999999</v>
      </c>
      <c r="N1044" s="159">
        <f t="shared" si="815"/>
        <v>0</v>
      </c>
      <c r="O1044" s="67">
        <f>M1044*J1044</f>
        <v>0</v>
      </c>
      <c r="P1044" s="1186"/>
    </row>
    <row r="1045" spans="2:16" x14ac:dyDescent="0.3">
      <c r="B1045" s="1181"/>
      <c r="C1045" s="1184" t="s">
        <v>85</v>
      </c>
      <c r="D1045" s="61" t="s">
        <v>77</v>
      </c>
      <c r="E1045" s="62">
        <v>0</v>
      </c>
      <c r="F1045" s="63">
        <f t="shared" si="817"/>
        <v>0</v>
      </c>
      <c r="G1045" s="63">
        <v>0</v>
      </c>
      <c r="H1045" s="64">
        <v>0</v>
      </c>
      <c r="I1045" s="79">
        <f t="shared" si="819"/>
        <v>138276</v>
      </c>
      <c r="J1045" s="4">
        <f t="shared" si="812"/>
        <v>130950</v>
      </c>
      <c r="K1045" s="4">
        <f t="shared" si="818"/>
        <v>7326</v>
      </c>
      <c r="L1045" s="65" t="e">
        <f t="shared" si="821"/>
        <v>#DIV/0!</v>
      </c>
      <c r="M1045" s="148">
        <v>5.5069999999999997</v>
      </c>
      <c r="N1045" s="67">
        <f t="shared" si="815"/>
        <v>0</v>
      </c>
      <c r="O1045" s="67">
        <f>M1045*J1045</f>
        <v>721141.64999999991</v>
      </c>
      <c r="P1045" s="1186"/>
    </row>
    <row r="1046" spans="2:16" x14ac:dyDescent="0.3">
      <c r="B1046" s="1181"/>
      <c r="C1046" s="1184"/>
      <c r="D1046" s="61" t="s">
        <v>112</v>
      </c>
      <c r="E1046" s="62">
        <v>0</v>
      </c>
      <c r="F1046" s="63">
        <f t="shared" si="817"/>
        <v>15714</v>
      </c>
      <c r="G1046" s="63">
        <v>15300</v>
      </c>
      <c r="H1046" s="64">
        <v>414</v>
      </c>
      <c r="I1046" s="79">
        <f t="shared" si="819"/>
        <v>111458</v>
      </c>
      <c r="J1046" s="4">
        <f t="shared" si="812"/>
        <v>107550</v>
      </c>
      <c r="K1046" s="4">
        <f t="shared" si="818"/>
        <v>3908</v>
      </c>
      <c r="L1046" s="65" t="e">
        <f t="shared" si="821"/>
        <v>#DIV/0!</v>
      </c>
      <c r="M1046" s="147">
        <v>5.6550000000000002</v>
      </c>
      <c r="N1046" s="67">
        <f t="shared" si="815"/>
        <v>86521.5</v>
      </c>
      <c r="O1046" s="67">
        <f>M1046*J1046</f>
        <v>608195.25</v>
      </c>
      <c r="P1046" s="1186"/>
    </row>
    <row r="1047" spans="2:16" x14ac:dyDescent="0.3">
      <c r="B1047" s="1181"/>
      <c r="C1047" s="1184"/>
      <c r="D1047" s="61" t="s">
        <v>118</v>
      </c>
      <c r="E1047" s="62">
        <v>0</v>
      </c>
      <c r="F1047" s="63">
        <f t="shared" si="817"/>
        <v>0</v>
      </c>
      <c r="G1047" s="63">
        <v>0</v>
      </c>
      <c r="H1047" s="64">
        <v>0</v>
      </c>
      <c r="I1047" s="79">
        <f t="shared" si="819"/>
        <v>0</v>
      </c>
      <c r="J1047" s="4">
        <f t="shared" si="812"/>
        <v>0</v>
      </c>
      <c r="K1047" s="4">
        <f t="shared" si="818"/>
        <v>0</v>
      </c>
      <c r="L1047" s="65" t="e">
        <f t="shared" si="821"/>
        <v>#DIV/0!</v>
      </c>
      <c r="M1047" s="152">
        <v>5.6550000000000002</v>
      </c>
      <c r="N1047" s="67">
        <f t="shared" si="815"/>
        <v>0</v>
      </c>
      <c r="O1047" s="67">
        <f>M1047*J1047</f>
        <v>0</v>
      </c>
      <c r="P1047" s="1186"/>
    </row>
    <row r="1048" spans="2:16" x14ac:dyDescent="0.3">
      <c r="B1048" s="1181"/>
      <c r="C1048" s="1184"/>
      <c r="D1048" s="61" t="s">
        <v>121</v>
      </c>
      <c r="E1048" s="62">
        <v>0</v>
      </c>
      <c r="F1048" s="63">
        <f t="shared" si="817"/>
        <v>0</v>
      </c>
      <c r="G1048" s="63">
        <v>0</v>
      </c>
      <c r="H1048" s="64">
        <v>0</v>
      </c>
      <c r="I1048" s="79">
        <f t="shared" si="819"/>
        <v>28324</v>
      </c>
      <c r="J1048" s="4">
        <f t="shared" si="812"/>
        <v>26710</v>
      </c>
      <c r="K1048" s="4">
        <f t="shared" si="818"/>
        <v>1614</v>
      </c>
      <c r="L1048" s="65" t="e">
        <f t="shared" si="821"/>
        <v>#DIV/0!</v>
      </c>
      <c r="M1048" s="66">
        <v>5.7885299999999997</v>
      </c>
      <c r="N1048" s="67">
        <f>+M1048*G1048</f>
        <v>0</v>
      </c>
      <c r="O1048" s="67">
        <f>M1048*J1048</f>
        <v>154611.63629999998</v>
      </c>
      <c r="P1048" s="1186"/>
    </row>
    <row r="1049" spans="2:16" x14ac:dyDescent="0.3">
      <c r="B1049" s="1181"/>
      <c r="C1049" s="1184"/>
      <c r="D1049" s="61" t="s">
        <v>136</v>
      </c>
      <c r="E1049" s="62">
        <v>0</v>
      </c>
      <c r="F1049" s="63">
        <f t="shared" si="817"/>
        <v>0</v>
      </c>
      <c r="G1049" s="63">
        <v>0</v>
      </c>
      <c r="H1049" s="64">
        <v>0</v>
      </c>
      <c r="I1049" s="79">
        <f t="shared" si="819"/>
        <v>0</v>
      </c>
      <c r="J1049" s="4">
        <f t="shared" si="812"/>
        <v>0</v>
      </c>
      <c r="K1049" s="4">
        <f t="shared" si="818"/>
        <v>0</v>
      </c>
      <c r="L1049" s="65" t="e">
        <f t="shared" si="821"/>
        <v>#DIV/0!</v>
      </c>
      <c r="M1049" s="152">
        <v>5.6550000000000002</v>
      </c>
      <c r="N1049" s="67">
        <f t="shared" ref="N1049:N1051" si="822">+M1049*G1049</f>
        <v>0</v>
      </c>
      <c r="O1049" s="67">
        <f t="shared" ref="O1049:O1052" si="823">M1049*J1049</f>
        <v>0</v>
      </c>
      <c r="P1049" s="1186"/>
    </row>
    <row r="1050" spans="2:16" x14ac:dyDescent="0.3">
      <c r="B1050" s="1181"/>
      <c r="C1050" s="216" t="s">
        <v>86</v>
      </c>
      <c r="D1050" s="61" t="s">
        <v>77</v>
      </c>
      <c r="E1050" s="62">
        <v>0</v>
      </c>
      <c r="F1050" s="63">
        <f t="shared" si="817"/>
        <v>0</v>
      </c>
      <c r="G1050" s="63">
        <v>0</v>
      </c>
      <c r="H1050" s="64">
        <v>0</v>
      </c>
      <c r="I1050" s="79">
        <f t="shared" si="819"/>
        <v>0</v>
      </c>
      <c r="J1050" s="4">
        <f t="shared" si="812"/>
        <v>0</v>
      </c>
      <c r="K1050" s="4">
        <f t="shared" si="818"/>
        <v>0</v>
      </c>
      <c r="L1050" s="65" t="e">
        <f t="shared" si="821"/>
        <v>#DIV/0!</v>
      </c>
      <c r="M1050" s="66">
        <v>3.2963</v>
      </c>
      <c r="N1050" s="67">
        <f t="shared" si="822"/>
        <v>0</v>
      </c>
      <c r="O1050" s="67">
        <f t="shared" si="823"/>
        <v>0</v>
      </c>
      <c r="P1050" s="1186"/>
    </row>
    <row r="1051" spans="2:16" x14ac:dyDescent="0.3">
      <c r="B1051" s="1181"/>
      <c r="C1051" s="216" t="s">
        <v>87</v>
      </c>
      <c r="D1051" s="61" t="s">
        <v>77</v>
      </c>
      <c r="E1051" s="62">
        <v>0</v>
      </c>
      <c r="F1051" s="63">
        <f t="shared" si="817"/>
        <v>0</v>
      </c>
      <c r="G1051" s="63">
        <v>0</v>
      </c>
      <c r="H1051" s="64">
        <v>0</v>
      </c>
      <c r="I1051" s="79">
        <f t="shared" si="819"/>
        <v>0</v>
      </c>
      <c r="J1051" s="4">
        <f t="shared" si="812"/>
        <v>0</v>
      </c>
      <c r="K1051" s="4">
        <f t="shared" si="818"/>
        <v>0</v>
      </c>
      <c r="L1051" s="65" t="e">
        <f t="shared" si="821"/>
        <v>#DIV/0!</v>
      </c>
      <c r="M1051" s="66">
        <v>3.2963</v>
      </c>
      <c r="N1051" s="67">
        <f t="shared" si="822"/>
        <v>0</v>
      </c>
      <c r="O1051" s="67">
        <f t="shared" si="823"/>
        <v>0</v>
      </c>
      <c r="P1051" s="1186"/>
    </row>
    <row r="1052" spans="2:16" ht="15" thickBot="1" x14ac:dyDescent="0.35">
      <c r="B1052" s="1181"/>
      <c r="C1052" s="68" t="s">
        <v>88</v>
      </c>
      <c r="D1052" s="69" t="s">
        <v>89</v>
      </c>
      <c r="E1052" s="70">
        <v>0</v>
      </c>
      <c r="F1052" s="71">
        <f t="shared" si="817"/>
        <v>0</v>
      </c>
      <c r="G1052" s="71">
        <v>0</v>
      </c>
      <c r="H1052" s="72">
        <v>0</v>
      </c>
      <c r="I1052" s="80">
        <f t="shared" si="819"/>
        <v>65030</v>
      </c>
      <c r="J1052" s="4">
        <f t="shared" si="812"/>
        <v>65000</v>
      </c>
      <c r="K1052" s="4">
        <f t="shared" si="818"/>
        <v>30</v>
      </c>
      <c r="L1052" s="65" t="e">
        <f t="shared" si="821"/>
        <v>#DIV/0!</v>
      </c>
      <c r="M1052" s="73">
        <v>2.3201000000000001</v>
      </c>
      <c r="N1052" s="74">
        <f t="shared" ref="N1052" si="824">M1052*G1052</f>
        <v>0</v>
      </c>
      <c r="O1052" s="74">
        <f t="shared" si="823"/>
        <v>150806.5</v>
      </c>
      <c r="P1052" s="1187"/>
    </row>
    <row r="1053" spans="2:16" ht="15" thickBot="1" x14ac:dyDescent="0.35">
      <c r="B1053" s="1182"/>
      <c r="C1053" s="1190" t="s">
        <v>99</v>
      </c>
      <c r="D1053" s="1191"/>
      <c r="E1053" s="1191"/>
      <c r="F1053" s="1191"/>
      <c r="G1053" s="1191"/>
      <c r="H1053" s="1192"/>
      <c r="I1053" s="116">
        <f>J1053+K1053</f>
        <v>1116865</v>
      </c>
      <c r="J1053" s="115">
        <f>SUM(J1025:J1052)</f>
        <v>1086355</v>
      </c>
      <c r="K1053" s="115">
        <f>SUM(K1025:K1052)</f>
        <v>30510</v>
      </c>
      <c r="L1053" s="114"/>
      <c r="M1053" s="113"/>
      <c r="N1053" s="114"/>
      <c r="O1053" s="97">
        <f>SUM(O1025:O1052)</f>
        <v>10636854.919299999</v>
      </c>
      <c r="P1053" s="96"/>
    </row>
    <row r="1054" spans="2:16" ht="15" thickBot="1" x14ac:dyDescent="0.35">
      <c r="B1054" s="100"/>
      <c r="C1054" s="101"/>
      <c r="D1054" s="101"/>
      <c r="E1054" s="101"/>
      <c r="F1054" s="101"/>
      <c r="G1054" s="101"/>
      <c r="H1054" s="101"/>
      <c r="I1054" s="101"/>
      <c r="J1054" s="101"/>
      <c r="K1054" s="101"/>
      <c r="L1054" s="101"/>
      <c r="M1054" s="101"/>
      <c r="N1054" s="101"/>
      <c r="O1054" s="101"/>
      <c r="P1054" s="102"/>
    </row>
    <row r="1055" spans="2:16" ht="15" thickBot="1" x14ac:dyDescent="0.35">
      <c r="B1055" s="1175" t="s">
        <v>100</v>
      </c>
      <c r="C1055" s="1176"/>
      <c r="D1055" s="1176"/>
      <c r="E1055" s="1176"/>
      <c r="F1055" s="1176"/>
      <c r="G1055" s="1176"/>
      <c r="H1055" s="1176"/>
      <c r="I1055" s="1176"/>
      <c r="J1055" s="1176"/>
      <c r="K1055" s="1176"/>
      <c r="L1055" s="1176"/>
      <c r="M1055" s="1176"/>
      <c r="N1055" s="1177"/>
      <c r="O1055" s="103">
        <f>+O1053+O1024+O1009</f>
        <v>22879379.265299998</v>
      </c>
      <c r="P1055" s="96"/>
    </row>
  </sheetData>
  <mergeCells count="546">
    <mergeCell ref="B730:N730"/>
    <mergeCell ref="B699:H699"/>
    <mergeCell ref="B700:B728"/>
    <mergeCell ref="C700:C702"/>
    <mergeCell ref="P700:P727"/>
    <mergeCell ref="C703:C705"/>
    <mergeCell ref="C706:C707"/>
    <mergeCell ref="C708:C709"/>
    <mergeCell ref="C711:C715"/>
    <mergeCell ref="C717:C719"/>
    <mergeCell ref="C720:C724"/>
    <mergeCell ref="C728:H728"/>
    <mergeCell ref="B670:B682"/>
    <mergeCell ref="P670:P682"/>
    <mergeCell ref="C677:D677"/>
    <mergeCell ref="B683:D683"/>
    <mergeCell ref="B684:N684"/>
    <mergeCell ref="B685:B698"/>
    <mergeCell ref="P685:P691"/>
    <mergeCell ref="C693:C696"/>
    <mergeCell ref="P693:P697"/>
    <mergeCell ref="B667:B669"/>
    <mergeCell ref="C667:C669"/>
    <mergeCell ref="D667:D669"/>
    <mergeCell ref="E667:L667"/>
    <mergeCell ref="M667:O667"/>
    <mergeCell ref="P667:P669"/>
    <mergeCell ref="E668:E669"/>
    <mergeCell ref="F668:H668"/>
    <mergeCell ref="I668:K668"/>
    <mergeCell ref="L668:L669"/>
    <mergeCell ref="M668:M669"/>
    <mergeCell ref="N668:N669"/>
    <mergeCell ref="O668:O669"/>
    <mergeCell ref="B665:N665"/>
    <mergeCell ref="B634:H634"/>
    <mergeCell ref="B635:B663"/>
    <mergeCell ref="C635:C637"/>
    <mergeCell ref="P635:P662"/>
    <mergeCell ref="C638:C640"/>
    <mergeCell ref="C641:C642"/>
    <mergeCell ref="C643:C644"/>
    <mergeCell ref="C646:C650"/>
    <mergeCell ref="C652:C654"/>
    <mergeCell ref="C655:C659"/>
    <mergeCell ref="C663:H663"/>
    <mergeCell ref="B605:B617"/>
    <mergeCell ref="P605:P617"/>
    <mergeCell ref="C612:D612"/>
    <mergeCell ref="B618:D618"/>
    <mergeCell ref="B619:N619"/>
    <mergeCell ref="B620:B633"/>
    <mergeCell ref="P620:P626"/>
    <mergeCell ref="C628:C631"/>
    <mergeCell ref="P628:P632"/>
    <mergeCell ref="B602:B604"/>
    <mergeCell ref="C602:C604"/>
    <mergeCell ref="D602:D604"/>
    <mergeCell ref="E602:L602"/>
    <mergeCell ref="M602:O602"/>
    <mergeCell ref="P602:P604"/>
    <mergeCell ref="E603:E604"/>
    <mergeCell ref="F603:H603"/>
    <mergeCell ref="I603:K603"/>
    <mergeCell ref="L603:L604"/>
    <mergeCell ref="M603:M604"/>
    <mergeCell ref="N603:N604"/>
    <mergeCell ref="O603:O604"/>
    <mergeCell ref="B340:N340"/>
    <mergeCell ref="B309:H309"/>
    <mergeCell ref="B310:B338"/>
    <mergeCell ref="C310:C312"/>
    <mergeCell ref="P310:P337"/>
    <mergeCell ref="C313:C315"/>
    <mergeCell ref="C316:C317"/>
    <mergeCell ref="C318:C319"/>
    <mergeCell ref="C321:C325"/>
    <mergeCell ref="C327:C329"/>
    <mergeCell ref="C330:C334"/>
    <mergeCell ref="C338:H338"/>
    <mergeCell ref="B280:B292"/>
    <mergeCell ref="P280:P292"/>
    <mergeCell ref="C287:D287"/>
    <mergeCell ref="B293:D293"/>
    <mergeCell ref="B294:N294"/>
    <mergeCell ref="B295:B308"/>
    <mergeCell ref="P295:P301"/>
    <mergeCell ref="C303:C306"/>
    <mergeCell ref="P303:P307"/>
    <mergeCell ref="B277:B279"/>
    <mergeCell ref="C277:C279"/>
    <mergeCell ref="D277:D279"/>
    <mergeCell ref="E277:L277"/>
    <mergeCell ref="M277:O277"/>
    <mergeCell ref="P277:P279"/>
    <mergeCell ref="E278:E279"/>
    <mergeCell ref="F278:H278"/>
    <mergeCell ref="I278:K278"/>
    <mergeCell ref="L278:L279"/>
    <mergeCell ref="M278:M279"/>
    <mergeCell ref="N278:N279"/>
    <mergeCell ref="O278:O279"/>
    <mergeCell ref="B275:N275"/>
    <mergeCell ref="B244:H244"/>
    <mergeCell ref="B245:B273"/>
    <mergeCell ref="C245:C247"/>
    <mergeCell ref="P245:P272"/>
    <mergeCell ref="C248:C250"/>
    <mergeCell ref="C251:C252"/>
    <mergeCell ref="C253:C254"/>
    <mergeCell ref="C256:C260"/>
    <mergeCell ref="C262:C264"/>
    <mergeCell ref="C265:C269"/>
    <mergeCell ref="C273:H273"/>
    <mergeCell ref="B215:B227"/>
    <mergeCell ref="P215:P227"/>
    <mergeCell ref="C222:D222"/>
    <mergeCell ref="B228:D228"/>
    <mergeCell ref="B229:N229"/>
    <mergeCell ref="B230:B243"/>
    <mergeCell ref="P230:P236"/>
    <mergeCell ref="C238:C241"/>
    <mergeCell ref="P238:P242"/>
    <mergeCell ref="B212:B214"/>
    <mergeCell ref="C212:C214"/>
    <mergeCell ref="D212:D214"/>
    <mergeCell ref="E212:L212"/>
    <mergeCell ref="M212:O212"/>
    <mergeCell ref="P212:P214"/>
    <mergeCell ref="E213:E214"/>
    <mergeCell ref="F213:H213"/>
    <mergeCell ref="I213:K213"/>
    <mergeCell ref="L213:L214"/>
    <mergeCell ref="M213:M214"/>
    <mergeCell ref="N213:N214"/>
    <mergeCell ref="O213:O214"/>
    <mergeCell ref="B98:D98"/>
    <mergeCell ref="B99:N99"/>
    <mergeCell ref="B100:B113"/>
    <mergeCell ref="P100:P106"/>
    <mergeCell ref="C108:C111"/>
    <mergeCell ref="P108:P112"/>
    <mergeCell ref="B114:H114"/>
    <mergeCell ref="B145:N145"/>
    <mergeCell ref="B115:B143"/>
    <mergeCell ref="C115:C117"/>
    <mergeCell ref="P115:P142"/>
    <mergeCell ref="C118:C120"/>
    <mergeCell ref="C121:C122"/>
    <mergeCell ref="C123:C124"/>
    <mergeCell ref="C126:C130"/>
    <mergeCell ref="C132:C134"/>
    <mergeCell ref="C135:C139"/>
    <mergeCell ref="C143:H143"/>
    <mergeCell ref="P82:P84"/>
    <mergeCell ref="E83:E84"/>
    <mergeCell ref="F83:H83"/>
    <mergeCell ref="I83:K83"/>
    <mergeCell ref="L83:L84"/>
    <mergeCell ref="M83:M84"/>
    <mergeCell ref="N83:N84"/>
    <mergeCell ref="O83:O84"/>
    <mergeCell ref="B85:B97"/>
    <mergeCell ref="P85:P97"/>
    <mergeCell ref="C92:D92"/>
    <mergeCell ref="B13:O13"/>
    <mergeCell ref="B14:O14"/>
    <mergeCell ref="B17:B19"/>
    <mergeCell ref="C17:C19"/>
    <mergeCell ref="D17:D19"/>
    <mergeCell ref="E17:L17"/>
    <mergeCell ref="M17:O17"/>
    <mergeCell ref="B82:B84"/>
    <mergeCell ref="C82:C84"/>
    <mergeCell ref="D82:D84"/>
    <mergeCell ref="E82:L82"/>
    <mergeCell ref="M82:O82"/>
    <mergeCell ref="B20:B32"/>
    <mergeCell ref="B35:B48"/>
    <mergeCell ref="P20:P32"/>
    <mergeCell ref="C27:D27"/>
    <mergeCell ref="B33:D33"/>
    <mergeCell ref="B34:N34"/>
    <mergeCell ref="P17:P19"/>
    <mergeCell ref="E18:E19"/>
    <mergeCell ref="F18:H18"/>
    <mergeCell ref="I18:K18"/>
    <mergeCell ref="L18:L19"/>
    <mergeCell ref="M18:M19"/>
    <mergeCell ref="N18:N19"/>
    <mergeCell ref="O18:O19"/>
    <mergeCell ref="P35:P41"/>
    <mergeCell ref="C43:C46"/>
    <mergeCell ref="P43:P47"/>
    <mergeCell ref="B80:N80"/>
    <mergeCell ref="B49:H49"/>
    <mergeCell ref="B50:B78"/>
    <mergeCell ref="C50:C52"/>
    <mergeCell ref="P50:P77"/>
    <mergeCell ref="C53:C55"/>
    <mergeCell ref="C56:C57"/>
    <mergeCell ref="C58:C59"/>
    <mergeCell ref="C61:C65"/>
    <mergeCell ref="C67:C69"/>
    <mergeCell ref="C70:C74"/>
    <mergeCell ref="C78:H78"/>
    <mergeCell ref="P147:P149"/>
    <mergeCell ref="E148:E149"/>
    <mergeCell ref="F148:H148"/>
    <mergeCell ref="I148:K148"/>
    <mergeCell ref="L148:L149"/>
    <mergeCell ref="M148:M149"/>
    <mergeCell ref="N148:N149"/>
    <mergeCell ref="O148:O149"/>
    <mergeCell ref="B147:B149"/>
    <mergeCell ref="C147:C149"/>
    <mergeCell ref="D147:D149"/>
    <mergeCell ref="E147:L147"/>
    <mergeCell ref="M147:O147"/>
    <mergeCell ref="B165:B178"/>
    <mergeCell ref="P165:P171"/>
    <mergeCell ref="C173:C176"/>
    <mergeCell ref="P173:P177"/>
    <mergeCell ref="B179:H179"/>
    <mergeCell ref="B150:B162"/>
    <mergeCell ref="P150:P162"/>
    <mergeCell ref="C157:D157"/>
    <mergeCell ref="B163:D163"/>
    <mergeCell ref="B164:N164"/>
    <mergeCell ref="B210:N210"/>
    <mergeCell ref="B180:B208"/>
    <mergeCell ref="C180:C182"/>
    <mergeCell ref="P180:P207"/>
    <mergeCell ref="C183:C185"/>
    <mergeCell ref="C186:C187"/>
    <mergeCell ref="C188:C189"/>
    <mergeCell ref="C191:C195"/>
    <mergeCell ref="C197:C199"/>
    <mergeCell ref="C200:C204"/>
    <mergeCell ref="C208:H208"/>
    <mergeCell ref="B342:B344"/>
    <mergeCell ref="C342:C344"/>
    <mergeCell ref="D342:D344"/>
    <mergeCell ref="E342:L342"/>
    <mergeCell ref="M342:O342"/>
    <mergeCell ref="P342:P344"/>
    <mergeCell ref="E343:E344"/>
    <mergeCell ref="F343:H343"/>
    <mergeCell ref="I343:K343"/>
    <mergeCell ref="L343:L344"/>
    <mergeCell ref="M343:M344"/>
    <mergeCell ref="N343:N344"/>
    <mergeCell ref="O343:O344"/>
    <mergeCell ref="B345:B357"/>
    <mergeCell ref="P345:P357"/>
    <mergeCell ref="C352:D352"/>
    <mergeCell ref="B358:D358"/>
    <mergeCell ref="B359:N359"/>
    <mergeCell ref="B360:B373"/>
    <mergeCell ref="P360:P366"/>
    <mergeCell ref="C368:C371"/>
    <mergeCell ref="P368:P372"/>
    <mergeCell ref="B405:N405"/>
    <mergeCell ref="B374:H374"/>
    <mergeCell ref="B375:B403"/>
    <mergeCell ref="C375:C377"/>
    <mergeCell ref="P375:P402"/>
    <mergeCell ref="C378:C380"/>
    <mergeCell ref="C381:C382"/>
    <mergeCell ref="C383:C384"/>
    <mergeCell ref="C386:C390"/>
    <mergeCell ref="C392:C394"/>
    <mergeCell ref="C395:C399"/>
    <mergeCell ref="C403:H403"/>
    <mergeCell ref="B407:B409"/>
    <mergeCell ref="C407:C409"/>
    <mergeCell ref="D407:D409"/>
    <mergeCell ref="E407:L407"/>
    <mergeCell ref="M407:O407"/>
    <mergeCell ref="P407:P409"/>
    <mergeCell ref="E408:E409"/>
    <mergeCell ref="F408:H408"/>
    <mergeCell ref="I408:K408"/>
    <mergeCell ref="L408:L409"/>
    <mergeCell ref="M408:M409"/>
    <mergeCell ref="N408:N409"/>
    <mergeCell ref="O408:O409"/>
    <mergeCell ref="B410:B422"/>
    <mergeCell ref="P410:P422"/>
    <mergeCell ref="C417:D417"/>
    <mergeCell ref="B423:D423"/>
    <mergeCell ref="B424:N424"/>
    <mergeCell ref="B425:B438"/>
    <mergeCell ref="P425:P431"/>
    <mergeCell ref="C433:C436"/>
    <mergeCell ref="P433:P437"/>
    <mergeCell ref="B439:H439"/>
    <mergeCell ref="B440:B468"/>
    <mergeCell ref="C440:C442"/>
    <mergeCell ref="P440:P467"/>
    <mergeCell ref="C443:C445"/>
    <mergeCell ref="C446:C447"/>
    <mergeCell ref="C448:C449"/>
    <mergeCell ref="C451:C455"/>
    <mergeCell ref="C457:C459"/>
    <mergeCell ref="C460:C464"/>
    <mergeCell ref="C468:H468"/>
    <mergeCell ref="B470:N470"/>
    <mergeCell ref="B472:B474"/>
    <mergeCell ref="C472:C474"/>
    <mergeCell ref="D472:D474"/>
    <mergeCell ref="E472:L472"/>
    <mergeCell ref="M472:O472"/>
    <mergeCell ref="P472:P474"/>
    <mergeCell ref="E473:E474"/>
    <mergeCell ref="F473:H473"/>
    <mergeCell ref="I473:K473"/>
    <mergeCell ref="L473:L474"/>
    <mergeCell ref="M473:M474"/>
    <mergeCell ref="N473:N474"/>
    <mergeCell ref="O473:O474"/>
    <mergeCell ref="B475:B487"/>
    <mergeCell ref="P475:P487"/>
    <mergeCell ref="C482:D482"/>
    <mergeCell ref="B488:D488"/>
    <mergeCell ref="B489:N489"/>
    <mergeCell ref="B490:B503"/>
    <mergeCell ref="P490:P496"/>
    <mergeCell ref="C498:C501"/>
    <mergeCell ref="P498:P502"/>
    <mergeCell ref="B535:N535"/>
    <mergeCell ref="B504:H504"/>
    <mergeCell ref="B505:B533"/>
    <mergeCell ref="C505:C507"/>
    <mergeCell ref="P505:P532"/>
    <mergeCell ref="C508:C510"/>
    <mergeCell ref="C511:C512"/>
    <mergeCell ref="C513:C514"/>
    <mergeCell ref="C516:C520"/>
    <mergeCell ref="C522:C524"/>
    <mergeCell ref="C525:C529"/>
    <mergeCell ref="C533:H533"/>
    <mergeCell ref="B537:B539"/>
    <mergeCell ref="C537:C539"/>
    <mergeCell ref="D537:D539"/>
    <mergeCell ref="E537:L537"/>
    <mergeCell ref="M537:O537"/>
    <mergeCell ref="P537:P539"/>
    <mergeCell ref="E538:E539"/>
    <mergeCell ref="F538:H538"/>
    <mergeCell ref="I538:K538"/>
    <mergeCell ref="L538:L539"/>
    <mergeCell ref="M538:M539"/>
    <mergeCell ref="N538:N539"/>
    <mergeCell ref="O538:O539"/>
    <mergeCell ref="B540:B552"/>
    <mergeCell ref="P540:P552"/>
    <mergeCell ref="C547:D547"/>
    <mergeCell ref="B553:D553"/>
    <mergeCell ref="B554:N554"/>
    <mergeCell ref="B555:B568"/>
    <mergeCell ref="P555:P561"/>
    <mergeCell ref="C563:C566"/>
    <mergeCell ref="P563:P567"/>
    <mergeCell ref="B600:N600"/>
    <mergeCell ref="B569:H569"/>
    <mergeCell ref="B570:B598"/>
    <mergeCell ref="C570:C572"/>
    <mergeCell ref="P570:P597"/>
    <mergeCell ref="C573:C575"/>
    <mergeCell ref="C576:C577"/>
    <mergeCell ref="C578:C579"/>
    <mergeCell ref="C581:C585"/>
    <mergeCell ref="C587:C589"/>
    <mergeCell ref="C590:C594"/>
    <mergeCell ref="C598:H598"/>
    <mergeCell ref="B732:B734"/>
    <mergeCell ref="C732:C734"/>
    <mergeCell ref="D732:D734"/>
    <mergeCell ref="E732:L732"/>
    <mergeCell ref="M732:O732"/>
    <mergeCell ref="P732:P734"/>
    <mergeCell ref="E733:E734"/>
    <mergeCell ref="F733:H733"/>
    <mergeCell ref="I733:K733"/>
    <mergeCell ref="L733:L734"/>
    <mergeCell ref="M733:M734"/>
    <mergeCell ref="N733:N734"/>
    <mergeCell ref="O733:O734"/>
    <mergeCell ref="B735:B747"/>
    <mergeCell ref="P735:P747"/>
    <mergeCell ref="C742:D742"/>
    <mergeCell ref="B748:D748"/>
    <mergeCell ref="B749:N749"/>
    <mergeCell ref="B750:B763"/>
    <mergeCell ref="P750:P756"/>
    <mergeCell ref="C758:C761"/>
    <mergeCell ref="P758:P762"/>
    <mergeCell ref="B795:N795"/>
    <mergeCell ref="B764:H764"/>
    <mergeCell ref="B765:B793"/>
    <mergeCell ref="C765:C767"/>
    <mergeCell ref="P765:P792"/>
    <mergeCell ref="C768:C770"/>
    <mergeCell ref="C771:C772"/>
    <mergeCell ref="C773:C774"/>
    <mergeCell ref="C776:C780"/>
    <mergeCell ref="C782:C784"/>
    <mergeCell ref="C785:C789"/>
    <mergeCell ref="C793:H793"/>
    <mergeCell ref="B797:B799"/>
    <mergeCell ref="C797:C799"/>
    <mergeCell ref="D797:D799"/>
    <mergeCell ref="E797:L797"/>
    <mergeCell ref="M797:O797"/>
    <mergeCell ref="P797:P799"/>
    <mergeCell ref="E798:E799"/>
    <mergeCell ref="F798:H798"/>
    <mergeCell ref="I798:K798"/>
    <mergeCell ref="L798:L799"/>
    <mergeCell ref="M798:M799"/>
    <mergeCell ref="N798:N799"/>
    <mergeCell ref="O798:O799"/>
    <mergeCell ref="B800:B812"/>
    <mergeCell ref="P800:P812"/>
    <mergeCell ref="C807:D807"/>
    <mergeCell ref="B813:D813"/>
    <mergeCell ref="B814:N814"/>
    <mergeCell ref="B815:B828"/>
    <mergeCell ref="P815:P821"/>
    <mergeCell ref="C823:C826"/>
    <mergeCell ref="P823:P827"/>
    <mergeCell ref="B860:N860"/>
    <mergeCell ref="B829:H829"/>
    <mergeCell ref="B830:B858"/>
    <mergeCell ref="C830:C832"/>
    <mergeCell ref="P830:P857"/>
    <mergeCell ref="C833:C835"/>
    <mergeCell ref="C836:C837"/>
    <mergeCell ref="C838:C839"/>
    <mergeCell ref="C841:C845"/>
    <mergeCell ref="C847:C849"/>
    <mergeCell ref="C850:C854"/>
    <mergeCell ref="C858:H858"/>
    <mergeCell ref="B862:B864"/>
    <mergeCell ref="C862:C864"/>
    <mergeCell ref="D862:D864"/>
    <mergeCell ref="E862:L862"/>
    <mergeCell ref="M862:O862"/>
    <mergeCell ref="P862:P864"/>
    <mergeCell ref="E863:E864"/>
    <mergeCell ref="F863:H863"/>
    <mergeCell ref="I863:K863"/>
    <mergeCell ref="L863:L864"/>
    <mergeCell ref="M863:M864"/>
    <mergeCell ref="N863:N864"/>
    <mergeCell ref="O863:O864"/>
    <mergeCell ref="B865:B877"/>
    <mergeCell ref="P865:P877"/>
    <mergeCell ref="C872:D872"/>
    <mergeCell ref="B878:D878"/>
    <mergeCell ref="B879:N879"/>
    <mergeCell ref="B880:B893"/>
    <mergeCell ref="P880:P886"/>
    <mergeCell ref="C888:C891"/>
    <mergeCell ref="P888:P892"/>
    <mergeCell ref="B925:N925"/>
    <mergeCell ref="B894:H894"/>
    <mergeCell ref="B895:B923"/>
    <mergeCell ref="C895:C897"/>
    <mergeCell ref="P895:P922"/>
    <mergeCell ref="C898:C900"/>
    <mergeCell ref="C901:C902"/>
    <mergeCell ref="C903:C904"/>
    <mergeCell ref="C906:C910"/>
    <mergeCell ref="C912:C914"/>
    <mergeCell ref="C915:C919"/>
    <mergeCell ref="C923:H923"/>
    <mergeCell ref="B927:B929"/>
    <mergeCell ref="C927:C929"/>
    <mergeCell ref="D927:D929"/>
    <mergeCell ref="E927:L927"/>
    <mergeCell ref="M927:O927"/>
    <mergeCell ref="P927:P929"/>
    <mergeCell ref="E928:E929"/>
    <mergeCell ref="F928:H928"/>
    <mergeCell ref="I928:K928"/>
    <mergeCell ref="L928:L929"/>
    <mergeCell ref="M928:M929"/>
    <mergeCell ref="N928:N929"/>
    <mergeCell ref="O928:O929"/>
    <mergeCell ref="B930:B942"/>
    <mergeCell ref="P930:P942"/>
    <mergeCell ref="C937:D937"/>
    <mergeCell ref="B943:D943"/>
    <mergeCell ref="B944:N944"/>
    <mergeCell ref="B945:B958"/>
    <mergeCell ref="P945:P951"/>
    <mergeCell ref="C953:C956"/>
    <mergeCell ref="P953:P957"/>
    <mergeCell ref="B990:N990"/>
    <mergeCell ref="B959:H959"/>
    <mergeCell ref="B960:B988"/>
    <mergeCell ref="C960:C962"/>
    <mergeCell ref="P960:P987"/>
    <mergeCell ref="C963:C965"/>
    <mergeCell ref="C966:C967"/>
    <mergeCell ref="C968:C969"/>
    <mergeCell ref="C971:C975"/>
    <mergeCell ref="C977:C979"/>
    <mergeCell ref="C980:C984"/>
    <mergeCell ref="C988:H988"/>
    <mergeCell ref="B992:B994"/>
    <mergeCell ref="C992:C994"/>
    <mergeCell ref="D992:D994"/>
    <mergeCell ref="E992:L992"/>
    <mergeCell ref="M992:O992"/>
    <mergeCell ref="P992:P994"/>
    <mergeCell ref="E993:E994"/>
    <mergeCell ref="F993:H993"/>
    <mergeCell ref="I993:K993"/>
    <mergeCell ref="L993:L994"/>
    <mergeCell ref="M993:M994"/>
    <mergeCell ref="N993:N994"/>
    <mergeCell ref="O993:O994"/>
    <mergeCell ref="B995:B1007"/>
    <mergeCell ref="P995:P1007"/>
    <mergeCell ref="C1002:D1002"/>
    <mergeCell ref="B1008:D1008"/>
    <mergeCell ref="B1009:N1009"/>
    <mergeCell ref="B1010:B1023"/>
    <mergeCell ref="P1010:P1016"/>
    <mergeCell ref="C1018:C1021"/>
    <mergeCell ref="P1018:P1022"/>
    <mergeCell ref="B1055:N1055"/>
    <mergeCell ref="B1024:H1024"/>
    <mergeCell ref="B1025:B1053"/>
    <mergeCell ref="C1025:C1027"/>
    <mergeCell ref="P1025:P1052"/>
    <mergeCell ref="C1028:C1030"/>
    <mergeCell ref="C1031:C1032"/>
    <mergeCell ref="C1033:C1034"/>
    <mergeCell ref="C1036:C1040"/>
    <mergeCell ref="C1042:C1044"/>
    <mergeCell ref="C1045:C1049"/>
    <mergeCell ref="C1053:H1053"/>
  </mergeCells>
  <conditionalFormatting sqref="F35">
    <cfRule type="cellIs" dxfId="31" priority="31" operator="equal">
      <formula>0</formula>
    </cfRule>
  </conditionalFormatting>
  <conditionalFormatting sqref="F36:F41">
    <cfRule type="cellIs" dxfId="30" priority="32" operator="equal">
      <formula>0</formula>
    </cfRule>
  </conditionalFormatting>
  <conditionalFormatting sqref="F100">
    <cfRule type="cellIs" dxfId="29" priority="29" operator="equal">
      <formula>0</formula>
    </cfRule>
  </conditionalFormatting>
  <conditionalFormatting sqref="F101:F106">
    <cfRule type="cellIs" dxfId="28" priority="30" operator="equal">
      <formula>0</formula>
    </cfRule>
  </conditionalFormatting>
  <conditionalFormatting sqref="F165">
    <cfRule type="cellIs" dxfId="27" priority="27" operator="equal">
      <formula>0</formula>
    </cfRule>
  </conditionalFormatting>
  <conditionalFormatting sqref="F166:F171">
    <cfRule type="cellIs" dxfId="26" priority="28" operator="equal">
      <formula>0</formula>
    </cfRule>
  </conditionalFormatting>
  <conditionalFormatting sqref="F230">
    <cfRule type="cellIs" dxfId="25" priority="25" operator="equal">
      <formula>0</formula>
    </cfRule>
  </conditionalFormatting>
  <conditionalFormatting sqref="F231:F236">
    <cfRule type="cellIs" dxfId="24" priority="26" operator="equal">
      <formula>0</formula>
    </cfRule>
  </conditionalFormatting>
  <conditionalFormatting sqref="F295">
    <cfRule type="cellIs" dxfId="23" priority="23" operator="equal">
      <formula>0</formula>
    </cfRule>
  </conditionalFormatting>
  <conditionalFormatting sqref="F296:F301">
    <cfRule type="cellIs" dxfId="22" priority="24" operator="equal">
      <formula>0</formula>
    </cfRule>
  </conditionalFormatting>
  <conditionalFormatting sqref="F360">
    <cfRule type="cellIs" dxfId="21" priority="21" operator="equal">
      <formula>0</formula>
    </cfRule>
  </conditionalFormatting>
  <conditionalFormatting sqref="F361:F366">
    <cfRule type="cellIs" dxfId="20" priority="22" operator="equal">
      <formula>0</formula>
    </cfRule>
  </conditionalFormatting>
  <conditionalFormatting sqref="F425">
    <cfRule type="cellIs" dxfId="19" priority="19" operator="equal">
      <formula>0</formula>
    </cfRule>
  </conditionalFormatting>
  <conditionalFormatting sqref="F426:F431">
    <cfRule type="cellIs" dxfId="18" priority="20" operator="equal">
      <formula>0</formula>
    </cfRule>
  </conditionalFormatting>
  <conditionalFormatting sqref="F490">
    <cfRule type="cellIs" dxfId="17" priority="17" operator="equal">
      <formula>0</formula>
    </cfRule>
  </conditionalFormatting>
  <conditionalFormatting sqref="F491:F496">
    <cfRule type="cellIs" dxfId="16" priority="18" operator="equal">
      <formula>0</formula>
    </cfRule>
  </conditionalFormatting>
  <conditionalFormatting sqref="F555">
    <cfRule type="cellIs" dxfId="15" priority="15" operator="equal">
      <formula>0</formula>
    </cfRule>
  </conditionalFormatting>
  <conditionalFormatting sqref="F556:F561">
    <cfRule type="cellIs" dxfId="14" priority="16" operator="equal">
      <formula>0</formula>
    </cfRule>
  </conditionalFormatting>
  <conditionalFormatting sqref="F620">
    <cfRule type="cellIs" dxfId="13" priority="13" operator="equal">
      <formula>0</formula>
    </cfRule>
  </conditionalFormatting>
  <conditionalFormatting sqref="F621:F626">
    <cfRule type="cellIs" dxfId="12" priority="14" operator="equal">
      <formula>0</formula>
    </cfRule>
  </conditionalFormatting>
  <conditionalFormatting sqref="F685">
    <cfRule type="cellIs" dxfId="11" priority="11" operator="equal">
      <formula>0</formula>
    </cfRule>
  </conditionalFormatting>
  <conditionalFormatting sqref="F686:F691">
    <cfRule type="cellIs" dxfId="10" priority="12" operator="equal">
      <formula>0</formula>
    </cfRule>
  </conditionalFormatting>
  <conditionalFormatting sqref="F750">
    <cfRule type="cellIs" dxfId="9" priority="9" operator="equal">
      <formula>0</formula>
    </cfRule>
  </conditionalFormatting>
  <conditionalFormatting sqref="F751:F756">
    <cfRule type="cellIs" dxfId="8" priority="10" operator="equal">
      <formula>0</formula>
    </cfRule>
  </conditionalFormatting>
  <conditionalFormatting sqref="F815">
    <cfRule type="cellIs" dxfId="7" priority="7" operator="equal">
      <formula>0</formula>
    </cfRule>
  </conditionalFormatting>
  <conditionalFormatting sqref="F816:F821">
    <cfRule type="cellIs" dxfId="6" priority="8" operator="equal">
      <formula>0</formula>
    </cfRule>
  </conditionalFormatting>
  <conditionalFormatting sqref="F880">
    <cfRule type="cellIs" dxfId="5" priority="5" operator="equal">
      <formula>0</formula>
    </cfRule>
  </conditionalFormatting>
  <conditionalFormatting sqref="F881:F886">
    <cfRule type="cellIs" dxfId="4" priority="6" operator="equal">
      <formula>0</formula>
    </cfRule>
  </conditionalFormatting>
  <conditionalFormatting sqref="F945">
    <cfRule type="cellIs" dxfId="3" priority="3" operator="equal">
      <formula>0</formula>
    </cfRule>
  </conditionalFormatting>
  <conditionalFormatting sqref="F946:F951">
    <cfRule type="cellIs" dxfId="2" priority="4" operator="equal">
      <formula>0</formula>
    </cfRule>
  </conditionalFormatting>
  <conditionalFormatting sqref="F1010">
    <cfRule type="cellIs" dxfId="1" priority="1" operator="equal">
      <formula>0</formula>
    </cfRule>
  </conditionalFormatting>
  <conditionalFormatting sqref="F1011:F1016">
    <cfRule type="cellIs" dxfId="0" priority="2" operator="equal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10" orientation="landscape" verticalDpi="0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7</vt:i4>
      </vt:variant>
    </vt:vector>
  </HeadingPairs>
  <TitlesOfParts>
    <vt:vector size="15" baseType="lpstr">
      <vt:lpstr>01 Prod Physique Boites</vt:lpstr>
      <vt:lpstr>02 Prod Valorisée Boites</vt:lpstr>
      <vt:lpstr>03 Prod Accessoires</vt:lpstr>
      <vt:lpstr>04 Ventes</vt:lpstr>
      <vt:lpstr>05 Activité Consolidée</vt:lpstr>
      <vt:lpstr>06 TRS</vt:lpstr>
      <vt:lpstr>07 Graphique</vt:lpstr>
      <vt:lpstr>REFERENCE PU</vt:lpstr>
      <vt:lpstr>'01 Prod Physique Boites'!Print_Area</vt:lpstr>
      <vt:lpstr>'02 Prod Valorisée Boites'!Print_Area</vt:lpstr>
      <vt:lpstr>'03 Prod Accessoires'!Print_Area</vt:lpstr>
      <vt:lpstr>'04 Ventes'!Print_Area</vt:lpstr>
      <vt:lpstr>'05 Activité Consolidée'!Print_Area</vt:lpstr>
      <vt:lpstr>'06 TRS'!Print_Area</vt:lpstr>
      <vt:lpstr>'07 Graphique'!Print_Area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2022-02-03T14:53:03Z</dcterms:modified>
</cp:coreProperties>
</file>